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s.ds.ky.gov\dfs\COTShared\REVOAD\APPS\Public Service Branch\CAP Rate Studies\CAP RATE STUDY 2025\2025 CAP Rate Study - All Industries - Worksheets\publish to website\"/>
    </mc:Choice>
  </mc:AlternateContent>
  <xr:revisionPtr revIDLastSave="0" documentId="13_ncr:8001_{65A67BD1-2206-435D-8FE5-A189BDFEEAEB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Cover Sheet" sheetId="6" r:id="rId1"/>
    <sheet name="Yield CapRate" sheetId="7" r:id="rId2"/>
    <sheet name="Direct CapRates" sheetId="10" r:id="rId3"/>
    <sheet name="S&amp;D" sheetId="3" r:id="rId4"/>
    <sheet name="Market to Book Ratios" sheetId="29" r:id="rId5"/>
    <sheet name="Maintenance CapEx" sheetId="11" r:id="rId6"/>
    <sheet name="Beta for CAPM" sheetId="14" r:id="rId7"/>
    <sheet name="Dividends " sheetId="17" r:id="rId8"/>
    <sheet name="Earnings" sheetId="27" r:id="rId9"/>
    <sheet name="Debt" sheetId="8" r:id="rId10"/>
    <sheet name="Direct GCF" sheetId="5" r:id="rId11"/>
    <sheet name="Direct NOPAT" sheetId="12" r:id="rId12"/>
    <sheet name="CAPM" sheetId="35" r:id="rId13"/>
    <sheet name="Growth &amp; Inflation Rates" sheetId="40" r:id="rId14"/>
    <sheet name="Indicated Yield Equity Rate " sheetId="34" r:id="rId15"/>
    <sheet name="Single Stage Div Growth Model" sheetId="19" r:id="rId16"/>
    <sheet name="Two-Stage Dividend Growth Model" sheetId="20" r:id="rId17"/>
    <sheet name="Multiples" sheetId="31" r:id="rId18"/>
    <sheet name="Info" sheetId="9" r:id="rId19"/>
  </sheets>
  <definedNames>
    <definedName name="_xlnm.Print_Area" localSheetId="6">'Beta for CAPM'!$A$1:$H$44</definedName>
    <definedName name="_xlnm.Print_Area" localSheetId="12">CAPM!$A$1:$H$85</definedName>
    <definedName name="_xlnm.Print_Area" localSheetId="0">'Cover Sheet'!$A$1:$I$37</definedName>
    <definedName name="_xlnm.Print_Area" localSheetId="9">Debt!$A$1:$M$69</definedName>
    <definedName name="_xlnm.Print_Area" localSheetId="2">'Direct CapRates'!$A$1:$H$66</definedName>
    <definedName name="_xlnm.Print_Area" localSheetId="10">'Direct GCF'!$A$1:$N$44</definedName>
    <definedName name="_xlnm.Print_Area" localSheetId="11">'Direct NOPAT'!$A$1:$N$78</definedName>
    <definedName name="_xlnm.Print_Area" localSheetId="7">'Dividends '!$A$1:$K$40</definedName>
    <definedName name="_xlnm.Print_Area" localSheetId="8">Earnings!$A$1:$K$40</definedName>
    <definedName name="_xlnm.Print_Area" localSheetId="13">'Growth &amp; Inflation Rates'!$A$1:$I$109</definedName>
    <definedName name="_xlnm.Print_Area" localSheetId="14">'Indicated Yield Equity Rate '!$A$1:$F$60</definedName>
    <definedName name="_xlnm.Print_Area" localSheetId="5">'Maintenance CapEx'!$A$1:$L$86</definedName>
    <definedName name="_xlnm.Print_Area" localSheetId="4">'Market to Book Ratios'!$A$1:$G$78</definedName>
    <definedName name="_xlnm.Print_Area" localSheetId="17">Multiples!$A$1:$J$48</definedName>
    <definedName name="_xlnm.Print_Area" localSheetId="3">'S&amp;D'!$A$1:$L$89</definedName>
    <definedName name="_xlnm.Print_Area" localSheetId="15">'Single Stage Div Growth Model'!$A$1:$K$54</definedName>
    <definedName name="_xlnm.Print_Area" localSheetId="16">'Two-Stage Dividend Growth Model'!$A$1:$I$52</definedName>
    <definedName name="_xlnm.Print_Area" localSheetId="1">'Yield CapRate'!$A$1:$H$35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1" l="1"/>
  <c r="G41" i="5" l="1"/>
  <c r="H30" i="3" l="1"/>
  <c r="I59" i="3"/>
  <c r="J59" i="3"/>
  <c r="G16" i="40"/>
  <c r="G15" i="40"/>
  <c r="F16" i="40"/>
  <c r="F15" i="40"/>
  <c r="D58" i="10"/>
  <c r="D25" i="10"/>
  <c r="C16" i="35" l="1"/>
  <c r="F22" i="20" l="1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21" i="20"/>
  <c r="I16" i="8"/>
  <c r="J16" i="8" s="1"/>
  <c r="I17" i="8"/>
  <c r="J17" i="8" s="1"/>
  <c r="I18" i="8"/>
  <c r="J18" i="8" s="1"/>
  <c r="I19" i="8"/>
  <c r="J19" i="8" s="1"/>
  <c r="I20" i="8"/>
  <c r="J20" i="8" s="1"/>
  <c r="I21" i="8"/>
  <c r="J21" i="8" s="1"/>
  <c r="I22" i="8"/>
  <c r="J22" i="8" s="1"/>
  <c r="I23" i="8"/>
  <c r="J23" i="8" s="1"/>
  <c r="I24" i="8"/>
  <c r="J24" i="8" s="1"/>
  <c r="I25" i="8"/>
  <c r="J25" i="8" s="1"/>
  <c r="I26" i="8"/>
  <c r="J26" i="8" s="1"/>
  <c r="I27" i="8"/>
  <c r="J27" i="8" s="1"/>
  <c r="I28" i="8"/>
  <c r="J28" i="8" s="1"/>
  <c r="I29" i="8"/>
  <c r="J29" i="8" s="1"/>
  <c r="I30" i="8"/>
  <c r="J30" i="8" s="1"/>
  <c r="I15" i="8"/>
  <c r="J15" i="8" s="1"/>
  <c r="K28" i="27"/>
  <c r="K30" i="27"/>
  <c r="J23" i="27"/>
  <c r="H22" i="27"/>
  <c r="F17" i="27"/>
  <c r="F18" i="27"/>
  <c r="F20" i="17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55" i="12"/>
  <c r="K16" i="12"/>
  <c r="E16" i="12"/>
  <c r="A43" i="35" l="1"/>
  <c r="A42" i="35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F59" i="35"/>
  <c r="F58" i="35"/>
  <c r="F57" i="35"/>
  <c r="F55" i="35"/>
  <c r="F54" i="35"/>
  <c r="F52" i="35"/>
  <c r="F50" i="35"/>
  <c r="F48" i="35"/>
  <c r="F47" i="35"/>
  <c r="F46" i="35"/>
  <c r="F45" i="35"/>
  <c r="F43" i="35"/>
  <c r="F42" i="35"/>
  <c r="E33" i="35"/>
  <c r="E32" i="35"/>
  <c r="E31" i="35"/>
  <c r="E29" i="35"/>
  <c r="E28" i="35"/>
  <c r="E26" i="35"/>
  <c r="E24" i="35"/>
  <c r="E22" i="35"/>
  <c r="E21" i="35"/>
  <c r="E20" i="35"/>
  <c r="E19" i="35"/>
  <c r="E17" i="35"/>
  <c r="E16" i="35"/>
  <c r="E54" i="40"/>
  <c r="D54" i="40"/>
  <c r="F54" i="40" s="1"/>
  <c r="E53" i="40"/>
  <c r="D53" i="40"/>
  <c r="F53" i="40" s="1"/>
  <c r="E52" i="40"/>
  <c r="D52" i="40"/>
  <c r="E51" i="40"/>
  <c r="D51" i="40"/>
  <c r="F50" i="40"/>
  <c r="F48" i="40"/>
  <c r="F47" i="40"/>
  <c r="F52" i="40" s="1"/>
  <c r="F46" i="40"/>
  <c r="F45" i="40"/>
  <c r="F44" i="40"/>
  <c r="F43" i="40"/>
  <c r="F42" i="40"/>
  <c r="F51" i="40" s="1"/>
  <c r="A15" i="40"/>
  <c r="I20" i="11" l="1"/>
  <c r="D30" i="11" l="1"/>
  <c r="D29" i="11"/>
  <c r="D25" i="11"/>
  <c r="D22" i="11" l="1"/>
  <c r="D21" i="11"/>
  <c r="D20" i="11"/>
  <c r="D35" i="11"/>
  <c r="G62" i="3"/>
  <c r="J37" i="3"/>
  <c r="D34" i="11"/>
  <c r="D33" i="11"/>
  <c r="G61" i="3"/>
  <c r="H36" i="3"/>
  <c r="J35" i="3"/>
  <c r="G60" i="3" s="1"/>
  <c r="D32" i="11"/>
  <c r="G59" i="3" l="1"/>
  <c r="G58" i="3"/>
  <c r="J33" i="3"/>
  <c r="J32" i="3" l="1"/>
  <c r="J31" i="3" l="1"/>
  <c r="G55" i="3" l="1"/>
  <c r="J30" i="3" l="1"/>
  <c r="G54" i="3"/>
  <c r="J29" i="3"/>
  <c r="G53" i="3"/>
  <c r="J28" i="3"/>
  <c r="F52" i="3" l="1"/>
  <c r="G52" i="3"/>
  <c r="J27" i="3"/>
  <c r="G51" i="3"/>
  <c r="J26" i="3" l="1"/>
  <c r="G50" i="3"/>
  <c r="H25" i="3"/>
  <c r="H48" i="3"/>
  <c r="G48" i="3"/>
  <c r="D47" i="3" l="1"/>
  <c r="E35" i="11" l="1"/>
  <c r="E34" i="11"/>
  <c r="E33" i="11"/>
  <c r="E32" i="11"/>
  <c r="E30" i="11"/>
  <c r="E29" i="11"/>
  <c r="E25" i="11"/>
  <c r="E22" i="11"/>
  <c r="E21" i="11"/>
  <c r="H34" i="19" l="1"/>
  <c r="G34" i="19"/>
  <c r="H33" i="19"/>
  <c r="G33" i="19"/>
  <c r="E73" i="12"/>
  <c r="E72" i="12"/>
  <c r="K34" i="12"/>
  <c r="K33" i="12"/>
  <c r="E34" i="12"/>
  <c r="E33" i="12"/>
  <c r="J35" i="5"/>
  <c r="J34" i="5"/>
  <c r="D35" i="5"/>
  <c r="D34" i="5"/>
  <c r="J33" i="8"/>
  <c r="I33" i="8"/>
  <c r="J32" i="8"/>
  <c r="I32" i="8"/>
  <c r="G33" i="8"/>
  <c r="G32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15" i="8"/>
  <c r="I34" i="27" l="1"/>
  <c r="G34" i="27"/>
  <c r="I33" i="27"/>
  <c r="G33" i="27"/>
  <c r="E34" i="27"/>
  <c r="E33" i="27"/>
  <c r="I34" i="17"/>
  <c r="G34" i="17"/>
  <c r="I33" i="17"/>
  <c r="G33" i="17"/>
  <c r="E34" i="17"/>
  <c r="E33" i="17"/>
  <c r="H35" i="14"/>
  <c r="H34" i="14"/>
  <c r="H36" i="14"/>
  <c r="G57" i="3" l="1"/>
  <c r="G56" i="3"/>
  <c r="G49" i="3" l="1"/>
  <c r="G47" i="3" l="1"/>
  <c r="G31" i="10" l="1"/>
  <c r="B46" i="35"/>
  <c r="E46" i="35" s="1"/>
  <c r="A46" i="35"/>
  <c r="D23" i="7"/>
  <c r="A16" i="6"/>
  <c r="D16" i="7"/>
  <c r="D15" i="10"/>
  <c r="A6" i="31"/>
  <c r="A6" i="20"/>
  <c r="A6" i="19"/>
  <c r="B58" i="35"/>
  <c r="E58" i="35" s="1"/>
  <c r="A59" i="35"/>
  <c r="A58" i="35"/>
  <c r="A57" i="35"/>
  <c r="A48" i="35"/>
  <c r="A47" i="35"/>
  <c r="A45" i="35"/>
  <c r="B48" i="35"/>
  <c r="E48" i="35" s="1"/>
  <c r="B47" i="35"/>
  <c r="E47" i="35" s="1"/>
  <c r="A6" i="35"/>
  <c r="A6" i="34"/>
  <c r="A6" i="12"/>
  <c r="A6" i="5"/>
  <c r="A6" i="8"/>
  <c r="A9" i="29"/>
  <c r="A8" i="11"/>
  <c r="A8" i="14"/>
  <c r="A6" i="27"/>
  <c r="A6" i="17"/>
  <c r="C42" i="35"/>
  <c r="B59" i="35"/>
  <c r="E59" i="35" s="1"/>
  <c r="B57" i="35"/>
  <c r="E57" i="35" s="1"/>
  <c r="B55" i="35"/>
  <c r="E55" i="35" s="1"/>
  <c r="B54" i="35"/>
  <c r="E54" i="35" s="1"/>
  <c r="B52" i="35"/>
  <c r="E52" i="35" s="1"/>
  <c r="B50" i="35"/>
  <c r="E50" i="35" s="1"/>
  <c r="B45" i="35"/>
  <c r="E45" i="35" s="1"/>
  <c r="B43" i="35"/>
  <c r="E43" i="35" s="1"/>
  <c r="B42" i="35"/>
  <c r="E42" i="35" s="1"/>
  <c r="D43" i="34"/>
  <c r="D42" i="34"/>
  <c r="D41" i="34"/>
  <c r="D40" i="34"/>
  <c r="C20" i="35" l="1"/>
  <c r="C21" i="35"/>
  <c r="D16" i="35"/>
  <c r="F16" i="35" s="1"/>
  <c r="D14" i="34" s="1"/>
  <c r="C22" i="35"/>
  <c r="D42" i="35"/>
  <c r="C17" i="35"/>
  <c r="C32" i="35" s="1"/>
  <c r="C19" i="35"/>
  <c r="C45" i="35" s="1"/>
  <c r="C24" i="35"/>
  <c r="C26" i="35"/>
  <c r="C28" i="35"/>
  <c r="C29" i="35"/>
  <c r="C31" i="35"/>
  <c r="C33" i="35"/>
  <c r="D20" i="35" l="1"/>
  <c r="F20" i="35" s="1"/>
  <c r="D17" i="34" s="1"/>
  <c r="C46" i="35"/>
  <c r="D46" i="35" s="1"/>
  <c r="G46" i="35" s="1"/>
  <c r="D30" i="34" s="1"/>
  <c r="D32" i="35"/>
  <c r="C58" i="35"/>
  <c r="D58" i="35" s="1"/>
  <c r="D22" i="35"/>
  <c r="F22" i="35" s="1"/>
  <c r="D19" i="34" s="1"/>
  <c r="C48" i="35"/>
  <c r="D48" i="35" s="1"/>
  <c r="G48" i="35" s="1"/>
  <c r="D32" i="34" s="1"/>
  <c r="D21" i="35"/>
  <c r="F21" i="35" s="1"/>
  <c r="D18" i="34" s="1"/>
  <c r="C47" i="35"/>
  <c r="D47" i="35" s="1"/>
  <c r="G47" i="35" s="1"/>
  <c r="D31" i="34" s="1"/>
  <c r="G42" i="35"/>
  <c r="D27" i="34" s="1"/>
  <c r="C55" i="35"/>
  <c r="D55" i="35" s="1"/>
  <c r="G55" i="35" s="1"/>
  <c r="D36" i="34" s="1"/>
  <c r="D29" i="35"/>
  <c r="F29" i="35" s="1"/>
  <c r="D23" i="34" s="1"/>
  <c r="C59" i="35"/>
  <c r="D59" i="35" s="1"/>
  <c r="G59" i="35" s="1"/>
  <c r="D39" i="34" s="1"/>
  <c r="D45" i="35"/>
  <c r="G45" i="35" s="1"/>
  <c r="D29" i="34" s="1"/>
  <c r="D19" i="35"/>
  <c r="F19" i="35" s="1"/>
  <c r="D16" i="34" s="1"/>
  <c r="D28" i="35"/>
  <c r="F28" i="35" s="1"/>
  <c r="D22" i="34" s="1"/>
  <c r="C54" i="35"/>
  <c r="D54" i="35" s="1"/>
  <c r="G54" i="35" s="1"/>
  <c r="D35" i="34" s="1"/>
  <c r="D17" i="35"/>
  <c r="F17" i="35" s="1"/>
  <c r="D15" i="34" s="1"/>
  <c r="C43" i="35"/>
  <c r="D43" i="35" s="1"/>
  <c r="D33" i="35"/>
  <c r="F33" i="35" s="1"/>
  <c r="D26" i="34" s="1"/>
  <c r="C52" i="35"/>
  <c r="D52" i="35" s="1"/>
  <c r="G52" i="35" s="1"/>
  <c r="D34" i="34" s="1"/>
  <c r="D26" i="35"/>
  <c r="F26" i="35" s="1"/>
  <c r="D21" i="34" s="1"/>
  <c r="D31" i="35"/>
  <c r="F31" i="35" s="1"/>
  <c r="D24" i="34" s="1"/>
  <c r="C57" i="35"/>
  <c r="D57" i="35" s="1"/>
  <c r="G57" i="35" s="1"/>
  <c r="D37" i="34" s="1"/>
  <c r="D24" i="35"/>
  <c r="F24" i="35" s="1"/>
  <c r="D20" i="34" s="1"/>
  <c r="C50" i="35"/>
  <c r="D50" i="35" s="1"/>
  <c r="G50" i="35" s="1"/>
  <c r="D33" i="34" s="1"/>
  <c r="F32" i="35" l="1"/>
  <c r="D25" i="34" s="1"/>
  <c r="G58" i="35"/>
  <c r="D38" i="34" s="1"/>
  <c r="G43" i="35"/>
  <c r="D28" i="34" s="1"/>
  <c r="D47" i="34" l="1"/>
  <c r="D46" i="34"/>
  <c r="D45" i="34"/>
  <c r="D48" i="34"/>
  <c r="E62" i="3" l="1"/>
  <c r="E49" i="29"/>
  <c r="C61" i="3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C24" i="19"/>
  <c r="B24" i="19"/>
  <c r="A24" i="19"/>
  <c r="C23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C18" i="19"/>
  <c r="B18" i="19"/>
  <c r="A18" i="19"/>
  <c r="C17" i="19"/>
  <c r="B17" i="19"/>
  <c r="A17" i="19"/>
  <c r="E21" i="20"/>
  <c r="C31" i="12" l="1"/>
  <c r="A31" i="12"/>
  <c r="C30" i="12"/>
  <c r="A30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23" i="12"/>
  <c r="A23" i="12"/>
  <c r="C22" i="12"/>
  <c r="A22" i="12"/>
  <c r="C21" i="12"/>
  <c r="A21" i="12"/>
  <c r="C20" i="12"/>
  <c r="A20" i="12"/>
  <c r="C19" i="12"/>
  <c r="A19" i="12"/>
  <c r="C18" i="12"/>
  <c r="A18" i="12"/>
  <c r="C17" i="12"/>
  <c r="A17" i="12"/>
  <c r="C16" i="12"/>
  <c r="A16" i="12"/>
  <c r="C70" i="12"/>
  <c r="A70" i="12"/>
  <c r="C69" i="12"/>
  <c r="A69" i="12"/>
  <c r="C68" i="12"/>
  <c r="A68" i="12"/>
  <c r="C67" i="12"/>
  <c r="A67" i="12"/>
  <c r="C66" i="12"/>
  <c r="A66" i="12"/>
  <c r="C65" i="12"/>
  <c r="A65" i="12"/>
  <c r="C64" i="12"/>
  <c r="A64" i="12"/>
  <c r="C63" i="12"/>
  <c r="A63" i="12"/>
  <c r="C62" i="12"/>
  <c r="A62" i="12"/>
  <c r="C61" i="12"/>
  <c r="A61" i="12"/>
  <c r="C60" i="12"/>
  <c r="A60" i="12"/>
  <c r="C59" i="12"/>
  <c r="A59" i="12"/>
  <c r="C58" i="12"/>
  <c r="A58" i="12"/>
  <c r="C57" i="12"/>
  <c r="A57" i="12"/>
  <c r="C56" i="12"/>
  <c r="A56" i="12"/>
  <c r="C55" i="12"/>
  <c r="A55" i="12"/>
  <c r="E60" i="29" l="1"/>
  <c r="E58" i="29"/>
  <c r="D58" i="29"/>
  <c r="D57" i="29"/>
  <c r="D62" i="3" l="1"/>
  <c r="C62" i="3"/>
  <c r="B62" i="3"/>
  <c r="B61" i="3"/>
  <c r="D60" i="3"/>
  <c r="C60" i="3"/>
  <c r="B60" i="3"/>
  <c r="D59" i="3"/>
  <c r="C59" i="3"/>
  <c r="B59" i="3"/>
  <c r="D58" i="3"/>
  <c r="C58" i="3"/>
  <c r="B58" i="3"/>
  <c r="D57" i="3"/>
  <c r="C57" i="3"/>
  <c r="B57" i="3"/>
  <c r="D56" i="3"/>
  <c r="C56" i="3"/>
  <c r="B56" i="3"/>
  <c r="C55" i="3"/>
  <c r="B55" i="3"/>
  <c r="D54" i="3"/>
  <c r="C54" i="3"/>
  <c r="B54" i="3"/>
  <c r="E24" i="19" l="1"/>
  <c r="E29" i="19"/>
  <c r="E27" i="19"/>
  <c r="E30" i="19"/>
  <c r="E26" i="19"/>
  <c r="E28" i="19"/>
  <c r="E32" i="19"/>
  <c r="H62" i="3"/>
  <c r="J62" i="3" s="1"/>
  <c r="G35" i="8"/>
  <c r="G34" i="8"/>
  <c r="D70" i="12" l="1"/>
  <c r="F70" i="12" s="1"/>
  <c r="G70" i="12" s="1"/>
  <c r="D69" i="12"/>
  <c r="F69" i="12" s="1"/>
  <c r="G69" i="12" s="1"/>
  <c r="D68" i="12"/>
  <c r="F68" i="12" s="1"/>
  <c r="G68" i="12" s="1"/>
  <c r="D67" i="12"/>
  <c r="F67" i="12" s="1"/>
  <c r="G67" i="12" s="1"/>
  <c r="D66" i="12"/>
  <c r="F66" i="12" s="1"/>
  <c r="G66" i="12" s="1"/>
  <c r="D65" i="12"/>
  <c r="F65" i="12" s="1"/>
  <c r="G65" i="12" s="1"/>
  <c r="D64" i="12"/>
  <c r="F64" i="12" s="1"/>
  <c r="G64" i="12" s="1"/>
  <c r="D63" i="12"/>
  <c r="F63" i="12" s="1"/>
  <c r="G63" i="12" s="1"/>
  <c r="D62" i="12"/>
  <c r="F62" i="12" s="1"/>
  <c r="G62" i="12" s="1"/>
  <c r="D61" i="12"/>
  <c r="F61" i="12" s="1"/>
  <c r="G61" i="12" s="1"/>
  <c r="D60" i="12"/>
  <c r="F60" i="12" s="1"/>
  <c r="G60" i="12" s="1"/>
  <c r="D59" i="12"/>
  <c r="F59" i="12" s="1"/>
  <c r="G59" i="12" s="1"/>
  <c r="D58" i="12"/>
  <c r="F58" i="12" s="1"/>
  <c r="G58" i="12" s="1"/>
  <c r="D57" i="12"/>
  <c r="F57" i="12" s="1"/>
  <c r="G57" i="12" s="1"/>
  <c r="D56" i="12"/>
  <c r="D55" i="12"/>
  <c r="F55" i="12" s="1"/>
  <c r="E75" i="12"/>
  <c r="E74" i="12"/>
  <c r="G55" i="12" l="1"/>
  <c r="F56" i="12"/>
  <c r="G56" i="12" s="1"/>
  <c r="G74" i="12" s="1"/>
  <c r="F72" i="12" l="1"/>
  <c r="F73" i="12"/>
  <c r="G73" i="12"/>
  <c r="G72" i="12"/>
  <c r="F74" i="12"/>
  <c r="G75" i="12"/>
  <c r="F75" i="12"/>
  <c r="F31" i="3" l="1"/>
  <c r="A29" i="8"/>
  <c r="D31" i="31"/>
  <c r="C31" i="31"/>
  <c r="B31" i="31"/>
  <c r="D30" i="31"/>
  <c r="C30" i="31"/>
  <c r="B30" i="31"/>
  <c r="D29" i="31"/>
  <c r="C29" i="31"/>
  <c r="B29" i="31"/>
  <c r="D28" i="31"/>
  <c r="C28" i="31"/>
  <c r="B28" i="31"/>
  <c r="D27" i="31"/>
  <c r="C27" i="31"/>
  <c r="B27" i="31"/>
  <c r="D26" i="31"/>
  <c r="C26" i="31"/>
  <c r="B26" i="31"/>
  <c r="D25" i="31"/>
  <c r="C25" i="31"/>
  <c r="B25" i="31"/>
  <c r="D24" i="31"/>
  <c r="C24" i="31"/>
  <c r="B24" i="31"/>
  <c r="D23" i="31"/>
  <c r="C23" i="31"/>
  <c r="B23" i="31"/>
  <c r="D22" i="31"/>
  <c r="C22" i="31"/>
  <c r="B22" i="31"/>
  <c r="D21" i="31"/>
  <c r="C21" i="31"/>
  <c r="B21" i="31"/>
  <c r="D20" i="31"/>
  <c r="C20" i="31"/>
  <c r="B20" i="31"/>
  <c r="D19" i="31"/>
  <c r="C19" i="31"/>
  <c r="B19" i="31"/>
  <c r="D18" i="31"/>
  <c r="C18" i="31"/>
  <c r="B18" i="31"/>
  <c r="D17" i="31"/>
  <c r="C17" i="31"/>
  <c r="B17" i="31"/>
  <c r="D16" i="31"/>
  <c r="C16" i="31"/>
  <c r="B16" i="31"/>
  <c r="F16" i="31" l="1"/>
  <c r="I16" i="31"/>
  <c r="F20" i="31"/>
  <c r="G20" i="31" s="1"/>
  <c r="I20" i="31"/>
  <c r="J20" i="31" s="1"/>
  <c r="F24" i="31"/>
  <c r="G24" i="31" s="1"/>
  <c r="I24" i="31"/>
  <c r="J24" i="31" s="1"/>
  <c r="F27" i="31"/>
  <c r="G27" i="31" s="1"/>
  <c r="I27" i="31"/>
  <c r="J27" i="31" s="1"/>
  <c r="F19" i="31"/>
  <c r="G19" i="31" s="1"/>
  <c r="I19" i="31"/>
  <c r="J19" i="31" s="1"/>
  <c r="F23" i="31"/>
  <c r="G23" i="31" s="1"/>
  <c r="I23" i="31"/>
  <c r="J23" i="31" s="1"/>
  <c r="F30" i="31"/>
  <c r="G30" i="31" s="1"/>
  <c r="I30" i="31"/>
  <c r="J30" i="31" s="1"/>
  <c r="F18" i="31"/>
  <c r="G18" i="31" s="1"/>
  <c r="I18" i="31"/>
  <c r="J18" i="31" s="1"/>
  <c r="F22" i="31"/>
  <c r="G22" i="31" s="1"/>
  <c r="I22" i="31"/>
  <c r="J22" i="31" s="1"/>
  <c r="F26" i="31"/>
  <c r="G26" i="31" s="1"/>
  <c r="I26" i="31"/>
  <c r="J26" i="31" s="1"/>
  <c r="F29" i="31"/>
  <c r="G29" i="31" s="1"/>
  <c r="I29" i="31"/>
  <c r="J29" i="31" s="1"/>
  <c r="F31" i="31"/>
  <c r="G31" i="31" s="1"/>
  <c r="I31" i="31"/>
  <c r="J31" i="31" s="1"/>
  <c r="F17" i="31"/>
  <c r="G17" i="31" s="1"/>
  <c r="I17" i="31"/>
  <c r="J17" i="31" s="1"/>
  <c r="F21" i="31"/>
  <c r="G21" i="31" s="1"/>
  <c r="I21" i="31"/>
  <c r="J21" i="31" s="1"/>
  <c r="F25" i="31"/>
  <c r="G25" i="31" s="1"/>
  <c r="I25" i="31"/>
  <c r="J25" i="31" s="1"/>
  <c r="F28" i="31"/>
  <c r="G28" i="31" s="1"/>
  <c r="I28" i="31"/>
  <c r="J28" i="31" s="1"/>
  <c r="J16" i="31" l="1"/>
  <c r="I34" i="31"/>
  <c r="I33" i="31"/>
  <c r="G16" i="31"/>
  <c r="F34" i="31"/>
  <c r="F33" i="31"/>
  <c r="G36" i="31"/>
  <c r="G35" i="31"/>
  <c r="J36" i="31"/>
  <c r="J35" i="31"/>
  <c r="F36" i="31"/>
  <c r="F35" i="31"/>
  <c r="I35" i="31"/>
  <c r="I36" i="31"/>
  <c r="C30" i="8"/>
  <c r="B30" i="8"/>
  <c r="A30" i="8"/>
  <c r="C29" i="8"/>
  <c r="B29" i="8"/>
  <c r="C28" i="8"/>
  <c r="B28" i="8"/>
  <c r="A28" i="8"/>
  <c r="C27" i="8"/>
  <c r="B27" i="8"/>
  <c r="A27" i="8"/>
  <c r="C26" i="8"/>
  <c r="B26" i="8"/>
  <c r="A26" i="8"/>
  <c r="C25" i="8"/>
  <c r="B25" i="8"/>
  <c r="A25" i="8"/>
  <c r="C24" i="8"/>
  <c r="B24" i="8"/>
  <c r="A24" i="8"/>
  <c r="C23" i="8"/>
  <c r="B23" i="8"/>
  <c r="A23" i="8"/>
  <c r="C22" i="8"/>
  <c r="B22" i="8"/>
  <c r="A22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5" i="8"/>
  <c r="B15" i="8"/>
  <c r="A15" i="8"/>
  <c r="C31" i="27"/>
  <c r="B31" i="27"/>
  <c r="A31" i="27"/>
  <c r="C30" i="27"/>
  <c r="B30" i="27"/>
  <c r="A30" i="27"/>
  <c r="C29" i="27"/>
  <c r="B29" i="27"/>
  <c r="A29" i="27"/>
  <c r="C28" i="27"/>
  <c r="B28" i="27"/>
  <c r="A28" i="27"/>
  <c r="C27" i="27"/>
  <c r="B27" i="27"/>
  <c r="A27" i="27"/>
  <c r="C26" i="27"/>
  <c r="B26" i="27"/>
  <c r="A26" i="27"/>
  <c r="C25" i="27"/>
  <c r="B25" i="27"/>
  <c r="A25" i="27"/>
  <c r="C24" i="27"/>
  <c r="B24" i="27"/>
  <c r="A24" i="27"/>
  <c r="C23" i="27"/>
  <c r="B23" i="27"/>
  <c r="A23" i="27"/>
  <c r="C22" i="27"/>
  <c r="B22" i="27"/>
  <c r="A22" i="27"/>
  <c r="C21" i="27"/>
  <c r="B21" i="27"/>
  <c r="A21" i="27"/>
  <c r="C20" i="27"/>
  <c r="B20" i="27"/>
  <c r="A20" i="27"/>
  <c r="C19" i="27"/>
  <c r="B19" i="27"/>
  <c r="A19" i="27"/>
  <c r="C18" i="27"/>
  <c r="B18" i="27"/>
  <c r="A18" i="27"/>
  <c r="C17" i="27"/>
  <c r="B17" i="27"/>
  <c r="A17" i="27"/>
  <c r="C16" i="27"/>
  <c r="B16" i="27"/>
  <c r="A16" i="27"/>
  <c r="C31" i="17"/>
  <c r="B31" i="17"/>
  <c r="A31" i="17"/>
  <c r="C30" i="17"/>
  <c r="B30" i="17"/>
  <c r="A30" i="17"/>
  <c r="C29" i="17"/>
  <c r="B29" i="17"/>
  <c r="A29" i="17"/>
  <c r="C28" i="17"/>
  <c r="B28" i="17"/>
  <c r="A28" i="17"/>
  <c r="C27" i="17"/>
  <c r="B27" i="17"/>
  <c r="A27" i="17"/>
  <c r="C26" i="17"/>
  <c r="B26" i="17"/>
  <c r="A26" i="17"/>
  <c r="C25" i="17"/>
  <c r="B25" i="17"/>
  <c r="A25" i="17"/>
  <c r="C24" i="17"/>
  <c r="B24" i="17"/>
  <c r="A24" i="17"/>
  <c r="C23" i="17"/>
  <c r="B23" i="17"/>
  <c r="A23" i="17"/>
  <c r="C22" i="17"/>
  <c r="B22" i="17"/>
  <c r="A22" i="17"/>
  <c r="C21" i="17"/>
  <c r="B21" i="17"/>
  <c r="A21" i="17"/>
  <c r="C20" i="17"/>
  <c r="B20" i="17"/>
  <c r="A20" i="17"/>
  <c r="C19" i="17"/>
  <c r="B19" i="17"/>
  <c r="A19" i="17"/>
  <c r="C18" i="17"/>
  <c r="B18" i="17"/>
  <c r="A18" i="17"/>
  <c r="C17" i="17"/>
  <c r="B17" i="17"/>
  <c r="A17" i="17"/>
  <c r="C16" i="17"/>
  <c r="B16" i="17"/>
  <c r="A16" i="17"/>
  <c r="C33" i="14"/>
  <c r="B33" i="14"/>
  <c r="A33" i="14"/>
  <c r="C32" i="14"/>
  <c r="B32" i="14"/>
  <c r="A32" i="14"/>
  <c r="C31" i="14"/>
  <c r="B31" i="14"/>
  <c r="A31" i="14"/>
  <c r="C30" i="14"/>
  <c r="B30" i="14"/>
  <c r="A30" i="14"/>
  <c r="C29" i="14"/>
  <c r="B29" i="14"/>
  <c r="A29" i="14"/>
  <c r="C28" i="14"/>
  <c r="B28" i="14"/>
  <c r="A28" i="14"/>
  <c r="C27" i="14"/>
  <c r="B27" i="14"/>
  <c r="A27" i="14"/>
  <c r="C26" i="14"/>
  <c r="B26" i="14"/>
  <c r="A26" i="14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B35" i="11"/>
  <c r="A35" i="11"/>
  <c r="B34" i="11"/>
  <c r="A34" i="11"/>
  <c r="B33" i="11"/>
  <c r="A33" i="11"/>
  <c r="B32" i="11"/>
  <c r="A32" i="11"/>
  <c r="B31" i="11"/>
  <c r="A31" i="11"/>
  <c r="B30" i="11"/>
  <c r="A30" i="11"/>
  <c r="B29" i="11"/>
  <c r="A29" i="11"/>
  <c r="B28" i="11"/>
  <c r="A28" i="11"/>
  <c r="B27" i="11"/>
  <c r="A27" i="11"/>
  <c r="B26" i="11"/>
  <c r="A26" i="11"/>
  <c r="B25" i="11"/>
  <c r="A25" i="11"/>
  <c r="B24" i="11"/>
  <c r="A24" i="11"/>
  <c r="B23" i="11"/>
  <c r="A23" i="11"/>
  <c r="B22" i="11"/>
  <c r="A22" i="11"/>
  <c r="B21" i="11"/>
  <c r="A21" i="11"/>
  <c r="B20" i="11"/>
  <c r="A20" i="11"/>
  <c r="C37" i="29"/>
  <c r="B37" i="29"/>
  <c r="A37" i="29"/>
  <c r="C36" i="29"/>
  <c r="B36" i="29"/>
  <c r="A36" i="29"/>
  <c r="C35" i="29"/>
  <c r="B35" i="29"/>
  <c r="A35" i="29"/>
  <c r="C34" i="29"/>
  <c r="B34" i="29"/>
  <c r="A34" i="29"/>
  <c r="C33" i="29"/>
  <c r="B33" i="29"/>
  <c r="A33" i="29"/>
  <c r="C32" i="29"/>
  <c r="B32" i="29"/>
  <c r="A32" i="29"/>
  <c r="C31" i="29"/>
  <c r="B31" i="29"/>
  <c r="A31" i="29"/>
  <c r="C30" i="29"/>
  <c r="B30" i="29"/>
  <c r="A30" i="29"/>
  <c r="C29" i="29"/>
  <c r="B29" i="29"/>
  <c r="A29" i="29"/>
  <c r="C28" i="29"/>
  <c r="B28" i="29"/>
  <c r="A28" i="29"/>
  <c r="C27" i="29"/>
  <c r="B27" i="29"/>
  <c r="A27" i="29"/>
  <c r="C26" i="29"/>
  <c r="B26" i="29"/>
  <c r="A26" i="29"/>
  <c r="C25" i="29"/>
  <c r="B25" i="29"/>
  <c r="A25" i="29"/>
  <c r="C24" i="29"/>
  <c r="B24" i="29"/>
  <c r="A24" i="29"/>
  <c r="C23" i="29"/>
  <c r="B23" i="29"/>
  <c r="A23" i="29"/>
  <c r="C22" i="29"/>
  <c r="B22" i="29"/>
  <c r="A22" i="29"/>
  <c r="C64" i="29"/>
  <c r="B64" i="29"/>
  <c r="A64" i="29"/>
  <c r="C63" i="29"/>
  <c r="B63" i="29"/>
  <c r="A63" i="29"/>
  <c r="C62" i="29"/>
  <c r="B62" i="29"/>
  <c r="A62" i="29"/>
  <c r="C61" i="29"/>
  <c r="B61" i="29"/>
  <c r="A61" i="29"/>
  <c r="C60" i="29"/>
  <c r="B60" i="29"/>
  <c r="A60" i="29"/>
  <c r="C59" i="29"/>
  <c r="B59" i="29"/>
  <c r="A59" i="29"/>
  <c r="C58" i="29"/>
  <c r="B58" i="29"/>
  <c r="A58" i="29"/>
  <c r="C57" i="29"/>
  <c r="B57" i="29"/>
  <c r="A57" i="29"/>
  <c r="C56" i="29"/>
  <c r="B56" i="29"/>
  <c r="A56" i="29"/>
  <c r="C55" i="29"/>
  <c r="B55" i="29"/>
  <c r="A55" i="29"/>
  <c r="C54" i="29"/>
  <c r="B54" i="29"/>
  <c r="A54" i="29"/>
  <c r="C53" i="29"/>
  <c r="B53" i="29"/>
  <c r="A53" i="29"/>
  <c r="C52" i="29"/>
  <c r="B52" i="29"/>
  <c r="A52" i="29"/>
  <c r="C51" i="29"/>
  <c r="B51" i="29"/>
  <c r="A51" i="29"/>
  <c r="C50" i="29"/>
  <c r="B50" i="29"/>
  <c r="A50" i="29"/>
  <c r="C49" i="29"/>
  <c r="B49" i="29"/>
  <c r="A49" i="29"/>
  <c r="H32" i="5"/>
  <c r="H31" i="5"/>
  <c r="H30" i="5"/>
  <c r="H29" i="5"/>
  <c r="H28" i="5"/>
  <c r="H27" i="5"/>
  <c r="H25" i="5"/>
  <c r="H26" i="5"/>
  <c r="H24" i="5"/>
  <c r="H23" i="5"/>
  <c r="H22" i="5"/>
  <c r="H21" i="5"/>
  <c r="H20" i="5"/>
  <c r="H19" i="5"/>
  <c r="H18" i="5"/>
  <c r="H17" i="5"/>
  <c r="G64" i="10"/>
  <c r="K17" i="17"/>
  <c r="K16" i="17"/>
  <c r="F58" i="29"/>
  <c r="B73" i="29"/>
  <c r="I36" i="27"/>
  <c r="G36" i="27"/>
  <c r="E36" i="27"/>
  <c r="I35" i="27"/>
  <c r="G35" i="27"/>
  <c r="E35" i="27"/>
  <c r="K31" i="27"/>
  <c r="D31" i="27"/>
  <c r="J31" i="27" s="1"/>
  <c r="D30" i="27"/>
  <c r="H30" i="27" s="1"/>
  <c r="K29" i="27"/>
  <c r="D29" i="27"/>
  <c r="F29" i="27" s="1"/>
  <c r="D28" i="27"/>
  <c r="F28" i="27" s="1"/>
  <c r="K27" i="27"/>
  <c r="D27" i="27"/>
  <c r="J27" i="27" s="1"/>
  <c r="K26" i="27"/>
  <c r="D26" i="27"/>
  <c r="F26" i="27" s="1"/>
  <c r="K25" i="27"/>
  <c r="D25" i="27"/>
  <c r="H25" i="27" s="1"/>
  <c r="K24" i="27"/>
  <c r="D24" i="27"/>
  <c r="J24" i="27" s="1"/>
  <c r="K23" i="27"/>
  <c r="D23" i="27"/>
  <c r="H23" i="27" s="1"/>
  <c r="K22" i="27"/>
  <c r="D22" i="27"/>
  <c r="F22" i="27" s="1"/>
  <c r="K21" i="27"/>
  <c r="D21" i="27"/>
  <c r="H21" i="27" s="1"/>
  <c r="K20" i="27"/>
  <c r="D20" i="27"/>
  <c r="J20" i="27" s="1"/>
  <c r="K19" i="27"/>
  <c r="D19" i="27"/>
  <c r="H19" i="27" s="1"/>
  <c r="K18" i="27"/>
  <c r="D18" i="27"/>
  <c r="K17" i="27"/>
  <c r="D17" i="27"/>
  <c r="H17" i="27" s="1"/>
  <c r="K16" i="27"/>
  <c r="D16" i="27"/>
  <c r="J16" i="27" s="1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34" i="27" l="1"/>
  <c r="K33" i="27"/>
  <c r="K34" i="17"/>
  <c r="K33" i="17"/>
  <c r="G34" i="31"/>
  <c r="G33" i="31"/>
  <c r="J34" i="31"/>
  <c r="J33" i="31"/>
  <c r="G33" i="20"/>
  <c r="G31" i="20"/>
  <c r="G27" i="20"/>
  <c r="G23" i="20"/>
  <c r="G29" i="20"/>
  <c r="G25" i="20"/>
  <c r="G32" i="20"/>
  <c r="G36" i="20"/>
  <c r="G24" i="20"/>
  <c r="G34" i="20"/>
  <c r="G30" i="20"/>
  <c r="G26" i="20"/>
  <c r="G22" i="20"/>
  <c r="G35" i="20"/>
  <c r="G28" i="20"/>
  <c r="J17" i="27"/>
  <c r="F21" i="27"/>
  <c r="J21" i="27"/>
  <c r="D48" i="10"/>
  <c r="J28" i="27"/>
  <c r="H20" i="27"/>
  <c r="H27" i="27"/>
  <c r="H28" i="27"/>
  <c r="F30" i="27"/>
  <c r="H31" i="27"/>
  <c r="F19" i="27"/>
  <c r="F25" i="27"/>
  <c r="J19" i="27"/>
  <c r="F23" i="27"/>
  <c r="H24" i="27"/>
  <c r="J25" i="27"/>
  <c r="J30" i="27"/>
  <c r="K36" i="27"/>
  <c r="H18" i="27"/>
  <c r="H26" i="27"/>
  <c r="H29" i="27"/>
  <c r="K35" i="27"/>
  <c r="F16" i="27"/>
  <c r="J18" i="27"/>
  <c r="F20" i="27"/>
  <c r="J22" i="27"/>
  <c r="F24" i="27"/>
  <c r="J26" i="27"/>
  <c r="F27" i="27"/>
  <c r="J29" i="27"/>
  <c r="F31" i="27"/>
  <c r="H16" i="27"/>
  <c r="K35" i="17"/>
  <c r="K36" i="17"/>
  <c r="J34" i="27" l="1"/>
  <c r="J33" i="27"/>
  <c r="H34" i="27"/>
  <c r="H33" i="27"/>
  <c r="F34" i="27"/>
  <c r="F33" i="27"/>
  <c r="J36" i="27"/>
  <c r="J35" i="27"/>
  <c r="F36" i="27"/>
  <c r="F35" i="27"/>
  <c r="H36" i="27"/>
  <c r="H35" i="27"/>
  <c r="I36" i="17" l="1"/>
  <c r="I35" i="17"/>
  <c r="I25" i="12" l="1"/>
  <c r="C26" i="5"/>
  <c r="I26" i="5" s="1"/>
  <c r="L26" i="5" s="1"/>
  <c r="M26" i="5" s="1"/>
  <c r="D25" i="17"/>
  <c r="D31" i="29"/>
  <c r="F31" i="29" s="1"/>
  <c r="E56" i="3"/>
  <c r="H56" i="3" s="1"/>
  <c r="J56" i="3" s="1"/>
  <c r="F29" i="11"/>
  <c r="H29" i="11" s="1"/>
  <c r="D25" i="12"/>
  <c r="F25" i="12" s="1"/>
  <c r="G25" i="12" s="1"/>
  <c r="A56" i="3"/>
  <c r="E26" i="5" l="1"/>
  <c r="F26" i="5" s="1"/>
  <c r="H25" i="17"/>
  <c r="J25" i="17"/>
  <c r="J25" i="12"/>
  <c r="L25" i="12" s="1"/>
  <c r="M25" i="12" s="1"/>
  <c r="F25" i="17"/>
  <c r="J29" i="11"/>
  <c r="I29" i="11"/>
  <c r="F26" i="19" l="1"/>
  <c r="I56" i="3"/>
  <c r="K29" i="11"/>
  <c r="L29" i="11" s="1"/>
  <c r="J26" i="19" l="1"/>
  <c r="D30" i="20"/>
  <c r="H30" i="20" s="1"/>
  <c r="I26" i="19"/>
  <c r="G21" i="20"/>
  <c r="H36" i="19"/>
  <c r="G36" i="19"/>
  <c r="H35" i="19"/>
  <c r="G35" i="19"/>
  <c r="D17" i="19"/>
  <c r="G36" i="17"/>
  <c r="G35" i="17"/>
  <c r="D31" i="17"/>
  <c r="J31" i="17" s="1"/>
  <c r="D30" i="17"/>
  <c r="J30" i="17" s="1"/>
  <c r="D29" i="17"/>
  <c r="J29" i="17" s="1"/>
  <c r="D28" i="17"/>
  <c r="J28" i="17" s="1"/>
  <c r="D27" i="17"/>
  <c r="J27" i="17" s="1"/>
  <c r="D26" i="17"/>
  <c r="J26" i="17" s="1"/>
  <c r="D24" i="17"/>
  <c r="J24" i="17" s="1"/>
  <c r="D23" i="17"/>
  <c r="J23" i="17" s="1"/>
  <c r="D22" i="17"/>
  <c r="J22" i="17" s="1"/>
  <c r="D21" i="17"/>
  <c r="J21" i="17" s="1"/>
  <c r="D20" i="17"/>
  <c r="J20" i="17" s="1"/>
  <c r="D19" i="17"/>
  <c r="J19" i="17" s="1"/>
  <c r="D18" i="17"/>
  <c r="J18" i="17" s="1"/>
  <c r="D17" i="17"/>
  <c r="D16" i="17"/>
  <c r="J16" i="17" s="1"/>
  <c r="E36" i="17"/>
  <c r="E35" i="17"/>
  <c r="H37" i="14"/>
  <c r="I35" i="8"/>
  <c r="I34" i="8"/>
  <c r="F35" i="11"/>
  <c r="H35" i="11" s="1"/>
  <c r="F34" i="11"/>
  <c r="H34" i="11" s="1"/>
  <c r="F33" i="11"/>
  <c r="H33" i="11" s="1"/>
  <c r="F32" i="11"/>
  <c r="H32" i="11" s="1"/>
  <c r="F31" i="11"/>
  <c r="H31" i="11" s="1"/>
  <c r="F30" i="11"/>
  <c r="H30" i="11" s="1"/>
  <c r="F28" i="11"/>
  <c r="H28" i="11" s="1"/>
  <c r="F27" i="11"/>
  <c r="H27" i="11" s="1"/>
  <c r="F26" i="11"/>
  <c r="H26" i="11" s="1"/>
  <c r="F25" i="11"/>
  <c r="H25" i="11" s="1"/>
  <c r="F24" i="11"/>
  <c r="H24" i="11" s="1"/>
  <c r="H23" i="11"/>
  <c r="F22" i="11"/>
  <c r="H22" i="11" s="1"/>
  <c r="F21" i="11"/>
  <c r="H21" i="11" s="1"/>
  <c r="F20" i="11"/>
  <c r="H20" i="11" s="1"/>
  <c r="E30" i="8"/>
  <c r="E29" i="8"/>
  <c r="E28" i="8"/>
  <c r="E27" i="8"/>
  <c r="E26" i="8"/>
  <c r="E25" i="8"/>
  <c r="E23" i="8"/>
  <c r="E22" i="8"/>
  <c r="E21" i="8"/>
  <c r="E20" i="8"/>
  <c r="E19" i="8"/>
  <c r="E18" i="8"/>
  <c r="E17" i="8"/>
  <c r="E16" i="8"/>
  <c r="E15" i="8"/>
  <c r="C32" i="5"/>
  <c r="I32" i="5" s="1"/>
  <c r="L32" i="5" s="1"/>
  <c r="C31" i="5"/>
  <c r="I31" i="5" s="1"/>
  <c r="L31" i="5" s="1"/>
  <c r="C30" i="5"/>
  <c r="I30" i="5" s="1"/>
  <c r="L30" i="5" s="1"/>
  <c r="C29" i="5"/>
  <c r="I29" i="5" s="1"/>
  <c r="L29" i="5" s="1"/>
  <c r="C28" i="5"/>
  <c r="I28" i="5" s="1"/>
  <c r="L28" i="5" s="1"/>
  <c r="C27" i="5"/>
  <c r="I27" i="5" s="1"/>
  <c r="L27" i="5" s="1"/>
  <c r="C25" i="5"/>
  <c r="I25" i="5" s="1"/>
  <c r="L25" i="5" s="1"/>
  <c r="C24" i="5"/>
  <c r="I24" i="5" s="1"/>
  <c r="L24" i="5" s="1"/>
  <c r="C23" i="5"/>
  <c r="I23" i="5" s="1"/>
  <c r="L23" i="5" s="1"/>
  <c r="C22" i="5"/>
  <c r="I22" i="5" s="1"/>
  <c r="L22" i="5" s="1"/>
  <c r="C21" i="5"/>
  <c r="I21" i="5" s="1"/>
  <c r="L21" i="5" s="1"/>
  <c r="C20" i="5"/>
  <c r="I20" i="5" s="1"/>
  <c r="L20" i="5" s="1"/>
  <c r="C19" i="5"/>
  <c r="I19" i="5" s="1"/>
  <c r="L19" i="5" s="1"/>
  <c r="C18" i="5"/>
  <c r="I18" i="5" s="1"/>
  <c r="L18" i="5" s="1"/>
  <c r="C17" i="5"/>
  <c r="I17" i="5" s="1"/>
  <c r="L17" i="5" s="1"/>
  <c r="J42" i="12"/>
  <c r="D23" i="10" s="1"/>
  <c r="I42" i="12"/>
  <c r="H41" i="5"/>
  <c r="D56" i="10" s="1"/>
  <c r="K36" i="12"/>
  <c r="E36" i="12"/>
  <c r="K35" i="12"/>
  <c r="E35" i="12"/>
  <c r="D31" i="12"/>
  <c r="J31" i="12" s="1"/>
  <c r="D30" i="12"/>
  <c r="J30" i="12" s="1"/>
  <c r="D29" i="12"/>
  <c r="J29" i="12" s="1"/>
  <c r="D28" i="12"/>
  <c r="D27" i="12"/>
  <c r="F27" i="12" s="1"/>
  <c r="G27" i="12" s="1"/>
  <c r="D26" i="12"/>
  <c r="J26" i="12" s="1"/>
  <c r="D24" i="12"/>
  <c r="D23" i="12"/>
  <c r="F23" i="12" s="1"/>
  <c r="G23" i="12" s="1"/>
  <c r="D22" i="12"/>
  <c r="F22" i="12" s="1"/>
  <c r="G22" i="12" s="1"/>
  <c r="D21" i="12"/>
  <c r="J21" i="12" s="1"/>
  <c r="D20" i="12"/>
  <c r="D19" i="12"/>
  <c r="F19" i="12" s="1"/>
  <c r="G19" i="12" s="1"/>
  <c r="D18" i="12"/>
  <c r="F18" i="12" s="1"/>
  <c r="G18" i="12" s="1"/>
  <c r="D17" i="12"/>
  <c r="J17" i="12" s="1"/>
  <c r="D16" i="12"/>
  <c r="J16" i="12" s="1"/>
  <c r="L34" i="5" l="1"/>
  <c r="L35" i="5"/>
  <c r="J17" i="17"/>
  <c r="J34" i="17" s="1"/>
  <c r="F17" i="17"/>
  <c r="J33" i="17"/>
  <c r="J36" i="17"/>
  <c r="J35" i="17"/>
  <c r="J18" i="12"/>
  <c r="L21" i="12"/>
  <c r="M21" i="12" s="1"/>
  <c r="L26" i="12"/>
  <c r="M26" i="12" s="1"/>
  <c r="L29" i="12"/>
  <c r="M29" i="12" s="1"/>
  <c r="L30" i="12"/>
  <c r="M30" i="12" s="1"/>
  <c r="L16" i="12"/>
  <c r="H17" i="17"/>
  <c r="H26" i="17"/>
  <c r="F26" i="17"/>
  <c r="H29" i="17"/>
  <c r="F29" i="17"/>
  <c r="H19" i="17"/>
  <c r="F19" i="17"/>
  <c r="H23" i="17"/>
  <c r="F23" i="17"/>
  <c r="H27" i="17"/>
  <c r="F27" i="17"/>
  <c r="H31" i="17"/>
  <c r="F31" i="17"/>
  <c r="J22" i="12"/>
  <c r="H21" i="17"/>
  <c r="F21" i="17"/>
  <c r="H18" i="17"/>
  <c r="F18" i="17"/>
  <c r="H22" i="17"/>
  <c r="F22" i="17"/>
  <c r="H30" i="17"/>
  <c r="F30" i="17"/>
  <c r="L31" i="12"/>
  <c r="M31" i="12" s="1"/>
  <c r="H16" i="17"/>
  <c r="F16" i="17"/>
  <c r="H20" i="17"/>
  <c r="H24" i="17"/>
  <c r="F24" i="17"/>
  <c r="H28" i="17"/>
  <c r="F28" i="17"/>
  <c r="J19" i="12"/>
  <c r="J23" i="12"/>
  <c r="J27" i="12"/>
  <c r="L17" i="12"/>
  <c r="M17" i="12" s="1"/>
  <c r="J20" i="12"/>
  <c r="J24" i="12"/>
  <c r="J28" i="12"/>
  <c r="F16" i="12"/>
  <c r="F24" i="12"/>
  <c r="G24" i="12" s="1"/>
  <c r="F20" i="12"/>
  <c r="G20" i="12" s="1"/>
  <c r="F28" i="12"/>
  <c r="G28" i="12" s="1"/>
  <c r="F31" i="12"/>
  <c r="G31" i="12" s="1"/>
  <c r="F21" i="12"/>
  <c r="G21" i="12" s="1"/>
  <c r="F30" i="12"/>
  <c r="G30" i="12" s="1"/>
  <c r="F17" i="12"/>
  <c r="G17" i="12" s="1"/>
  <c r="F26" i="12"/>
  <c r="G26" i="12" s="1"/>
  <c r="F29" i="12"/>
  <c r="G29" i="12" s="1"/>
  <c r="F33" i="17" l="1"/>
  <c r="F34" i="17"/>
  <c r="G16" i="12"/>
  <c r="F34" i="12"/>
  <c r="F33" i="12"/>
  <c r="H33" i="17"/>
  <c r="H34" i="17"/>
  <c r="F27" i="19"/>
  <c r="F19" i="19"/>
  <c r="I19" i="19" s="1"/>
  <c r="F20" i="19"/>
  <c r="D24" i="20" s="1"/>
  <c r="H24" i="20" s="1"/>
  <c r="F21" i="19"/>
  <c r="F22" i="19"/>
  <c r="F23" i="19"/>
  <c r="D27" i="20" s="1"/>
  <c r="H27" i="20" s="1"/>
  <c r="F24" i="19"/>
  <c r="I24" i="19" s="1"/>
  <c r="F25" i="19"/>
  <c r="F28" i="19"/>
  <c r="F29" i="19"/>
  <c r="F31" i="19"/>
  <c r="J31" i="19" s="1"/>
  <c r="F32" i="19"/>
  <c r="D36" i="20" s="1"/>
  <c r="H36" i="20" s="1"/>
  <c r="F30" i="19"/>
  <c r="D34" i="20" s="1"/>
  <c r="H34" i="20" s="1"/>
  <c r="F18" i="19"/>
  <c r="L18" i="12"/>
  <c r="M18" i="12" s="1"/>
  <c r="L28" i="12"/>
  <c r="M28" i="12" s="1"/>
  <c r="L27" i="12"/>
  <c r="M27" i="12" s="1"/>
  <c r="L24" i="12"/>
  <c r="M24" i="12" s="1"/>
  <c r="L23" i="12"/>
  <c r="M23" i="12" s="1"/>
  <c r="F35" i="17"/>
  <c r="F36" i="17"/>
  <c r="L22" i="12"/>
  <c r="M22" i="12" s="1"/>
  <c r="L20" i="12"/>
  <c r="M20" i="12" s="1"/>
  <c r="L19" i="12"/>
  <c r="M19" i="12" s="1"/>
  <c r="F17" i="19"/>
  <c r="H35" i="17"/>
  <c r="H36" i="17"/>
  <c r="G35" i="12"/>
  <c r="F36" i="12"/>
  <c r="F35" i="12"/>
  <c r="M16" i="12"/>
  <c r="G36" i="12"/>
  <c r="D21" i="20" l="1"/>
  <c r="H21" i="20" s="1"/>
  <c r="F33" i="19"/>
  <c r="F34" i="19"/>
  <c r="L33" i="12"/>
  <c r="J20" i="19"/>
  <c r="I20" i="19"/>
  <c r="G34" i="12"/>
  <c r="G33" i="12"/>
  <c r="M34" i="12"/>
  <c r="M33" i="12"/>
  <c r="L34" i="12"/>
  <c r="J23" i="19"/>
  <c r="I32" i="19"/>
  <c r="J32" i="19"/>
  <c r="I31" i="19"/>
  <c r="D35" i="20"/>
  <c r="H35" i="20" s="1"/>
  <c r="J28" i="19"/>
  <c r="D32" i="20"/>
  <c r="H32" i="20" s="1"/>
  <c r="J24" i="19"/>
  <c r="D28" i="20"/>
  <c r="H28" i="20" s="1"/>
  <c r="J22" i="19"/>
  <c r="D26" i="20"/>
  <c r="H26" i="20" s="1"/>
  <c r="J27" i="19"/>
  <c r="D31" i="20"/>
  <c r="H31" i="20" s="1"/>
  <c r="J18" i="19"/>
  <c r="D22" i="20"/>
  <c r="H22" i="20" s="1"/>
  <c r="I29" i="19"/>
  <c r="D33" i="20"/>
  <c r="H33" i="20" s="1"/>
  <c r="J25" i="19"/>
  <c r="D29" i="20"/>
  <c r="H29" i="20" s="1"/>
  <c r="J21" i="19"/>
  <c r="D25" i="20"/>
  <c r="H25" i="20" s="1"/>
  <c r="J19" i="19"/>
  <c r="D23" i="20"/>
  <c r="H23" i="20" s="1"/>
  <c r="I23" i="19"/>
  <c r="J29" i="19"/>
  <c r="I21" i="19"/>
  <c r="I25" i="19"/>
  <c r="I27" i="19"/>
  <c r="I22" i="19"/>
  <c r="I28" i="19"/>
  <c r="I18" i="19"/>
  <c r="J30" i="19"/>
  <c r="I30" i="19"/>
  <c r="L36" i="12"/>
  <c r="L35" i="12"/>
  <c r="J17" i="19"/>
  <c r="F36" i="19"/>
  <c r="F35" i="19"/>
  <c r="I17" i="19"/>
  <c r="M36" i="12"/>
  <c r="M35" i="12"/>
  <c r="I34" i="19" l="1"/>
  <c r="I33" i="19"/>
  <c r="J34" i="19"/>
  <c r="J33" i="19"/>
  <c r="H38" i="20"/>
  <c r="H37" i="20"/>
  <c r="H40" i="20"/>
  <c r="H39" i="20"/>
  <c r="J36" i="19"/>
  <c r="J35" i="19"/>
  <c r="I36" i="19"/>
  <c r="I35" i="19"/>
  <c r="J37" i="5"/>
  <c r="J36" i="5"/>
  <c r="J35" i="11"/>
  <c r="J34" i="11"/>
  <c r="J33" i="11"/>
  <c r="J32" i="11"/>
  <c r="J31" i="11"/>
  <c r="J30" i="11"/>
  <c r="J28" i="11"/>
  <c r="J27" i="11"/>
  <c r="J26" i="11"/>
  <c r="J25" i="11"/>
  <c r="J24" i="11"/>
  <c r="J23" i="11"/>
  <c r="J22" i="11"/>
  <c r="J21" i="11"/>
  <c r="J20" i="11"/>
  <c r="K20" i="11" s="1"/>
  <c r="I35" i="11"/>
  <c r="I34" i="11"/>
  <c r="I33" i="11"/>
  <c r="I32" i="11"/>
  <c r="I31" i="11"/>
  <c r="I30" i="11"/>
  <c r="I28" i="11"/>
  <c r="I27" i="11"/>
  <c r="I26" i="11"/>
  <c r="I25" i="11"/>
  <c r="I24" i="11"/>
  <c r="I23" i="11"/>
  <c r="K23" i="11" s="1"/>
  <c r="L23" i="11" s="1"/>
  <c r="I22" i="11"/>
  <c r="I21" i="11"/>
  <c r="F56" i="10"/>
  <c r="C58" i="10"/>
  <c r="C56" i="10"/>
  <c r="F58" i="10"/>
  <c r="F25" i="10"/>
  <c r="C25" i="10"/>
  <c r="F23" i="10"/>
  <c r="C23" i="10"/>
  <c r="E61" i="3"/>
  <c r="K31" i="11" l="1"/>
  <c r="L31" i="11" s="1"/>
  <c r="K22" i="11"/>
  <c r="L22" i="11" s="1"/>
  <c r="K21" i="11"/>
  <c r="L21" i="11" s="1"/>
  <c r="K34" i="11"/>
  <c r="L34" i="11" s="1"/>
  <c r="L20" i="11"/>
  <c r="K28" i="11"/>
  <c r="L28" i="11" s="1"/>
  <c r="K27" i="11"/>
  <c r="L27" i="11" s="1"/>
  <c r="K26" i="11"/>
  <c r="L26" i="11" s="1"/>
  <c r="K25" i="11"/>
  <c r="L25" i="11" s="1"/>
  <c r="K24" i="11"/>
  <c r="L24" i="11" s="1"/>
  <c r="K35" i="11"/>
  <c r="L35" i="11" s="1"/>
  <c r="K33" i="11"/>
  <c r="L33" i="11" s="1"/>
  <c r="K32" i="11"/>
  <c r="L32" i="11" s="1"/>
  <c r="K30" i="11"/>
  <c r="L30" i="11" s="1"/>
  <c r="G25" i="10"/>
  <c r="C27" i="10"/>
  <c r="C60" i="10"/>
  <c r="G23" i="10"/>
  <c r="G56" i="10"/>
  <c r="G58" i="10"/>
  <c r="E63" i="29"/>
  <c r="E62" i="29"/>
  <c r="E61" i="29"/>
  <c r="E59" i="29"/>
  <c r="D55" i="3"/>
  <c r="E56" i="29"/>
  <c r="E55" i="29"/>
  <c r="E54" i="29"/>
  <c r="E53" i="29"/>
  <c r="E52" i="29"/>
  <c r="E51" i="29"/>
  <c r="E50" i="29"/>
  <c r="L38" i="11" l="1"/>
  <c r="L37" i="11"/>
  <c r="E25" i="19"/>
  <c r="D60" i="29"/>
  <c r="F60" i="29" s="1"/>
  <c r="D64" i="29"/>
  <c r="E64" i="29"/>
  <c r="E57" i="29"/>
  <c r="F57" i="29" s="1"/>
  <c r="D56" i="29"/>
  <c r="D51" i="29"/>
  <c r="D54" i="29"/>
  <c r="D49" i="29"/>
  <c r="D52" i="29"/>
  <c r="D59" i="29"/>
  <c r="D62" i="29"/>
  <c r="D50" i="29"/>
  <c r="D53" i="29"/>
  <c r="D55" i="29"/>
  <c r="L39" i="11"/>
  <c r="L40" i="11"/>
  <c r="G27" i="10"/>
  <c r="G60" i="10"/>
  <c r="M18" i="5"/>
  <c r="M19" i="5"/>
  <c r="M20" i="5"/>
  <c r="M21" i="5"/>
  <c r="M22" i="5"/>
  <c r="M23" i="5"/>
  <c r="M24" i="5"/>
  <c r="M25" i="5"/>
  <c r="M27" i="5"/>
  <c r="M28" i="5"/>
  <c r="M29" i="5"/>
  <c r="M30" i="5"/>
  <c r="M31" i="5"/>
  <c r="M32" i="5"/>
  <c r="D61" i="29" l="1"/>
  <c r="F61" i="29" s="1"/>
  <c r="F64" i="29"/>
  <c r="D63" i="29"/>
  <c r="F63" i="29" s="1"/>
  <c r="F53" i="29"/>
  <c r="F62" i="29"/>
  <c r="F52" i="29"/>
  <c r="F54" i="29"/>
  <c r="F56" i="29"/>
  <c r="F55" i="29"/>
  <c r="F50" i="29"/>
  <c r="F59" i="29"/>
  <c r="F49" i="29"/>
  <c r="F51" i="29"/>
  <c r="M17" i="5"/>
  <c r="L36" i="5"/>
  <c r="L37" i="5"/>
  <c r="D61" i="3"/>
  <c r="E31" i="19" l="1"/>
  <c r="H61" i="3"/>
  <c r="J61" i="3" s="1"/>
  <c r="M35" i="5"/>
  <c r="M34" i="5"/>
  <c r="F65" i="29"/>
  <c r="D73" i="29" s="1"/>
  <c r="M37" i="5"/>
  <c r="M36" i="5"/>
  <c r="E51" i="3"/>
  <c r="F34" i="3" l="1"/>
  <c r="E17" i="5" l="1"/>
  <c r="E49" i="3" l="1"/>
  <c r="A62" i="3" l="1"/>
  <c r="A61" i="3"/>
  <c r="A60" i="3"/>
  <c r="A59" i="3"/>
  <c r="A58" i="3"/>
  <c r="A57" i="3"/>
  <c r="A55" i="3"/>
  <c r="A54" i="3"/>
  <c r="A53" i="3"/>
  <c r="A52" i="3"/>
  <c r="A51" i="3"/>
  <c r="A50" i="3"/>
  <c r="A49" i="3"/>
  <c r="A48" i="3"/>
  <c r="D37" i="29"/>
  <c r="F37" i="29" s="1"/>
  <c r="D36" i="29"/>
  <c r="F36" i="29" s="1"/>
  <c r="D35" i="29"/>
  <c r="F35" i="29" s="1"/>
  <c r="D34" i="29"/>
  <c r="F34" i="29" s="1"/>
  <c r="D33" i="29"/>
  <c r="F33" i="29" s="1"/>
  <c r="D32" i="29"/>
  <c r="F32" i="29" s="1"/>
  <c r="D30" i="29"/>
  <c r="F30" i="29" s="1"/>
  <c r="D29" i="29"/>
  <c r="F29" i="29" s="1"/>
  <c r="D53" i="3"/>
  <c r="D52" i="3"/>
  <c r="D51" i="3"/>
  <c r="H51" i="3" s="1"/>
  <c r="J51" i="3" s="1"/>
  <c r="D50" i="3"/>
  <c r="D49" i="3"/>
  <c r="H49" i="3" s="1"/>
  <c r="J49" i="3" s="1"/>
  <c r="D48" i="3"/>
  <c r="D28" i="29" l="1"/>
  <c r="F28" i="29" s="1"/>
  <c r="E23" i="19"/>
  <c r="D27" i="29"/>
  <c r="F27" i="29" s="1"/>
  <c r="E22" i="19"/>
  <c r="D24" i="29"/>
  <c r="F24" i="29" s="1"/>
  <c r="E19" i="19"/>
  <c r="D25" i="29"/>
  <c r="F25" i="29" s="1"/>
  <c r="E20" i="19"/>
  <c r="D26" i="29"/>
  <c r="F26" i="29" s="1"/>
  <c r="E21" i="19"/>
  <c r="D23" i="29"/>
  <c r="F23" i="29" s="1"/>
  <c r="E18" i="19"/>
  <c r="F36" i="3"/>
  <c r="I62" i="3" l="1"/>
  <c r="F22" i="3" l="1"/>
  <c r="F23" i="3"/>
  <c r="F24" i="3"/>
  <c r="F25" i="3"/>
  <c r="F26" i="3"/>
  <c r="F27" i="3"/>
  <c r="F28" i="3"/>
  <c r="F29" i="3"/>
  <c r="F30" i="3"/>
  <c r="F32" i="3"/>
  <c r="F33" i="3"/>
  <c r="F35" i="3"/>
  <c r="F37" i="3"/>
  <c r="C23" i="7" l="1"/>
  <c r="C72" i="29" s="1"/>
  <c r="C25" i="7"/>
  <c r="C73" i="29" s="1"/>
  <c r="E73" i="29" s="1"/>
  <c r="D25" i="7" l="1"/>
  <c r="J34" i="8" l="1"/>
  <c r="J35" i="8" l="1"/>
  <c r="E60" i="3" l="1"/>
  <c r="H60" i="3" s="1"/>
  <c r="J60" i="3" s="1"/>
  <c r="E59" i="3"/>
  <c r="H59" i="3" s="1"/>
  <c r="E58" i="3"/>
  <c r="H58" i="3" s="1"/>
  <c r="J58" i="3" s="1"/>
  <c r="E57" i="3"/>
  <c r="H57" i="3" s="1"/>
  <c r="J57" i="3" s="1"/>
  <c r="E55" i="3"/>
  <c r="H55" i="3" s="1"/>
  <c r="J55" i="3" s="1"/>
  <c r="E54" i="3"/>
  <c r="H54" i="3" s="1"/>
  <c r="J54" i="3" s="1"/>
  <c r="E53" i="3"/>
  <c r="H53" i="3" s="1"/>
  <c r="J53" i="3" s="1"/>
  <c r="E52" i="3"/>
  <c r="H52" i="3" s="1"/>
  <c r="J52" i="3" s="1"/>
  <c r="E50" i="3"/>
  <c r="H50" i="3" s="1"/>
  <c r="J50" i="3" s="1"/>
  <c r="D22" i="29" l="1"/>
  <c r="F22" i="29" s="1"/>
  <c r="F38" i="29" s="1"/>
  <c r="D72" i="29" s="1"/>
  <c r="E17" i="19"/>
  <c r="I58" i="3"/>
  <c r="I60" i="3"/>
  <c r="I57" i="3"/>
  <c r="I61" i="3"/>
  <c r="I52" i="3"/>
  <c r="I51" i="3"/>
  <c r="I53" i="3"/>
  <c r="I55" i="3"/>
  <c r="E27" i="5"/>
  <c r="F27" i="5" s="1"/>
  <c r="E72" i="29" l="1"/>
  <c r="E74" i="29" s="1"/>
  <c r="I54" i="3"/>
  <c r="I50" i="3"/>
  <c r="E31" i="5"/>
  <c r="F31" i="5" s="1"/>
  <c r="E30" i="5"/>
  <c r="F30" i="5" s="1"/>
  <c r="E25" i="5"/>
  <c r="F25" i="5" s="1"/>
  <c r="E24" i="5"/>
  <c r="F24" i="5" s="1"/>
  <c r="D37" i="5" l="1"/>
  <c r="D36" i="5"/>
  <c r="E48" i="3" l="1"/>
  <c r="J48" i="3" s="1"/>
  <c r="E47" i="3"/>
  <c r="H47" i="3" s="1"/>
  <c r="J47" i="3" s="1"/>
  <c r="J64" i="3" l="1"/>
  <c r="J63" i="3"/>
  <c r="I48" i="3"/>
  <c r="I49" i="3"/>
  <c r="I47" i="3" l="1"/>
  <c r="J66" i="3"/>
  <c r="I65" i="3" l="1"/>
  <c r="I64" i="3"/>
  <c r="I63" i="3"/>
  <c r="B53" i="3"/>
  <c r="B52" i="3"/>
  <c r="B51" i="3"/>
  <c r="B50" i="3"/>
  <c r="B49" i="3"/>
  <c r="B48" i="3"/>
  <c r="C53" i="3"/>
  <c r="C52" i="3"/>
  <c r="C51" i="3"/>
  <c r="C50" i="3"/>
  <c r="C49" i="3"/>
  <c r="C48" i="3"/>
  <c r="C47" i="3"/>
  <c r="B47" i="3" l="1"/>
  <c r="A47" i="3"/>
  <c r="E32" i="5"/>
  <c r="F32" i="5" s="1"/>
  <c r="E29" i="5"/>
  <c r="F29" i="5" s="1"/>
  <c r="E28" i="5"/>
  <c r="F28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l="1"/>
  <c r="E35" i="5"/>
  <c r="E34" i="5"/>
  <c r="E36" i="5"/>
  <c r="J65" i="3"/>
  <c r="E37" i="5"/>
  <c r="I66" i="3"/>
  <c r="F17" i="5"/>
  <c r="F36" i="5" l="1"/>
  <c r="F35" i="5"/>
  <c r="F34" i="5"/>
  <c r="F23" i="7"/>
  <c r="G23" i="7" s="1"/>
  <c r="F37" i="5"/>
  <c r="C27" i="7"/>
  <c r="F25" i="7"/>
  <c r="G25" i="7" s="1"/>
  <c r="G2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rev4175</author>
    <author>rev4440</author>
    <author>rev4279</author>
    <author>Baker, Mike A (DOR)</author>
    <author>rev3569</author>
    <author>rev3857</author>
    <author>REVT221</author>
  </authors>
  <commentList>
    <comment ref="G22" authorId="0" shapeId="0" xr:uid="{5E1A763A-9109-4937-9FD0-F61B960B8F42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22" authorId="1" shapeId="0" xr:uid="{00000000-0006-0000-0200-000001000000}">
      <text>
        <r>
          <rPr>
            <sz val="9"/>
            <color indexed="81"/>
            <rFont val="Tahoma"/>
            <family val="2"/>
          </rPr>
          <t>10k pg 76</t>
        </r>
      </text>
    </comment>
    <comment ref="J22" authorId="1" shapeId="0" xr:uid="{8927306F-5110-443E-923C-4BC46E6559CF}">
      <text>
        <r>
          <rPr>
            <sz val="9"/>
            <color indexed="81"/>
            <rFont val="Tahoma"/>
            <family val="2"/>
          </rPr>
          <t>10k pg 76</t>
        </r>
      </text>
    </comment>
    <comment ref="G23" authorId="0" shapeId="0" xr:uid="{1A6D8288-8709-400D-9D1B-990576FDD9EA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23" authorId="1" shapeId="0" xr:uid="{00000000-0006-0000-0200-000003000000}">
      <text>
        <r>
          <rPr>
            <sz val="9"/>
            <color indexed="81"/>
            <rFont val="Tahoma"/>
            <family val="2"/>
          </rPr>
          <t>Page 53 of PDF, 10-K</t>
        </r>
      </text>
    </comment>
    <comment ref="J23" authorId="1" shapeId="0" xr:uid="{00000000-0006-0000-0200-000005000000}">
      <text>
        <r>
          <rPr>
            <sz val="9"/>
            <color indexed="81"/>
            <rFont val="Tahoma"/>
            <family val="2"/>
          </rPr>
          <t>Page 83 of PDF, 10-K</t>
        </r>
      </text>
    </comment>
    <comment ref="G24" authorId="0" shapeId="0" xr:uid="{C71C9FF9-A2A6-46DF-BE3B-88AB76A76979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24" authorId="1" shapeId="0" xr:uid="{00000000-0006-0000-0200-000006000000}">
      <text>
        <r>
          <rPr>
            <sz val="9"/>
            <color indexed="81"/>
            <rFont val="Tahoma"/>
            <family val="2"/>
          </rPr>
          <t>10K PG 93</t>
        </r>
      </text>
    </comment>
    <comment ref="J24" authorId="1" shapeId="0" xr:uid="{00000000-0006-0000-0200-000007000000}">
      <text>
        <r>
          <rPr>
            <sz val="9"/>
            <color indexed="81"/>
            <rFont val="Tahoma"/>
            <family val="2"/>
          </rPr>
          <t>10K PG 93</t>
        </r>
      </text>
    </comment>
    <comment ref="G25" authorId="0" shapeId="0" xr:uid="{3B3C61C2-38DA-4E13-9F24-9AFCFAB53AEC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25" authorId="1" shapeId="0" xr:uid="{00000000-0006-0000-0200-000008000000}">
      <text>
        <r>
          <rPr>
            <sz val="9"/>
            <color indexed="81"/>
            <rFont val="Tahoma"/>
            <family val="2"/>
          </rPr>
          <t>10K PG  108 PDF less treasury</t>
        </r>
      </text>
    </comment>
    <comment ref="I25" authorId="2" shapeId="0" xr:uid="{B8B6E75B-8C72-4657-A6A7-96A7EC45F5D7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108 PDF CONTINGENTLY REDEEMABLE PERFORMANCE SHARE AWARDS</t>
        </r>
      </text>
    </comment>
    <comment ref="J25" authorId="1" shapeId="0" xr:uid="{00000000-0006-0000-0200-000009000000}">
      <text>
        <r>
          <rPr>
            <sz val="9"/>
            <color indexed="81"/>
            <rFont val="Tahoma"/>
            <family val="2"/>
          </rPr>
          <t xml:space="preserve">10K PG 108 &amp; 301 PDF </t>
        </r>
      </text>
    </comment>
    <comment ref="G26" authorId="0" shapeId="0" xr:uid="{FA06710A-388F-4E44-B4B9-82053279397C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26" authorId="1" shapeId="0" xr:uid="{00000000-0006-0000-0200-00000A000000}">
      <text>
        <r>
          <rPr>
            <sz val="9"/>
            <color indexed="81"/>
            <rFont val="Tahoma"/>
            <family val="2"/>
          </rPr>
          <t>10K PG 110 PDF</t>
        </r>
      </text>
    </comment>
    <comment ref="I26" authorId="1" shapeId="0" xr:uid="{AD57560F-D709-45FC-A98E-0D9C3A502E76}">
      <text>
        <r>
          <rPr>
            <sz val="9"/>
            <color indexed="81"/>
            <rFont val="Tahoma"/>
            <family val="2"/>
          </rPr>
          <t>10K PG 89</t>
        </r>
      </text>
    </comment>
    <comment ref="J26" authorId="1" shapeId="0" xr:uid="{CAFA30E3-04E3-4296-A91F-E5392A52F43D}">
      <text>
        <r>
          <rPr>
            <sz val="9"/>
            <color indexed="81"/>
            <rFont val="Tahoma"/>
            <family val="2"/>
          </rPr>
          <t>10K PG 110 PDF</t>
        </r>
      </text>
    </comment>
    <comment ref="G27" authorId="0" shapeId="0" xr:uid="{2EE4D18D-A768-4904-BC59-0C8A2598BBB0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27" authorId="1" shapeId="0" xr:uid="{00000000-0006-0000-0200-00000D000000}">
      <text>
        <r>
          <rPr>
            <sz val="9"/>
            <color indexed="81"/>
            <rFont val="Tahoma"/>
            <family val="2"/>
          </rPr>
          <t>10K PG 97</t>
        </r>
      </text>
    </comment>
    <comment ref="I27" authorId="1" shapeId="0" xr:uid="{8CC50AB1-7569-412A-BEE0-46FD20AF9703}">
      <text>
        <r>
          <rPr>
            <sz val="9"/>
            <color indexed="81"/>
            <rFont val="Tahoma"/>
            <family val="2"/>
          </rPr>
          <t>10K PG 97</t>
        </r>
      </text>
    </comment>
    <comment ref="J27" authorId="1" shapeId="0" xr:uid="{C5137C34-37AB-412F-93AB-F480DBBF5E75}">
      <text>
        <r>
          <rPr>
            <sz val="9"/>
            <color indexed="81"/>
            <rFont val="Tahoma"/>
            <family val="2"/>
          </rPr>
          <t>10K PG 97</t>
        </r>
      </text>
    </comment>
    <comment ref="G28" authorId="0" shapeId="0" xr:uid="{E10F98AD-C55B-441B-B448-690B00AEAF7F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28" authorId="1" shapeId="0" xr:uid="{00000000-0006-0000-0200-000010000000}">
      <text>
        <r>
          <rPr>
            <sz val="9"/>
            <color indexed="81"/>
            <rFont val="Tahoma"/>
            <family val="2"/>
          </rPr>
          <t>10K PG 62 PDF</t>
        </r>
      </text>
    </comment>
    <comment ref="J28" authorId="1" shapeId="0" xr:uid="{00000000-0006-0000-0200-000012000000}">
      <text>
        <r>
          <rPr>
            <sz val="9"/>
            <color indexed="81"/>
            <rFont val="Tahoma"/>
            <family val="2"/>
          </rPr>
          <t>Page 62 of PDF, 10-K</t>
        </r>
      </text>
    </comment>
    <comment ref="G29" authorId="0" shapeId="0" xr:uid="{B57A0493-28BA-4274-BDDB-3D8A7545EFF4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29" authorId="1" shapeId="0" xr:uid="{00000000-0006-0000-0200-000013000000}">
      <text>
        <r>
          <rPr>
            <sz val="9"/>
            <color indexed="81"/>
            <rFont val="Tahoma"/>
            <family val="2"/>
          </rPr>
          <t>10K PG 79 PDF</t>
        </r>
      </text>
    </comment>
    <comment ref="I29" authorId="1" shapeId="0" xr:uid="{FF7A5508-4533-4F4C-A761-F7455DFF776E}">
      <text>
        <r>
          <rPr>
            <sz val="9"/>
            <color indexed="81"/>
            <rFont val="Tahoma"/>
            <family val="2"/>
          </rPr>
          <t>10K PG 79 PDF</t>
        </r>
      </text>
    </comment>
    <comment ref="J29" authorId="1" shapeId="0" xr:uid="{00000000-0006-0000-0200-000015000000}">
      <text>
        <r>
          <rPr>
            <sz val="9"/>
            <color indexed="81"/>
            <rFont val="Tahoma"/>
            <family val="2"/>
          </rPr>
          <t>Page 77 of PDF, 10-K</t>
        </r>
      </text>
    </comment>
    <comment ref="G30" authorId="0" shapeId="0" xr:uid="{AA75352F-133A-49CE-9740-6D61705BE427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30" authorId="1" shapeId="0" xr:uid="{00000000-0006-0000-0200-000016000000}">
      <text>
        <r>
          <rPr>
            <sz val="9"/>
            <color indexed="81"/>
            <rFont val="Tahoma"/>
            <family val="2"/>
          </rPr>
          <t>10K PG 45/ Pg62  PDF</t>
        </r>
      </text>
    </comment>
    <comment ref="J30" authorId="1" shapeId="0" xr:uid="{60039166-AD35-481F-9FAB-CB1271822C38}">
      <text>
        <r>
          <rPr>
            <sz val="9"/>
            <color indexed="81"/>
            <rFont val="Tahoma"/>
            <family val="2"/>
          </rPr>
          <t>10K PG 45/ Pg62  PDF</t>
        </r>
      </text>
    </comment>
    <comment ref="G31" authorId="0" shapeId="0" xr:uid="{427C8107-C797-469B-9E70-FEA802766310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31" authorId="3" shapeId="0" xr:uid="{905F2E1B-5CF7-497E-9B76-34766AB716A3}">
      <text>
        <r>
          <rPr>
            <sz val="9"/>
            <color indexed="81"/>
            <rFont val="Tahoma"/>
            <family val="2"/>
          </rPr>
          <t xml:space="preserve">10K PG 78 PDF
</t>
        </r>
      </text>
    </comment>
    <comment ref="J31" authorId="3" shapeId="0" xr:uid="{FD7CA701-982A-441B-BCE9-EEE32ABA0F81}">
      <text>
        <r>
          <rPr>
            <sz val="9"/>
            <color indexed="81"/>
            <rFont val="Tahoma"/>
            <family val="2"/>
          </rPr>
          <t xml:space="preserve">10K PG 78 PDF
</t>
        </r>
      </text>
    </comment>
    <comment ref="G32" authorId="0" shapeId="0" xr:uid="{ED364936-DAA7-48FE-BBEA-EFADD8621191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32" authorId="1" shapeId="0" xr:uid="{00000000-0006-0000-0200-000019000000}">
      <text>
        <r>
          <rPr>
            <sz val="9"/>
            <color indexed="81"/>
            <rFont val="Tahoma"/>
            <family val="2"/>
          </rPr>
          <t>10K PG 102 PDF</t>
        </r>
      </text>
    </comment>
    <comment ref="J32" authorId="1" shapeId="0" xr:uid="{E77E7F90-87B2-4B4A-AC68-C1B6AAC246F8}">
      <text>
        <r>
          <rPr>
            <sz val="9"/>
            <color indexed="81"/>
            <rFont val="Tahoma"/>
            <family val="2"/>
          </rPr>
          <t>10K PG 102 PDF</t>
        </r>
      </text>
    </comment>
    <comment ref="G33" authorId="0" shapeId="0" xr:uid="{CB4E09A1-3365-42B8-BE71-77CA82286B1C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33" authorId="1" shapeId="0" xr:uid="{00000000-0006-0000-0200-00001D000000}">
      <text>
        <r>
          <rPr>
            <sz val="9"/>
            <color indexed="81"/>
            <rFont val="Tahoma"/>
            <family val="2"/>
          </rPr>
          <t>10K PG 54PDF</t>
        </r>
      </text>
    </comment>
    <comment ref="J33" authorId="1" shapeId="0" xr:uid="{00000000-0006-0000-0200-00001E000000}">
      <text>
        <r>
          <rPr>
            <sz val="9"/>
            <color indexed="81"/>
            <rFont val="Tahoma"/>
            <family val="2"/>
          </rPr>
          <t>Page 52 of PDF, 10-K</t>
        </r>
      </text>
    </comment>
    <comment ref="G34" authorId="0" shapeId="0" xr:uid="{895C9E0D-955F-4DBF-8F46-F03C3F15FB2C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34" authorId="1" shapeId="0" xr:uid="{00000000-0006-0000-0200-00001F000000}">
      <text>
        <r>
          <rPr>
            <sz val="9"/>
            <color indexed="81"/>
            <rFont val="Tahoma"/>
            <family val="2"/>
          </rPr>
          <t>10K PG 50</t>
        </r>
      </text>
    </comment>
    <comment ref="J34" authorId="1" shapeId="0" xr:uid="{00000000-0006-0000-0200-000020000000}">
      <text>
        <r>
          <rPr>
            <sz val="9"/>
            <color indexed="81"/>
            <rFont val="Tahoma"/>
            <family val="2"/>
          </rPr>
          <t>10K PG 50</t>
        </r>
      </text>
    </comment>
    <comment ref="G35" authorId="0" shapeId="0" xr:uid="{07B32BC3-0EA2-4D9E-A8B5-A6807EA8E163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35" authorId="1" shapeId="0" xr:uid="{00000000-0006-0000-0200-000021000000}">
      <text>
        <r>
          <rPr>
            <sz val="9"/>
            <color indexed="81"/>
            <rFont val="Tahoma"/>
            <family val="2"/>
          </rPr>
          <t xml:space="preserve">10K PG  90
</t>
        </r>
      </text>
    </comment>
    <comment ref="J35" authorId="1" shapeId="0" xr:uid="{00000000-0006-0000-0200-000022000000}">
      <text>
        <r>
          <rPr>
            <sz val="9"/>
            <color indexed="81"/>
            <rFont val="Tahoma"/>
            <family val="2"/>
          </rPr>
          <t>10K PG 89 of pdf</t>
        </r>
      </text>
    </comment>
    <comment ref="G36" authorId="0" shapeId="0" xr:uid="{D0ED23AD-ED01-47B7-8F36-ABD169347235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36" authorId="1" shapeId="0" xr:uid="{00000000-0006-0000-0200-000023000000}">
      <text>
        <r>
          <rPr>
            <sz val="9"/>
            <color indexed="81"/>
            <rFont val="Tahoma"/>
            <family val="2"/>
          </rPr>
          <t>10K PG 124</t>
        </r>
      </text>
    </comment>
    <comment ref="J36" authorId="1" shapeId="0" xr:uid="{00000000-0006-0000-0200-000025000000}">
      <text>
        <r>
          <rPr>
            <sz val="9"/>
            <color indexed="81"/>
            <rFont val="Tahoma"/>
            <family val="2"/>
          </rPr>
          <t>10K PG 124 of pdf</t>
        </r>
      </text>
    </comment>
    <comment ref="G37" authorId="0" shapeId="0" xr:uid="{A537224F-5D0D-43EE-98B3-5B87FB50F8F9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12/31 Close</t>
        </r>
      </text>
    </comment>
    <comment ref="H37" authorId="1" shapeId="0" xr:uid="{00000000-0006-0000-0200-000026000000}">
      <text>
        <r>
          <rPr>
            <sz val="9"/>
            <color indexed="81"/>
            <rFont val="Tahoma"/>
            <family val="2"/>
          </rPr>
          <t>10K PG 1000 of pdf</t>
        </r>
      </text>
    </comment>
    <comment ref="I37" authorId="1" shapeId="0" xr:uid="{00000000-0006-0000-0200-000027000000}">
      <text>
        <r>
          <rPr>
            <sz val="9"/>
            <color indexed="81"/>
            <rFont val="Tahoma"/>
            <family val="2"/>
          </rPr>
          <t>10K PG 113 of pdf</t>
        </r>
      </text>
    </comment>
    <comment ref="J37" authorId="3" shapeId="0" xr:uid="{70480840-1634-44B4-91A8-5182C669532E}">
      <text>
        <r>
          <rPr>
            <sz val="9"/>
            <color indexed="81"/>
            <rFont val="Tahoma"/>
            <family val="2"/>
          </rPr>
          <t>10K PG 113 of pdf</t>
        </r>
      </text>
    </comment>
    <comment ref="F43" authorId="4" shapeId="0" xr:uid="{CEF678F7-6580-4CF3-AC8E-A803AFF27478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F47" authorId="3" shapeId="0" xr:uid="{93AEFF50-0924-4DA6-AD63-457D27DFF07D}">
      <text>
        <r>
          <rPr>
            <b/>
            <sz val="9"/>
            <color indexed="81"/>
            <rFont val="Tahoma"/>
            <family val="2"/>
          </rPr>
          <t>10K PG 88</t>
        </r>
      </text>
    </comment>
    <comment ref="G47" authorId="5" shapeId="0" xr:uid="{00000000-0006-0000-0200-000029000000}">
      <text>
        <r>
          <rPr>
            <sz val="9"/>
            <color indexed="81"/>
            <rFont val="Tahoma"/>
            <family val="2"/>
          </rPr>
          <t>10K PG 100 NOTE 7</t>
        </r>
      </text>
    </comment>
    <comment ref="F48" authorId="3" shapeId="0" xr:uid="{475474B9-E265-4379-B3B6-EA3FE617EBCA}">
      <text>
        <r>
          <rPr>
            <b/>
            <sz val="9"/>
            <color indexed="81"/>
            <rFont val="Tahoma"/>
            <family val="2"/>
          </rPr>
          <t>10K PG 85 NOTE 9</t>
        </r>
      </text>
    </comment>
    <comment ref="G48" authorId="6" shapeId="0" xr:uid="{00000000-0006-0000-0200-00002A000000}">
      <text>
        <r>
          <rPr>
            <sz val="9"/>
            <color indexed="81"/>
            <rFont val="Tahoma"/>
            <family val="2"/>
          </rPr>
          <t>10K PG 103 PDF (FV / Carrying amount)</t>
        </r>
      </text>
    </comment>
    <comment ref="G49" authorId="6" shapeId="0" xr:uid="{00000000-0006-0000-0200-00002B000000}">
      <text>
        <r>
          <rPr>
            <sz val="9"/>
            <color indexed="81"/>
            <rFont val="Tahoma"/>
            <family val="2"/>
          </rPr>
          <t>10K PG 133 NOTE 8</t>
        </r>
      </text>
    </comment>
    <comment ref="F50" authorId="3" shapeId="0" xr:uid="{63373936-8EB4-4F1C-B4F2-DDC0B172CE1C}">
      <text>
        <r>
          <rPr>
            <sz val="9"/>
            <color indexed="81"/>
            <rFont val="Tahoma"/>
            <family val="2"/>
          </rPr>
          <t xml:space="preserve">10K PG 296 PDF NOTE 13 </t>
        </r>
      </text>
    </comment>
    <comment ref="G50" authorId="6" shapeId="0" xr:uid="{00000000-0006-0000-0200-00002C000000}">
      <text>
        <r>
          <rPr>
            <sz val="9"/>
            <color indexed="81"/>
            <rFont val="Tahoma"/>
            <family val="2"/>
          </rPr>
          <t>10K PG 277PDF NOTE 11</t>
        </r>
      </text>
    </comment>
    <comment ref="F51" authorId="3" shapeId="0" xr:uid="{6A52A2C8-C786-4F3C-889F-D8BFD736E40B}">
      <text>
        <r>
          <rPr>
            <sz val="9"/>
            <color indexed="81"/>
            <rFont val="Tahoma"/>
            <family val="2"/>
          </rPr>
          <t>10K PG 191 NOTE 19</t>
        </r>
      </text>
    </comment>
    <comment ref="G51" authorId="5" shapeId="0" xr:uid="{00000000-0006-0000-0200-00002D000000}">
      <text>
        <r>
          <rPr>
            <sz val="9"/>
            <color indexed="81"/>
            <rFont val="Tahoma"/>
            <family val="2"/>
          </rPr>
          <t>10K PG 161PDF NOTE 9</t>
        </r>
      </text>
    </comment>
    <comment ref="F52" authorId="3" shapeId="0" xr:uid="{752870AB-F83B-4623-84D7-DE2AB35CFCF4}">
      <text>
        <r>
          <rPr>
            <sz val="9"/>
            <color indexed="81"/>
            <rFont val="Tahoma"/>
            <family val="2"/>
          </rPr>
          <t>10K PG 140 NOTE 8</t>
        </r>
      </text>
    </comment>
    <comment ref="G52" authorId="5" shapeId="0" xr:uid="{00000000-0006-0000-0200-00002E000000}">
      <text>
        <r>
          <rPr>
            <sz val="9"/>
            <color indexed="81"/>
            <rFont val="Tahoma"/>
            <family val="2"/>
          </rPr>
          <t xml:space="preserve">10K PG 133 NOTE 6
</t>
        </r>
      </text>
    </comment>
    <comment ref="F53" authorId="3" shapeId="0" xr:uid="{85885D97-24C4-41FD-8155-C17FBD20C35C}">
      <text>
        <r>
          <rPr>
            <sz val="9"/>
            <color indexed="81"/>
            <rFont val="Tahoma"/>
            <family val="2"/>
          </rPr>
          <t>10K PG 120PDF NOTE 16</t>
        </r>
      </text>
    </comment>
    <comment ref="G53" authorId="5" shapeId="0" xr:uid="{00000000-0006-0000-0200-00002F000000}">
      <text>
        <r>
          <rPr>
            <sz val="9"/>
            <color indexed="81"/>
            <rFont val="Tahoma"/>
            <family val="2"/>
          </rPr>
          <t>Page 108 of PDF, 10-K</t>
        </r>
      </text>
    </comment>
    <comment ref="F54" authorId="3" shapeId="0" xr:uid="{13DB9954-9406-442A-BA0A-66F028123C85}">
      <text>
        <r>
          <rPr>
            <sz val="9"/>
            <color indexed="81"/>
            <rFont val="Tahoma"/>
            <family val="2"/>
          </rPr>
          <t>10K PG 167 NOTE 6</t>
        </r>
      </text>
    </comment>
    <comment ref="G54" authorId="5" shapeId="0" xr:uid="{00000000-0006-0000-0200-000030000000}">
      <text>
        <r>
          <rPr>
            <sz val="9"/>
            <color indexed="81"/>
            <rFont val="Tahoma"/>
            <family val="2"/>
          </rPr>
          <t xml:space="preserve">10K PG 203 NOTE 17 </t>
        </r>
      </text>
    </comment>
    <comment ref="F55" authorId="3" shapeId="0" xr:uid="{0CF17D56-878C-40B2-8813-18D7A6AB3D7D}">
      <text>
        <r>
          <rPr>
            <sz val="9"/>
            <color indexed="81"/>
            <rFont val="Tahoma"/>
            <family val="2"/>
          </rPr>
          <t>10K PG 167 NOTE 10/ 
Pg184 PDF</t>
        </r>
      </text>
    </comment>
    <comment ref="G55" authorId="5" shapeId="0" xr:uid="{FFC7F4A7-FB3E-4AEA-B8BF-E8A827A168BA}">
      <text>
        <r>
          <rPr>
            <sz val="9"/>
            <color indexed="81"/>
            <rFont val="Tahoma"/>
            <family val="2"/>
          </rPr>
          <t>Page 152 of PDF, 10-K</t>
        </r>
      </text>
    </comment>
    <comment ref="F56" authorId="3" shapeId="0" xr:uid="{2A8E0A64-059C-44ED-B434-EB8A3CC9EB54}">
      <text>
        <r>
          <rPr>
            <sz val="9"/>
            <color indexed="81"/>
            <rFont val="Tahoma"/>
            <family val="2"/>
          </rPr>
          <t>10K PG 161 PDF  NOTE 21</t>
        </r>
      </text>
    </comment>
    <comment ref="G56" authorId="5" shapeId="0" xr:uid="{AAF0DF28-195B-4EDB-8FAE-8AF53FAA299A}">
      <text>
        <r>
          <rPr>
            <sz val="9"/>
            <color indexed="81"/>
            <rFont val="Tahoma"/>
            <family val="2"/>
          </rPr>
          <t>10K PG 138 NOTE 14</t>
        </r>
      </text>
    </comment>
    <comment ref="F57" authorId="3" shapeId="0" xr:uid="{A80E4ABD-662F-4CF2-99A5-8AE7215E5A4B}">
      <text>
        <r>
          <rPr>
            <sz val="9"/>
            <color indexed="81"/>
            <rFont val="Tahoma"/>
            <family val="2"/>
          </rPr>
          <t xml:space="preserve">10K PG 132 PDF NOTE 8
</t>
        </r>
      </text>
    </comment>
    <comment ref="G57" authorId="5" shapeId="0" xr:uid="{00000000-0006-0000-0200-000032000000}">
      <text>
        <r>
          <rPr>
            <sz val="9"/>
            <color indexed="81"/>
            <rFont val="Tahoma"/>
            <family val="2"/>
          </rPr>
          <t>10K PG 110 NOTE 10</t>
        </r>
      </text>
    </comment>
    <comment ref="F58" authorId="3" shapeId="0" xr:uid="{71947A63-E4F3-4B1A-BA2E-B2E4B918ABA2}">
      <text>
        <r>
          <rPr>
            <sz val="9"/>
            <color indexed="81"/>
            <rFont val="Tahoma"/>
            <family val="2"/>
          </rPr>
          <t>10K PG 73 NOTE 4</t>
        </r>
      </text>
    </comment>
    <comment ref="G58" authorId="5" shapeId="0" xr:uid="{00000000-0006-0000-0200-000034000000}">
      <text>
        <r>
          <rPr>
            <sz val="9"/>
            <color indexed="81"/>
            <rFont val="Tahoma"/>
            <family val="2"/>
          </rPr>
          <t>10K PG 74 NOTE 5</t>
        </r>
      </text>
    </comment>
    <comment ref="F59" authorId="3" shapeId="0" xr:uid="{76CE51A2-9F06-48C0-8231-C19241B9E231}">
      <text>
        <r>
          <rPr>
            <sz val="11"/>
            <color indexed="81"/>
            <rFont val="Tahoma"/>
            <family val="2"/>
          </rPr>
          <t>10K PG 70</t>
        </r>
      </text>
    </comment>
    <comment ref="G59" authorId="5" shapeId="0" xr:uid="{00000000-0006-0000-0200-000035000000}">
      <text>
        <r>
          <rPr>
            <sz val="9"/>
            <color indexed="81"/>
            <rFont val="Tahoma"/>
            <family val="2"/>
          </rPr>
          <t>10K PG  179</t>
        </r>
      </text>
    </comment>
    <comment ref="F60" authorId="4" shapeId="0" xr:uid="{A1D27D0E-7C5E-4D48-A1BC-B150E9DA903F}">
      <text>
        <r>
          <rPr>
            <b/>
            <sz val="9"/>
            <color indexed="81"/>
            <rFont val="Tahoma"/>
            <family val="2"/>
          </rPr>
          <t>rev3569:</t>
        </r>
        <r>
          <rPr>
            <sz val="9"/>
            <color indexed="81"/>
            <rFont val="Tahoma"/>
            <family val="2"/>
          </rPr>
          <t xml:space="preserve">
PPL 10K pg65 PDF</t>
        </r>
      </text>
    </comment>
    <comment ref="G60" authorId="5" shapeId="0" xr:uid="{00000000-0006-0000-0200-000036000000}">
      <text>
        <r>
          <rPr>
            <sz val="9"/>
            <color indexed="81"/>
            <rFont val="Tahoma"/>
            <family val="2"/>
          </rPr>
          <t>10K PG 171 NOTE 16</t>
        </r>
      </text>
    </comment>
    <comment ref="F61" authorId="3" shapeId="0" xr:uid="{8CA13169-F88E-47F3-89FB-1BDD11394E0D}">
      <text>
        <r>
          <rPr>
            <sz val="9"/>
            <color indexed="81"/>
            <rFont val="Tahoma"/>
            <family val="2"/>
          </rPr>
          <t xml:space="preserve"> 10K PG 123 of pdf</t>
        </r>
      </text>
    </comment>
    <comment ref="G61" authorId="5" shapeId="0" xr:uid="{00000000-0006-0000-0200-000037000000}">
      <text>
        <r>
          <rPr>
            <sz val="9"/>
            <color indexed="81"/>
            <rFont val="Tahoma"/>
            <family val="2"/>
          </rPr>
          <t>10K PG 282 of pdf</t>
        </r>
      </text>
    </comment>
    <comment ref="F62" authorId="3" shapeId="0" xr:uid="{C0FA3A64-8B8F-4056-BDE0-9D477E82BC73}">
      <text>
        <r>
          <rPr>
            <sz val="9"/>
            <color indexed="81"/>
            <rFont val="Tahoma"/>
            <family val="2"/>
          </rPr>
          <t xml:space="preserve">10K PG 139 of pdf
</t>
        </r>
      </text>
    </comment>
    <comment ref="G62" authorId="5" shapeId="0" xr:uid="{00000000-0006-0000-0200-000039000000}">
      <text>
        <r>
          <rPr>
            <sz val="9"/>
            <color indexed="81"/>
            <rFont val="Tahoma"/>
            <family val="2"/>
          </rPr>
          <t>10K PG 159 of pdf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Baker, Mike A (DOR)</author>
    <author>rev4279</author>
  </authors>
  <commentList>
    <comment ref="E22" authorId="0" shapeId="0" xr:uid="{4FEA1386-2744-4761-93C5-D8F44E476027}">
      <text>
        <r>
          <rPr>
            <b/>
            <sz val="9"/>
            <color indexed="81"/>
            <rFont val="Tahoma"/>
            <family val="2"/>
          </rPr>
          <t>Rev 4175(DOR):</t>
        </r>
        <r>
          <rPr>
            <sz val="9"/>
            <color indexed="81"/>
            <rFont val="Tahoma"/>
            <family val="2"/>
          </rPr>
          <t xml:space="preserve">
page 76 of pdf</t>
        </r>
      </text>
    </comment>
    <comment ref="E23" authorId="1" shapeId="0" xr:uid="{8C39553E-8730-4549-AADF-F9E4087FF2F0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53 of pdf</t>
        </r>
      </text>
    </comment>
    <comment ref="E24" authorId="1" shapeId="0" xr:uid="{86561DB9-EBA7-4F83-9D21-E624B049D054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93 of pdf</t>
        </r>
      </text>
    </comment>
    <comment ref="E25" authorId="1" shapeId="0" xr:uid="{E9CFF420-F60C-4CBD-B923-6DF2BF219F9A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128 of pdf</t>
        </r>
      </text>
    </comment>
    <comment ref="E26" authorId="0" shapeId="0" xr:uid="{485F2D08-3B78-4713-B1B4-8C8BF30BE987}">
      <text>
        <r>
          <rPr>
            <sz val="9"/>
            <color indexed="81"/>
            <rFont val="Tahoma"/>
            <family val="2"/>
          </rPr>
          <t>10K PG 110 of pdf</t>
        </r>
      </text>
    </comment>
    <comment ref="E27" authorId="1" shapeId="0" xr:uid="{DC1F5935-7040-4FEF-9E91-0FA9877A1B06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111 of pdf</t>
        </r>
      </text>
    </comment>
    <comment ref="E28" authorId="1" shapeId="0" xr:uid="{6CED65F7-296C-4685-BB3D-795B2A110E2F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62 of pdf</t>
        </r>
      </text>
    </comment>
    <comment ref="E29" authorId="1" shapeId="0" xr:uid="{7E58F6CD-0419-4F74-B7F2-8047E7E65CD9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77 of pdf</t>
        </r>
      </text>
    </comment>
    <comment ref="E30" authorId="1" shapeId="0" xr:uid="{DE56AC4B-0A19-4721-9968-179451DEEFFA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62 of pdf</t>
        </r>
      </text>
    </comment>
    <comment ref="E31" authorId="1" shapeId="0" xr:uid="{03CAFA61-BFA7-4BB9-A2EC-424AFB9CFEB6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78 of pdf</t>
        </r>
      </text>
    </comment>
    <comment ref="E32" authorId="1" shapeId="0" xr:uid="{4A8D173F-E304-4309-9F29-D52C373B4872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102 of PDF</t>
        </r>
      </text>
    </comment>
    <comment ref="E33" authorId="1" shapeId="0" xr:uid="{7142323E-6362-43F1-B06C-AE16831E5D11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52 of pdf</t>
        </r>
      </text>
    </comment>
    <comment ref="E34" authorId="1" shapeId="0" xr:uid="{804186A9-78FA-4BD7-9B77-80F1175A08A0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42</t>
        </r>
      </text>
    </comment>
    <comment ref="E35" authorId="0" shapeId="0" xr:uid="{7504FF26-3DB6-4EF8-B9DF-CA5659494596}">
      <text>
        <r>
          <rPr>
            <sz val="9"/>
            <color indexed="81"/>
            <rFont val="Tahoma"/>
            <family val="2"/>
          </rPr>
          <t>10K PG 89 of pdf</t>
        </r>
      </text>
    </comment>
    <comment ref="E36" authorId="1" shapeId="0" xr:uid="{0F9D7117-2F51-4C46-8483-CEA31F448CD5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124 of pdf</t>
        </r>
      </text>
    </comment>
    <comment ref="E37" authorId="1" shapeId="0" xr:uid="{CDCE16C1-3EE2-4627-A8E4-FE68587C5D46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113 of pdf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rev4279</author>
    <author>rev4175</author>
  </authors>
  <commentList>
    <comment ref="D20" authorId="0" shapeId="0" xr:uid="{DC98C3FE-95A8-46D2-B14C-9386F5FDCA03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95 of pdf</t>
        </r>
      </text>
    </comment>
    <comment ref="E20" authorId="0" shapeId="0" xr:uid="{AF8C9608-75CB-4D22-80A5-5E1C4818AE93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89 NOTE 2</t>
        </r>
      </text>
    </comment>
    <comment ref="G20" authorId="0" shapeId="0" xr:uid="{57E28231-D93A-4A3A-94DE-1B0FB23E7D38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77 of pdf
</t>
        </r>
      </text>
    </comment>
    <comment ref="D21" authorId="0" shapeId="0" xr:uid="{4CB9B04A-246F-46B1-AEB0-C7325B9BC9C3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78 of pdf</t>
        </r>
      </text>
    </comment>
    <comment ref="E21" authorId="0" shapeId="0" xr:uid="{49AD5217-3268-4A53-AE79-3649E76B0058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71 NOTE 3</t>
        </r>
      </text>
    </comment>
    <comment ref="G21" authorId="0" shapeId="0" xr:uid="{2AAD7782-C1DC-4C00-B312-AC41E57F3F4E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52 of pdf</t>
        </r>
      </text>
    </comment>
    <comment ref="D22" authorId="0" shapeId="0" xr:uid="{193F8C9E-68C0-4D68-B591-7FC55D54C9DE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121 of pdf</t>
        </r>
      </text>
    </comment>
    <comment ref="E22" authorId="0" shapeId="0" xr:uid="{6B6A9D6C-ED2B-4ABE-BF60-9071CCBBA45D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116 NOTE 3</t>
        </r>
      </text>
    </comment>
    <comment ref="G22" authorId="0" shapeId="0" xr:uid="{0FE3BBBD-A39B-47B9-ABEB-727FBFFDA867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92 of pdf</t>
        </r>
      </text>
    </comment>
    <comment ref="D23" authorId="0" shapeId="0" xr:uid="{0504FF36-8AEE-4DC1-A299-732474791163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107 of pdf</t>
        </r>
      </text>
    </comment>
    <comment ref="E23" authorId="0" shapeId="0" xr:uid="{1645ACC2-7600-4A1C-9E72-BC1A0CC34321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93</t>
        </r>
      </text>
    </comment>
    <comment ref="G23" authorId="0" shapeId="0" xr:uid="{DE80A75A-03F1-43DD-B019-79D7002C7C21}">
      <text>
        <r>
          <rPr>
            <b/>
            <sz val="9"/>
            <color indexed="81"/>
            <rFont val="Tahoma"/>
            <family val="2"/>
          </rPr>
          <t>rev4175</t>
        </r>
        <r>
          <rPr>
            <sz val="9"/>
            <color indexed="81"/>
            <rFont val="Tahoma"/>
            <family val="2"/>
          </rPr>
          <t xml:space="preserve">
10K PG 104 of pdf</t>
        </r>
      </text>
    </comment>
    <comment ref="D24" authorId="0" shapeId="0" xr:uid="{6ADA7F00-5568-4365-B7EE-F6F9E95575E3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110 of pdf</t>
        </r>
      </text>
    </comment>
    <comment ref="E24" authorId="0" shapeId="0" xr:uid="{3598B522-E707-4EBF-B57D-8123FAA34E2A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112 NOTE 3</t>
        </r>
      </text>
    </comment>
    <comment ref="G24" authorId="0" shapeId="0" xr:uid="{2A1A4AFF-FCBC-4639-8809-CA2B4312D7F8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107 of pdf</t>
        </r>
      </text>
    </comment>
    <comment ref="D25" authorId="0" shapeId="0" xr:uid="{12EBF646-1603-4A57-B760-25E475D603EB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110 of pdf</t>
        </r>
      </text>
    </comment>
    <comment ref="E25" authorId="0" shapeId="0" xr:uid="{F187A036-1396-4EE5-967C-D2848527EC84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98</t>
        </r>
      </text>
    </comment>
    <comment ref="G25" authorId="0" shapeId="0" xr:uid="{3C14AC6C-22B0-49E4-9DF5-C5A2D2A3EE43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106 of pdf</t>
        </r>
      </text>
    </comment>
    <comment ref="D26" authorId="0" shapeId="0" xr:uid="{3CCCE5E1-DC33-483A-B071-6FCCA9FADFB8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61 of pdf</t>
        </r>
      </text>
    </comment>
    <comment ref="E26" authorId="0" shapeId="0" xr:uid="{2E1ACE61-49B5-440E-BED2-6B55A0DAEB3F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59</t>
        </r>
      </text>
    </comment>
    <comment ref="G26" authorId="0" shapeId="0" xr:uid="{58A7A9C6-8B4F-4533-862E-45AAC6D3F29F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59 of pdf</t>
        </r>
      </text>
    </comment>
    <comment ref="D27" authorId="0" shapeId="0" xr:uid="{C4AD34F9-25FD-426A-A450-3EA24DC5B668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77 of pdf</t>
        </r>
      </text>
    </comment>
    <comment ref="E27" authorId="0" shapeId="0" xr:uid="{65676964-5DD8-430D-9284-7432E15CBDBA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79</t>
        </r>
      </text>
    </comment>
    <comment ref="G27" authorId="0" shapeId="0" xr:uid="{2D7C459D-88C7-4909-92E7-6C77EA244177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75 of pdf</t>
        </r>
      </text>
    </comment>
    <comment ref="D28" authorId="0" shapeId="0" xr:uid="{3E3FF2BB-697C-4220-BBE0-0CFCBE3BB9E1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60 of pdf</t>
        </r>
      </text>
    </comment>
    <comment ref="E28" authorId="0" shapeId="0" xr:uid="{A1F4C02D-9F33-4EFE-B348-ACB58DCA77A4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44</t>
        </r>
      </text>
    </comment>
    <comment ref="G28" authorId="0" shapeId="0" xr:uid="{9F01EF30-BB6F-429E-9C88-34D95FDD49B8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55 of pdf</t>
        </r>
      </text>
    </comment>
    <comment ref="D29" authorId="0" shapeId="0" xr:uid="{6C22DDCD-A4C4-439B-A49F-172F3AD8CACB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114 of pdf</t>
        </r>
      </text>
    </comment>
    <comment ref="E29" authorId="0" shapeId="0" xr:uid="{9F16F9F8-F505-4C63-B41D-BB6BB22B7E4E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113 NOTE 7</t>
        </r>
      </text>
    </comment>
    <comment ref="G29" authorId="0" shapeId="0" xr:uid="{B4CF8A39-5EE6-4F1A-8D07-65582A59121B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76 of pdf</t>
        </r>
      </text>
    </comment>
    <comment ref="D30" authorId="0" shapeId="0" xr:uid="{C3BCC5FC-4322-49F3-A56E-0322493549D8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102 of pdf</t>
        </r>
      </text>
    </comment>
    <comment ref="E30" authorId="0" shapeId="0" xr:uid="{68077CEE-37FA-4019-9B43-28E8B4BE4548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82</t>
        </r>
      </text>
    </comment>
    <comment ref="G30" authorId="1" shapeId="0" xr:uid="{2123651C-75EB-4935-B446-410FC8ADABBE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 page 105 of pdf</t>
        </r>
      </text>
    </comment>
    <comment ref="D31" authorId="0" shapeId="0" xr:uid="{A42C82A5-BA54-4C3E-9702-30304A840451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51 of pdf</t>
        </r>
      </text>
    </comment>
    <comment ref="E31" authorId="0" shapeId="0" xr:uid="{D7755FC6-257C-43D2-AD24-D371F00D7575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51</t>
        </r>
      </text>
    </comment>
    <comment ref="G31" authorId="0" shapeId="0" xr:uid="{E5448AFD-924B-4C10-897B-3DFEF46B2105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48</t>
        </r>
      </text>
    </comment>
    <comment ref="D32" authorId="0" shapeId="0" xr:uid="{6510AB0E-22DE-46DC-BBCE-F0FBACA2305B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68</t>
        </r>
      </text>
    </comment>
    <comment ref="E32" authorId="0" shapeId="0" xr:uid="{074F1BBF-5AD4-438C-8D68-9D703A829F44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56 NOTE 6</t>
        </r>
      </text>
    </comment>
    <comment ref="G32" authorId="0" shapeId="0" xr:uid="{F84CE1D9-82DC-4698-BF1C-92D8B5902E34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52</t>
        </r>
      </text>
    </comment>
    <comment ref="D33" authorId="0" shapeId="0" xr:uid="{8CE3E82D-EBF9-4F46-97B1-AE30612D4A73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88 of pdf</t>
        </r>
      </text>
    </comment>
    <comment ref="E33" authorId="0" shapeId="0" xr:uid="{26EB6C2D-81F3-4068-AB59-F9E872555B5C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76</t>
        </r>
      </text>
    </comment>
    <comment ref="G33" authorId="0" shapeId="0" xr:uid="{02BB5D51-043A-47FF-ABD0-73DAEE75D1F7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85 of pdf</t>
        </r>
      </text>
    </comment>
    <comment ref="D34" authorId="0" shapeId="0" xr:uid="{69C4B1CD-784B-48FC-B6A0-916553F788A9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123 of pdf</t>
        </r>
      </text>
    </comment>
    <comment ref="E34" authorId="0" shapeId="0" xr:uid="{7C9D7B80-1DEB-4F0D-9A8F-D1277B1AB4C2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II-78</t>
        </r>
      </text>
    </comment>
    <comment ref="G34" authorId="0" shapeId="0" xr:uid="{51BC49CB-47E7-46D5-A49F-400B32DAF9F7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119 of pdf</t>
        </r>
      </text>
    </comment>
    <comment ref="D35" authorId="0" shapeId="0" xr:uid="{C9D91E2E-B22D-489F-9676-4E38470752A8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113 of pdf</t>
        </r>
      </text>
    </comment>
    <comment ref="E35" authorId="0" shapeId="0" xr:uid="{52468897-4E90-4D7B-BA4E-F06CEA44CB1D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89</t>
        </r>
      </text>
    </comment>
    <comment ref="G35" authorId="0" shapeId="0" xr:uid="{D1DFBAB4-079B-48AC-844B-F5BA67805A55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111 of pdf</t>
        </r>
      </text>
    </comment>
  </commentList>
</comments>
</file>

<file path=xl/sharedStrings.xml><?xml version="1.0" encoding="utf-8"?>
<sst xmlns="http://schemas.openxmlformats.org/spreadsheetml/2006/main" count="1563" uniqueCount="512">
  <si>
    <t xml:space="preserve"> </t>
  </si>
  <si>
    <t>KENTUCKY DEPARTMENT OF REVENUE</t>
  </si>
  <si>
    <t>Company</t>
  </si>
  <si>
    <t>Ticker</t>
  </si>
  <si>
    <t>Symbol</t>
  </si>
  <si>
    <t xml:space="preserve">Industry </t>
  </si>
  <si>
    <t>Group</t>
  </si>
  <si>
    <t>VL</t>
  </si>
  <si>
    <t>10K / SEC</t>
  </si>
  <si>
    <t>DIVISION OF STATE VALUATION, PUBLIC SERVICE BRANCH</t>
  </si>
  <si>
    <t>Stock Price</t>
  </si>
  <si>
    <t>Preferred Stock</t>
  </si>
  <si>
    <t>Common Stock</t>
  </si>
  <si>
    <t>4th Qtr</t>
  </si>
  <si>
    <t>FMV</t>
  </si>
  <si>
    <t>Calculated</t>
  </si>
  <si>
    <t>Total Market Value</t>
  </si>
  <si>
    <t>% Common Stock</t>
  </si>
  <si>
    <t>Median</t>
  </si>
  <si>
    <t>Average</t>
  </si>
  <si>
    <t xml:space="preserve">Financial </t>
  </si>
  <si>
    <t xml:space="preserve">Actual </t>
  </si>
  <si>
    <t>Strength</t>
  </si>
  <si>
    <t>Tax Rate</t>
  </si>
  <si>
    <t>A</t>
  </si>
  <si>
    <t>B+</t>
  </si>
  <si>
    <t>B++</t>
  </si>
  <si>
    <t>Computed</t>
  </si>
  <si>
    <t>Price</t>
  </si>
  <si>
    <t>Multiple</t>
  </si>
  <si>
    <t>Inverse</t>
  </si>
  <si>
    <t>KENTUCKY</t>
  </si>
  <si>
    <t xml:space="preserve">Source of </t>
  </si>
  <si>
    <t>Capital</t>
  </si>
  <si>
    <t>Cost of Capital</t>
  </si>
  <si>
    <t>Weighted</t>
  </si>
  <si>
    <t>Structure</t>
  </si>
  <si>
    <t>Rate</t>
  </si>
  <si>
    <t>After Tax</t>
  </si>
  <si>
    <t>Cost</t>
  </si>
  <si>
    <t>EQUITY</t>
  </si>
  <si>
    <t>-</t>
  </si>
  <si>
    <t>DEBT</t>
  </si>
  <si>
    <t>TOTAL</t>
  </si>
  <si>
    <t>Alliant Energy</t>
  </si>
  <si>
    <t>AMEREN</t>
  </si>
  <si>
    <t>American Electric Power</t>
  </si>
  <si>
    <t>Centerpoint Energy</t>
  </si>
  <si>
    <t>CMS Energy</t>
  </si>
  <si>
    <t>DTE Energy</t>
  </si>
  <si>
    <t>OGE Energy Corp.</t>
  </si>
  <si>
    <t>Otter Tail Corp</t>
  </si>
  <si>
    <t>WEC Energy Group</t>
  </si>
  <si>
    <t>ALE</t>
  </si>
  <si>
    <t>LNT</t>
  </si>
  <si>
    <t>CMS</t>
  </si>
  <si>
    <t>DTE</t>
  </si>
  <si>
    <t>OGE</t>
  </si>
  <si>
    <t>AEE</t>
  </si>
  <si>
    <t>AEP</t>
  </si>
  <si>
    <t>CNP</t>
  </si>
  <si>
    <t>OTTR</t>
  </si>
  <si>
    <t>WEC</t>
  </si>
  <si>
    <t>A+</t>
  </si>
  <si>
    <t xml:space="preserve">  </t>
  </si>
  <si>
    <t>High</t>
  </si>
  <si>
    <t>Low</t>
  </si>
  <si>
    <t>DUK</t>
  </si>
  <si>
    <t>Entergy Corp</t>
  </si>
  <si>
    <t>ETR</t>
  </si>
  <si>
    <t>PPL Corp</t>
  </si>
  <si>
    <t>PPL</t>
  </si>
  <si>
    <t>Southern Company</t>
  </si>
  <si>
    <t>SO</t>
  </si>
  <si>
    <t>Duke Energy</t>
  </si>
  <si>
    <t>PPL Corporation</t>
  </si>
  <si>
    <t>Mergent Bond</t>
  </si>
  <si>
    <t>Rating</t>
  </si>
  <si>
    <t>FirstEnergy Corp</t>
  </si>
  <si>
    <t>FE</t>
  </si>
  <si>
    <t>Debt Rate</t>
  </si>
  <si>
    <t>S&amp;P</t>
  </si>
  <si>
    <t>S &amp; P</t>
  </si>
  <si>
    <t>% LT Debt &amp; Pref Stock</t>
  </si>
  <si>
    <t>Baa1</t>
  </si>
  <si>
    <t>Baa2</t>
  </si>
  <si>
    <t>BBB+</t>
  </si>
  <si>
    <t>BBB</t>
  </si>
  <si>
    <t>The capital structure of this industry is a representative or typical capital structure of the group, not that of the present owner.  The capital structure selected reflects the most likely arrangement of a prospective buyer.</t>
  </si>
  <si>
    <t>A1</t>
  </si>
  <si>
    <t>Ba1</t>
  </si>
  <si>
    <t>A3</t>
  </si>
  <si>
    <t>Baa3</t>
  </si>
  <si>
    <t>A-</t>
  </si>
  <si>
    <t>BBB-</t>
  </si>
  <si>
    <t>Book Value</t>
  </si>
  <si>
    <t>Shares Issued less Treasury</t>
  </si>
  <si>
    <t>DIRECT CAPITALIZATION RATE CONCLUSION</t>
  </si>
  <si>
    <t>YIELD CAPITALIZATION RATE CONCLUSION</t>
  </si>
  <si>
    <t>GCF After Tax</t>
  </si>
  <si>
    <t>Capitalization Rate</t>
  </si>
  <si>
    <t>Capitalization</t>
  </si>
  <si>
    <t>Marginal</t>
  </si>
  <si>
    <t>CAP RATE</t>
  </si>
  <si>
    <t>NOI After Tax  (NOPAT)</t>
  </si>
  <si>
    <t>WACC</t>
  </si>
  <si>
    <t>Notes:</t>
  </si>
  <si>
    <t>Shares Outstanding *</t>
  </si>
  <si>
    <t>Selected</t>
  </si>
  <si>
    <t>CAPITAL STRUCTURE</t>
  </si>
  <si>
    <t>Maintenance Capital Expenditures</t>
  </si>
  <si>
    <t>Estimate using Guideline Companies</t>
  </si>
  <si>
    <t>Inflation</t>
  </si>
  <si>
    <t>Rate %</t>
  </si>
  <si>
    <t>CPI</t>
  </si>
  <si>
    <t>PP&amp;E Gross</t>
  </si>
  <si>
    <t>PP&amp;E</t>
  </si>
  <si>
    <t>Previous Year</t>
  </si>
  <si>
    <t>Current Year</t>
  </si>
  <si>
    <t>Depreciation</t>
  </si>
  <si>
    <t>Expense</t>
  </si>
  <si>
    <t xml:space="preserve">Average Life of </t>
  </si>
  <si>
    <t>Assets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</si>
  <si>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</si>
  <si>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</si>
  <si>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</si>
  <si>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</si>
  <si>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</si>
  <si>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</si>
  <si>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</si>
  <si>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</si>
  <si>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</si>
  <si>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</si>
  <si>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F/G</t>
  </si>
  <si>
    <t>C*H</t>
  </si>
  <si>
    <t>1/(1=C)^H</t>
  </si>
  <si>
    <t>Replacement</t>
  </si>
  <si>
    <t xml:space="preserve">Cost </t>
  </si>
  <si>
    <t>RC as % of</t>
  </si>
  <si>
    <t>K/G</t>
  </si>
  <si>
    <t>L</t>
  </si>
  <si>
    <t>(D+E)/2</t>
  </si>
  <si>
    <t>(G*I) / (1-J)</t>
  </si>
  <si>
    <t>*</t>
  </si>
  <si>
    <t>Gross Cash Flow</t>
  </si>
  <si>
    <t>NOPAT</t>
  </si>
  <si>
    <t>VL Projected NOI</t>
  </si>
  <si>
    <t xml:space="preserve">Year End </t>
  </si>
  <si>
    <t>VL Historic</t>
  </si>
  <si>
    <t>VL Projected</t>
  </si>
  <si>
    <t>Current</t>
  </si>
  <si>
    <t>Yield</t>
  </si>
  <si>
    <t>BETA SELECTION for CAPM</t>
  </si>
  <si>
    <t>SELECTED AVERAGE &gt;</t>
  </si>
  <si>
    <t>Source</t>
  </si>
  <si>
    <t>GDP</t>
  </si>
  <si>
    <t>Nominal</t>
  </si>
  <si>
    <t>Growth</t>
  </si>
  <si>
    <t>Book Ratio</t>
  </si>
  <si>
    <t>Numeric</t>
  </si>
  <si>
    <t>Caa3</t>
  </si>
  <si>
    <t>Caa2</t>
  </si>
  <si>
    <t>Caa1</t>
  </si>
  <si>
    <t>B3</t>
  </si>
  <si>
    <t>B2</t>
  </si>
  <si>
    <t>B1</t>
  </si>
  <si>
    <t>Ba3</t>
  </si>
  <si>
    <t>Ba2</t>
  </si>
  <si>
    <t>A2</t>
  </si>
  <si>
    <t>Aa3</t>
  </si>
  <si>
    <t>Aa2</t>
  </si>
  <si>
    <t>Aa1</t>
  </si>
  <si>
    <t>Bond Rating Scale</t>
  </si>
  <si>
    <t>Levered Beta</t>
  </si>
  <si>
    <t>https://www.philadelphiafed.org/research-and-data/real-time-center/livingston-survey</t>
  </si>
  <si>
    <t>https://www.philadelphiafed.org/surveys-and-data/real-time-data-research/survey-of-professional-forecasters</t>
  </si>
  <si>
    <t>Preferred Stock ***</t>
  </si>
  <si>
    <t>Long Term Debt **</t>
  </si>
  <si>
    <t xml:space="preserve">** Debt includes  LT Debt , Current portion of LT Debt, and Finance leases from 10K </t>
  </si>
  <si>
    <t>*** Market value of preferred stock assumed to equal book value</t>
  </si>
  <si>
    <t>* Outstanding stock shares are generally already net of Treasury stock shares</t>
  </si>
  <si>
    <t>MODEL</t>
  </si>
  <si>
    <t>EQUITY RATES for YIELD APPROACH</t>
  </si>
  <si>
    <t>CAPM - The CFO Survey</t>
  </si>
  <si>
    <t>CAPM - Fernandez, Banuls, &amp; Acin</t>
  </si>
  <si>
    <t>CAPM - Ex Post (BVR Historical, Arithmeic)</t>
  </si>
  <si>
    <t>CAPM - Ex Post (BVR Historical, Geometric)</t>
  </si>
  <si>
    <t>Empirical CAPM - The CFO Survey</t>
  </si>
  <si>
    <t>Empirical CAPM - Fernandez, Banuls, &amp; Acin</t>
  </si>
  <si>
    <t>Empirical CAPM - Ex Post (BVR Historical, Arithmeic)</t>
  </si>
  <si>
    <t>Empirical CAPM - Ex Post (BVR Historical, Geometric)</t>
  </si>
  <si>
    <t>Stock</t>
  </si>
  <si>
    <t>Dividends</t>
  </si>
  <si>
    <t>Per Share</t>
  </si>
  <si>
    <t>Dividend</t>
  </si>
  <si>
    <t>Historic</t>
  </si>
  <si>
    <t>Dividend Data</t>
  </si>
  <si>
    <t>AA-</t>
  </si>
  <si>
    <t>Earnings</t>
  </si>
  <si>
    <t>Equity</t>
  </si>
  <si>
    <t>Equity Rate</t>
  </si>
  <si>
    <t>(F+G)</t>
  </si>
  <si>
    <t>(F+H)</t>
  </si>
  <si>
    <t>Dividend Yield</t>
  </si>
  <si>
    <t xml:space="preserve">Projected Short Term </t>
  </si>
  <si>
    <t>DGM - Earnings Growth Rate &gt;</t>
  </si>
  <si>
    <t>DGM - Dividend Growth Rate &gt;</t>
  </si>
  <si>
    <t>Yield Equity Rate - DGM (Two-Stage)</t>
  </si>
  <si>
    <t>Stable</t>
  </si>
  <si>
    <t>Growth Rate</t>
  </si>
  <si>
    <t>Cost of</t>
  </si>
  <si>
    <t>g</t>
  </si>
  <si>
    <t>DY</t>
  </si>
  <si>
    <t>G1</t>
  </si>
  <si>
    <t>(G1 + g)/2</t>
  </si>
  <si>
    <t>KE = (DY X (1 + .5(G))) + .67 (G1) + .33(g)</t>
  </si>
  <si>
    <t>Kentucky</t>
  </si>
  <si>
    <t>Common Equity</t>
  </si>
  <si>
    <t>.</t>
  </si>
  <si>
    <t xml:space="preserve">Obligations rated Ca are highly speculative and are likely in, or very near, default, with some prospect of recovery in principal and interest. </t>
  </si>
  <si>
    <t xml:space="preserve">Obligations rated C are the lowest-rated class of bonds and are typical­ly in default, with little prospect for recovery of principal and interest. </t>
  </si>
  <si>
    <t xml:space="preserve">Obligations rated Caa are judged to be of poor standing and are subject to very high credit risk . </t>
  </si>
  <si>
    <t>Obligations rated Aaa are judged to be of the highest quality, with minimal risk.</t>
  </si>
  <si>
    <t xml:space="preserve">Obligations rated A are considered upper-medium-grade and are sub­ject to low credit risk. </t>
  </si>
  <si>
    <t xml:space="preserve">Obligations rated B are considered speculative and are subject to high credit risk. </t>
  </si>
  <si>
    <t xml:space="preserve">Obligations rated Ba are judged to have speculative elements and are subject to substantial credit risk. </t>
  </si>
  <si>
    <t xml:space="preserve">Obligations rated Baa are subject to moderate credit risk. They are considered medium-grade and as such may possess speculative characteristics. </t>
  </si>
  <si>
    <t>D1 = Expected Dividends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</si>
  <si>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</t>
    </r>
    <r>
      <rPr>
        <b/>
        <sz val="10"/>
        <color theme="1"/>
        <rFont val="Microsoft GothicNeo"/>
        <family val="2"/>
        <charset val="129"/>
      </rPr>
      <t>1</t>
    </r>
    <r>
      <rPr>
        <b/>
        <sz val="16"/>
        <color theme="1"/>
        <rFont val="Microsoft GothicNeo"/>
        <family val="2"/>
        <charset val="129"/>
      </rPr>
      <t xml:space="preserve"> / P</t>
    </r>
    <r>
      <rPr>
        <b/>
        <sz val="10"/>
        <color theme="1"/>
        <rFont val="Microsoft GothicNeo"/>
        <family val="2"/>
        <charset val="129"/>
      </rPr>
      <t>o</t>
    </r>
    <r>
      <rPr>
        <b/>
        <sz val="16"/>
        <color theme="1"/>
        <rFont val="Microsoft GothicNeo"/>
        <family val="2"/>
        <charset val="129"/>
      </rPr>
      <t>) + G</t>
    </r>
  </si>
  <si>
    <t>KE = Cost of Equity</t>
  </si>
  <si>
    <t>Po   = Current Price</t>
  </si>
  <si>
    <r>
      <t>Price (P</t>
    </r>
    <r>
      <rPr>
        <b/>
        <sz val="9"/>
        <color theme="1"/>
        <rFont val="Microsoft GothicNeo"/>
        <family val="2"/>
        <charset val="129"/>
      </rPr>
      <t>0</t>
    </r>
    <r>
      <rPr>
        <b/>
        <sz val="11"/>
        <color theme="1"/>
        <rFont val="Microsoft GothicNeo"/>
        <family val="2"/>
        <charset val="129"/>
      </rPr>
      <t>)</t>
    </r>
  </si>
  <si>
    <t xml:space="preserve">Dividend Growth Rate </t>
  </si>
  <si>
    <t xml:space="preserve">Earnings Per Share Growth Rate </t>
  </si>
  <si>
    <r>
      <t>Long Term Debt</t>
    </r>
    <r>
      <rPr>
        <b/>
        <sz val="10"/>
        <color theme="1"/>
        <rFont val="Microsoft GothicNeo"/>
        <family val="2"/>
        <charset val="129"/>
      </rPr>
      <t xml:space="preserve"> </t>
    </r>
  </si>
  <si>
    <t>CAPITAL ASSET PRICING MODEL (CAPM)</t>
  </si>
  <si>
    <t>Selected &gt;</t>
  </si>
  <si>
    <t>Inflation and Gross Domestic Product (GDP) Data</t>
  </si>
  <si>
    <t>SELECTED &gt;</t>
  </si>
  <si>
    <t>Equity Risk Premium (ERP)</t>
  </si>
  <si>
    <t>Indicated Equity Rate</t>
  </si>
  <si>
    <t>Industry Risk Premium</t>
  </si>
  <si>
    <t>Weighted Industry Risk Premium (75%)</t>
  </si>
  <si>
    <t>Weighted Equity Risk Premium (25%)</t>
  </si>
  <si>
    <t xml:space="preserve">The CFO Survey  (4) </t>
  </si>
  <si>
    <t>BVR - Historical, Arithmetic Mean  (6)</t>
  </si>
  <si>
    <t>BVR - Historical, Geometric Mean  (7)</t>
  </si>
  <si>
    <t>Empirical CAPM Models</t>
  </si>
  <si>
    <t>CAPM Models</t>
  </si>
  <si>
    <t>KE = Rf + (B  X  ERP X  75%) = (ERP  X  25%)</t>
  </si>
  <si>
    <t>KE = Rf + (B  X  ERP)</t>
  </si>
  <si>
    <t>Industry Beta (B)</t>
  </si>
  <si>
    <t>Value Line Earnings</t>
  </si>
  <si>
    <t>Value Line Dividends</t>
  </si>
  <si>
    <t>Yahoo Finance</t>
  </si>
  <si>
    <t>Return on</t>
  </si>
  <si>
    <t>Gross Revenue</t>
  </si>
  <si>
    <t>Multiplier</t>
  </si>
  <si>
    <t>NOPAT CASH FLOW MULTIPLE &amp; EQUITY RATE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</si>
  <si>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</si>
  <si>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Two-Stage DGM Rate &gt;</t>
  </si>
  <si>
    <t>DGM - Single Stage - Earnings Growth</t>
  </si>
  <si>
    <t>DGM - Single Stage - Dividend Growth</t>
  </si>
  <si>
    <t>DGM - Two Stage - Dividend Growth</t>
  </si>
  <si>
    <t>VL LT Projected NOI</t>
  </si>
  <si>
    <t>Indicated Rate of Debt &gt;</t>
  </si>
  <si>
    <t>Year End</t>
  </si>
  <si>
    <t>&amp; Finance Leases</t>
  </si>
  <si>
    <t>10K Income Statement</t>
  </si>
  <si>
    <t>10K Balance Sheet</t>
  </si>
  <si>
    <t>Indicated Rate of Equity Selected &gt;</t>
  </si>
  <si>
    <t>NOTE:</t>
  </si>
  <si>
    <t>SHORT-TERM GROWTH RATES (5 years)</t>
  </si>
  <si>
    <t>GROWTH &amp; INFLATION RATES</t>
  </si>
  <si>
    <t>Real LT Growth</t>
  </si>
  <si>
    <t>Federal Reserve Statistical Release  10 Yr Inflation protected Treasury securities (1)</t>
  </si>
  <si>
    <t xml:space="preserve">Federal Reserve Statistical Release  20 Yr Inflation protected Treasury securities (1) </t>
  </si>
  <si>
    <t xml:space="preserve">Federal Reserve Statistical Release  30 Yr Inflation protected Treasury securities (1) </t>
  </si>
  <si>
    <t>Federal Reserve Bank of Philadelphia / Livingston Survey Mean  (2)</t>
  </si>
  <si>
    <t>“Since no firm can grow forever at a rate higher than the growth rate of the economy in which it operates, the constant growth rate cannot be greater</t>
  </si>
  <si>
    <t>http://pages.stern.nyu.edu/~adamodar/New_Home_Page/valquestions/stablegrowthrate.htm</t>
  </si>
  <si>
    <t>*Cornell, B. &amp; Gerger, R. (2017) Estimating Terminal Values with Inflation : The Inputs Matter - It is Not a Formulaic Exercise.  Business Valuation Review, Vol.36, Number 4, 117-123.</t>
  </si>
  <si>
    <t>C1  C2  C3</t>
  </si>
  <si>
    <t>ALLETE Inc</t>
  </si>
  <si>
    <t>Evergy Inc</t>
  </si>
  <si>
    <t>EVRG</t>
  </si>
  <si>
    <t>ALLETE</t>
  </si>
  <si>
    <t>1 Yr Projected</t>
  </si>
  <si>
    <t>3-5 Yr Projected</t>
  </si>
  <si>
    <t>Short Term</t>
  </si>
  <si>
    <t>(1)</t>
  </si>
  <si>
    <t>(1)    4 Year compound annual growth rate (CAGR)  - 3 periods</t>
  </si>
  <si>
    <t>Earnings Data</t>
  </si>
  <si>
    <r>
      <t xml:space="preserve">KY DOR                Dividends Growth Rate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</si>
  <si>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t>YIELD EQUITY RATE</t>
  </si>
  <si>
    <t>g = b X ROE</t>
  </si>
  <si>
    <t>g = LT growth rate</t>
  </si>
  <si>
    <t>b = reinvestment rate</t>
  </si>
  <si>
    <t>ROE = Return on equity (or return on investment)</t>
  </si>
  <si>
    <t>b = g  / ROE</t>
  </si>
  <si>
    <t>The plowback ratio is multiplied by Net Cash Flow to estimate the amount of additional capital expenditures needed to achieve projected results.</t>
  </si>
  <si>
    <t>Reinvestment Rate =</t>
  </si>
  <si>
    <t>EBIT (1-Tax Rate)</t>
  </si>
  <si>
    <t>Capital Expenditures - Depreciation + Change in Working Capital</t>
  </si>
  <si>
    <t>Aswath Damodaran's model to determine the Reinvesment Rate &gt;</t>
  </si>
  <si>
    <t>It is assumed that the ROE is a fixed (unchanging) rate.</t>
  </si>
  <si>
    <t>Maintenance Capital Expenditures and Change in Working Capital</t>
  </si>
  <si>
    <t>Operating Leases ****</t>
  </si>
  <si>
    <t>Market Value</t>
  </si>
  <si>
    <t>10K</t>
  </si>
  <si>
    <t>Market to</t>
  </si>
  <si>
    <t>Long Term Debt</t>
  </si>
  <si>
    <t xml:space="preserve">Capital </t>
  </si>
  <si>
    <t>Market</t>
  </si>
  <si>
    <t>to Book</t>
  </si>
  <si>
    <t>Composite</t>
  </si>
  <si>
    <t>Total</t>
  </si>
  <si>
    <t>AVERAGE</t>
  </si>
  <si>
    <t>Market to Book Ratios - Obsolescence Measurement</t>
  </si>
  <si>
    <t>Common Total Equity</t>
  </si>
  <si>
    <t>FMV / PV</t>
  </si>
  <si>
    <t>GCF CASH FLOW MULTIPLE &amp; EQUITY RATE</t>
  </si>
  <si>
    <r>
      <t xml:space="preserve">GCF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</si>
  <si>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CFRA                                    S&amp;P Net Advantage</t>
  </si>
  <si>
    <t>Zacks Investment Research</t>
  </si>
  <si>
    <t>*** Market value of operating leases for all companies including the airlines and railroads</t>
  </si>
  <si>
    <t>Companies excluded from the study &gt;</t>
  </si>
  <si>
    <t>Companies added to the study &gt;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</si>
  <si>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(DY  X  (1+ .5(G)))  + .67(G1)  +  .33(g)</t>
    </r>
  </si>
  <si>
    <t>DY = Dividend Yield     See ValueLine</t>
  </si>
  <si>
    <t>G   = Average growth rate</t>
  </si>
  <si>
    <t>G1 = Short term growth estimate</t>
  </si>
  <si>
    <t>g   = Stable Growth - Nominal growth rate</t>
  </si>
  <si>
    <t>AAA</t>
  </si>
  <si>
    <t>AA+</t>
  </si>
  <si>
    <t>AA</t>
  </si>
  <si>
    <t>Obligations rated Aa are judged to be of high quality, with minimal risk.</t>
  </si>
  <si>
    <t>BB+</t>
  </si>
  <si>
    <t>BB</t>
  </si>
  <si>
    <t>BB-</t>
  </si>
  <si>
    <t>B-</t>
  </si>
  <si>
    <t>CCC+</t>
  </si>
  <si>
    <t>CCC</t>
  </si>
  <si>
    <t>CCC-</t>
  </si>
  <si>
    <t>CC</t>
  </si>
  <si>
    <t>Scale</t>
  </si>
  <si>
    <t>Retained to</t>
  </si>
  <si>
    <t>Shareholders Equity</t>
  </si>
  <si>
    <t>Return on Shareholders Equity -- Annual net profit divided by year-end shareholders equity, expressed as a percentage.</t>
  </si>
  <si>
    <t>Retained to Common Equity -- Net profit less all common and preferred dividends divided by common equity including intangible assets, expressed as a percentage.  Also known as the plowback ratio.</t>
  </si>
  <si>
    <t>Aaa1</t>
  </si>
  <si>
    <t>AAA+</t>
  </si>
  <si>
    <t>Aaa2</t>
  </si>
  <si>
    <t>Aaa3</t>
  </si>
  <si>
    <t>AAA-</t>
  </si>
  <si>
    <t>Ca1</t>
  </si>
  <si>
    <t>CC+</t>
  </si>
  <si>
    <t>Ca2</t>
  </si>
  <si>
    <t>Ca3</t>
  </si>
  <si>
    <t>CC-</t>
  </si>
  <si>
    <t>GROSS REVENUE &amp; GROSS BOOK (EQUITY) MULTIPLES</t>
  </si>
  <si>
    <t>Gross Revenues</t>
  </si>
  <si>
    <t>Gross Book Value Equity</t>
  </si>
  <si>
    <t>Multiple *</t>
  </si>
  <si>
    <t>* This multiple is applicable to service type companies, or those with few assets.  These companies sell at prices related to their revenues.</t>
  </si>
  <si>
    <t>The higher the return on revenue the higher the price to revenue will be.</t>
  </si>
  <si>
    <t>** The book value, or common equity, per share is total owners' equity minus preferred stock divided by the number of common shares outstanding.</t>
  </si>
  <si>
    <t>The purpose of this ratio is to test whether the market price is worth more (or less) than the cost of the assets.</t>
  </si>
  <si>
    <t>If the result is greater than one(1), it indicates the market value exceeds book value and can often be used as a sign of competent management.</t>
  </si>
  <si>
    <t>Share</t>
  </si>
  <si>
    <t>NOPAT Earnings</t>
  </si>
  <si>
    <t>P/E Ratio - Long Term Projection NOPAT</t>
  </si>
  <si>
    <t>&amp; Op Leases</t>
  </si>
  <si>
    <t>CS+LTD +PS +OL</t>
  </si>
  <si>
    <t xml:space="preserve">For rate based companies, the maximum allowed  'rate of return' established by state regulators is not comparable (a mismatch) to the 'cost of equity' calculated above.   </t>
  </si>
  <si>
    <t>Dividend Growth = DY + DG</t>
  </si>
  <si>
    <t>Earnings Growth = DY + EG</t>
  </si>
  <si>
    <t>DY = Dividend Yield</t>
  </si>
  <si>
    <t>DG = Dividend Growth</t>
  </si>
  <si>
    <t>EG = Earnings Growth</t>
  </si>
  <si>
    <t>G = Projected Growth (Div. 5 Yr Growth Rate)</t>
  </si>
  <si>
    <t>G = Projected Growth (Earnings Per Share 5 Yr Growth Rate)</t>
  </si>
  <si>
    <t>Evergy Inc (EVRG) - provides electric service to customers in Kansas and Missouri via coal and nuclear power</t>
  </si>
  <si>
    <t>Companies for consideration as future adds to the study &gt;</t>
  </si>
  <si>
    <t>Black Hills (BKH) - a western company, provides gas service to 1.1 million customers in NE, IA, KS, CO, WY, &amp; AR.  Also provides electric service to 218K customers in CO, SD, WY, and MT.</t>
  </si>
  <si>
    <t>MGE Energy (MGEE) - Removed due to a lack of a ValueLine review sheet</t>
  </si>
  <si>
    <t>Per Share **</t>
  </si>
  <si>
    <t>AMEREN Corporation</t>
  </si>
  <si>
    <t>Common Total Equity excludes 'noncontrolling interests' equity value.</t>
  </si>
  <si>
    <t xml:space="preserve">Property, Plant &amp; Equipment includes CWIP, but should exclude intangibles and the associated amortization.  </t>
  </si>
  <si>
    <t xml:space="preserve">Guideline companies were selected from Electric (East &amp; Central) Value Line Industry groups. </t>
  </si>
  <si>
    <t xml:space="preserve">http://www.federalreserve.gov/Releases/H15/Current/ </t>
  </si>
  <si>
    <t>Projected 1 Yr</t>
  </si>
  <si>
    <t>Estimated 20-22 to 26-28</t>
  </si>
  <si>
    <t>Earnings Per Share Growth Rate</t>
  </si>
  <si>
    <t>Electric Utility - East</t>
  </si>
  <si>
    <t>Electric Utility - Cent</t>
  </si>
  <si>
    <t xml:space="preserve">Risk Free Rate (Rf) </t>
  </si>
  <si>
    <t xml:space="preserve">Yield Equity Rate - DGM (Dividend Growth) &amp; DGM (Earnings Growth)  -- Gordon Growth </t>
  </si>
  <si>
    <t>CAPM - Ex Ante, Three Stage - V1</t>
  </si>
  <si>
    <t>CAPM - Ex Ante, Three Stage - V2</t>
  </si>
  <si>
    <t>Empirical CAPM - Ex Ante, Three Stage - V1</t>
  </si>
  <si>
    <t>Empirical CAPM - Ex Ante, Three Stage - V2</t>
  </si>
  <si>
    <t>Mean</t>
  </si>
  <si>
    <t>A market to book ratio over one would be an indication of no obsolescence.</t>
  </si>
  <si>
    <t xml:space="preserve">S&amp;P Rating </t>
  </si>
  <si>
    <t>Electric Utilities</t>
  </si>
  <si>
    <t>http://pages.stern.nyu.edu/~adamodar/New_Home_Page/datacurrent.html</t>
  </si>
  <si>
    <t>https://www.richmondfed.org/research/national_economy/cfo_survey</t>
  </si>
  <si>
    <t>https://www.bvresources.com/products/faqs/cost-of-capital-professional</t>
  </si>
  <si>
    <t>CAPM - Ex Ante  Damodaran Net Cash Yield</t>
  </si>
  <si>
    <t>CAPM - Ex Ante  Damodaran NEP</t>
  </si>
  <si>
    <t>CAPM - Ex Ante  Damodaran 12 Mo Cash Yield</t>
  </si>
  <si>
    <t>Empirical CAPM - Ex Ante  Damodaran 12 Mo Cash Yield</t>
  </si>
  <si>
    <t>Empirical CAPM - Ex Ante  Damodaran Net Cash Yield</t>
  </si>
  <si>
    <t>Empirical CAPM - Ex Ante  Damodaran NEP</t>
  </si>
  <si>
    <t>Damodaran Implied ERP Ex Ante   Net Cash Yield (3)</t>
  </si>
  <si>
    <t>Damodaran Implied ERP Ex Ante   Norm. Earnings &amp; Payout (3)</t>
  </si>
  <si>
    <t>Damodaran Implied ERP Ex Ante   Trailing 12 mo Cash Yield (3)</t>
  </si>
  <si>
    <t>KROLL Ex Post  - ERP Historical (8)</t>
  </si>
  <si>
    <t>KROLL Ex Post - ERP Supply Side (8)</t>
  </si>
  <si>
    <t>KROLL Ex Ante - ERP Conditional (8)</t>
  </si>
  <si>
    <t xml:space="preserve">CAPM - KROLL Ex Post  - ERP Historical </t>
  </si>
  <si>
    <t xml:space="preserve">CAPM - KROLL Ex Post - ERP Supply Side </t>
  </si>
  <si>
    <t xml:space="preserve">CAPM - KROLL Ex Ante - ERP Conditional </t>
  </si>
  <si>
    <t xml:space="preserve">Empirical CAPM - KROLL Ex Post  - ERP Historical </t>
  </si>
  <si>
    <t xml:space="preserve">Empirical CAPM - KROLL Ex Post - ERP Supply Side </t>
  </si>
  <si>
    <t xml:space="preserve">Empirical CAPM - KROLL Ex Ante - ERP Conditional </t>
  </si>
  <si>
    <t>Damodaran Implied ERP Ex Ante   Avg CF Yield Last 10 Yrs (3)</t>
  </si>
  <si>
    <t>P. Fernandez, T. Garcia de Santos &amp; J.F.Acin  (5)</t>
  </si>
  <si>
    <t>Empirical CAPM - Ex Ante  Damodaran Avg CF Yield Last 10 Yrs</t>
  </si>
  <si>
    <t>CAPM - Ex Ante  Damodaran Avg CF Yield Last 10 Yrs</t>
  </si>
  <si>
    <t>The Southern Company</t>
  </si>
  <si>
    <t>Corporate                          December Avg</t>
  </si>
  <si>
    <t>Utility                                                December Avg</t>
  </si>
  <si>
    <t>2025 Tax Year</t>
  </si>
  <si>
    <t>YEAR END 12/31/2024</t>
  </si>
  <si>
    <t>2025 CAPITALIZATION RATE STUDY</t>
  </si>
  <si>
    <t>Dec. 31, 2024</t>
  </si>
  <si>
    <t>Vl Projected 2025</t>
  </si>
  <si>
    <r>
      <t xml:space="preserve">KY DOR                    Earnings Growth Rate                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</si>
  <si>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t>INFLATION (CPI) &amp; GROSS DOMESTIC PRODUCT (GDP)</t>
  </si>
  <si>
    <t>na</t>
  </si>
  <si>
    <t>Federal Reserve Bank of Philadelphia / Livingston Survey  Median (2a)</t>
  </si>
  <si>
    <t>Federal Reserve Bank of Philadelphia  /Survey of Professional Forecasters  Mean (2b)</t>
  </si>
  <si>
    <t xml:space="preserve">Congressional Budget Office Real Economic Projections (3)  </t>
  </si>
  <si>
    <t xml:space="preserve">Congressional Budget Office Real Economic Projections (3a)  </t>
  </si>
  <si>
    <t xml:space="preserve">Congressional Budget Office Real Economic Projections (3b)  </t>
  </si>
  <si>
    <t>The Trading Economics (4)</t>
  </si>
  <si>
    <t>The World Bank (5)</t>
  </si>
  <si>
    <t xml:space="preserve">Federal Reserve Bank "Long Term" Projection - Members &amp; Presidents opinion (6) </t>
  </si>
  <si>
    <t>The Federal Reserve Bank projects their "long-term" estimate of Change in US real GDP at 1.8%</t>
  </si>
  <si>
    <t>The Congressional Budget Office projects the U.S. Real GDP annual growth rate of 1.9% in 2025 and 1.8% in 2026       Core CPI = 2.30%</t>
  </si>
  <si>
    <t>The Congressional Budget Office projects the U.S. Inflation CPI 4th Qtr. To 4th Qtr. 2.2% in 2025  2.1% in 2026, 2.0% in 2027 and 2028 to 2029.  2.0% 2030 to 2035</t>
  </si>
  <si>
    <t>The Congressional Budget Office projects the U.S. Real GDP annual growth rates of 1.8% from 2028 to 2029 and 1.8% from 2030 to 2035</t>
  </si>
  <si>
    <t>The Congressional Budget Office projects the U.S. Real GDP average annual (Yr to Yr) growth rates of 2.20% from 2025 to 2029 and 1.90% from 2030 to 2035 and 2.00 GDP overall from 2025 to 2035</t>
  </si>
  <si>
    <t xml:space="preserve">than the overall growth rate of the economy.”  Dr. Aswath Damodaran (n.d.) The Stable Growth Rate </t>
  </si>
  <si>
    <t>SOURCES:</t>
  </si>
  <si>
    <t>(1)  Federal Reserve Statistical Release</t>
  </si>
  <si>
    <t>January 2, 2025  Compare inflation indexed securities to non-inflation indexed securities.  The difference is the inflation rate.  See Minnesota study page 26 or Wsahington study page 6.</t>
  </si>
  <si>
    <t>(2) (2a)  Federal Reserve Bank of Philadelphia - The Livingston Survey</t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</si>
  <si>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Mean</t>
    </r>
    <r>
      <rPr>
        <sz val="10"/>
        <color theme="1"/>
        <rFont val="Cordia New"/>
        <family val="2"/>
        <charset val="222"/>
      </rPr>
      <t xml:space="preserve"> Inflation Rate &amp; Real GDP for next 10 yrs. </t>
    </r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</si>
  <si>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Median</t>
    </r>
    <r>
      <rPr>
        <sz val="10"/>
        <color theme="1"/>
        <rFont val="Cordia New"/>
        <family val="2"/>
        <charset val="222"/>
      </rPr>
      <t xml:space="preserve"> Annual CPI Rate &amp; Real GDP Growth Rate over next 10 yrs.</t>
    </r>
  </si>
  <si>
    <t>(2b)  Federal Reserve Bank of Philadelphia - Survey of Professional Forecasters</t>
  </si>
  <si>
    <t>First Qtr. 2025,  Feb. 14, 2025, Table 8 &amp; Table 9, Average (Mean) over next 10 yrs</t>
  </si>
  <si>
    <t>(3) (3a) (3b)  The Congressional Budget Office</t>
  </si>
  <si>
    <t>Real Economic Projections, Table C-1 Table C-2 pages 27 &amp; 28 Annual Avg. Economic Projections for Calendar years 2025to 2035</t>
  </si>
  <si>
    <t>Budget and Economic Data | Congressional Budget Office</t>
  </si>
  <si>
    <t>The Budget and Economic Outlook: 2025 to 2035</t>
  </si>
  <si>
    <t xml:space="preserve">https://www.cbo.gov/system/files/2025-01/60870-Outlook-2025.pdf </t>
  </si>
  <si>
    <t>https://www.cbo.gov/publication/60870</t>
  </si>
  <si>
    <t>(4) The Trading Economics</t>
  </si>
  <si>
    <t>Trading Economics, United States,  Full Year GDP Growth Rate Forecast for 2025</t>
  </si>
  <si>
    <t>https://tradingeconomics.com/united-states/full-year-gdp-growth</t>
  </si>
  <si>
    <t xml:space="preserve">(5) The World Bank </t>
  </si>
  <si>
    <t>January 2024-2025</t>
  </si>
  <si>
    <t>World Bank Group Flagship Report, GlobalEconomic Prospects,  Page 4  Table 1.1 Real GDP</t>
  </si>
  <si>
    <t>http://www.worldbank.org/en/publication/global-economic-prospects</t>
  </si>
  <si>
    <t>(6) Board of Governors of the Federal Reserve System - Federal Reserve Bank Members &amp; Presidents Opinion</t>
  </si>
  <si>
    <t>Medium projection value from Dec. 18, 2024 report Table 1</t>
  </si>
  <si>
    <t>https://www.federalreserve.gov/monetarypolicy/files/fomcprojtabl20241218.pd</t>
  </si>
  <si>
    <t>RISK FREE RATE (Rf)</t>
  </si>
  <si>
    <t>Federal Reserve Statistical Release (January 2, 2025)  Treasury Constant Maturities, Nominal (1) :</t>
  </si>
  <si>
    <t xml:space="preserve">10-year U.S. Treasury coupon bonds </t>
  </si>
  <si>
    <t xml:space="preserve">20-year U.S. Treasury coupon bonds (5 yr. monthly avg) 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</si>
  <si>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20-year U.S. Treasury coupon bonds</t>
    </r>
  </si>
  <si>
    <t>30-year U.S. Treasury coupon bonds</t>
  </si>
  <si>
    <t>KDOR Selected Risk Free Rate (Rf) &gt;</t>
  </si>
  <si>
    <t>Value Line Investment Survey (January 10, 2025)  Selected Yields on Taxable U.S. Treasury Securities :</t>
  </si>
  <si>
    <t>20-year U.S. Treasury coupon bonds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</si>
  <si>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30-year U.S. Treasury coupon bonds</t>
    </r>
  </si>
  <si>
    <t>Damodaran selected Risk-Free rate (January 1, 2025) (7) :</t>
  </si>
  <si>
    <t>KROLL Cost of Capital Navigator Risk-Free rate Ex Post  (January 1, 2025) :</t>
  </si>
  <si>
    <t>(7) Aswath Damoodaran</t>
  </si>
  <si>
    <t>http://pages.stern.nyu.edu/~adamodar/</t>
  </si>
  <si>
    <t>https://pages.stern.nyu.edu/~adamodar/pc/blog/S&amp;P500ValueJan2025.xlsx</t>
  </si>
  <si>
    <t>Three Stage Ex Ante  Version 1  (1)</t>
  </si>
  <si>
    <t>Three Stage Ex Ante  Version 2   (2)</t>
  </si>
  <si>
    <t xml:space="preserve">(1) Three Stage Dividend Growth Model, S&amp;P 500.  The Three Stage Ex Ante calculations were performed by Montana.  The Equity risk premiums are shown above.  </t>
  </si>
  <si>
    <t xml:space="preserve">(2) Three Stage Dividend Growth Model, S&amp;P 500.  The Three Stage Ex Ante calculations were performed by Minnesota.  The Equity risk premiums are shown above.  </t>
  </si>
  <si>
    <t>NMF</t>
  </si>
  <si>
    <t>NOPAT CASH FLOW MULTIPLE &amp; EQUITY RATE (LT 28-30 Yr Projected VL)</t>
  </si>
  <si>
    <t>Estimated 22-24 to 28-30</t>
  </si>
  <si>
    <t>Moody's Bond</t>
  </si>
  <si>
    <t>Moody's Rating</t>
  </si>
  <si>
    <t>(3) Implied Equity Risk Premium on January 9, 2025 as determined by Dr. Aswath Damodaran</t>
  </si>
  <si>
    <t xml:space="preserve">(4) The CFO Survey (2024). Data &amp; Results December 4, 2024. Mean average annual S&amp;P return over next ten years (9.6%) less annual yield on 10‐year Treasury Bonds (4.21%). </t>
  </si>
  <si>
    <t>(5) Fernandez, P., Garcia D., &amp; Acin, J. F. (2024). Survey: Market Risk Premium and Risk‐Free Rate used for 96 countries in 2024. SSRN Electronic Journal.</t>
  </si>
  <si>
    <t>https://papers.ssrn.com/sol3/papers.cfm?abstract_id=4754347</t>
  </si>
  <si>
    <t xml:space="preserve">(6) &amp; (7) Business Valuation Resources, Cost of Capital Professional. (2025). Historical ERP 1928 to present, using arithmetic mean, geometric mean, and 20-Year Treasury Securities. </t>
  </si>
  <si>
    <t>(8) KROLL, Cost of Capital Navigator. (2025).  See Montana Cap Rate Study.</t>
  </si>
  <si>
    <t>DEBT RATE for Direct and Yield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</si>
</sst>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0.000"/>
    <numFmt numFmtId="168" formatCode="_(* #,##0.000_);_(* \(#,##0.000\);_(* &quot;-&quot;??_);_(@_)"/>
    <numFmt numFmtId="169" formatCode="_(&quot;$&quot;* #,##0.0_);_(&quot;$&quot;* \(#,##0.0\);_(&quot;$&quot;* &quot;-&quot;??_);_(@_)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Helvetica Narrow Bold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Georgia"/>
      <family val="1"/>
    </font>
    <font>
      <sz val="11"/>
      <color theme="1"/>
      <name val="Georgia"/>
      <family val="1"/>
    </font>
    <font>
      <b/>
      <i/>
      <sz val="22"/>
      <color theme="1"/>
      <name val="Georgia"/>
      <family val="1"/>
    </font>
    <font>
      <i/>
      <sz val="11"/>
      <color theme="1"/>
      <name val="Georgia"/>
      <family val="1"/>
    </font>
    <font>
      <b/>
      <sz val="11"/>
      <color theme="1"/>
      <name val="Palatino Roman"/>
      <family val="1"/>
    </font>
    <font>
      <sz val="11"/>
      <color theme="1"/>
      <name val="Palatino Roman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2"/>
      <name val="TIMES"/>
    </font>
    <font>
      <u/>
      <sz val="11"/>
      <color theme="10"/>
      <name val="Calibri"/>
      <family val="2"/>
      <scheme val="minor"/>
    </font>
    <font>
      <sz val="11"/>
      <color theme="1"/>
      <name val="Microsoft GothicNeo"/>
      <family val="2"/>
      <charset val="129"/>
    </font>
    <font>
      <sz val="11"/>
      <name val="Microsoft GothicNeo"/>
      <family val="2"/>
      <charset val="129"/>
    </font>
    <font>
      <b/>
      <sz val="11"/>
      <color theme="1"/>
      <name val="Microsoft GothicNeo"/>
      <family val="2"/>
      <charset val="129"/>
    </font>
    <font>
      <b/>
      <sz val="11"/>
      <name val="Microsoft GothicNeo"/>
      <family val="2"/>
      <charset val="129"/>
    </font>
    <font>
      <b/>
      <sz val="18"/>
      <color theme="1"/>
      <name val="Microsoft GothicNeo"/>
      <family val="2"/>
      <charset val="129"/>
    </font>
    <font>
      <b/>
      <sz val="16"/>
      <color theme="1"/>
      <name val="Microsoft GothicNeo"/>
      <family val="2"/>
      <charset val="129"/>
    </font>
    <font>
      <b/>
      <sz val="12"/>
      <color indexed="8"/>
      <name val="Microsoft GothicNeo"/>
      <family val="2"/>
      <charset val="129"/>
    </font>
    <font>
      <b/>
      <sz val="11"/>
      <color indexed="8"/>
      <name val="Microsoft GothicNeo"/>
      <family val="2"/>
      <charset val="129"/>
    </font>
    <font>
      <b/>
      <sz val="11"/>
      <color rgb="FFFF0000"/>
      <name val="Microsoft GothicNeo"/>
      <family val="2"/>
      <charset val="129"/>
    </font>
    <font>
      <b/>
      <sz val="14"/>
      <color theme="1"/>
      <name val="Microsoft GothicNeo"/>
      <family val="2"/>
      <charset val="129"/>
    </font>
    <font>
      <b/>
      <sz val="10"/>
      <color theme="1"/>
      <name val="Microsoft GothicNeo"/>
      <family val="2"/>
      <charset val="129"/>
    </font>
    <font>
      <sz val="9"/>
      <color theme="1"/>
      <name val="Microsoft GothicNeo"/>
      <family val="2"/>
      <charset val="129"/>
    </font>
    <font>
      <sz val="10"/>
      <color theme="1"/>
      <name val="Microsoft GothicNeo"/>
      <family val="2"/>
      <charset val="129"/>
    </font>
    <font>
      <i/>
      <sz val="9"/>
      <color theme="1"/>
      <name val="Microsoft GothicNeo"/>
      <family val="2"/>
      <charset val="129"/>
    </font>
    <font>
      <b/>
      <sz val="9"/>
      <color theme="1"/>
      <name val="Microsoft GothicNeo"/>
      <family val="2"/>
      <charset val="129"/>
    </font>
    <font>
      <b/>
      <sz val="12"/>
      <color theme="1"/>
      <name val="Microsoft GothicNeo"/>
      <family val="2"/>
      <charset val="129"/>
    </font>
    <font>
      <b/>
      <i/>
      <sz val="10"/>
      <color theme="1"/>
      <name val="Microsoft GothicNeo"/>
      <family val="2"/>
      <charset val="129"/>
    </font>
    <font>
      <sz val="16"/>
      <color theme="1"/>
      <name val="Microsoft GothicNeo"/>
      <family val="2"/>
      <charset val="129"/>
    </font>
    <font>
      <sz val="12"/>
      <color theme="1"/>
      <name val="Microsoft GothicNeo"/>
      <family val="2"/>
      <charset val="129"/>
    </font>
    <font>
      <b/>
      <sz val="12"/>
      <name val="Microsoft GothicNeo"/>
      <family val="2"/>
      <charset val="129"/>
    </font>
    <font>
      <b/>
      <i/>
      <u/>
      <sz val="11"/>
      <color theme="1"/>
      <name val="Microsoft GothicNeo"/>
      <family val="2"/>
      <charset val="129"/>
    </font>
    <font>
      <b/>
      <i/>
      <sz val="11"/>
      <color theme="1"/>
      <name val="Microsoft GothicNeo"/>
      <family val="2"/>
      <charset val="129"/>
    </font>
    <font>
      <i/>
      <sz val="10"/>
      <color theme="1"/>
      <name val="Microsoft GothicNeo"/>
      <family val="2"/>
      <charset val="129"/>
    </font>
    <font>
      <b/>
      <sz val="11"/>
      <color theme="9" tint="-0.249977111117893"/>
      <name val="Microsoft GothicNeo"/>
      <family val="2"/>
      <charset val="129"/>
    </font>
    <font>
      <b/>
      <sz val="16"/>
      <name val="Microsoft GothicNeo"/>
      <family val="2"/>
      <charset val="129"/>
    </font>
    <font>
      <b/>
      <sz val="16"/>
      <color rgb="FFFF0000"/>
      <name val="Microsoft GothicNeo"/>
      <family val="2"/>
      <charset val="129"/>
    </font>
    <font>
      <i/>
      <sz val="11"/>
      <color theme="1"/>
      <name val="Microsoft GothicNeo"/>
      <family val="2"/>
      <charset val="129"/>
    </font>
    <font>
      <sz val="12"/>
      <color rgb="FFFF0000"/>
      <name val="Microsoft GothicNeo"/>
      <family val="2"/>
      <charset val="129"/>
    </font>
    <font>
      <b/>
      <sz val="12"/>
      <color rgb="FF0000CC"/>
      <name val="Microsoft GothicNeo"/>
      <family val="2"/>
      <charset val="129"/>
    </font>
    <font>
      <b/>
      <sz val="14"/>
      <name val="Microsoft GothicNeo"/>
      <family val="2"/>
      <charset val="129"/>
    </font>
    <font>
      <u/>
      <sz val="11"/>
      <color theme="10"/>
      <name val="Microsoft GothicNeo"/>
      <family val="2"/>
      <charset val="129"/>
    </font>
    <font>
      <b/>
      <sz val="12"/>
      <color rgb="FFFF0000"/>
      <name val="Microsoft GothicNeo"/>
      <family val="2"/>
      <charset val="129"/>
    </font>
    <font>
      <b/>
      <sz val="14"/>
      <color rgb="FFFF0000"/>
      <name val="Microsoft GothicNeo"/>
      <family val="2"/>
      <charset val="129"/>
    </font>
    <font>
      <b/>
      <sz val="11"/>
      <color theme="1"/>
      <name val="Calibri"/>
      <family val="2"/>
      <scheme val="minor"/>
    </font>
    <font>
      <sz val="14"/>
      <color theme="1"/>
      <name val="Microsoft GothicNeo"/>
      <family val="2"/>
      <charset val="129"/>
    </font>
    <font>
      <sz val="11"/>
      <color rgb="FFFF0000"/>
      <name val="Microsoft GothicNeo"/>
      <family val="2"/>
      <charset val="129"/>
    </font>
    <font>
      <sz val="20"/>
      <color theme="1"/>
      <name val="Microsoft GothicNeo"/>
      <family val="2"/>
      <charset val="129"/>
    </font>
    <font>
      <b/>
      <sz val="20"/>
      <color theme="1"/>
      <name val="Microsoft GothicNeo"/>
      <family val="2"/>
      <charset val="129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8"/>
      <color rgb="FF0000CC"/>
      <name val="Microsoft GothicNeo"/>
      <family val="2"/>
      <charset val="129"/>
    </font>
    <font>
      <sz val="12"/>
      <color rgb="FF000000"/>
      <name val="Microsoft GothicNeo"/>
      <family val="2"/>
      <charset val="129"/>
    </font>
    <font>
      <sz val="11"/>
      <name val="Calibri"/>
      <family val="2"/>
      <scheme val="minor"/>
    </font>
    <font>
      <b/>
      <sz val="9"/>
      <name val="Microsoft GothicNeo"/>
      <family val="2"/>
      <charset val="129"/>
    </font>
    <font>
      <sz val="11"/>
      <color rgb="FF0000CC"/>
      <name val="Microsoft GothicNeo"/>
      <family val="2"/>
      <charset val="129"/>
    </font>
    <font>
      <sz val="11"/>
      <color theme="1"/>
      <name val="Cordia New"/>
      <family val="2"/>
      <charset val="222"/>
    </font>
    <font>
      <b/>
      <sz val="11"/>
      <color theme="1"/>
      <name val="Cordia New"/>
      <family val="2"/>
      <charset val="222"/>
    </font>
    <font>
      <sz val="10"/>
      <color indexed="81"/>
      <name val="Tahoma"/>
      <family val="2"/>
    </font>
    <font>
      <b/>
      <i/>
      <sz val="14"/>
      <name val="Microsoft GothicNeo"/>
      <family val="2"/>
      <charset val="129"/>
    </font>
    <font>
      <b/>
      <i/>
      <sz val="12"/>
      <name val="Microsoft GothicNeo"/>
      <family val="2"/>
      <charset val="129"/>
    </font>
    <font>
      <sz val="12"/>
      <color theme="1"/>
      <name val="Cordia New"/>
      <family val="2"/>
      <charset val="222"/>
    </font>
    <font>
      <u/>
      <sz val="12"/>
      <color rgb="FF0000CC"/>
      <name val="Microsoft GothicNeo"/>
      <family val="2"/>
      <charset val="129"/>
    </font>
    <font>
      <sz val="10"/>
      <name val="Cordia New"/>
      <family val="2"/>
      <charset val="222"/>
    </font>
    <font>
      <u/>
      <sz val="11"/>
      <color rgb="FF0000CC"/>
      <name val="Cordia New"/>
      <family val="2"/>
      <charset val="222"/>
    </font>
    <font>
      <sz val="10"/>
      <color theme="1"/>
      <name val="Cordia New"/>
      <family val="2"/>
      <charset val="222"/>
    </font>
    <font>
      <u/>
      <sz val="10"/>
      <color theme="1"/>
      <name val="Cordia New"/>
      <family val="2"/>
      <charset val="222"/>
    </font>
    <font>
      <u/>
      <sz val="11"/>
      <color theme="10"/>
      <name val="Cordia New"/>
      <family val="2"/>
      <charset val="222"/>
    </font>
    <font>
      <sz val="11"/>
      <name val="Cordia New"/>
      <family val="2"/>
      <charset val="222"/>
    </font>
    <font>
      <sz val="9"/>
      <color rgb="FFC00000"/>
      <name val="Aptos"/>
      <family val="2"/>
    </font>
    <font>
      <b/>
      <sz val="14"/>
      <color theme="1"/>
      <name val="Microsoft GothicNeo Light"/>
      <family val="2"/>
      <charset val="129"/>
    </font>
    <font>
      <b/>
      <sz val="10"/>
      <color theme="1"/>
      <name val="Microsoft GothicNeo Light"/>
      <family val="2"/>
      <charset val="129"/>
    </font>
    <font>
      <b/>
      <sz val="7"/>
      <color theme="1"/>
      <name val="Microsoft GothicNeo Light"/>
      <family val="2"/>
      <charset val="129"/>
    </font>
    <font>
      <b/>
      <sz val="11"/>
      <color theme="1"/>
      <name val="Microsoft GothicNeo Light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ill="0" applyBorder="0" applyAlignment="0" applyProtection="0"/>
  </cellStyleXfs>
  <cellXfs count="46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2" fillId="0" borderId="0" xfId="0" applyNumberFormat="1" applyFont="1"/>
    <xf numFmtId="0" fontId="18" fillId="0" borderId="0" xfId="0" applyFont="1"/>
    <xf numFmtId="167" fontId="15" fillId="2" borderId="0" xfId="0" applyNumberFormat="1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43" fontId="24" fillId="0" borderId="0" xfId="1" applyFont="1" applyAlignment="1">
      <alignment horizontal="right" vertical="center"/>
    </xf>
    <xf numFmtId="43" fontId="24" fillId="0" borderId="0" xfId="1" applyFont="1" applyFill="1" applyAlignment="1">
      <alignment horizontal="right" vertical="center"/>
    </xf>
    <xf numFmtId="43" fontId="23" fillId="0" borderId="0" xfId="1" applyFont="1" applyFill="1" applyAlignment="1">
      <alignment horizontal="right"/>
    </xf>
    <xf numFmtId="43" fontId="23" fillId="0" borderId="0" xfId="1" applyFont="1" applyFill="1" applyAlignment="1">
      <alignment horizontal="center"/>
    </xf>
    <xf numFmtId="43" fontId="23" fillId="0" borderId="0" xfId="1" applyFont="1" applyFill="1" applyAlignment="1">
      <alignment horizontal="center" vertical="center"/>
    </xf>
    <xf numFmtId="43" fontId="23" fillId="0" borderId="0" xfId="1" applyFont="1" applyFill="1" applyBorder="1" applyAlignment="1">
      <alignment horizontal="center" vertical="center"/>
    </xf>
    <xf numFmtId="43" fontId="23" fillId="0" borderId="0" xfId="1" applyFont="1" applyFill="1"/>
    <xf numFmtId="164" fontId="23" fillId="0" borderId="0" xfId="1" applyNumberFormat="1" applyFont="1" applyFill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16" xfId="0" applyFont="1" applyBorder="1"/>
    <xf numFmtId="0" fontId="21" fillId="0" borderId="2" xfId="0" applyFont="1" applyBorder="1"/>
    <xf numFmtId="0" fontId="29" fillId="0" borderId="2" xfId="0" applyFont="1" applyBorder="1"/>
    <xf numFmtId="0" fontId="30" fillId="0" borderId="0" xfId="0" applyFont="1"/>
    <xf numFmtId="0" fontId="26" fillId="0" borderId="0" xfId="0" applyFont="1" applyAlignment="1">
      <alignment horizontal="center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23" fillId="0" borderId="0" xfId="0" applyFont="1"/>
    <xf numFmtId="166" fontId="24" fillId="0" borderId="0" xfId="1" applyNumberFormat="1" applyFont="1" applyFill="1" applyAlignment="1">
      <alignment horizontal="center"/>
    </xf>
    <xf numFmtId="166" fontId="24" fillId="0" borderId="0" xfId="1" applyNumberFormat="1" applyFont="1" applyFill="1"/>
    <xf numFmtId="0" fontId="23" fillId="0" borderId="4" xfId="0" applyFont="1" applyBorder="1"/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right"/>
    </xf>
    <xf numFmtId="10" fontId="23" fillId="0" borderId="0" xfId="2" applyNumberFormat="1" applyFont="1" applyFill="1" applyAlignment="1">
      <alignment horizontal="center" vertical="center"/>
    </xf>
    <xf numFmtId="10" fontId="23" fillId="0" borderId="0" xfId="2" applyNumberFormat="1" applyFont="1" applyFill="1" applyBorder="1" applyAlignment="1">
      <alignment horizontal="center" vertical="center"/>
    </xf>
    <xf numFmtId="10" fontId="24" fillId="0" borderId="0" xfId="2" applyNumberFormat="1" applyFont="1" applyAlignment="1">
      <alignment horizontal="right" vertical="center"/>
    </xf>
    <xf numFmtId="10" fontId="24" fillId="0" borderId="0" xfId="2" applyNumberFormat="1" applyFont="1" applyFill="1" applyAlignment="1">
      <alignment horizontal="center" vertical="center"/>
    </xf>
    <xf numFmtId="10" fontId="24" fillId="0" borderId="0" xfId="2" applyNumberFormat="1" applyFont="1" applyFill="1" applyAlignment="1">
      <alignment horizontal="right"/>
    </xf>
    <xf numFmtId="10" fontId="23" fillId="0" borderId="0" xfId="2" applyNumberFormat="1" applyFont="1" applyFill="1" applyAlignment="1">
      <alignment horizontal="right"/>
    </xf>
    <xf numFmtId="10" fontId="23" fillId="0" borderId="0" xfId="2" applyNumberFormat="1" applyFont="1" applyFill="1" applyAlignment="1">
      <alignment horizontal="center"/>
    </xf>
    <xf numFmtId="10" fontId="23" fillId="0" borderId="0" xfId="2" applyNumberFormat="1" applyFont="1" applyFill="1"/>
    <xf numFmtId="0" fontId="21" fillId="3" borderId="20" xfId="0" applyFont="1" applyFill="1" applyBorder="1" applyAlignment="1">
      <alignment horizontal="center"/>
    </xf>
    <xf numFmtId="0" fontId="21" fillId="3" borderId="22" xfId="0" applyFont="1" applyFill="1" applyBorder="1" applyAlignment="1">
      <alignment horizontal="center"/>
    </xf>
    <xf numFmtId="2" fontId="40" fillId="0" borderId="0" xfId="0" applyNumberFormat="1" applyFont="1" applyAlignment="1">
      <alignment horizontal="center"/>
    </xf>
    <xf numFmtId="164" fontId="40" fillId="0" borderId="0" xfId="1" applyNumberFormat="1" applyFont="1" applyAlignment="1"/>
    <xf numFmtId="2" fontId="24" fillId="0" borderId="0" xfId="0" applyNumberFormat="1" applyFont="1" applyAlignment="1">
      <alignment horizontal="center"/>
    </xf>
    <xf numFmtId="0" fontId="36" fillId="0" borderId="0" xfId="0" applyFont="1"/>
    <xf numFmtId="43" fontId="26" fillId="0" borderId="0" xfId="1" applyFont="1" applyFill="1"/>
    <xf numFmtId="2" fontId="40" fillId="0" borderId="4" xfId="0" applyNumberFormat="1" applyFont="1" applyBorder="1" applyAlignment="1">
      <alignment horizontal="center"/>
    </xf>
    <xf numFmtId="10" fontId="24" fillId="0" borderId="0" xfId="2" applyNumberFormat="1" applyFont="1" applyFill="1" applyAlignment="1">
      <alignment horizontal="center"/>
    </xf>
    <xf numFmtId="0" fontId="21" fillId="0" borderId="2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/>
    </xf>
    <xf numFmtId="0" fontId="21" fillId="0" borderId="4" xfId="0" applyFont="1" applyBorder="1"/>
    <xf numFmtId="2" fontId="23" fillId="0" borderId="0" xfId="0" applyNumberFormat="1" applyFont="1" applyAlignment="1">
      <alignment horizontal="right"/>
    </xf>
    <xf numFmtId="10" fontId="23" fillId="0" borderId="0" xfId="0" applyNumberFormat="1" applyFont="1"/>
    <xf numFmtId="0" fontId="41" fillId="0" borderId="0" xfId="0" applyFont="1" applyAlignment="1">
      <alignment horizontal="center"/>
    </xf>
    <xf numFmtId="0" fontId="42" fillId="0" borderId="0" xfId="0" applyFont="1"/>
    <xf numFmtId="0" fontId="43" fillId="0" borderId="17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44" fillId="0" borderId="0" xfId="0" applyFont="1"/>
    <xf numFmtId="10" fontId="23" fillId="0" borderId="0" xfId="2" applyNumberFormat="1" applyFont="1"/>
    <xf numFmtId="10" fontId="23" fillId="0" borderId="0" xfId="1" applyNumberFormat="1" applyFont="1" applyFill="1"/>
    <xf numFmtId="10" fontId="46" fillId="0" borderId="0" xfId="2" applyNumberFormat="1" applyFont="1" applyFill="1" applyAlignment="1">
      <alignment horizontal="center"/>
    </xf>
    <xf numFmtId="164" fontId="23" fillId="0" borderId="0" xfId="1" applyNumberFormat="1" applyFont="1"/>
    <xf numFmtId="0" fontId="21" fillId="0" borderId="0" xfId="0" applyFont="1" applyAlignment="1">
      <alignment horizontal="left"/>
    </xf>
    <xf numFmtId="0" fontId="23" fillId="0" borderId="2" xfId="0" applyFont="1" applyBorder="1"/>
    <xf numFmtId="0" fontId="36" fillId="0" borderId="7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0" xfId="0" applyFont="1" applyAlignment="1">
      <alignment horizontal="center"/>
    </xf>
    <xf numFmtId="15" fontId="36" fillId="0" borderId="10" xfId="0" applyNumberFormat="1" applyFont="1" applyBorder="1" applyAlignment="1">
      <alignment horizontal="center"/>
    </xf>
    <xf numFmtId="15" fontId="36" fillId="0" borderId="0" xfId="0" applyNumberFormat="1" applyFont="1" applyAlignment="1">
      <alignment horizontal="center"/>
    </xf>
    <xf numFmtId="15" fontId="36" fillId="0" borderId="0" xfId="0" quotePrefix="1" applyNumberFormat="1" applyFont="1" applyAlignment="1">
      <alignment horizontal="center"/>
    </xf>
    <xf numFmtId="0" fontId="40" fillId="0" borderId="10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6" fillId="0" borderId="10" xfId="0" applyFont="1" applyBorder="1"/>
    <xf numFmtId="0" fontId="36" fillId="0" borderId="7" xfId="0" applyFont="1" applyBorder="1"/>
    <xf numFmtId="0" fontId="40" fillId="0" borderId="0" xfId="0" applyFont="1" applyAlignment="1">
      <alignment horizontal="center"/>
    </xf>
    <xf numFmtId="2" fontId="40" fillId="0" borderId="10" xfId="0" applyNumberFormat="1" applyFont="1" applyBorder="1" applyAlignment="1">
      <alignment horizontal="center"/>
    </xf>
    <xf numFmtId="0" fontId="40" fillId="0" borderId="7" xfId="0" applyFont="1" applyBorder="1"/>
    <xf numFmtId="0" fontId="36" fillId="0" borderId="8" xfId="0" applyFont="1" applyBorder="1"/>
    <xf numFmtId="2" fontId="40" fillId="0" borderId="3" xfId="0" applyNumberFormat="1" applyFont="1" applyBorder="1" applyAlignment="1">
      <alignment horizontal="center"/>
    </xf>
    <xf numFmtId="3" fontId="40" fillId="0" borderId="2" xfId="0" applyNumberFormat="1" applyFont="1" applyBorder="1"/>
    <xf numFmtId="0" fontId="39" fillId="0" borderId="0" xfId="0" applyFont="1"/>
    <xf numFmtId="0" fontId="48" fillId="0" borderId="2" xfId="0" applyFont="1" applyBorder="1"/>
    <xf numFmtId="0" fontId="39" fillId="0" borderId="2" xfId="0" applyFont="1" applyBorder="1"/>
    <xf numFmtId="0" fontId="39" fillId="0" borderId="5" xfId="0" applyFont="1" applyBorder="1"/>
    <xf numFmtId="0" fontId="39" fillId="0" borderId="6" xfId="0" applyFont="1" applyBorder="1"/>
    <xf numFmtId="0" fontId="21" fillId="0" borderId="6" xfId="0" applyFont="1" applyBorder="1"/>
    <xf numFmtId="0" fontId="36" fillId="0" borderId="14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6" fillId="0" borderId="0" xfId="0" applyFont="1" applyAlignment="1">
      <alignment horizontal="right"/>
    </xf>
    <xf numFmtId="164" fontId="23" fillId="0" borderId="0" xfId="0" applyNumberFormat="1" applyFont="1"/>
    <xf numFmtId="10" fontId="36" fillId="0" borderId="0" xfId="0" applyNumberFormat="1" applyFont="1" applyAlignment="1">
      <alignment horizontal="right"/>
    </xf>
    <xf numFmtId="10" fontId="36" fillId="0" borderId="0" xfId="2" applyNumberFormat="1" applyFont="1" applyFill="1"/>
    <xf numFmtId="10" fontId="36" fillId="0" borderId="0" xfId="2" applyNumberFormat="1" applyFont="1"/>
    <xf numFmtId="2" fontId="21" fillId="0" borderId="0" xfId="0" applyNumberFormat="1" applyFont="1"/>
    <xf numFmtId="0" fontId="23" fillId="0" borderId="1" xfId="0" applyFont="1" applyBorder="1" applyAlignment="1">
      <alignment horizontal="center"/>
    </xf>
    <xf numFmtId="0" fontId="30" fillId="0" borderId="0" xfId="0" applyFont="1" applyAlignment="1">
      <alignment horizontal="right"/>
    </xf>
    <xf numFmtId="0" fontId="24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165" fontId="23" fillId="0" borderId="0" xfId="3" applyNumberFormat="1" applyFont="1" applyFill="1" applyAlignment="1">
      <alignment horizontal="center"/>
    </xf>
    <xf numFmtId="164" fontId="24" fillId="0" borderId="0" xfId="1" applyNumberFormat="1" applyFont="1" applyFill="1"/>
    <xf numFmtId="10" fontId="24" fillId="0" borderId="0" xfId="2" applyNumberFormat="1" applyFont="1" applyFill="1"/>
    <xf numFmtId="0" fontId="30" fillId="0" borderId="2" xfId="0" applyFont="1" applyBorder="1" applyAlignment="1">
      <alignment horizontal="center"/>
    </xf>
    <xf numFmtId="10" fontId="40" fillId="0" borderId="0" xfId="2" applyNumberFormat="1" applyFont="1" applyFill="1" applyAlignment="1">
      <alignment horizontal="center"/>
    </xf>
    <xf numFmtId="10" fontId="40" fillId="0" borderId="0" xfId="2" applyNumberFormat="1" applyFont="1" applyFill="1"/>
    <xf numFmtId="2" fontId="52" fillId="0" borderId="0" xfId="0" applyNumberFormat="1" applyFont="1" applyAlignment="1">
      <alignment horizontal="center"/>
    </xf>
    <xf numFmtId="2" fontId="36" fillId="0" borderId="2" xfId="0" applyNumberFormat="1" applyFont="1" applyBorder="1" applyAlignment="1">
      <alignment horizontal="center"/>
    </xf>
    <xf numFmtId="10" fontId="36" fillId="0" borderId="2" xfId="2" applyNumberFormat="1" applyFont="1" applyBorder="1"/>
    <xf numFmtId="10" fontId="36" fillId="0" borderId="0" xfId="0" applyNumberFormat="1" applyFont="1" applyAlignment="1">
      <alignment horizontal="center"/>
    </xf>
    <xf numFmtId="2" fontId="36" fillId="0" borderId="0" xfId="0" applyNumberFormat="1" applyFont="1" applyAlignment="1">
      <alignment horizontal="center"/>
    </xf>
    <xf numFmtId="0" fontId="40" fillId="0" borderId="0" xfId="0" applyFont="1"/>
    <xf numFmtId="0" fontId="36" fillId="0" borderId="0" xfId="0" applyFont="1" applyAlignment="1">
      <alignment horizontal="left"/>
    </xf>
    <xf numFmtId="10" fontId="24" fillId="0" borderId="4" xfId="2" applyNumberFormat="1" applyFont="1" applyFill="1" applyBorder="1" applyAlignment="1">
      <alignment horizontal="center"/>
    </xf>
    <xf numFmtId="10" fontId="21" fillId="0" borderId="0" xfId="0" applyNumberFormat="1" applyFont="1"/>
    <xf numFmtId="0" fontId="20" fillId="0" borderId="0" xfId="6"/>
    <xf numFmtId="0" fontId="53" fillId="0" borderId="2" xfId="0" applyFont="1" applyBorder="1"/>
    <xf numFmtId="0" fontId="0" fillId="0" borderId="2" xfId="0" applyBorder="1"/>
    <xf numFmtId="0" fontId="30" fillId="0" borderId="2" xfId="0" applyFont="1" applyBorder="1"/>
    <xf numFmtId="0" fontId="21" fillId="0" borderId="5" xfId="0" applyFont="1" applyBorder="1"/>
    <xf numFmtId="0" fontId="21" fillId="0" borderId="12" xfId="0" applyFont="1" applyBorder="1"/>
    <xf numFmtId="0" fontId="23" fillId="0" borderId="8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54" fillId="0" borderId="0" xfId="0" applyFont="1"/>
    <xf numFmtId="0" fontId="30" fillId="0" borderId="7" xfId="0" applyFont="1" applyBorder="1" applyAlignment="1">
      <alignment horizontal="center" vertical="center"/>
    </xf>
    <xf numFmtId="10" fontId="30" fillId="0" borderId="2" xfId="2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53" fillId="0" borderId="33" xfId="0" applyFont="1" applyBorder="1"/>
    <xf numFmtId="0" fontId="36" fillId="0" borderId="31" xfId="0" applyFont="1" applyBorder="1"/>
    <xf numFmtId="0" fontId="36" fillId="0" borderId="20" xfId="0" applyFont="1" applyBorder="1"/>
    <xf numFmtId="0" fontId="36" fillId="0" borderId="1" xfId="0" applyFont="1" applyBorder="1"/>
    <xf numFmtId="10" fontId="40" fillId="0" borderId="0" xfId="2" applyNumberFormat="1" applyFont="1" applyAlignment="1">
      <alignment horizontal="right" vertical="center"/>
    </xf>
    <xf numFmtId="10" fontId="36" fillId="0" borderId="0" xfId="2" applyNumberFormat="1" applyFont="1" applyFill="1" applyAlignment="1">
      <alignment horizontal="right"/>
    </xf>
    <xf numFmtId="43" fontId="36" fillId="0" borderId="0" xfId="1" applyFont="1" applyFill="1" applyAlignment="1">
      <alignment horizontal="right"/>
    </xf>
    <xf numFmtId="43" fontId="36" fillId="0" borderId="0" xfId="1" applyFont="1" applyFill="1"/>
    <xf numFmtId="0" fontId="36" fillId="0" borderId="0" xfId="0" applyFont="1" applyAlignment="1">
      <alignment horizontal="center" vertical="center"/>
    </xf>
    <xf numFmtId="44" fontId="40" fillId="0" borderId="0" xfId="3" applyFont="1" applyAlignment="1">
      <alignment horizontal="center"/>
    </xf>
    <xf numFmtId="0" fontId="23" fillId="0" borderId="0" xfId="0" applyFont="1" applyAlignment="1">
      <alignment horizontal="right" vertical="center"/>
    </xf>
    <xf numFmtId="0" fontId="47" fillId="0" borderId="0" xfId="0" applyFont="1"/>
    <xf numFmtId="0" fontId="0" fillId="0" borderId="34" xfId="0" applyBorder="1"/>
    <xf numFmtId="10" fontId="40" fillId="0" borderId="16" xfId="2" applyNumberFormat="1" applyFont="1" applyFill="1" applyBorder="1"/>
    <xf numFmtId="0" fontId="21" fillId="0" borderId="32" xfId="0" applyFont="1" applyBorder="1"/>
    <xf numFmtId="0" fontId="26" fillId="0" borderId="34" xfId="0" applyFont="1" applyBorder="1" applyAlignment="1">
      <alignment horizontal="right"/>
    </xf>
    <xf numFmtId="0" fontId="25" fillId="0" borderId="32" xfId="0" applyFont="1" applyBorder="1"/>
    <xf numFmtId="0" fontId="25" fillId="0" borderId="34" xfId="0" applyFont="1" applyBorder="1" applyAlignment="1">
      <alignment horizontal="right"/>
    </xf>
    <xf numFmtId="0" fontId="25" fillId="0" borderId="34" xfId="0" applyFont="1" applyBorder="1"/>
    <xf numFmtId="0" fontId="21" fillId="0" borderId="34" xfId="0" applyFont="1" applyBorder="1"/>
    <xf numFmtId="0" fontId="36" fillId="0" borderId="7" xfId="0" applyFont="1" applyBorder="1" applyAlignment="1">
      <alignment horizontal="center" vertical="center"/>
    </xf>
    <xf numFmtId="10" fontId="36" fillId="0" borderId="0" xfId="2" applyNumberFormat="1" applyFont="1" applyBorder="1" applyAlignment="1">
      <alignment horizontal="center" vertical="center"/>
    </xf>
    <xf numFmtId="10" fontId="36" fillId="0" borderId="13" xfId="2" applyNumberFormat="1" applyFont="1" applyBorder="1" applyAlignment="1">
      <alignment horizontal="center" vertical="center"/>
    </xf>
    <xf numFmtId="0" fontId="39" fillId="0" borderId="7" xfId="0" applyFont="1" applyBorder="1"/>
    <xf numFmtId="0" fontId="39" fillId="0" borderId="13" xfId="0" applyFont="1" applyBorder="1"/>
    <xf numFmtId="0" fontId="26" fillId="0" borderId="16" xfId="0" applyFont="1" applyBorder="1" applyAlignment="1">
      <alignment horizontal="center" vertical="center"/>
    </xf>
    <xf numFmtId="0" fontId="56" fillId="0" borderId="0" xfId="0" applyFont="1"/>
    <xf numFmtId="0" fontId="29" fillId="0" borderId="0" xfId="0" applyFont="1" applyAlignment="1">
      <alignment horizontal="center"/>
    </xf>
    <xf numFmtId="0" fontId="26" fillId="0" borderId="16" xfId="0" applyFont="1" applyBorder="1" applyAlignment="1">
      <alignment horizontal="right"/>
    </xf>
    <xf numFmtId="2" fontId="36" fillId="0" borderId="16" xfId="0" applyNumberFormat="1" applyFont="1" applyBorder="1" applyAlignment="1">
      <alignment horizontal="center"/>
    </xf>
    <xf numFmtId="43" fontId="36" fillId="0" borderId="0" xfId="1" applyFont="1" applyBorder="1" applyAlignment="1">
      <alignment horizontal="center" vertical="center"/>
    </xf>
    <xf numFmtId="43" fontId="36" fillId="0" borderId="0" xfId="1" applyFont="1" applyBorder="1" applyAlignment="1">
      <alignment vertical="center"/>
    </xf>
    <xf numFmtId="10" fontId="36" fillId="0" borderId="0" xfId="2" applyNumberFormat="1" applyFont="1" applyBorder="1" applyAlignment="1">
      <alignment vertical="center"/>
    </xf>
    <xf numFmtId="10" fontId="0" fillId="0" borderId="0" xfId="2" applyNumberFormat="1" applyFont="1"/>
    <xf numFmtId="10" fontId="36" fillId="0" borderId="0" xfId="2" applyNumberFormat="1" applyFont="1" applyFill="1" applyBorder="1" applyAlignment="1">
      <alignment horizontal="center" vertical="center"/>
    </xf>
    <xf numFmtId="0" fontId="36" fillId="0" borderId="30" xfId="0" applyFont="1" applyBorder="1"/>
    <xf numFmtId="0" fontId="36" fillId="0" borderId="21" xfId="0" applyFont="1" applyBorder="1"/>
    <xf numFmtId="0" fontId="36" fillId="0" borderId="23" xfId="0" applyFont="1" applyBorder="1"/>
    <xf numFmtId="10" fontId="40" fillId="3" borderId="26" xfId="2" applyNumberFormat="1" applyFont="1" applyFill="1" applyBorder="1" applyAlignment="1">
      <alignment horizontal="center"/>
    </xf>
    <xf numFmtId="0" fontId="21" fillId="0" borderId="24" xfId="0" applyFont="1" applyBorder="1"/>
    <xf numFmtId="10" fontId="30" fillId="0" borderId="3" xfId="2" applyNumberFormat="1" applyFont="1" applyBorder="1" applyAlignment="1">
      <alignment horizontal="center" vertical="center"/>
    </xf>
    <xf numFmtId="164" fontId="23" fillId="0" borderId="0" xfId="1" applyNumberFormat="1" applyFont="1" applyFill="1" applyAlignment="1">
      <alignment horizontal="center"/>
    </xf>
    <xf numFmtId="164" fontId="23" fillId="0" borderId="0" xfId="1" applyNumberFormat="1" applyFont="1" applyFill="1" applyAlignment="1"/>
    <xf numFmtId="2" fontId="26" fillId="0" borderId="16" xfId="0" applyNumberFormat="1" applyFont="1" applyBorder="1" applyAlignment="1">
      <alignment horizontal="center" vertical="center"/>
    </xf>
    <xf numFmtId="10" fontId="26" fillId="0" borderId="16" xfId="2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right" vertical="center"/>
    </xf>
    <xf numFmtId="0" fontId="32" fillId="0" borderId="17" xfId="0" applyFont="1" applyBorder="1" applyAlignment="1">
      <alignment horizontal="center"/>
    </xf>
    <xf numFmtId="10" fontId="23" fillId="0" borderId="0" xfId="0" applyNumberFormat="1" applyFont="1" applyAlignment="1">
      <alignment horizontal="center"/>
    </xf>
    <xf numFmtId="0" fontId="23" fillId="0" borderId="2" xfId="0" quotePrefix="1" applyFont="1" applyBorder="1" applyAlignment="1">
      <alignment horizontal="center"/>
    </xf>
    <xf numFmtId="0" fontId="6" fillId="0" borderId="0" xfId="0" applyFont="1"/>
    <xf numFmtId="0" fontId="57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58" fillId="0" borderId="0" xfId="0" applyFont="1"/>
    <xf numFmtId="0" fontId="39" fillId="0" borderId="0" xfId="0" applyFont="1" applyAlignment="1">
      <alignment horizontal="right"/>
    </xf>
    <xf numFmtId="0" fontId="39" fillId="0" borderId="2" xfId="0" applyFont="1" applyBorder="1" applyAlignment="1">
      <alignment horizontal="center"/>
    </xf>
    <xf numFmtId="0" fontId="55" fillId="0" borderId="0" xfId="0" applyFont="1"/>
    <xf numFmtId="10" fontId="30" fillId="0" borderId="10" xfId="2" applyNumberFormat="1" applyFont="1" applyFill="1" applyBorder="1" applyAlignment="1">
      <alignment horizontal="center" vertical="center"/>
    </xf>
    <xf numFmtId="168" fontId="40" fillId="0" borderId="16" xfId="1" applyNumberFormat="1" applyFont="1" applyFill="1" applyBorder="1"/>
    <xf numFmtId="15" fontId="36" fillId="0" borderId="24" xfId="0" applyNumberFormat="1" applyFont="1" applyBorder="1" applyAlignment="1">
      <alignment horizontal="center"/>
    </xf>
    <xf numFmtId="15" fontId="36" fillId="0" borderId="12" xfId="0" applyNumberFormat="1" applyFont="1" applyBorder="1" applyAlignment="1">
      <alignment horizontal="center"/>
    </xf>
    <xf numFmtId="15" fontId="36" fillId="0" borderId="13" xfId="0" applyNumberFormat="1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54" fillId="0" borderId="0" xfId="0" applyFont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0" fillId="0" borderId="1" xfId="0" applyBorder="1"/>
    <xf numFmtId="0" fontId="36" fillId="0" borderId="1" xfId="0" applyFont="1" applyBorder="1" applyAlignment="1">
      <alignment horizontal="center"/>
    </xf>
    <xf numFmtId="10" fontId="40" fillId="0" borderId="1" xfId="2" applyNumberFormat="1" applyFont="1" applyFill="1" applyBorder="1" applyAlignment="1">
      <alignment horizontal="center"/>
    </xf>
    <xf numFmtId="43" fontId="40" fillId="0" borderId="1" xfId="1" applyFont="1" applyFill="1" applyBorder="1" applyAlignment="1">
      <alignment horizontal="center"/>
    </xf>
    <xf numFmtId="43" fontId="40" fillId="0" borderId="0" xfId="1" applyFont="1" applyAlignment="1">
      <alignment horizontal="center"/>
    </xf>
    <xf numFmtId="43" fontId="40" fillId="0" borderId="0" xfId="1" applyFont="1" applyFill="1" applyAlignment="1">
      <alignment horizontal="center"/>
    </xf>
    <xf numFmtId="0" fontId="54" fillId="0" borderId="0" xfId="0" applyFont="1" applyAlignment="1">
      <alignment horizontal="right"/>
    </xf>
    <xf numFmtId="2" fontId="54" fillId="0" borderId="0" xfId="0" applyNumberFormat="1" applyFont="1"/>
    <xf numFmtId="0" fontId="36" fillId="0" borderId="5" xfId="0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164" fontId="40" fillId="0" borderId="10" xfId="1" applyNumberFormat="1" applyFont="1" applyFill="1" applyBorder="1" applyAlignment="1">
      <alignment horizontal="center"/>
    </xf>
    <xf numFmtId="164" fontId="40" fillId="0" borderId="3" xfId="1" applyNumberFormat="1" applyFont="1" applyFill="1" applyBorder="1" applyAlignment="1">
      <alignment horizontal="center"/>
    </xf>
    <xf numFmtId="164" fontId="40" fillId="0" borderId="13" xfId="1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0" fontId="40" fillId="0" borderId="0" xfId="2" applyNumberFormat="1" applyFont="1" applyFill="1" applyBorder="1" applyAlignment="1">
      <alignment horizontal="center"/>
    </xf>
    <xf numFmtId="10" fontId="40" fillId="0" borderId="0" xfId="2" applyNumberFormat="1" applyFont="1" applyBorder="1" applyAlignment="1">
      <alignment horizontal="center" vertical="center"/>
    </xf>
    <xf numFmtId="10" fontId="30" fillId="0" borderId="3" xfId="2" applyNumberFormat="1" applyFont="1" applyFill="1" applyBorder="1" applyAlignment="1">
      <alignment horizontal="center" vertical="center"/>
    </xf>
    <xf numFmtId="0" fontId="30" fillId="0" borderId="32" xfId="0" applyFont="1" applyBorder="1"/>
    <xf numFmtId="0" fontId="21" fillId="0" borderId="33" xfId="0" applyFont="1" applyBorder="1"/>
    <xf numFmtId="0" fontId="36" fillId="0" borderId="32" xfId="0" applyFont="1" applyBorder="1"/>
    <xf numFmtId="0" fontId="36" fillId="0" borderId="34" xfId="0" applyFont="1" applyBorder="1"/>
    <xf numFmtId="0" fontId="61" fillId="0" borderId="0" xfId="0" applyFont="1"/>
    <xf numFmtId="0" fontId="36" fillId="4" borderId="20" xfId="0" applyFont="1" applyFill="1" applyBorder="1"/>
    <xf numFmtId="0" fontId="36" fillId="0" borderId="32" xfId="0" applyFont="1" applyBorder="1" applyAlignment="1">
      <alignment horizontal="right"/>
    </xf>
    <xf numFmtId="2" fontId="36" fillId="0" borderId="34" xfId="0" applyNumberFormat="1" applyFont="1" applyBorder="1"/>
    <xf numFmtId="43" fontId="36" fillId="0" borderId="0" xfId="0" applyNumberFormat="1" applyFont="1"/>
    <xf numFmtId="0" fontId="37" fillId="0" borderId="35" xfId="0" applyFont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7" fillId="0" borderId="37" xfId="0" applyFont="1" applyBorder="1" applyAlignment="1">
      <alignment horizontal="center"/>
    </xf>
    <xf numFmtId="0" fontId="62" fillId="0" borderId="0" xfId="0" applyFont="1" applyAlignment="1">
      <alignment horizontal="left" vertical="top" wrapText="1"/>
    </xf>
    <xf numFmtId="0" fontId="30" fillId="0" borderId="28" xfId="0" applyFont="1" applyBorder="1" applyAlignment="1">
      <alignment horizontal="center"/>
    </xf>
    <xf numFmtId="0" fontId="39" fillId="3" borderId="26" xfId="0" applyFont="1" applyFill="1" applyBorder="1" applyAlignment="1">
      <alignment horizontal="center"/>
    </xf>
    <xf numFmtId="0" fontId="21" fillId="3" borderId="26" xfId="0" applyFont="1" applyFill="1" applyBorder="1" applyAlignment="1">
      <alignment horizontal="center"/>
    </xf>
    <xf numFmtId="0" fontId="39" fillId="3" borderId="27" xfId="0" applyFont="1" applyFill="1" applyBorder="1" applyAlignment="1">
      <alignment horizontal="center"/>
    </xf>
    <xf numFmtId="0" fontId="21" fillId="3" borderId="27" xfId="0" applyFont="1" applyFill="1" applyBorder="1" applyAlignment="1">
      <alignment horizontal="center"/>
    </xf>
    <xf numFmtId="0" fontId="21" fillId="3" borderId="29" xfId="0" applyFont="1" applyFill="1" applyBorder="1" applyAlignment="1">
      <alignment horizontal="center"/>
    </xf>
    <xf numFmtId="0" fontId="39" fillId="3" borderId="25" xfId="0" applyFont="1" applyFill="1" applyBorder="1" applyAlignment="1">
      <alignment horizontal="center"/>
    </xf>
    <xf numFmtId="0" fontId="21" fillId="3" borderId="30" xfId="0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/>
    </xf>
    <xf numFmtId="164" fontId="24" fillId="0" borderId="0" xfId="1" applyNumberFormat="1" applyFont="1" applyFill="1" applyAlignment="1">
      <alignment horizontal="center"/>
    </xf>
    <xf numFmtId="0" fontId="0" fillId="0" borderId="4" xfId="0" applyBorder="1"/>
    <xf numFmtId="0" fontId="0" fillId="0" borderId="33" xfId="0" applyBorder="1"/>
    <xf numFmtId="0" fontId="23" fillId="0" borderId="1" xfId="0" applyFont="1" applyBorder="1" applyAlignment="1">
      <alignment horizontal="right"/>
    </xf>
    <xf numFmtId="164" fontId="24" fillId="0" borderId="1" xfId="1" applyNumberFormat="1" applyFont="1" applyFill="1" applyBorder="1" applyAlignment="1">
      <alignment horizontal="center"/>
    </xf>
    <xf numFmtId="10" fontId="24" fillId="0" borderId="1" xfId="2" applyNumberFormat="1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/>
    </xf>
    <xf numFmtId="0" fontId="36" fillId="0" borderId="4" xfId="0" applyFont="1" applyBorder="1" applyAlignment="1">
      <alignment horizontal="center"/>
    </xf>
    <xf numFmtId="10" fontId="40" fillId="0" borderId="4" xfId="2" applyNumberFormat="1" applyFont="1" applyFill="1" applyBorder="1"/>
    <xf numFmtId="10" fontId="40" fillId="0" borderId="4" xfId="2" applyNumberFormat="1" applyFont="1" applyFill="1" applyBorder="1" applyAlignment="1">
      <alignment horizontal="center"/>
    </xf>
    <xf numFmtId="10" fontId="52" fillId="0" borderId="0" xfId="2" applyNumberFormat="1" applyFont="1" applyFill="1" applyAlignment="1">
      <alignment horizontal="right"/>
    </xf>
    <xf numFmtId="43" fontId="40" fillId="0" borderId="0" xfId="1" applyFont="1" applyFill="1" applyAlignment="1">
      <alignment horizontal="right" vertical="center"/>
    </xf>
    <xf numFmtId="44" fontId="24" fillId="0" borderId="0" xfId="3" applyFont="1" applyFill="1" applyAlignment="1">
      <alignment horizontal="center"/>
    </xf>
    <xf numFmtId="10" fontId="24" fillId="0" borderId="0" xfId="2" applyNumberFormat="1" applyFont="1" applyFill="1" applyAlignment="1">
      <alignment horizontal="right" vertical="center"/>
    </xf>
    <xf numFmtId="10" fontId="24" fillId="0" borderId="1" xfId="2" applyNumberFormat="1" applyFont="1" applyFill="1" applyBorder="1" applyAlignment="1">
      <alignment horizontal="right" vertical="center"/>
    </xf>
    <xf numFmtId="10" fontId="24" fillId="0" borderId="0" xfId="0" applyNumberFormat="1" applyFont="1" applyAlignment="1">
      <alignment horizontal="center"/>
    </xf>
    <xf numFmtId="43" fontId="26" fillId="0" borderId="16" xfId="1" applyFont="1" applyFill="1" applyBorder="1" applyAlignment="1">
      <alignment horizontal="center" vertical="center"/>
    </xf>
    <xf numFmtId="43" fontId="24" fillId="0" borderId="1" xfId="1" applyFont="1" applyFill="1" applyBorder="1" applyAlignment="1">
      <alignment horizontal="right" vertical="center"/>
    </xf>
    <xf numFmtId="2" fontId="40" fillId="0" borderId="2" xfId="0" applyNumberFormat="1" applyFont="1" applyBorder="1" applyAlignment="1">
      <alignment horizontal="center"/>
    </xf>
    <xf numFmtId="3" fontId="40" fillId="0" borderId="10" xfId="0" applyNumberFormat="1" applyFont="1" applyBorder="1"/>
    <xf numFmtId="165" fontId="24" fillId="0" borderId="0" xfId="3" applyNumberFormat="1" applyFont="1" applyFill="1" applyAlignment="1">
      <alignment horizontal="right"/>
    </xf>
    <xf numFmtId="164" fontId="40" fillId="0" borderId="14" xfId="1" applyNumberFormat="1" applyFont="1" applyFill="1" applyBorder="1" applyAlignment="1">
      <alignment horizontal="center"/>
    </xf>
    <xf numFmtId="3" fontId="40" fillId="0" borderId="3" xfId="0" applyNumberFormat="1" applyFont="1" applyBorder="1"/>
    <xf numFmtId="169" fontId="21" fillId="0" borderId="0" xfId="0" applyNumberFormat="1" applyFont="1"/>
    <xf numFmtId="3" fontId="40" fillId="0" borderId="0" xfId="0" applyNumberFormat="1" applyFont="1"/>
    <xf numFmtId="0" fontId="40" fillId="0" borderId="0" xfId="0" applyFont="1" applyAlignment="1">
      <alignment horizontal="left" vertical="center"/>
    </xf>
    <xf numFmtId="2" fontId="24" fillId="0" borderId="0" xfId="0" applyNumberFormat="1" applyFont="1" applyAlignment="1">
      <alignment horizontal="right" vertical="center"/>
    </xf>
    <xf numFmtId="0" fontId="36" fillId="0" borderId="1" xfId="0" applyFont="1" applyBorder="1" applyAlignment="1">
      <alignment horizontal="right"/>
    </xf>
    <xf numFmtId="10" fontId="36" fillId="0" borderId="1" xfId="2" applyNumberFormat="1" applyFont="1" applyBorder="1"/>
    <xf numFmtId="2" fontId="24" fillId="0" borderId="1" xfId="0" applyNumberFormat="1" applyFont="1" applyBorder="1" applyAlignment="1">
      <alignment horizontal="right" vertical="center"/>
    </xf>
    <xf numFmtId="10" fontId="30" fillId="0" borderId="0" xfId="2" applyNumberFormat="1" applyFont="1" applyFill="1" applyBorder="1" applyAlignment="1">
      <alignment horizontal="center" vertical="center"/>
    </xf>
    <xf numFmtId="0" fontId="21" fillId="0" borderId="21" xfId="0" applyFont="1" applyBorder="1"/>
    <xf numFmtId="0" fontId="21" fillId="0" borderId="23" xfId="0" applyFont="1" applyBorder="1"/>
    <xf numFmtId="0" fontId="24" fillId="0" borderId="0" xfId="1" applyNumberFormat="1" applyFont="1" applyFill="1"/>
    <xf numFmtId="0" fontId="38" fillId="0" borderId="28" xfId="0" applyFont="1" applyBorder="1"/>
    <xf numFmtId="10" fontId="38" fillId="0" borderId="28" xfId="2" applyNumberFormat="1" applyFont="1" applyFill="1" applyBorder="1"/>
    <xf numFmtId="2" fontId="38" fillId="0" borderId="28" xfId="0" applyNumberFormat="1" applyFont="1" applyBorder="1"/>
    <xf numFmtId="2" fontId="26" fillId="0" borderId="0" xfId="0" applyNumberFormat="1" applyFont="1" applyAlignment="1">
      <alignment horizontal="center"/>
    </xf>
    <xf numFmtId="10" fontId="26" fillId="0" borderId="0" xfId="2" applyNumberFormat="1" applyFont="1" applyFill="1" applyBorder="1" applyAlignment="1">
      <alignment horizontal="center"/>
    </xf>
    <xf numFmtId="10" fontId="24" fillId="0" borderId="0" xfId="2" applyNumberFormat="1" applyFont="1" applyAlignment="1">
      <alignment horizontal="right"/>
    </xf>
    <xf numFmtId="10" fontId="24" fillId="0" borderId="4" xfId="2" applyNumberFormat="1" applyFont="1" applyFill="1" applyBorder="1" applyAlignment="1">
      <alignment horizontal="right"/>
    </xf>
    <xf numFmtId="10" fontId="24" fillId="0" borderId="4" xfId="2" applyNumberFormat="1" applyFont="1" applyBorder="1" applyAlignment="1">
      <alignment horizontal="right"/>
    </xf>
    <xf numFmtId="0" fontId="40" fillId="0" borderId="18" xfId="0" applyFont="1" applyBorder="1"/>
    <xf numFmtId="10" fontId="40" fillId="0" borderId="28" xfId="2" applyNumberFormat="1" applyFont="1" applyFill="1" applyBorder="1" applyAlignment="1">
      <alignment horizontal="center"/>
    </xf>
    <xf numFmtId="10" fontId="29" fillId="0" borderId="0" xfId="2" applyNumberFormat="1" applyFont="1" applyFill="1" applyAlignment="1">
      <alignment horizontal="right"/>
    </xf>
    <xf numFmtId="10" fontId="24" fillId="0" borderId="1" xfId="2" applyNumberFormat="1" applyFont="1" applyBorder="1" applyAlignment="1">
      <alignment horizontal="right" vertical="center"/>
    </xf>
    <xf numFmtId="0" fontId="30" fillId="0" borderId="3" xfId="0" applyFont="1" applyBorder="1" applyAlignment="1">
      <alignment horizontal="center"/>
    </xf>
    <xf numFmtId="10" fontId="23" fillId="0" borderId="0" xfId="2" applyNumberFormat="1" applyFont="1" applyFill="1" applyAlignment="1">
      <alignment horizontal="right" vertical="center"/>
    </xf>
    <xf numFmtId="10" fontId="23" fillId="0" borderId="0" xfId="2" applyNumberFormat="1" applyFont="1" applyFill="1" applyBorder="1" applyAlignment="1">
      <alignment horizontal="right" vertical="center"/>
    </xf>
    <xf numFmtId="43" fontId="26" fillId="0" borderId="16" xfId="1" applyFont="1" applyFill="1" applyBorder="1" applyAlignment="1">
      <alignment horizontal="center"/>
    </xf>
    <xf numFmtId="0" fontId="36" fillId="4" borderId="38" xfId="0" applyFont="1" applyFill="1" applyBorder="1"/>
    <xf numFmtId="10" fontId="40" fillId="4" borderId="38" xfId="2" applyNumberFormat="1" applyFont="1" applyFill="1" applyBorder="1" applyAlignment="1">
      <alignment horizontal="center"/>
    </xf>
    <xf numFmtId="0" fontId="21" fillId="0" borderId="20" xfId="0" applyFont="1" applyBorder="1"/>
    <xf numFmtId="10" fontId="40" fillId="4" borderId="20" xfId="2" applyNumberFormat="1" applyFont="1" applyFill="1" applyBorder="1" applyAlignment="1">
      <alignment horizontal="center"/>
    </xf>
    <xf numFmtId="10" fontId="21" fillId="0" borderId="20" xfId="2" applyNumberFormat="1" applyFont="1" applyFill="1" applyBorder="1"/>
    <xf numFmtId="10" fontId="21" fillId="0" borderId="20" xfId="0" applyNumberFormat="1" applyFont="1" applyBorder="1"/>
    <xf numFmtId="0" fontId="40" fillId="3" borderId="22" xfId="0" applyFont="1" applyFill="1" applyBorder="1"/>
    <xf numFmtId="10" fontId="40" fillId="3" borderId="27" xfId="2" applyNumberFormat="1" applyFont="1" applyFill="1" applyBorder="1" applyAlignment="1">
      <alignment horizontal="center"/>
    </xf>
    <xf numFmtId="43" fontId="40" fillId="0" borderId="1" xfId="1" applyFont="1" applyFill="1" applyBorder="1" applyAlignment="1">
      <alignment horizontal="right" vertical="center"/>
    </xf>
    <xf numFmtId="0" fontId="38" fillId="0" borderId="16" xfId="0" applyFont="1" applyBorder="1" applyAlignment="1">
      <alignment horizontal="center"/>
    </xf>
    <xf numFmtId="0" fontId="21" fillId="0" borderId="8" xfId="0" applyFont="1" applyBorder="1"/>
    <xf numFmtId="0" fontId="21" fillId="0" borderId="14" xfId="0" applyFont="1" applyBorder="1"/>
    <xf numFmtId="0" fontId="0" fillId="0" borderId="8" xfId="0" applyBorder="1"/>
    <xf numFmtId="0" fontId="0" fillId="0" borderId="14" xfId="0" applyBorder="1"/>
    <xf numFmtId="10" fontId="40" fillId="4" borderId="26" xfId="2" applyNumberFormat="1" applyFont="1" applyFill="1" applyBorder="1" applyAlignment="1">
      <alignment horizontal="center"/>
    </xf>
    <xf numFmtId="0" fontId="36" fillId="4" borderId="26" xfId="0" applyFont="1" applyFill="1" applyBorder="1"/>
    <xf numFmtId="0" fontId="40" fillId="4" borderId="26" xfId="0" applyFont="1" applyFill="1" applyBorder="1"/>
    <xf numFmtId="0" fontId="40" fillId="3" borderId="26" xfId="0" applyFont="1" applyFill="1" applyBorder="1"/>
    <xf numFmtId="0" fontId="36" fillId="4" borderId="7" xfId="0" applyFont="1" applyFill="1" applyBorder="1" applyAlignment="1">
      <alignment horizontal="left" vertical="center"/>
    </xf>
    <xf numFmtId="10" fontId="45" fillId="0" borderId="0" xfId="2" applyNumberFormat="1" applyFont="1" applyFill="1" applyBorder="1" applyAlignment="1">
      <alignment horizontal="center"/>
    </xf>
    <xf numFmtId="10" fontId="26" fillId="0" borderId="16" xfId="2" applyNumberFormat="1" applyFont="1" applyFill="1" applyBorder="1" applyAlignment="1">
      <alignment horizontal="center" vertical="center"/>
    </xf>
    <xf numFmtId="10" fontId="26" fillId="0" borderId="16" xfId="2" applyNumberFormat="1" applyFont="1" applyFill="1" applyBorder="1" applyAlignment="1">
      <alignment horizontal="center"/>
    </xf>
    <xf numFmtId="0" fontId="39" fillId="3" borderId="0" xfId="0" applyFont="1" applyFill="1" applyAlignment="1">
      <alignment horizontal="center"/>
    </xf>
    <xf numFmtId="0" fontId="21" fillId="3" borderId="39" xfId="0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0" xfId="0" applyFont="1" applyFill="1" applyBorder="1" applyAlignment="1">
      <alignment horizontal="center"/>
    </xf>
    <xf numFmtId="0" fontId="39" fillId="3" borderId="22" xfId="0" applyFont="1" applyFill="1" applyBorder="1" applyAlignment="1">
      <alignment horizontal="center"/>
    </xf>
    <xf numFmtId="0" fontId="21" fillId="3" borderId="40" xfId="0" applyFont="1" applyFill="1" applyBorder="1" applyAlignment="1">
      <alignment horizontal="center"/>
    </xf>
    <xf numFmtId="0" fontId="21" fillId="3" borderId="41" xfId="0" applyFont="1" applyFill="1" applyBorder="1" applyAlignment="1">
      <alignment horizontal="center"/>
    </xf>
    <xf numFmtId="0" fontId="38" fillId="0" borderId="18" xfId="0" applyFont="1" applyBorder="1"/>
    <xf numFmtId="43" fontId="38" fillId="0" borderId="28" xfId="1" applyFont="1" applyFill="1" applyBorder="1"/>
    <xf numFmtId="2" fontId="26" fillId="0" borderId="16" xfId="0" applyNumberFormat="1" applyFont="1" applyBorder="1" applyAlignment="1">
      <alignment horizontal="center"/>
    </xf>
    <xf numFmtId="10" fontId="25" fillId="0" borderId="16" xfId="2" applyNumberFormat="1" applyFont="1" applyFill="1" applyBorder="1"/>
    <xf numFmtId="10" fontId="25" fillId="0" borderId="16" xfId="2" applyNumberFormat="1" applyFont="1" applyFill="1" applyBorder="1" applyAlignment="1">
      <alignment horizontal="center"/>
    </xf>
    <xf numFmtId="10" fontId="26" fillId="0" borderId="32" xfId="2" applyNumberFormat="1" applyFont="1" applyFill="1" applyBorder="1" applyAlignment="1">
      <alignment horizontal="right"/>
    </xf>
    <xf numFmtId="10" fontId="26" fillId="0" borderId="34" xfId="0" applyNumberFormat="1" applyFont="1" applyBorder="1"/>
    <xf numFmtId="10" fontId="45" fillId="0" borderId="16" xfId="2" applyNumberFormat="1" applyFont="1" applyFill="1" applyBorder="1" applyAlignment="1">
      <alignment horizontal="center"/>
    </xf>
    <xf numFmtId="0" fontId="0" fillId="0" borderId="20" xfId="0" applyBorder="1"/>
    <xf numFmtId="10" fontId="49" fillId="0" borderId="0" xfId="2" applyNumberFormat="1" applyFont="1" applyFill="1" applyBorder="1" applyAlignment="1">
      <alignment horizontal="center" vertical="center"/>
    </xf>
    <xf numFmtId="0" fontId="51" fillId="0" borderId="0" xfId="6" applyFont="1"/>
    <xf numFmtId="0" fontId="49" fillId="0" borderId="7" xfId="0" applyFont="1" applyBorder="1" applyAlignment="1">
      <alignment horizontal="center" vertical="center"/>
    </xf>
    <xf numFmtId="0" fontId="39" fillId="0" borderId="24" xfId="0" applyFont="1" applyBorder="1"/>
    <xf numFmtId="15" fontId="36" fillId="0" borderId="10" xfId="0" quotePrefix="1" applyNumberFormat="1" applyFont="1" applyBorder="1" applyAlignment="1">
      <alignment horizontal="center"/>
    </xf>
    <xf numFmtId="10" fontId="40" fillId="0" borderId="10" xfId="2" applyNumberFormat="1" applyFont="1" applyFill="1" applyBorder="1"/>
    <xf numFmtId="10" fontId="40" fillId="0" borderId="3" xfId="2" applyNumberFormat="1" applyFont="1" applyFill="1" applyBorder="1"/>
    <xf numFmtId="15" fontId="36" fillId="0" borderId="24" xfId="0" quotePrefix="1" applyNumberFormat="1" applyFont="1" applyBorder="1" applyAlignment="1">
      <alignment horizontal="center"/>
    </xf>
    <xf numFmtId="0" fontId="39" fillId="0" borderId="10" xfId="0" applyFont="1" applyBorder="1"/>
    <xf numFmtId="164" fontId="40" fillId="0" borderId="10" xfId="1" applyNumberFormat="1" applyFont="1" applyFill="1" applyBorder="1"/>
    <xf numFmtId="164" fontId="40" fillId="0" borderId="3" xfId="1" applyNumberFormat="1" applyFont="1" applyFill="1" applyBorder="1"/>
    <xf numFmtId="164" fontId="49" fillId="0" borderId="10" xfId="1" applyNumberFormat="1" applyFont="1" applyFill="1" applyBorder="1"/>
    <xf numFmtId="10" fontId="24" fillId="0" borderId="0" xfId="1" applyNumberFormat="1" applyFont="1" applyFill="1" applyAlignment="1">
      <alignment horizontal="right" vertical="center"/>
    </xf>
    <xf numFmtId="10" fontId="24" fillId="0" borderId="1" xfId="1" applyNumberFormat="1" applyFont="1" applyFill="1" applyBorder="1" applyAlignment="1">
      <alignment horizontal="right" vertical="center"/>
    </xf>
    <xf numFmtId="10" fontId="24" fillId="3" borderId="10" xfId="2" applyNumberFormat="1" applyFont="1" applyFill="1" applyBorder="1" applyAlignment="1">
      <alignment horizontal="center"/>
    </xf>
    <xf numFmtId="10" fontId="24" fillId="3" borderId="10" xfId="1" applyNumberFormat="1" applyFont="1" applyFill="1" applyBorder="1" applyAlignment="1">
      <alignment horizontal="center"/>
    </xf>
    <xf numFmtId="0" fontId="63" fillId="3" borderId="16" xfId="0" applyFont="1" applyFill="1" applyBorder="1"/>
    <xf numFmtId="0" fontId="30" fillId="3" borderId="25" xfId="0" applyFont="1" applyFill="1" applyBorder="1" applyAlignment="1">
      <alignment horizontal="center"/>
    </xf>
    <xf numFmtId="0" fontId="26" fillId="0" borderId="28" xfId="0" applyFont="1" applyBorder="1"/>
    <xf numFmtId="10" fontId="26" fillId="0" borderId="28" xfId="2" applyNumberFormat="1" applyFont="1" applyFill="1" applyBorder="1"/>
    <xf numFmtId="2" fontId="24" fillId="0" borderId="0" xfId="0" applyNumberFormat="1" applyFont="1" applyAlignment="1">
      <alignment horizontal="right"/>
    </xf>
    <xf numFmtId="0" fontId="64" fillId="3" borderId="24" xfId="0" applyFont="1" applyFill="1" applyBorder="1" applyAlignment="1">
      <alignment horizontal="center" vertical="center" wrapText="1"/>
    </xf>
    <xf numFmtId="0" fontId="66" fillId="0" borderId="0" xfId="0" applyFont="1"/>
    <xf numFmtId="0" fontId="67" fillId="0" borderId="0" xfId="0" applyFont="1"/>
    <xf numFmtId="0" fontId="5" fillId="0" borderId="0" xfId="0" applyFont="1"/>
    <xf numFmtId="0" fontId="50" fillId="5" borderId="25" xfId="0" applyFont="1" applyFill="1" applyBorder="1" applyAlignment="1">
      <alignment horizontal="center"/>
    </xf>
    <xf numFmtId="0" fontId="50" fillId="5" borderId="27" xfId="0" applyFont="1" applyFill="1" applyBorder="1" applyAlignment="1">
      <alignment horizontal="center"/>
    </xf>
    <xf numFmtId="0" fontId="30" fillId="0" borderId="29" xfId="0" applyFont="1" applyBorder="1"/>
    <xf numFmtId="10" fontId="50" fillId="0" borderId="25" xfId="2" applyNumberFormat="1" applyFont="1" applyFill="1" applyBorder="1" applyAlignment="1">
      <alignment horizontal="center"/>
    </xf>
    <xf numFmtId="10" fontId="69" fillId="0" borderId="25" xfId="2" applyNumberFormat="1" applyFont="1" applyFill="1" applyBorder="1" applyAlignment="1">
      <alignment horizontal="center"/>
    </xf>
    <xf numFmtId="0" fontId="30" fillId="0" borderId="20" xfId="0" applyFont="1" applyBorder="1"/>
    <xf numFmtId="10" fontId="50" fillId="0" borderId="26" xfId="2" applyNumberFormat="1" applyFont="1" applyFill="1" applyBorder="1" applyAlignment="1">
      <alignment horizontal="center"/>
    </xf>
    <xf numFmtId="10" fontId="69" fillId="0" borderId="26" xfId="2" applyNumberFormat="1" applyFont="1" applyFill="1" applyBorder="1" applyAlignment="1">
      <alignment horizontal="center"/>
    </xf>
    <xf numFmtId="0" fontId="30" fillId="0" borderId="22" xfId="0" applyFont="1" applyBorder="1"/>
    <xf numFmtId="10" fontId="50" fillId="0" borderId="27" xfId="2" applyNumberFormat="1" applyFont="1" applyFill="1" applyBorder="1" applyAlignment="1">
      <alignment horizontal="center"/>
    </xf>
    <xf numFmtId="10" fontId="69" fillId="0" borderId="27" xfId="2" applyNumberFormat="1" applyFont="1" applyFill="1" applyBorder="1" applyAlignment="1">
      <alignment horizontal="center"/>
    </xf>
    <xf numFmtId="10" fontId="30" fillId="0" borderId="26" xfId="2" applyNumberFormat="1" applyFont="1" applyFill="1" applyBorder="1" applyAlignment="1">
      <alignment horizontal="center"/>
    </xf>
    <xf numFmtId="10" fontId="30" fillId="0" borderId="27" xfId="2" applyNumberFormat="1" applyFont="1" applyFill="1" applyBorder="1" applyAlignment="1">
      <alignment horizontal="center"/>
    </xf>
    <xf numFmtId="10" fontId="50" fillId="0" borderId="26" xfId="2" applyNumberFormat="1" applyFont="1" applyBorder="1" applyAlignment="1">
      <alignment horizontal="center" vertical="center"/>
    </xf>
    <xf numFmtId="10" fontId="50" fillId="0" borderId="27" xfId="2" applyNumberFormat="1" applyFont="1" applyBorder="1" applyAlignment="1">
      <alignment horizontal="center" vertical="center"/>
    </xf>
    <xf numFmtId="10" fontId="30" fillId="0" borderId="25" xfId="2" applyNumberFormat="1" applyFont="1" applyFill="1" applyBorder="1" applyAlignment="1">
      <alignment horizontal="center"/>
    </xf>
    <xf numFmtId="0" fontId="40" fillId="0" borderId="29" xfId="0" applyFont="1" applyBorder="1"/>
    <xf numFmtId="0" fontId="21" fillId="0" borderId="31" xfId="0" applyFont="1" applyBorder="1"/>
    <xf numFmtId="0" fontId="21" fillId="0" borderId="30" xfId="0" applyFont="1" applyBorder="1"/>
    <xf numFmtId="0" fontId="0" fillId="0" borderId="30" xfId="0" applyBorder="1"/>
    <xf numFmtId="0" fontId="40" fillId="0" borderId="20" xfId="0" applyFont="1" applyBorder="1"/>
    <xf numFmtId="0" fontId="0" fillId="0" borderId="21" xfId="0" applyBorder="1"/>
    <xf numFmtId="0" fontId="40" fillId="0" borderId="22" xfId="0" applyFont="1" applyBorder="1"/>
    <xf numFmtId="0" fontId="21" fillId="0" borderId="1" xfId="0" applyFont="1" applyBorder="1"/>
    <xf numFmtId="0" fontId="0" fillId="0" borderId="23" xfId="0" applyBorder="1"/>
    <xf numFmtId="10" fontId="36" fillId="0" borderId="29" xfId="2" applyNumberFormat="1" applyFont="1" applyBorder="1" applyAlignment="1">
      <alignment horizontal="left"/>
    </xf>
    <xf numFmtId="0" fontId="0" fillId="0" borderId="31" xfId="0" applyBorder="1"/>
    <xf numFmtId="0" fontId="72" fillId="0" borderId="22" xfId="6" applyFont="1" applyBorder="1"/>
    <xf numFmtId="0" fontId="67" fillId="0" borderId="0" xfId="0" applyFont="1" applyAlignment="1">
      <alignment vertical="center"/>
    </xf>
    <xf numFmtId="15" fontId="73" fillId="0" borderId="0" xfId="0" quotePrefix="1" applyNumberFormat="1" applyFont="1" applyAlignment="1">
      <alignment horizontal="left"/>
    </xf>
    <xf numFmtId="0" fontId="74" fillId="0" borderId="0" xfId="6" applyFont="1"/>
    <xf numFmtId="0" fontId="65" fillId="0" borderId="0" xfId="0" applyFont="1"/>
    <xf numFmtId="0" fontId="75" fillId="0" borderId="0" xfId="0" applyFont="1" applyAlignment="1">
      <alignment vertical="center"/>
    </xf>
    <xf numFmtId="0" fontId="77" fillId="0" borderId="0" xfId="6" applyFont="1" applyAlignment="1">
      <alignment vertical="center"/>
    </xf>
    <xf numFmtId="0" fontId="74" fillId="0" borderId="0" xfId="6" applyFont="1" applyAlignment="1">
      <alignment vertical="center"/>
    </xf>
    <xf numFmtId="0" fontId="73" fillId="0" borderId="0" xfId="6" applyFont="1"/>
    <xf numFmtId="17" fontId="75" fillId="0" borderId="0" xfId="0" quotePrefix="1" applyNumberFormat="1" applyFont="1" applyAlignment="1">
      <alignment vertical="center"/>
    </xf>
    <xf numFmtId="0" fontId="78" fillId="0" borderId="0" xfId="6" applyFont="1" applyAlignment="1">
      <alignment vertical="center"/>
    </xf>
    <xf numFmtId="0" fontId="78" fillId="0" borderId="0" xfId="0" applyFont="1"/>
    <xf numFmtId="0" fontId="79" fillId="0" borderId="0" xfId="0" applyFont="1" applyAlignment="1">
      <alignment vertical="center"/>
    </xf>
    <xf numFmtId="0" fontId="30" fillId="5" borderId="28" xfId="0" applyFont="1" applyFill="1" applyBorder="1" applyAlignment="1">
      <alignment horizontal="center"/>
    </xf>
    <xf numFmtId="0" fontId="0" fillId="0" borderId="29" xfId="0" applyBorder="1"/>
    <xf numFmtId="0" fontId="80" fillId="0" borderId="31" xfId="0" applyFont="1" applyBorder="1" applyAlignment="1">
      <alignment horizontal="right"/>
    </xf>
    <xf numFmtId="0" fontId="0" fillId="0" borderId="25" xfId="0" applyBorder="1"/>
    <xf numFmtId="0" fontId="81" fillId="0" borderId="0" xfId="0" applyFont="1" applyAlignment="1">
      <alignment horizontal="right"/>
    </xf>
    <xf numFmtId="10" fontId="30" fillId="0" borderId="26" xfId="2" applyNumberFormat="1" applyFont="1" applyBorder="1" applyAlignment="1">
      <alignment horizontal="center"/>
    </xf>
    <xf numFmtId="0" fontId="30" fillId="0" borderId="0" xfId="0" applyFont="1" applyAlignment="1">
      <alignment horizontal="right" indent="1"/>
    </xf>
    <xf numFmtId="0" fontId="80" fillId="0" borderId="0" xfId="0" applyFont="1" applyAlignment="1">
      <alignment horizontal="right"/>
    </xf>
    <xf numFmtId="0" fontId="21" fillId="0" borderId="26" xfId="0" applyFont="1" applyBorder="1" applyAlignment="1">
      <alignment horizontal="center"/>
    </xf>
    <xf numFmtId="10" fontId="26" fillId="6" borderId="16" xfId="2" applyNumberFormat="1" applyFont="1" applyFill="1" applyBorder="1" applyAlignment="1">
      <alignment horizontal="center"/>
    </xf>
    <xf numFmtId="0" fontId="80" fillId="0" borderId="0" xfId="0" applyFont="1" applyAlignment="1">
      <alignment horizontal="right" vertical="center"/>
    </xf>
    <xf numFmtId="10" fontId="80" fillId="0" borderId="26" xfId="0" applyNumberFormat="1" applyFont="1" applyBorder="1" applyAlignment="1">
      <alignment horizontal="center"/>
    </xf>
    <xf numFmtId="0" fontId="0" fillId="0" borderId="22" xfId="0" applyBorder="1"/>
    <xf numFmtId="0" fontId="80" fillId="0" borderId="1" xfId="0" applyFont="1" applyBorder="1" applyAlignment="1">
      <alignment horizontal="right" vertical="center"/>
    </xf>
    <xf numFmtId="10" fontId="80" fillId="0" borderId="27" xfId="0" applyNumberFormat="1" applyFont="1" applyBorder="1" applyAlignment="1">
      <alignment horizontal="center"/>
    </xf>
    <xf numFmtId="1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6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55" fillId="0" borderId="0" xfId="0" applyNumberFormat="1" applyFont="1" applyAlignment="1">
      <alignment horizontal="left"/>
    </xf>
    <xf numFmtId="10" fontId="70" fillId="0" borderId="0" xfId="2" applyNumberFormat="1" applyFont="1" applyFill="1" applyBorder="1" applyAlignment="1">
      <alignment horizontal="left"/>
    </xf>
    <xf numFmtId="0" fontId="71" fillId="0" borderId="0" xfId="0" applyFont="1" applyAlignment="1">
      <alignment horizontal="left"/>
    </xf>
    <xf numFmtId="10" fontId="45" fillId="6" borderId="16" xfId="2" applyNumberFormat="1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8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0" fillId="5" borderId="18" xfId="0" applyFont="1" applyFill="1" applyBorder="1" applyAlignment="1">
      <alignment horizontal="center"/>
    </xf>
    <xf numFmtId="0" fontId="30" fillId="5" borderId="42" xfId="0" applyFont="1" applyFill="1" applyBorder="1" applyAlignment="1">
      <alignment horizontal="center"/>
    </xf>
    <xf numFmtId="0" fontId="30" fillId="5" borderId="19" xfId="0" applyFont="1" applyFill="1" applyBorder="1" applyAlignment="1">
      <alignment horizontal="center"/>
    </xf>
    <xf numFmtId="0" fontId="39" fillId="0" borderId="0" xfId="0" applyFont="1" applyAlignment="1">
      <alignment horizontal="center"/>
    </xf>
  </cellXfs>
  <cellStyles count="7">
    <cellStyle name="Comma" xfId="1" builtinId="3"/>
    <cellStyle name="Comma0 - Style5" xfId="4" xr:uid="{1397E544-7A5D-4627-82CA-446E9A855C6D}"/>
    <cellStyle name="Currency" xfId="3" builtinId="4"/>
    <cellStyle name="Hyperlink" xfId="6" builtinId="8"/>
    <cellStyle name="Normal" xfId="0" builtinId="0"/>
    <cellStyle name="Percen - Style2" xfId="5" xr:uid="{A055BC95-278A-4F04-A738-FFE257F1BA8F}"/>
    <cellStyle name="Percent" xfId="2" builtinId="5"/>
  </cellStyles>
  <dxfs count="0"/>
  <tableStyles count="0" defaultTableStyle="TableStyleMedium9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33</xdr:row>
      <xdr:rowOff>53975</xdr:rowOff>
    </xdr:from>
    <xdr:to>
      <xdr:col>6</xdr:col>
      <xdr:colOff>400049</xdr:colOff>
      <xdr:row>35</xdr:row>
      <xdr:rowOff>149225</xdr:rowOff>
    </xdr:to>
    <xdr:pic>
      <xdr:nvPicPr>
        <xdr:cNvPr id="3" name="Picture 2" descr="Hors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4074" y="7235825"/>
          <a:ext cx="1781175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400050</xdr:colOff>
      <xdr:row>49</xdr:row>
      <xdr:rowOff>29767</xdr:rowOff>
    </xdr:to>
    <xdr:pic>
      <xdr:nvPicPr>
        <xdr:cNvPr id="18433" name="Picture 1">
          <a:extLst>
            <a:ext uri="{FF2B5EF4-FFF2-40B4-BE49-F238E27FC236}">
              <a16:creationId xmlns:a16="http://schemas.microsoft.com/office/drawing/2014/main" id="{845DF7B1-9C50-5AD1-7F2F-C0F2BA3C0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5650" cy="9364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23</xdr:col>
      <xdr:colOff>476250</xdr:colOff>
      <xdr:row>48</xdr:row>
      <xdr:rowOff>133798</xdr:rowOff>
    </xdr:to>
    <xdr:pic>
      <xdr:nvPicPr>
        <xdr:cNvPr id="18434" name="Picture 2">
          <a:extLst>
            <a:ext uri="{FF2B5EF4-FFF2-40B4-BE49-F238E27FC236}">
              <a16:creationId xmlns:a16="http://schemas.microsoft.com/office/drawing/2014/main" id="{E2AFC36F-2CD9-385B-3C50-6819370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0"/>
          <a:ext cx="7181850" cy="9277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pages.stern.nyu.edu/~adamodar/New_Home_Page/datacurrent.html" TargetMode="External"/><Relationship Id="rId2" Type="http://schemas.openxmlformats.org/officeDocument/2006/relationships/hyperlink" Target="https://www.bvresources.com/products/faqs/cost-of-capital-professional" TargetMode="External"/><Relationship Id="rId1" Type="http://schemas.openxmlformats.org/officeDocument/2006/relationships/hyperlink" Target="https://simplywall.st/stocks/us/transportation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www.richmondfed.org/research/national_economy/cfo_survey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o.gov/system/files/2025-01/60870-Outlook-2025.pdf" TargetMode="External"/><Relationship Id="rId13" Type="http://schemas.openxmlformats.org/officeDocument/2006/relationships/hyperlink" Target="https://pages.stern.nyu.edu/~adamodar/pc/blog/S&amp;P500ValueJan2025.xlsx" TargetMode="External"/><Relationship Id="rId3" Type="http://schemas.openxmlformats.org/officeDocument/2006/relationships/hyperlink" Target="https://www.philadelphiafed.org/surveys-and-data/real-time-data-research/survey-of-professional-forecasters" TargetMode="External"/><Relationship Id="rId7" Type="http://schemas.openxmlformats.org/officeDocument/2006/relationships/hyperlink" Target="https://www.cbo.gov/system/files/2025-01/60870-Outlook-2025.pdf" TargetMode="External"/><Relationship Id="rId12" Type="http://schemas.openxmlformats.org/officeDocument/2006/relationships/hyperlink" Target="http://pages.stern.nyu.edu/~adamodar/" TargetMode="External"/><Relationship Id="rId2" Type="http://schemas.openxmlformats.org/officeDocument/2006/relationships/hyperlink" Target="https://www.philadelphiafed.org/research-and-data/real-time-center/livingston-survey" TargetMode="External"/><Relationship Id="rId1" Type="http://schemas.openxmlformats.org/officeDocument/2006/relationships/hyperlink" Target="http://www.federalreserve.gov/Releases/H15/Current/" TargetMode="External"/><Relationship Id="rId6" Type="http://schemas.openxmlformats.org/officeDocument/2006/relationships/hyperlink" Target="https://www.federalreserve.gov/monetarypolicy/files/fomcprojtabl20241218.pd" TargetMode="External"/><Relationship Id="rId11" Type="http://schemas.openxmlformats.org/officeDocument/2006/relationships/hyperlink" Target="http://pages.stern.nyu.edu/~adamodar/New_Home_Page/valquestions/stablegrowthrate.htm" TargetMode="External"/><Relationship Id="rId5" Type="http://schemas.openxmlformats.org/officeDocument/2006/relationships/hyperlink" Target="http://www.worldbank.org/en/publication/global-economic-prospects" TargetMode="External"/><Relationship Id="rId10" Type="http://schemas.openxmlformats.org/officeDocument/2006/relationships/hyperlink" Target="https://www.cbo.gov/data/budget-economic-data" TargetMode="External"/><Relationship Id="rId4" Type="http://schemas.openxmlformats.org/officeDocument/2006/relationships/hyperlink" Target="https://tradingeconomics.com/united-states/full-year-gdp-growth" TargetMode="External"/><Relationship Id="rId9" Type="http://schemas.openxmlformats.org/officeDocument/2006/relationships/hyperlink" Target="https://www.cbo.gov/publication/60870" TargetMode="External"/><Relationship Id="rId1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37"/>
  <sheetViews>
    <sheetView tabSelected="1" view="pageBreakPreview" zoomScale="60" zoomScaleNormal="100" workbookViewId="0">
      <selection activeCell="U25" sqref="U25"/>
    </sheetView>
  </sheetViews>
  <sheetFormatPr defaultRowHeight="15"/>
  <cols>
    <col min="9" max="9" width="16.42578125" customWidth="1"/>
  </cols>
  <sheetData>
    <row r="1" spans="1:13" ht="18.75">
      <c r="A1" s="453" t="s">
        <v>0</v>
      </c>
      <c r="B1" s="454"/>
      <c r="C1" s="454"/>
      <c r="D1" s="454"/>
      <c r="E1" s="454"/>
      <c r="F1" s="454"/>
      <c r="G1" s="454"/>
      <c r="H1" s="454"/>
      <c r="I1" s="454"/>
    </row>
    <row r="5" spans="1:13" ht="27">
      <c r="E5" s="455" t="s">
        <v>0</v>
      </c>
      <c r="F5" s="456"/>
      <c r="G5" s="456"/>
      <c r="H5" s="456"/>
      <c r="I5" s="456"/>
      <c r="J5" s="456"/>
      <c r="K5" s="456"/>
      <c r="L5" s="456"/>
      <c r="M5" s="456"/>
    </row>
    <row r="7" spans="1:13" ht="27">
      <c r="A7" s="457" t="s">
        <v>31</v>
      </c>
      <c r="B7" s="458"/>
      <c r="C7" s="458"/>
      <c r="D7" s="458"/>
      <c r="E7" s="458"/>
      <c r="F7" s="458"/>
      <c r="G7" s="458"/>
      <c r="H7" s="458"/>
      <c r="I7" s="458"/>
    </row>
    <row r="8" spans="1:13" ht="27">
      <c r="A8" s="6"/>
      <c r="B8" s="7"/>
      <c r="C8" s="7"/>
      <c r="D8" s="7"/>
      <c r="E8" s="455" t="s">
        <v>0</v>
      </c>
      <c r="F8" s="456"/>
      <c r="G8" s="456"/>
      <c r="H8" s="456"/>
      <c r="I8" s="456"/>
      <c r="J8" s="456"/>
      <c r="K8" s="456"/>
      <c r="L8" s="456"/>
      <c r="M8" s="456"/>
    </row>
    <row r="9" spans="1:13" ht="27">
      <c r="A9" s="455" t="s">
        <v>437</v>
      </c>
      <c r="B9" s="456"/>
      <c r="C9" s="456"/>
      <c r="D9" s="456"/>
      <c r="E9" s="456"/>
      <c r="F9" s="456"/>
      <c r="G9" s="456"/>
      <c r="H9" s="456"/>
      <c r="I9" s="456"/>
    </row>
    <row r="15" spans="1:13">
      <c r="A15" s="450" t="s">
        <v>0</v>
      </c>
      <c r="B15" s="451"/>
      <c r="C15" s="451"/>
      <c r="D15" s="451"/>
      <c r="E15" s="451"/>
      <c r="F15" s="451"/>
      <c r="G15" s="451"/>
      <c r="H15" s="451"/>
      <c r="I15" s="451"/>
    </row>
    <row r="16" spans="1:13" ht="33.75">
      <c r="A16" s="448" t="str">
        <f>+'S&amp;D'!A12</f>
        <v>Electric Utilities</v>
      </c>
      <c r="B16" s="449"/>
      <c r="C16" s="449"/>
      <c r="D16" s="449"/>
      <c r="E16" s="449"/>
      <c r="F16" s="449"/>
      <c r="G16" s="449"/>
      <c r="H16" s="449"/>
      <c r="I16" s="449"/>
    </row>
    <row r="17" spans="1:9">
      <c r="A17" s="450" t="s">
        <v>0</v>
      </c>
      <c r="B17" s="451"/>
      <c r="C17" s="451"/>
      <c r="D17" s="451"/>
      <c r="E17" s="451"/>
      <c r="F17" s="451"/>
      <c r="G17" s="451"/>
      <c r="H17" s="451"/>
      <c r="I17" s="451"/>
    </row>
    <row r="18" spans="1:9">
      <c r="A18" s="8"/>
      <c r="B18" s="9"/>
      <c r="C18" s="9"/>
      <c r="D18" s="9"/>
      <c r="E18" s="9"/>
      <c r="F18" s="9"/>
      <c r="G18" s="9"/>
      <c r="H18" s="9"/>
      <c r="I18" s="9"/>
    </row>
    <row r="19" spans="1:9">
      <c r="A19" s="8"/>
      <c r="B19" s="9"/>
      <c r="C19" s="9"/>
      <c r="D19" s="9"/>
      <c r="E19" s="9"/>
      <c r="F19" s="9"/>
      <c r="G19" s="9"/>
      <c r="H19" s="9"/>
      <c r="I19" s="9"/>
    </row>
    <row r="20" spans="1:9">
      <c r="A20" s="8"/>
      <c r="B20" s="9"/>
      <c r="C20" s="9"/>
      <c r="D20" s="9"/>
      <c r="E20" s="9"/>
      <c r="F20" s="9"/>
      <c r="G20" s="9"/>
      <c r="H20" s="9"/>
      <c r="I20" s="9"/>
    </row>
    <row r="21" spans="1:9">
      <c r="A21" s="8"/>
      <c r="B21" s="9"/>
      <c r="C21" s="9"/>
      <c r="D21" s="9"/>
      <c r="E21" s="9"/>
      <c r="F21" s="9"/>
      <c r="G21" s="9"/>
      <c r="H21" s="9"/>
      <c r="I21" s="9"/>
    </row>
    <row r="22" spans="1:9">
      <c r="A22" s="8"/>
      <c r="B22" s="9"/>
      <c r="C22" s="9"/>
      <c r="D22" s="9"/>
      <c r="E22" s="9"/>
      <c r="F22" s="9"/>
      <c r="G22" s="9"/>
      <c r="H22" s="9"/>
      <c r="I22" s="9"/>
    </row>
    <row r="23" spans="1:9">
      <c r="A23" s="8"/>
      <c r="B23" s="9"/>
      <c r="C23" s="9"/>
      <c r="D23" s="9"/>
      <c r="E23" s="9"/>
      <c r="F23" s="9"/>
      <c r="G23" s="9"/>
      <c r="H23" s="9"/>
      <c r="I23" s="9"/>
    </row>
    <row r="24" spans="1:9">
      <c r="A24" s="8"/>
      <c r="B24" s="9"/>
      <c r="C24" s="9"/>
      <c r="D24" s="9"/>
      <c r="E24" s="9"/>
      <c r="F24" s="9"/>
      <c r="G24" s="9"/>
      <c r="H24" s="9"/>
      <c r="I24" s="9"/>
    </row>
    <row r="25" spans="1:9">
      <c r="A25" s="8"/>
      <c r="B25" s="9"/>
      <c r="C25" s="9"/>
      <c r="D25" s="9"/>
      <c r="E25" s="9"/>
      <c r="F25" s="9"/>
      <c r="G25" s="9"/>
      <c r="H25" s="9"/>
      <c r="I25" s="9"/>
    </row>
    <row r="26" spans="1:9">
      <c r="A26" s="8"/>
      <c r="B26" s="9"/>
      <c r="C26" s="9"/>
      <c r="D26" s="9"/>
      <c r="E26" s="9"/>
      <c r="F26" s="9"/>
      <c r="G26" s="9"/>
      <c r="H26" s="9"/>
      <c r="I26" s="9"/>
    </row>
    <row r="27" spans="1:9">
      <c r="A27" s="8"/>
      <c r="B27" s="9"/>
      <c r="C27" s="9"/>
      <c r="D27" s="9"/>
      <c r="E27" s="9"/>
      <c r="F27" s="9"/>
      <c r="G27" s="9"/>
      <c r="H27" s="9"/>
      <c r="I27" s="9"/>
    </row>
    <row r="28" spans="1:9">
      <c r="A28" s="8"/>
      <c r="B28" s="9"/>
      <c r="C28" s="9"/>
      <c r="D28" s="9"/>
      <c r="E28" s="9"/>
      <c r="F28" s="9"/>
      <c r="G28" s="9"/>
      <c r="H28" s="9"/>
      <c r="I28" s="9"/>
    </row>
    <row r="29" spans="1:9">
      <c r="A29" s="450" t="s">
        <v>0</v>
      </c>
      <c r="B29" s="451"/>
      <c r="C29" s="451"/>
      <c r="D29" s="451"/>
      <c r="E29" s="451"/>
      <c r="F29" s="451"/>
      <c r="G29" s="451"/>
      <c r="H29" s="451"/>
      <c r="I29" s="451"/>
    </row>
    <row r="34" spans="1:9">
      <c r="A34" s="452"/>
      <c r="B34" s="452"/>
      <c r="C34" s="452"/>
      <c r="D34" s="452"/>
      <c r="E34" s="452"/>
      <c r="F34" s="452"/>
      <c r="G34" s="452"/>
      <c r="H34" s="452"/>
      <c r="I34" s="452"/>
    </row>
    <row r="35" spans="1:9">
      <c r="A35" s="452"/>
      <c r="B35" s="452"/>
      <c r="C35" s="452"/>
      <c r="D35" s="452"/>
      <c r="E35" s="452"/>
      <c r="F35" s="452"/>
      <c r="G35" s="452"/>
      <c r="H35" s="452"/>
      <c r="I35" s="452"/>
    </row>
    <row r="36" spans="1:9">
      <c r="A36" s="452"/>
      <c r="B36" s="452"/>
      <c r="C36" s="452"/>
      <c r="D36" s="452"/>
      <c r="E36" s="452"/>
      <c r="F36" s="452"/>
      <c r="G36" s="452"/>
      <c r="H36" s="452"/>
      <c r="I36" s="452"/>
    </row>
    <row r="37" spans="1:9">
      <c r="A37" s="452"/>
      <c r="B37" s="452"/>
      <c r="C37" s="452"/>
      <c r="D37" s="452"/>
      <c r="E37" s="452"/>
      <c r="F37" s="452"/>
      <c r="G37" s="452"/>
      <c r="H37" s="452"/>
      <c r="I37" s="452"/>
    </row>
  </sheetData>
  <mergeCells count="10">
    <mergeCell ref="A16:I16"/>
    <mergeCell ref="A17:I17"/>
    <mergeCell ref="A29:I29"/>
    <mergeCell ref="A34:I37"/>
    <mergeCell ref="A1:I1"/>
    <mergeCell ref="E5:M5"/>
    <mergeCell ref="A7:I7"/>
    <mergeCell ref="E8:M8"/>
    <mergeCell ref="A9:I9"/>
    <mergeCell ref="A15:I15"/>
  </mergeCells>
  <pageMargins left="0.25" right="0.25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68"/>
  <sheetViews>
    <sheetView view="pageBreakPreview" topLeftCell="A28" zoomScale="60" zoomScaleNormal="80" workbookViewId="0">
      <selection activeCell="L47" sqref="L47"/>
    </sheetView>
  </sheetViews>
  <sheetFormatPr defaultRowHeight="15"/>
  <cols>
    <col min="1" max="1" width="41.140625" customWidth="1"/>
    <col min="2" max="2" width="10.85546875" bestFit="1" customWidth="1"/>
    <col min="3" max="3" width="27.140625" customWidth="1"/>
    <col min="4" max="4" width="19.5703125" customWidth="1"/>
    <col min="5" max="5" width="21.85546875" customWidth="1"/>
    <col min="6" max="6" width="18" customWidth="1"/>
    <col min="7" max="7" width="12.42578125" customWidth="1"/>
    <col min="8" max="8" width="20.5703125" customWidth="1"/>
    <col min="9" max="9" width="12.42578125" customWidth="1"/>
    <col min="10" max="11" width="20.5703125" customWidth="1"/>
    <col min="12" max="12" width="26.5703125" customWidth="1"/>
    <col min="13" max="13" width="6.5703125" customWidth="1"/>
  </cols>
  <sheetData>
    <row r="1" spans="1:13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6.5">
      <c r="A3" s="27" t="s">
        <v>435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>
      <c r="A4" s="2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7.25" thickBot="1">
      <c r="A5" s="13"/>
      <c r="B5" s="13"/>
      <c r="C5" s="13"/>
      <c r="D5" s="13"/>
      <c r="E5" s="13"/>
      <c r="F5" s="13"/>
      <c r="G5" s="28"/>
      <c r="H5" s="28"/>
      <c r="I5" s="13"/>
      <c r="J5" s="13"/>
      <c r="K5" s="13"/>
      <c r="L5" s="13"/>
      <c r="M5" s="13"/>
    </row>
    <row r="6" spans="1:13" ht="21" thickBot="1">
      <c r="A6" s="245" t="str">
        <f>+'S&amp;D'!A12</f>
        <v>Electric Utilities</v>
      </c>
      <c r="B6" s="181"/>
      <c r="C6" s="13"/>
      <c r="D6" s="30"/>
      <c r="E6" s="30"/>
      <c r="F6" s="31" t="s">
        <v>0</v>
      </c>
      <c r="G6" s="13"/>
      <c r="H6" s="13"/>
      <c r="I6" s="13"/>
      <c r="J6" s="13"/>
      <c r="K6" s="13"/>
      <c r="L6" s="13"/>
      <c r="M6" s="13"/>
    </row>
    <row r="7" spans="1:13" ht="26.25">
      <c r="A7" s="32"/>
      <c r="B7" s="13"/>
      <c r="C7" s="13"/>
      <c r="D7" s="13"/>
      <c r="E7" s="33" t="s">
        <v>511</v>
      </c>
      <c r="F7" s="13"/>
      <c r="G7" s="13"/>
      <c r="H7" s="13"/>
      <c r="I7" s="13"/>
      <c r="J7" s="13"/>
      <c r="K7" s="13"/>
      <c r="L7" s="13"/>
      <c r="M7" s="13"/>
    </row>
    <row r="8" spans="1:13" ht="21" thickBot="1">
      <c r="A8" s="32"/>
      <c r="B8" s="13"/>
      <c r="C8" s="13"/>
      <c r="D8" s="30"/>
      <c r="E8" s="34" t="s">
        <v>436</v>
      </c>
      <c r="F8" s="30"/>
      <c r="G8" s="13"/>
      <c r="H8" s="13"/>
      <c r="I8" s="13"/>
      <c r="J8" s="13"/>
      <c r="K8" s="13"/>
      <c r="L8" s="13"/>
      <c r="M8" s="13"/>
    </row>
    <row r="9" spans="1:13" ht="17.25" thickBot="1">
      <c r="A9" s="35" t="s">
        <v>0</v>
      </c>
      <c r="B9" s="35" t="s">
        <v>0</v>
      </c>
      <c r="C9" s="35" t="s">
        <v>0</v>
      </c>
      <c r="D9" s="35" t="s">
        <v>0</v>
      </c>
      <c r="E9" s="35" t="s">
        <v>0</v>
      </c>
      <c r="F9" s="35" t="s">
        <v>0</v>
      </c>
      <c r="G9" s="35"/>
      <c r="H9" s="35"/>
      <c r="I9" s="35" t="s">
        <v>0</v>
      </c>
      <c r="J9" s="30"/>
      <c r="K9" s="13"/>
      <c r="L9" s="13"/>
      <c r="M9" s="13"/>
    </row>
    <row r="10" spans="1:13" ht="16.5">
      <c r="A10" s="36" t="s">
        <v>0</v>
      </c>
      <c r="B10" s="36" t="s">
        <v>3</v>
      </c>
      <c r="C10" s="36" t="s">
        <v>5</v>
      </c>
      <c r="D10" s="36" t="s">
        <v>21</v>
      </c>
      <c r="E10" s="36" t="s">
        <v>20</v>
      </c>
      <c r="F10" s="36" t="s">
        <v>82</v>
      </c>
      <c r="G10" s="36" t="s">
        <v>159</v>
      </c>
      <c r="H10" s="36" t="s">
        <v>503</v>
      </c>
      <c r="I10" s="36" t="s">
        <v>159</v>
      </c>
      <c r="J10" s="36" t="s">
        <v>76</v>
      </c>
      <c r="K10" s="13"/>
      <c r="L10" s="13"/>
      <c r="M10" s="13"/>
    </row>
    <row r="11" spans="1:13" ht="17.25" thickBot="1">
      <c r="A11" s="38" t="s">
        <v>2</v>
      </c>
      <c r="B11" s="38" t="s">
        <v>4</v>
      </c>
      <c r="C11" s="38" t="s">
        <v>6</v>
      </c>
      <c r="D11" s="38" t="s">
        <v>23</v>
      </c>
      <c r="E11" s="38" t="s">
        <v>22</v>
      </c>
      <c r="F11" s="38" t="s">
        <v>77</v>
      </c>
      <c r="G11" s="38" t="s">
        <v>77</v>
      </c>
      <c r="H11" s="38" t="s">
        <v>77</v>
      </c>
      <c r="I11" s="38" t="s">
        <v>77</v>
      </c>
      <c r="J11" s="38" t="s">
        <v>80</v>
      </c>
      <c r="K11" s="13"/>
      <c r="L11" s="13"/>
      <c r="M11" s="13"/>
    </row>
    <row r="12" spans="1:13" ht="16.5">
      <c r="A12" s="40" t="s">
        <v>7</v>
      </c>
      <c r="B12" s="40" t="s">
        <v>7</v>
      </c>
      <c r="C12" s="40" t="s">
        <v>7</v>
      </c>
      <c r="D12" s="40" t="s">
        <v>7</v>
      </c>
      <c r="E12" s="40" t="s">
        <v>7</v>
      </c>
      <c r="F12" s="40" t="s">
        <v>81</v>
      </c>
      <c r="G12" s="40"/>
      <c r="H12" s="40" t="s">
        <v>503</v>
      </c>
      <c r="I12" s="40"/>
      <c r="J12" s="40" t="s">
        <v>76</v>
      </c>
      <c r="K12" s="13"/>
      <c r="L12" s="13"/>
      <c r="M12" s="13"/>
    </row>
    <row r="13" spans="1:13" ht="16.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13"/>
      <c r="L13" s="13"/>
      <c r="M13" s="13"/>
    </row>
    <row r="14" spans="1:13" ht="16.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7.25">
      <c r="A15" s="64" t="str">
        <f>+'S&amp;D'!A22</f>
        <v>ALLETE Inc</v>
      </c>
      <c r="B15" s="92" t="str">
        <f>+'S&amp;D'!B22</f>
        <v>ALE</v>
      </c>
      <c r="C15" s="92" t="str">
        <f>+'S&amp;D'!C22</f>
        <v>Electric Utility - Cent</v>
      </c>
      <c r="D15" s="312" t="str">
        <f>+'Beta for CAPM'!D18</f>
        <v>NMF</v>
      </c>
      <c r="E15" s="36" t="str">
        <f>+'Beta for CAPM'!G18</f>
        <v>A+</v>
      </c>
      <c r="F15" s="36" t="s">
        <v>87</v>
      </c>
      <c r="G15" s="274">
        <v>11</v>
      </c>
      <c r="H15" s="63" t="s">
        <v>84</v>
      </c>
      <c r="I15" s="274">
        <f>VLOOKUP(H15,$A$44:$E$67,2,0)</f>
        <v>10</v>
      </c>
      <c r="J15" s="67">
        <f>VLOOKUP(I15,$B$44:$E$67,4,0)</f>
        <v>5.7700000000000001E-2</v>
      </c>
      <c r="K15" s="13" t="s">
        <v>0</v>
      </c>
      <c r="L15" s="13"/>
      <c r="M15" s="13"/>
    </row>
    <row r="16" spans="1:13" ht="17.25">
      <c r="A16" s="64" t="str">
        <f>+'S&amp;D'!A23</f>
        <v>Alliant Energy</v>
      </c>
      <c r="B16" s="92" t="str">
        <f>+'S&amp;D'!B23</f>
        <v>LNT</v>
      </c>
      <c r="C16" s="92" t="str">
        <f>+'S&amp;D'!C23</f>
        <v>Electric Utility - Cent</v>
      </c>
      <c r="D16" s="55">
        <f>+'Beta for CAPM'!D19</f>
        <v>0.02</v>
      </c>
      <c r="E16" s="36" t="str">
        <f>+'Beta for CAPM'!G19</f>
        <v>A+</v>
      </c>
      <c r="F16" s="36" t="s">
        <v>93</v>
      </c>
      <c r="G16" s="274">
        <v>11</v>
      </c>
      <c r="H16" s="63" t="s">
        <v>85</v>
      </c>
      <c r="I16" s="274">
        <f t="shared" ref="I16:I30" si="0">VLOOKUP(H16,$A$44:$E$67,2,0)</f>
        <v>11</v>
      </c>
      <c r="J16" s="67">
        <f t="shared" ref="J16:J30" si="1">VLOOKUP(I16,$B$44:$E$67,4,0)</f>
        <v>5.7700000000000001E-2</v>
      </c>
      <c r="K16" s="13" t="s">
        <v>0</v>
      </c>
      <c r="L16" s="13"/>
      <c r="M16" s="13"/>
    </row>
    <row r="17" spans="1:13" ht="17.25">
      <c r="A17" s="64" t="str">
        <f>+'S&amp;D'!A24</f>
        <v>AMEREN Corporation</v>
      </c>
      <c r="B17" s="92" t="str">
        <f>+'S&amp;D'!B24</f>
        <v>AEE</v>
      </c>
      <c r="C17" s="92" t="str">
        <f>+'S&amp;D'!C24</f>
        <v>Electric Utility - Cent</v>
      </c>
      <c r="D17" s="55">
        <f>+'Beta for CAPM'!D20</f>
        <v>0.12</v>
      </c>
      <c r="E17" s="36" t="str">
        <f>+'Beta for CAPM'!G20</f>
        <v>A+</v>
      </c>
      <c r="F17" s="36" t="s">
        <v>86</v>
      </c>
      <c r="G17" s="274">
        <v>10</v>
      </c>
      <c r="H17" s="63" t="s">
        <v>84</v>
      </c>
      <c r="I17" s="274">
        <f t="shared" si="0"/>
        <v>10</v>
      </c>
      <c r="J17" s="67">
        <f t="shared" si="1"/>
        <v>5.7700000000000001E-2</v>
      </c>
      <c r="K17" s="13" t="s">
        <v>0</v>
      </c>
      <c r="L17" s="13"/>
      <c r="M17" s="13"/>
    </row>
    <row r="18" spans="1:13" ht="17.25">
      <c r="A18" s="64" t="str">
        <f>+'S&amp;D'!A25</f>
        <v>American Electric Power</v>
      </c>
      <c r="B18" s="92" t="str">
        <f>+'S&amp;D'!B25</f>
        <v>AEP</v>
      </c>
      <c r="C18" s="92" t="str">
        <f>+'S&amp;D'!C25</f>
        <v>Electric Utility - Cent</v>
      </c>
      <c r="D18" s="55">
        <f>+'Beta for CAPM'!D21</f>
        <v>0.21</v>
      </c>
      <c r="E18" s="36" t="str">
        <f>+'Beta for CAPM'!G21</f>
        <v>A</v>
      </c>
      <c r="F18" s="36" t="s">
        <v>86</v>
      </c>
      <c r="G18" s="274">
        <v>9</v>
      </c>
      <c r="H18" s="63" t="s">
        <v>85</v>
      </c>
      <c r="I18" s="274">
        <f t="shared" si="0"/>
        <v>11</v>
      </c>
      <c r="J18" s="67">
        <f t="shared" si="1"/>
        <v>5.7700000000000001E-2</v>
      </c>
      <c r="K18" s="13" t="s">
        <v>0</v>
      </c>
      <c r="L18" s="13"/>
      <c r="M18" s="13"/>
    </row>
    <row r="19" spans="1:13" ht="17.25">
      <c r="A19" s="64" t="str">
        <f>+'S&amp;D'!A26</f>
        <v>Centerpoint Energy</v>
      </c>
      <c r="B19" s="92" t="str">
        <f>+'S&amp;D'!B26</f>
        <v>CNP</v>
      </c>
      <c r="C19" s="92" t="str">
        <f>+'S&amp;D'!C26</f>
        <v>Electric Utility - Cent</v>
      </c>
      <c r="D19" s="55">
        <f>+'Beta for CAPM'!D22</f>
        <v>0.16</v>
      </c>
      <c r="E19" s="36" t="str">
        <f>+'Beta for CAPM'!G22</f>
        <v>A</v>
      </c>
      <c r="F19" s="36" t="s">
        <v>86</v>
      </c>
      <c r="G19" s="274">
        <v>10</v>
      </c>
      <c r="H19" s="63" t="s">
        <v>85</v>
      </c>
      <c r="I19" s="274">
        <f t="shared" si="0"/>
        <v>11</v>
      </c>
      <c r="J19" s="67">
        <f t="shared" si="1"/>
        <v>5.7700000000000001E-2</v>
      </c>
      <c r="K19" s="13" t="s">
        <v>0</v>
      </c>
      <c r="L19" s="13"/>
      <c r="M19" s="13"/>
    </row>
    <row r="20" spans="1:13" ht="17.25">
      <c r="A20" s="64" t="str">
        <f>+'S&amp;D'!A27</f>
        <v>CMS Energy</v>
      </c>
      <c r="B20" s="92" t="str">
        <f>+'S&amp;D'!B27</f>
        <v>CMS</v>
      </c>
      <c r="C20" s="92" t="str">
        <f>+'S&amp;D'!C27</f>
        <v>Electric Utility - Cent</v>
      </c>
      <c r="D20" s="55">
        <f>+'Beta for CAPM'!D23</f>
        <v>0.155</v>
      </c>
      <c r="E20" s="36" t="str">
        <f>+'Beta for CAPM'!G23</f>
        <v>B++</v>
      </c>
      <c r="F20" s="36" t="s">
        <v>86</v>
      </c>
      <c r="G20" s="274">
        <v>10</v>
      </c>
      <c r="H20" s="63" t="s">
        <v>85</v>
      </c>
      <c r="I20" s="274">
        <f t="shared" si="0"/>
        <v>11</v>
      </c>
      <c r="J20" s="67">
        <f t="shared" si="1"/>
        <v>5.7700000000000001E-2</v>
      </c>
      <c r="K20" s="13" t="s">
        <v>0</v>
      </c>
      <c r="L20" s="13"/>
      <c r="M20" s="13"/>
    </row>
    <row r="21" spans="1:13" ht="17.25">
      <c r="A21" s="64" t="str">
        <f>+'S&amp;D'!A28</f>
        <v>DTE Energy</v>
      </c>
      <c r="B21" s="92" t="str">
        <f>+'S&amp;D'!B28</f>
        <v>DTE</v>
      </c>
      <c r="C21" s="92" t="str">
        <f>+'S&amp;D'!C28</f>
        <v>Electric Utility - Cent</v>
      </c>
      <c r="D21" s="55">
        <f>+'Beta for CAPM'!D24</f>
        <v>0.05</v>
      </c>
      <c r="E21" s="36" t="str">
        <f>+'Beta for CAPM'!G24</f>
        <v>B++</v>
      </c>
      <c r="F21" s="36"/>
      <c r="G21" s="274">
        <v>10</v>
      </c>
      <c r="H21" s="63" t="s">
        <v>85</v>
      </c>
      <c r="I21" s="274">
        <f t="shared" si="0"/>
        <v>11</v>
      </c>
      <c r="J21" s="67">
        <f t="shared" si="1"/>
        <v>5.7700000000000001E-2</v>
      </c>
      <c r="K21" s="13" t="s">
        <v>0</v>
      </c>
      <c r="L21" s="13"/>
      <c r="M21" s="13"/>
    </row>
    <row r="22" spans="1:13" ht="17.25">
      <c r="A22" s="64" t="str">
        <f>+'S&amp;D'!A29</f>
        <v>Duke Energy</v>
      </c>
      <c r="B22" s="92" t="str">
        <f>+'S&amp;D'!B29</f>
        <v>DUK</v>
      </c>
      <c r="C22" s="92" t="str">
        <f>+'S&amp;D'!C29</f>
        <v>Electric Utility - East</v>
      </c>
      <c r="D22" s="55">
        <f>+'Beta for CAPM'!D25</f>
        <v>0.11</v>
      </c>
      <c r="E22" s="36" t="str">
        <f>+'Beta for CAPM'!G25</f>
        <v>A</v>
      </c>
      <c r="F22" s="36"/>
      <c r="G22" s="274">
        <v>10</v>
      </c>
      <c r="H22" s="63" t="s">
        <v>85</v>
      </c>
      <c r="I22" s="274">
        <f t="shared" si="0"/>
        <v>11</v>
      </c>
      <c r="J22" s="67">
        <f t="shared" si="1"/>
        <v>5.7700000000000001E-2</v>
      </c>
      <c r="K22" s="14" t="s">
        <v>0</v>
      </c>
      <c r="L22" s="13"/>
      <c r="M22" s="13"/>
    </row>
    <row r="23" spans="1:13" ht="17.25">
      <c r="A23" s="64" t="str">
        <f>+'S&amp;D'!A30</f>
        <v>Entergy Corp</v>
      </c>
      <c r="B23" s="92" t="str">
        <f>+'S&amp;D'!B30</f>
        <v>ETR</v>
      </c>
      <c r="C23" s="92" t="str">
        <f>+'S&amp;D'!C30</f>
        <v>Electric Utility - Cent</v>
      </c>
      <c r="D23" s="55">
        <f>+'Beta for CAPM'!D26</f>
        <v>0.2</v>
      </c>
      <c r="E23" s="36" t="str">
        <f>+'Beta for CAPM'!G26</f>
        <v>A+</v>
      </c>
      <c r="F23" s="36" t="s">
        <v>86</v>
      </c>
      <c r="G23" s="274">
        <v>10</v>
      </c>
      <c r="H23" s="63" t="s">
        <v>85</v>
      </c>
      <c r="I23" s="274">
        <f t="shared" si="0"/>
        <v>11</v>
      </c>
      <c r="J23" s="67">
        <f t="shared" si="1"/>
        <v>5.7700000000000001E-2</v>
      </c>
      <c r="K23" s="13" t="s">
        <v>0</v>
      </c>
      <c r="L23" s="13"/>
      <c r="M23" s="13"/>
    </row>
    <row r="24" spans="1:13" ht="17.25">
      <c r="A24" s="64" t="str">
        <f>+'S&amp;D'!A31</f>
        <v>Evergy Inc</v>
      </c>
      <c r="B24" s="92" t="str">
        <f>+'S&amp;D'!B31</f>
        <v>EVRG</v>
      </c>
      <c r="C24" s="92" t="str">
        <f>+'S&amp;D'!C31</f>
        <v>Electric Utility - Cent</v>
      </c>
      <c r="D24" s="55">
        <f>+'Beta for CAPM'!D27</f>
        <v>6.5000000000000002E-2</v>
      </c>
      <c r="E24" s="36" t="s">
        <v>26</v>
      </c>
      <c r="F24" s="36" t="s">
        <v>86</v>
      </c>
      <c r="G24" s="274">
        <v>9</v>
      </c>
      <c r="H24" s="63" t="s">
        <v>85</v>
      </c>
      <c r="I24" s="274">
        <f t="shared" si="0"/>
        <v>11</v>
      </c>
      <c r="J24" s="67">
        <f t="shared" si="1"/>
        <v>5.7700000000000001E-2</v>
      </c>
      <c r="K24" s="13"/>
      <c r="L24" s="13"/>
      <c r="M24" s="13"/>
    </row>
    <row r="25" spans="1:13" ht="17.25">
      <c r="A25" s="64" t="str">
        <f>+'S&amp;D'!A32</f>
        <v>FirstEnergy Corp</v>
      </c>
      <c r="B25" s="92" t="str">
        <f>+'S&amp;D'!B32</f>
        <v>FE</v>
      </c>
      <c r="C25" s="92" t="str">
        <f>+'S&amp;D'!C32</f>
        <v>Electric Utility - East</v>
      </c>
      <c r="D25" s="55">
        <f>+'Beta for CAPM'!D28</f>
        <v>0.21</v>
      </c>
      <c r="E25" s="36" t="str">
        <f>+'Beta for CAPM'!G28</f>
        <v>B++</v>
      </c>
      <c r="F25" s="36"/>
      <c r="G25" s="274">
        <v>12</v>
      </c>
      <c r="H25" s="63" t="s">
        <v>92</v>
      </c>
      <c r="I25" s="274">
        <f t="shared" si="0"/>
        <v>12</v>
      </c>
      <c r="J25" s="67">
        <f t="shared" si="1"/>
        <v>5.7700000000000001E-2</v>
      </c>
      <c r="K25" s="13" t="s">
        <v>0</v>
      </c>
      <c r="L25" s="13"/>
      <c r="M25" s="13"/>
    </row>
    <row r="26" spans="1:13" ht="17.25">
      <c r="A26" s="64" t="str">
        <f>+'S&amp;D'!A33</f>
        <v>OGE Energy Corp.</v>
      </c>
      <c r="B26" s="92" t="str">
        <f>+'S&amp;D'!B33</f>
        <v>OGE</v>
      </c>
      <c r="C26" s="92" t="str">
        <f>+'S&amp;D'!C33</f>
        <v>Electric Utility - Cent</v>
      </c>
      <c r="D26" s="55">
        <f>+'Beta for CAPM'!D29</f>
        <v>0.12</v>
      </c>
      <c r="E26" s="36" t="str">
        <f>+'Beta for CAPM'!G29</f>
        <v>B++</v>
      </c>
      <c r="F26" s="36" t="s">
        <v>86</v>
      </c>
      <c r="G26" s="274">
        <v>10</v>
      </c>
      <c r="H26" s="63" t="s">
        <v>84</v>
      </c>
      <c r="I26" s="274">
        <f t="shared" si="0"/>
        <v>10</v>
      </c>
      <c r="J26" s="67">
        <f t="shared" si="1"/>
        <v>5.7700000000000001E-2</v>
      </c>
      <c r="K26" s="13" t="s">
        <v>0</v>
      </c>
      <c r="L26" s="13"/>
      <c r="M26" s="13"/>
    </row>
    <row r="27" spans="1:13" ht="17.25">
      <c r="A27" s="64" t="str">
        <f>+'S&amp;D'!A34</f>
        <v>Otter Tail Corp</v>
      </c>
      <c r="B27" s="92" t="str">
        <f>+'S&amp;D'!B34</f>
        <v>OTTR</v>
      </c>
      <c r="C27" s="92" t="str">
        <f>+'S&amp;D'!C34</f>
        <v>Electric Utility - Cent</v>
      </c>
      <c r="D27" s="55">
        <f>+'Beta for CAPM'!D30</f>
        <v>0.2</v>
      </c>
      <c r="E27" s="36" t="str">
        <f>+'Beta for CAPM'!G30</f>
        <v>A</v>
      </c>
      <c r="F27" s="36" t="s">
        <v>87</v>
      </c>
      <c r="G27" s="274">
        <v>11</v>
      </c>
      <c r="H27" s="63" t="s">
        <v>85</v>
      </c>
      <c r="I27" s="274">
        <f t="shared" si="0"/>
        <v>11</v>
      </c>
      <c r="J27" s="67">
        <f t="shared" si="1"/>
        <v>5.7700000000000001E-2</v>
      </c>
      <c r="K27" s="13" t="s">
        <v>0</v>
      </c>
      <c r="L27" s="13"/>
      <c r="M27" s="13"/>
    </row>
    <row r="28" spans="1:13" ht="17.25">
      <c r="A28" s="64" t="str">
        <f>+'S&amp;D'!A35</f>
        <v>PPL Corporation</v>
      </c>
      <c r="B28" s="92" t="str">
        <f>+'S&amp;D'!B35</f>
        <v>PPL</v>
      </c>
      <c r="C28" s="92" t="str">
        <f>+'S&amp;D'!C35</f>
        <v>Electric Utility - East</v>
      </c>
      <c r="D28" s="55">
        <f>+'Beta for CAPM'!D31</f>
        <v>0.21</v>
      </c>
      <c r="E28" s="36" t="str">
        <f>+'Beta for CAPM'!G31</f>
        <v>A+</v>
      </c>
      <c r="F28" s="36"/>
      <c r="G28" s="274">
        <v>9</v>
      </c>
      <c r="H28" s="63" t="s">
        <v>84</v>
      </c>
      <c r="I28" s="274">
        <f t="shared" si="0"/>
        <v>10</v>
      </c>
      <c r="J28" s="67">
        <f t="shared" si="1"/>
        <v>5.7700000000000001E-2</v>
      </c>
      <c r="K28" s="13" t="s">
        <v>0</v>
      </c>
      <c r="L28" s="13"/>
      <c r="M28" s="13"/>
    </row>
    <row r="29" spans="1:13" ht="17.25">
      <c r="A29" s="64" t="str">
        <f>+'S&amp;D'!A36</f>
        <v>The Southern Company</v>
      </c>
      <c r="B29" s="92" t="str">
        <f>+'S&amp;D'!B36</f>
        <v>SO</v>
      </c>
      <c r="C29" s="92" t="str">
        <f>+'S&amp;D'!C36</f>
        <v>Electric Utility - East</v>
      </c>
      <c r="D29" s="55">
        <f>+'Beta for CAPM'!D32</f>
        <v>0.15</v>
      </c>
      <c r="E29" s="36" t="str">
        <f>+'Beta for CAPM'!G32</f>
        <v>A</v>
      </c>
      <c r="F29" s="36" t="s">
        <v>86</v>
      </c>
      <c r="G29" s="274">
        <v>10</v>
      </c>
      <c r="H29" s="63" t="s">
        <v>84</v>
      </c>
      <c r="I29" s="274">
        <f t="shared" si="0"/>
        <v>10</v>
      </c>
      <c r="J29" s="67">
        <f t="shared" si="1"/>
        <v>5.7700000000000001E-2</v>
      </c>
      <c r="K29" s="13" t="s">
        <v>0</v>
      </c>
      <c r="L29" s="13"/>
      <c r="M29" s="13"/>
    </row>
    <row r="30" spans="1:13" ht="17.25">
      <c r="A30" s="64" t="str">
        <f>+'S&amp;D'!A37</f>
        <v>WEC Energy Group</v>
      </c>
      <c r="B30" s="92" t="str">
        <f>+'S&amp;D'!B37</f>
        <v>WEC</v>
      </c>
      <c r="C30" s="92" t="str">
        <f>+'S&amp;D'!C37</f>
        <v>Electric Utility - Cent</v>
      </c>
      <c r="D30" s="55">
        <f>+'Beta for CAPM'!D33</f>
        <v>0.19</v>
      </c>
      <c r="E30" s="36" t="str">
        <f>+'Beta for CAPM'!G33</f>
        <v>A+</v>
      </c>
      <c r="F30" s="36" t="s">
        <v>93</v>
      </c>
      <c r="G30" s="274">
        <v>9</v>
      </c>
      <c r="H30" s="63" t="s">
        <v>84</v>
      </c>
      <c r="I30" s="274">
        <f t="shared" si="0"/>
        <v>10</v>
      </c>
      <c r="J30" s="67">
        <f t="shared" si="1"/>
        <v>5.7700000000000001E-2</v>
      </c>
      <c r="K30" s="13" t="s">
        <v>0</v>
      </c>
      <c r="L30" s="13"/>
      <c r="M30" s="13"/>
    </row>
    <row r="31" spans="1:13" ht="17.25" thickBot="1">
      <c r="A31" s="13"/>
      <c r="B31" s="13"/>
      <c r="C31" s="45"/>
      <c r="D31" s="48"/>
      <c r="E31" s="48"/>
      <c r="F31" s="48"/>
      <c r="G31" s="269"/>
      <c r="H31" s="48" t="s">
        <v>64</v>
      </c>
      <c r="I31" s="48"/>
      <c r="J31" s="48"/>
      <c r="K31" s="13"/>
      <c r="L31" s="13"/>
      <c r="M31" s="13"/>
    </row>
    <row r="32" spans="1:13" ht="17.25" thickTop="1">
      <c r="A32" s="13"/>
      <c r="B32" s="13"/>
      <c r="E32" s="15" t="s">
        <v>65</v>
      </c>
      <c r="F32" s="36"/>
      <c r="G32" s="268">
        <f>MAX(G15:G30)</f>
        <v>12</v>
      </c>
      <c r="I32" s="268">
        <f t="shared" ref="I32:J32" si="2">MAX(I15:I30)</f>
        <v>12</v>
      </c>
      <c r="J32" s="54">
        <f t="shared" si="2"/>
        <v>5.7700000000000001E-2</v>
      </c>
      <c r="K32" s="13"/>
      <c r="L32" s="13"/>
      <c r="M32" s="13"/>
    </row>
    <row r="33" spans="1:13" ht="16.5">
      <c r="A33" s="13"/>
      <c r="B33" s="13"/>
      <c r="E33" s="271" t="s">
        <v>66</v>
      </c>
      <c r="F33" s="126"/>
      <c r="G33" s="272">
        <f>MIN(G15:G30)</f>
        <v>9</v>
      </c>
      <c r="H33" s="227"/>
      <c r="I33" s="272">
        <f t="shared" ref="I33:J33" si="3">MIN(I15:I30)</f>
        <v>10</v>
      </c>
      <c r="J33" s="273">
        <f t="shared" si="3"/>
        <v>5.7700000000000001E-2</v>
      </c>
      <c r="K33" s="13"/>
      <c r="L33" s="13"/>
      <c r="M33" s="13"/>
    </row>
    <row r="34" spans="1:13" ht="16.5">
      <c r="A34" s="13"/>
      <c r="B34" s="13"/>
      <c r="E34" s="15" t="s">
        <v>18</v>
      </c>
      <c r="F34" s="57" t="s">
        <v>0</v>
      </c>
      <c r="G34" s="203">
        <f>MEDIAN(G15:G30)</f>
        <v>10</v>
      </c>
      <c r="I34" s="203">
        <f>MEDIAN(I15:I30)</f>
        <v>11</v>
      </c>
      <c r="J34" s="57">
        <f>MEDIAN(J15:J30)</f>
        <v>5.7700000000000001E-2</v>
      </c>
      <c r="K34" s="13"/>
      <c r="L34" s="13"/>
      <c r="M34" s="13"/>
    </row>
    <row r="35" spans="1:13" ht="16.5">
      <c r="A35" s="13"/>
      <c r="B35" s="13"/>
      <c r="D35" s="15" t="s">
        <v>0</v>
      </c>
      <c r="E35" s="15" t="s">
        <v>403</v>
      </c>
      <c r="F35" s="15"/>
      <c r="G35" s="204">
        <f>AVERAGE(G15:G30)</f>
        <v>10.0625</v>
      </c>
      <c r="I35" s="204">
        <f>AVERAGE(I15:I30)</f>
        <v>10.6875</v>
      </c>
      <c r="J35" s="57">
        <f>AVERAGE(J15:J30)</f>
        <v>5.769999999999998E-2</v>
      </c>
      <c r="K35" s="13"/>
      <c r="L35" s="13"/>
      <c r="M35" s="13"/>
    </row>
    <row r="36" spans="1:13" ht="16.5">
      <c r="A36" s="13"/>
      <c r="B36" s="13"/>
      <c r="D36" s="58"/>
      <c r="E36" s="15"/>
      <c r="F36" s="15"/>
      <c r="G36" s="204"/>
      <c r="I36" s="204"/>
      <c r="J36" s="57"/>
      <c r="K36" s="13"/>
      <c r="L36" s="13"/>
      <c r="M36" s="13"/>
    </row>
    <row r="37" spans="1:13" ht="17.25" thickBot="1">
      <c r="A37" s="13"/>
      <c r="B37" s="13"/>
      <c r="C37" s="13"/>
      <c r="D37" s="13"/>
      <c r="E37" s="15"/>
      <c r="F37" s="58"/>
      <c r="G37" s="13"/>
      <c r="H37" s="13"/>
      <c r="I37" s="13"/>
      <c r="J37" s="13"/>
      <c r="K37" s="13"/>
      <c r="L37" s="13"/>
      <c r="M37" s="13"/>
    </row>
    <row r="38" spans="1:13" ht="27" thickBot="1">
      <c r="A38" s="13"/>
      <c r="B38" s="13"/>
      <c r="C38" s="13"/>
      <c r="D38" s="13"/>
      <c r="E38" s="13"/>
      <c r="F38" s="176"/>
      <c r="G38" s="270"/>
      <c r="H38" s="177" t="s">
        <v>265</v>
      </c>
      <c r="I38" s="327">
        <v>11</v>
      </c>
      <c r="J38" s="339">
        <v>5.7700000000000001E-2</v>
      </c>
      <c r="K38" s="13"/>
      <c r="L38" s="13"/>
      <c r="M38" s="13"/>
    </row>
    <row r="39" spans="1:13" ht="16.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6.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6.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21" thickBot="1">
      <c r="A42" s="258" t="s">
        <v>172</v>
      </c>
      <c r="B42" s="13"/>
      <c r="G42" s="13"/>
      <c r="H42" s="13"/>
      <c r="I42" s="13"/>
      <c r="J42" s="13"/>
      <c r="K42" s="13"/>
      <c r="L42" s="13"/>
      <c r="M42" s="13"/>
    </row>
    <row r="43" spans="1:13" ht="24">
      <c r="A43" s="374" t="s">
        <v>504</v>
      </c>
      <c r="B43" s="374" t="s">
        <v>345</v>
      </c>
      <c r="C43" s="374" t="s">
        <v>405</v>
      </c>
      <c r="D43" s="378" t="s">
        <v>433</v>
      </c>
      <c r="E43" s="378" t="s">
        <v>434</v>
      </c>
      <c r="F43" s="13"/>
      <c r="G43" s="13"/>
      <c r="H43" s="13"/>
      <c r="I43" s="13"/>
      <c r="M43" s="13"/>
    </row>
    <row r="44" spans="1:13" ht="17.25">
      <c r="A44" s="263" t="s">
        <v>350</v>
      </c>
      <c r="B44" s="264">
        <v>1</v>
      </c>
      <c r="C44" s="265" t="s">
        <v>351</v>
      </c>
      <c r="D44" s="371">
        <v>5.1999999999999998E-2</v>
      </c>
      <c r="E44" s="371">
        <v>5.1999999999999998E-2</v>
      </c>
      <c r="F44" s="13"/>
      <c r="G44" s="13"/>
      <c r="H44" s="13"/>
      <c r="I44" s="13"/>
      <c r="M44" s="13"/>
    </row>
    <row r="45" spans="1:13" ht="17.25">
      <c r="A45" s="59" t="s">
        <v>352</v>
      </c>
      <c r="B45" s="259">
        <v>2</v>
      </c>
      <c r="C45" s="266" t="s">
        <v>333</v>
      </c>
      <c r="D45" s="371">
        <v>5.1999999999999998E-2</v>
      </c>
      <c r="E45" s="371">
        <v>5.1999999999999998E-2</v>
      </c>
      <c r="F45" s="13" t="s">
        <v>222</v>
      </c>
      <c r="H45" s="13"/>
      <c r="I45" s="13"/>
      <c r="M45" s="13"/>
    </row>
    <row r="46" spans="1:13" ht="17.25">
      <c r="A46" s="60" t="s">
        <v>353</v>
      </c>
      <c r="B46" s="261">
        <v>3</v>
      </c>
      <c r="C46" s="267" t="s">
        <v>354</v>
      </c>
      <c r="D46" s="371">
        <v>5.1999999999999998E-2</v>
      </c>
      <c r="E46" s="371">
        <v>5.1999999999999998E-2</v>
      </c>
      <c r="F46" s="13"/>
      <c r="H46" s="13"/>
      <c r="I46" s="13"/>
      <c r="M46" s="13"/>
    </row>
    <row r="47" spans="1:13" ht="17.25">
      <c r="A47" s="59" t="s">
        <v>171</v>
      </c>
      <c r="B47" s="259">
        <v>4</v>
      </c>
      <c r="C47" s="260" t="s">
        <v>334</v>
      </c>
      <c r="D47" s="371">
        <v>5.3699999999999998E-2</v>
      </c>
      <c r="E47" s="371">
        <v>5.45E-2</v>
      </c>
      <c r="F47" s="13"/>
      <c r="H47" s="13"/>
      <c r="I47" s="13"/>
      <c r="M47" s="13"/>
    </row>
    <row r="48" spans="1:13" ht="17.25">
      <c r="A48" s="59" t="s">
        <v>170</v>
      </c>
      <c r="B48" s="259">
        <v>5</v>
      </c>
      <c r="C48" s="260" t="s">
        <v>335</v>
      </c>
      <c r="D48" s="371">
        <v>5.3699999999999998E-2</v>
      </c>
      <c r="E48" s="371">
        <v>5.45E-2</v>
      </c>
      <c r="F48" s="13" t="s">
        <v>336</v>
      </c>
      <c r="H48" s="13"/>
      <c r="I48" s="13"/>
      <c r="M48" s="13"/>
    </row>
    <row r="49" spans="1:13" ht="17.25">
      <c r="A49" s="60" t="s">
        <v>169</v>
      </c>
      <c r="B49" s="261">
        <v>6</v>
      </c>
      <c r="C49" s="262" t="s">
        <v>197</v>
      </c>
      <c r="D49" s="371">
        <v>5.3699999999999998E-2</v>
      </c>
      <c r="E49" s="371">
        <v>5.45E-2</v>
      </c>
      <c r="F49" s="13"/>
      <c r="H49" s="13"/>
      <c r="I49" s="13"/>
      <c r="M49" s="13"/>
    </row>
    <row r="50" spans="1:13" ht="17.25">
      <c r="A50" s="59" t="s">
        <v>89</v>
      </c>
      <c r="B50" s="259">
        <v>7</v>
      </c>
      <c r="C50" s="260" t="s">
        <v>63</v>
      </c>
      <c r="D50" s="372">
        <v>5.5300000000000002E-2</v>
      </c>
      <c r="E50" s="372">
        <v>5.5800000000000002E-2</v>
      </c>
      <c r="H50" s="13"/>
      <c r="I50" s="13"/>
      <c r="M50" s="13"/>
    </row>
    <row r="51" spans="1:13" ht="17.25">
      <c r="A51" s="59" t="s">
        <v>168</v>
      </c>
      <c r="B51" s="259">
        <v>8</v>
      </c>
      <c r="C51" s="260" t="s">
        <v>24</v>
      </c>
      <c r="D51" s="372">
        <v>5.5300000000000002E-2</v>
      </c>
      <c r="E51" s="372">
        <v>5.5800000000000002E-2</v>
      </c>
      <c r="F51" s="13" t="s">
        <v>223</v>
      </c>
      <c r="H51" s="13"/>
      <c r="I51" s="13"/>
      <c r="J51" s="13"/>
      <c r="K51" s="13"/>
      <c r="L51" s="13"/>
      <c r="M51" s="13"/>
    </row>
    <row r="52" spans="1:13" ht="17.25">
      <c r="A52" s="60" t="s">
        <v>91</v>
      </c>
      <c r="B52" s="261">
        <v>9</v>
      </c>
      <c r="C52" s="262" t="s">
        <v>93</v>
      </c>
      <c r="D52" s="372">
        <v>5.5300000000000002E-2</v>
      </c>
      <c r="E52" s="372">
        <v>5.5800000000000002E-2</v>
      </c>
      <c r="F52" s="13"/>
      <c r="H52" s="13"/>
      <c r="I52" s="13"/>
      <c r="J52" s="13"/>
      <c r="K52" s="13"/>
      <c r="L52" s="13"/>
      <c r="M52" s="13"/>
    </row>
    <row r="53" spans="1:13" ht="17.25">
      <c r="A53" s="59" t="s">
        <v>84</v>
      </c>
      <c r="B53" s="259">
        <v>10</v>
      </c>
      <c r="C53" s="260" t="s">
        <v>86</v>
      </c>
      <c r="D53" s="372">
        <v>5.8000000000000003E-2</v>
      </c>
      <c r="E53" s="372">
        <v>5.7700000000000001E-2</v>
      </c>
      <c r="H53" s="13"/>
      <c r="I53" s="13"/>
      <c r="J53" s="13"/>
      <c r="K53" s="13"/>
      <c r="L53" s="13"/>
      <c r="M53" s="13"/>
    </row>
    <row r="54" spans="1:13" ht="17.25">
      <c r="A54" s="59" t="s">
        <v>85</v>
      </c>
      <c r="B54" s="259">
        <v>11</v>
      </c>
      <c r="C54" s="260" t="s">
        <v>87</v>
      </c>
      <c r="D54" s="372">
        <v>5.8000000000000003E-2</v>
      </c>
      <c r="E54" s="372">
        <v>5.7700000000000001E-2</v>
      </c>
      <c r="F54" s="13" t="s">
        <v>226</v>
      </c>
      <c r="H54" s="13"/>
      <c r="I54" s="13"/>
      <c r="J54" s="13"/>
      <c r="K54" s="13"/>
      <c r="L54" s="13"/>
      <c r="M54" s="13"/>
    </row>
    <row r="55" spans="1:13" ht="17.25">
      <c r="A55" s="60" t="s">
        <v>92</v>
      </c>
      <c r="B55" s="261">
        <v>12</v>
      </c>
      <c r="C55" s="262" t="s">
        <v>94</v>
      </c>
      <c r="D55" s="372">
        <v>5.8000000000000003E-2</v>
      </c>
      <c r="E55" s="372">
        <v>5.7700000000000001E-2</v>
      </c>
      <c r="F55" s="13"/>
      <c r="H55" s="13"/>
      <c r="I55" s="13"/>
      <c r="J55" s="13"/>
      <c r="K55" s="13"/>
      <c r="L55" s="13"/>
      <c r="M55" s="13"/>
    </row>
    <row r="56" spans="1:13" ht="17.25">
      <c r="A56" s="59" t="s">
        <v>90</v>
      </c>
      <c r="B56" s="259">
        <v>13</v>
      </c>
      <c r="C56" s="260" t="s">
        <v>337</v>
      </c>
      <c r="D56" s="371">
        <v>6.8400000000000002E-2</v>
      </c>
      <c r="E56" s="371">
        <v>6.8099999999999994E-2</v>
      </c>
      <c r="H56" s="13"/>
      <c r="I56" s="13"/>
      <c r="J56" s="13"/>
      <c r="K56" s="13"/>
      <c r="L56" s="13"/>
      <c r="M56" s="13"/>
    </row>
    <row r="57" spans="1:13" ht="17.25">
      <c r="A57" s="59" t="s">
        <v>167</v>
      </c>
      <c r="B57" s="259">
        <v>14</v>
      </c>
      <c r="C57" s="260" t="s">
        <v>338</v>
      </c>
      <c r="D57" s="371">
        <v>6.8400000000000002E-2</v>
      </c>
      <c r="E57" s="371">
        <v>6.8099999999999994E-2</v>
      </c>
      <c r="F57" s="13" t="s">
        <v>225</v>
      </c>
      <c r="H57" s="13"/>
      <c r="I57" s="13"/>
      <c r="J57" s="13"/>
      <c r="K57" s="13"/>
      <c r="L57" s="13"/>
      <c r="M57" s="13"/>
    </row>
    <row r="58" spans="1:13" ht="17.25">
      <c r="A58" s="60" t="s">
        <v>166</v>
      </c>
      <c r="B58" s="261">
        <v>15</v>
      </c>
      <c r="C58" s="262" t="s">
        <v>339</v>
      </c>
      <c r="D58" s="371">
        <v>6.8400000000000002E-2</v>
      </c>
      <c r="E58" s="371">
        <v>6.8099999999999994E-2</v>
      </c>
      <c r="F58" s="13"/>
      <c r="H58" s="13"/>
      <c r="I58" s="13"/>
      <c r="J58" s="13"/>
      <c r="K58" s="13"/>
      <c r="L58" s="13"/>
      <c r="M58" s="13"/>
    </row>
    <row r="59" spans="1:13" ht="17.25">
      <c r="A59" s="59" t="s">
        <v>165</v>
      </c>
      <c r="B59" s="259">
        <v>16</v>
      </c>
      <c r="C59" s="260" t="s">
        <v>25</v>
      </c>
      <c r="D59" s="372">
        <v>7.3300000000000004E-2</v>
      </c>
      <c r="E59" s="372">
        <v>7.2999999999999995E-2</v>
      </c>
      <c r="H59" s="13"/>
      <c r="I59" s="13"/>
      <c r="J59" s="13"/>
      <c r="K59" s="13"/>
      <c r="L59" s="13"/>
      <c r="M59" s="13"/>
    </row>
    <row r="60" spans="1:13" ht="17.25">
      <c r="A60" s="59" t="s">
        <v>164</v>
      </c>
      <c r="B60" s="259">
        <v>17</v>
      </c>
      <c r="C60" s="260" t="s">
        <v>123</v>
      </c>
      <c r="D60" s="372">
        <v>7.3300000000000004E-2</v>
      </c>
      <c r="E60" s="372">
        <v>7.2999999999999995E-2</v>
      </c>
      <c r="F60" s="13" t="s">
        <v>224</v>
      </c>
      <c r="H60" s="13"/>
      <c r="I60" s="13"/>
      <c r="J60" s="13"/>
      <c r="K60" s="13"/>
      <c r="L60" s="13"/>
      <c r="M60" s="13"/>
    </row>
    <row r="61" spans="1:13" ht="17.25">
      <c r="A61" s="60" t="s">
        <v>163</v>
      </c>
      <c r="B61" s="261">
        <v>18</v>
      </c>
      <c r="C61" s="262" t="s">
        <v>340</v>
      </c>
      <c r="D61" s="372">
        <v>7.3300000000000004E-2</v>
      </c>
      <c r="E61" s="372">
        <v>7.2999999999999995E-2</v>
      </c>
      <c r="F61" s="13"/>
      <c r="H61" s="13"/>
      <c r="I61" s="13"/>
      <c r="J61" s="13"/>
      <c r="K61" s="13"/>
      <c r="L61" s="13"/>
      <c r="M61" s="13"/>
    </row>
    <row r="62" spans="1:13" ht="17.25">
      <c r="A62" s="59" t="s">
        <v>162</v>
      </c>
      <c r="B62" s="259">
        <v>19</v>
      </c>
      <c r="C62" s="260" t="s">
        <v>341</v>
      </c>
      <c r="D62" s="372">
        <v>7.8200000000000006E-2</v>
      </c>
      <c r="E62" s="372">
        <v>7.7899999999999997E-2</v>
      </c>
      <c r="H62" s="13"/>
      <c r="I62" s="13"/>
      <c r="J62" s="13"/>
      <c r="K62" s="13"/>
      <c r="L62" s="13"/>
      <c r="M62" s="13"/>
    </row>
    <row r="63" spans="1:13" ht="17.25">
      <c r="A63" s="59" t="s">
        <v>161</v>
      </c>
      <c r="B63" s="259">
        <v>20</v>
      </c>
      <c r="C63" s="260" t="s">
        <v>342</v>
      </c>
      <c r="D63" s="372">
        <v>7.8200000000000006E-2</v>
      </c>
      <c r="E63" s="372">
        <v>7.7899999999999997E-2</v>
      </c>
      <c r="F63" s="13" t="s">
        <v>221</v>
      </c>
      <c r="H63" s="13"/>
      <c r="I63" s="13"/>
      <c r="J63" s="13"/>
      <c r="K63" s="13"/>
      <c r="L63" s="13"/>
      <c r="M63" s="13"/>
    </row>
    <row r="64" spans="1:13" ht="17.25">
      <c r="A64" s="60" t="s">
        <v>160</v>
      </c>
      <c r="B64" s="261">
        <v>21</v>
      </c>
      <c r="C64" s="341" t="s">
        <v>343</v>
      </c>
      <c r="D64" s="372">
        <v>7.8200000000000006E-2</v>
      </c>
      <c r="E64" s="372">
        <v>7.7899999999999997E-2</v>
      </c>
      <c r="F64" s="13"/>
      <c r="H64" s="13"/>
      <c r="I64" s="13"/>
      <c r="J64" s="13"/>
      <c r="K64" s="13"/>
      <c r="L64" s="13"/>
    </row>
    <row r="65" spans="1:6" ht="17.25">
      <c r="A65" s="340" t="s">
        <v>355</v>
      </c>
      <c r="B65" s="343">
        <v>22</v>
      </c>
      <c r="C65" s="346" t="s">
        <v>356</v>
      </c>
      <c r="D65" s="372">
        <v>8.3099999999999993E-2</v>
      </c>
      <c r="E65" s="372">
        <v>8.2799999999999999E-2</v>
      </c>
    </row>
    <row r="66" spans="1:6" ht="17.25">
      <c r="A66" s="340" t="s">
        <v>357</v>
      </c>
      <c r="B66" s="344">
        <v>23</v>
      </c>
      <c r="C66" s="347" t="s">
        <v>344</v>
      </c>
      <c r="D66" s="372">
        <v>8.3099999999999993E-2</v>
      </c>
      <c r="E66" s="372">
        <v>8.2799999999999999E-2</v>
      </c>
      <c r="F66" s="13" t="s">
        <v>219</v>
      </c>
    </row>
    <row r="67" spans="1:6" ht="18" thickBot="1">
      <c r="A67" s="342" t="s">
        <v>358</v>
      </c>
      <c r="B67" s="345">
        <v>24</v>
      </c>
      <c r="C67" s="341" t="s">
        <v>359</v>
      </c>
      <c r="D67" s="372">
        <v>8.3099999999999993E-2</v>
      </c>
      <c r="E67" s="372">
        <v>8.2799999999999999E-2</v>
      </c>
      <c r="F67" s="13"/>
    </row>
    <row r="68" spans="1:6" ht="18" thickBot="1">
      <c r="A68" s="60" t="s">
        <v>282</v>
      </c>
      <c r="B68" s="261">
        <v>25</v>
      </c>
      <c r="C68" s="60" t="s">
        <v>124</v>
      </c>
      <c r="D68" s="373"/>
      <c r="E68" s="373"/>
      <c r="F68" s="13" t="s">
        <v>220</v>
      </c>
    </row>
  </sheetData>
  <pageMargins left="0.25" right="0.25" top="0.75" bottom="0.75" header="0.3" footer="0.3"/>
  <pageSetup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45"/>
  <sheetViews>
    <sheetView view="pageBreakPreview" zoomScale="60" zoomScaleNormal="80" workbookViewId="0">
      <selection activeCell="L39" sqref="L39"/>
    </sheetView>
  </sheetViews>
  <sheetFormatPr defaultRowHeight="15"/>
  <cols>
    <col min="1" max="1" width="48.85546875" customWidth="1"/>
    <col min="2" max="2" width="11.5703125" customWidth="1"/>
    <col min="3" max="3" width="19.85546875" customWidth="1"/>
    <col min="4" max="4" width="24.5703125" customWidth="1"/>
    <col min="5" max="5" width="22.5703125" customWidth="1"/>
    <col min="6" max="7" width="21.42578125" customWidth="1"/>
    <col min="8" max="8" width="14.85546875" customWidth="1"/>
    <col min="9" max="9" width="18.42578125" customWidth="1"/>
    <col min="10" max="10" width="21.42578125" customWidth="1"/>
    <col min="11" max="11" width="2.42578125" customWidth="1"/>
    <col min="12" max="12" width="22.5703125" customWidth="1"/>
    <col min="13" max="13" width="17.42578125" customWidth="1"/>
  </cols>
  <sheetData>
    <row r="1" spans="1:14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7.25">
      <c r="A2" s="64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6.5">
      <c r="A3" s="27" t="s">
        <v>435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6.5">
      <c r="A4" s="13"/>
      <c r="B4" s="13"/>
      <c r="C4" s="13"/>
      <c r="D4" s="28" t="s">
        <v>0</v>
      </c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" thickBot="1">
      <c r="A5" s="6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24" customHeight="1" thickBot="1">
      <c r="A6" s="247" t="str">
        <f>+'S&amp;D'!A12</f>
        <v>Electric Utilities</v>
      </c>
      <c r="B6" s="18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7.25">
      <c r="A7" s="6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8" thickBot="1">
      <c r="A8" s="64"/>
      <c r="B8" s="30"/>
      <c r="C8" s="30"/>
      <c r="D8" s="30"/>
      <c r="E8" s="30"/>
      <c r="F8" s="13"/>
      <c r="G8" s="13"/>
      <c r="H8" s="30"/>
      <c r="I8" s="30"/>
      <c r="J8" s="30"/>
      <c r="K8" s="30"/>
      <c r="L8" s="30"/>
      <c r="M8" s="30"/>
      <c r="N8" s="13"/>
    </row>
    <row r="9" spans="1:14" ht="26.25">
      <c r="B9" s="13"/>
      <c r="C9" s="13"/>
      <c r="D9" s="33" t="s">
        <v>321</v>
      </c>
      <c r="E9" s="13"/>
      <c r="F9" s="13"/>
      <c r="G9" s="13"/>
      <c r="H9" s="13"/>
      <c r="I9" s="13"/>
      <c r="J9" s="13"/>
      <c r="K9" s="70" t="s">
        <v>322</v>
      </c>
      <c r="L9" s="13"/>
      <c r="M9" s="13"/>
      <c r="N9" s="13"/>
    </row>
    <row r="10" spans="1:14" ht="21" thickBot="1">
      <c r="A10" s="32"/>
      <c r="B10" s="30"/>
      <c r="C10" s="30"/>
      <c r="D10" s="34" t="s">
        <v>436</v>
      </c>
      <c r="E10" s="30"/>
      <c r="F10" s="13"/>
      <c r="G10" s="13"/>
      <c r="H10" s="30"/>
      <c r="I10" s="30"/>
      <c r="J10" s="30"/>
      <c r="K10" s="34" t="s">
        <v>436</v>
      </c>
      <c r="L10" s="30"/>
      <c r="M10" s="30"/>
      <c r="N10" s="13"/>
    </row>
    <row r="11" spans="1:14" ht="17.25" thickBot="1">
      <c r="A11" s="35" t="s">
        <v>0</v>
      </c>
      <c r="B11" s="35" t="s">
        <v>0</v>
      </c>
      <c r="C11" s="35" t="s">
        <v>0</v>
      </c>
      <c r="D11" s="35" t="s">
        <v>0</v>
      </c>
      <c r="E11" s="35" t="s">
        <v>0</v>
      </c>
      <c r="F11" s="35" t="s">
        <v>0</v>
      </c>
      <c r="G11" s="42"/>
      <c r="H11" s="246"/>
      <c r="I11" s="35" t="s">
        <v>0</v>
      </c>
      <c r="J11" s="30"/>
      <c r="K11" s="30"/>
      <c r="L11" s="30"/>
      <c r="M11" s="30"/>
      <c r="N11" s="13"/>
    </row>
    <row r="12" spans="1:14" ht="16.5">
      <c r="A12" s="36" t="s">
        <v>0</v>
      </c>
      <c r="B12" s="36" t="s">
        <v>3</v>
      </c>
      <c r="C12" s="36" t="s">
        <v>0</v>
      </c>
      <c r="D12" s="36" t="s">
        <v>144</v>
      </c>
      <c r="E12" s="36" t="s">
        <v>144</v>
      </c>
      <c r="F12" s="36" t="s">
        <v>27</v>
      </c>
      <c r="G12" s="36"/>
      <c r="H12" s="36" t="s">
        <v>3</v>
      </c>
      <c r="I12" s="36" t="s">
        <v>0</v>
      </c>
      <c r="J12" s="36" t="s">
        <v>144</v>
      </c>
      <c r="K12" s="36"/>
      <c r="L12" s="36" t="s">
        <v>144</v>
      </c>
      <c r="M12" s="36" t="s">
        <v>27</v>
      </c>
      <c r="N12" s="13"/>
    </row>
    <row r="13" spans="1:14" ht="17.25" thickBot="1">
      <c r="A13" s="38" t="s">
        <v>2</v>
      </c>
      <c r="B13" s="38" t="s">
        <v>4</v>
      </c>
      <c r="C13" s="38" t="s">
        <v>28</v>
      </c>
      <c r="D13" s="38" t="s">
        <v>0</v>
      </c>
      <c r="E13" s="38" t="s">
        <v>29</v>
      </c>
      <c r="F13" s="38" t="s">
        <v>30</v>
      </c>
      <c r="G13" s="36"/>
      <c r="H13" s="38" t="s">
        <v>4</v>
      </c>
      <c r="I13" s="38" t="s">
        <v>28</v>
      </c>
      <c r="J13" s="38" t="s">
        <v>0</v>
      </c>
      <c r="K13" s="38"/>
      <c r="L13" s="38" t="s">
        <v>29</v>
      </c>
      <c r="M13" s="38" t="s">
        <v>30</v>
      </c>
      <c r="N13" s="13"/>
    </row>
    <row r="14" spans="1:14" ht="16.5">
      <c r="A14" s="40" t="s">
        <v>0</v>
      </c>
      <c r="B14" s="40" t="s">
        <v>0</v>
      </c>
      <c r="C14" s="41" t="s">
        <v>147</v>
      </c>
      <c r="D14" s="40" t="s">
        <v>148</v>
      </c>
      <c r="E14" s="40" t="s">
        <v>0</v>
      </c>
      <c r="F14" s="40" t="s">
        <v>0</v>
      </c>
      <c r="G14" s="42"/>
      <c r="H14" s="40" t="s">
        <v>0</v>
      </c>
      <c r="I14" s="41" t="s">
        <v>147</v>
      </c>
      <c r="J14" s="40" t="s">
        <v>149</v>
      </c>
      <c r="K14" s="40"/>
      <c r="L14" s="40" t="s">
        <v>0</v>
      </c>
      <c r="M14" s="40" t="s">
        <v>0</v>
      </c>
      <c r="N14" s="13"/>
    </row>
    <row r="15" spans="1:14" ht="16.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13"/>
    </row>
    <row r="16" spans="1:14" ht="16.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7.25">
      <c r="A17" s="45" t="s">
        <v>286</v>
      </c>
      <c r="B17" s="36" t="s">
        <v>53</v>
      </c>
      <c r="C17" s="61">
        <f>+'S&amp;D'!G22</f>
        <v>64.8</v>
      </c>
      <c r="D17" s="63">
        <v>8.4499999999999993</v>
      </c>
      <c r="E17" s="71">
        <f>C17/D17</f>
        <v>7.668639053254438</v>
      </c>
      <c r="F17" s="58">
        <f t="shared" ref="F17:F32" si="0">1/E17</f>
        <v>0.13040123456790123</v>
      </c>
      <c r="G17" s="58"/>
      <c r="H17" s="36" t="str">
        <f>+B17</f>
        <v>ALE</v>
      </c>
      <c r="I17" s="61">
        <f>+C17</f>
        <v>64.8</v>
      </c>
      <c r="J17" s="63">
        <v>9</v>
      </c>
      <c r="K17" s="63"/>
      <c r="L17" s="71">
        <f>I17/J17</f>
        <v>7.1999999999999993</v>
      </c>
      <c r="M17" s="58">
        <f t="shared" ref="M17:M32" si="1">1/L17</f>
        <v>0.1388888888888889</v>
      </c>
      <c r="N17" s="13"/>
    </row>
    <row r="18" spans="1:14" ht="17.25">
      <c r="A18" s="45" t="s">
        <v>44</v>
      </c>
      <c r="B18" s="36" t="s">
        <v>54</v>
      </c>
      <c r="C18" s="61">
        <f>+'S&amp;D'!G23</f>
        <v>59.14</v>
      </c>
      <c r="D18" s="63">
        <v>5.85</v>
      </c>
      <c r="E18" s="71">
        <f t="shared" ref="E18:E32" si="2">C18/D18</f>
        <v>10.109401709401711</v>
      </c>
      <c r="F18" s="58">
        <f t="shared" si="0"/>
        <v>9.8917822117010473E-2</v>
      </c>
      <c r="G18" s="58"/>
      <c r="H18" s="36" t="str">
        <f t="shared" ref="H18:H32" si="3">+B18</f>
        <v>LNT</v>
      </c>
      <c r="I18" s="61">
        <f t="shared" ref="I18:I32" si="4">+C18</f>
        <v>59.14</v>
      </c>
      <c r="J18" s="63">
        <v>6.05</v>
      </c>
      <c r="K18" s="63"/>
      <c r="L18" s="71">
        <f t="shared" ref="L18:L32" si="5">I18/J18</f>
        <v>9.7752066115702476</v>
      </c>
      <c r="M18" s="58">
        <f t="shared" si="1"/>
        <v>0.10229962800135273</v>
      </c>
      <c r="N18" s="13"/>
    </row>
    <row r="19" spans="1:14" ht="17.25">
      <c r="A19" s="45" t="s">
        <v>45</v>
      </c>
      <c r="B19" s="36" t="s">
        <v>58</v>
      </c>
      <c r="C19" s="61">
        <f>+'S&amp;D'!G24</f>
        <v>89.14</v>
      </c>
      <c r="D19" s="63">
        <v>11.2</v>
      </c>
      <c r="E19" s="71">
        <f t="shared" si="2"/>
        <v>7.9589285714285722</v>
      </c>
      <c r="F19" s="58">
        <f t="shared" si="0"/>
        <v>0.12564505272604889</v>
      </c>
      <c r="G19" s="58"/>
      <c r="H19" s="36" t="str">
        <f t="shared" si="3"/>
        <v>AEE</v>
      </c>
      <c r="I19" s="61">
        <f t="shared" si="4"/>
        <v>89.14</v>
      </c>
      <c r="J19" s="63">
        <v>11.65</v>
      </c>
      <c r="K19" s="63"/>
      <c r="L19" s="71">
        <f t="shared" si="5"/>
        <v>7.6515021459227466</v>
      </c>
      <c r="M19" s="58">
        <f t="shared" si="1"/>
        <v>0.1306932914516491</v>
      </c>
      <c r="N19" s="13"/>
    </row>
    <row r="20" spans="1:14" ht="17.25">
      <c r="A20" s="45" t="s">
        <v>46</v>
      </c>
      <c r="B20" s="36" t="s">
        <v>59</v>
      </c>
      <c r="C20" s="61">
        <f>+'S&amp;D'!G25</f>
        <v>92.23</v>
      </c>
      <c r="D20" s="63">
        <v>12.2</v>
      </c>
      <c r="E20" s="71">
        <f>C20/D20</f>
        <v>7.5598360655737711</v>
      </c>
      <c r="F20" s="58">
        <f t="shared" si="0"/>
        <v>0.13227800065054754</v>
      </c>
      <c r="G20" s="58"/>
      <c r="H20" s="36" t="str">
        <f t="shared" si="3"/>
        <v>AEP</v>
      </c>
      <c r="I20" s="61">
        <f t="shared" si="4"/>
        <v>92.23</v>
      </c>
      <c r="J20" s="63">
        <v>12.8</v>
      </c>
      <c r="K20" s="63"/>
      <c r="L20" s="71">
        <f t="shared" si="5"/>
        <v>7.2054687499999996</v>
      </c>
      <c r="M20" s="58">
        <f t="shared" si="1"/>
        <v>0.13878347609237776</v>
      </c>
      <c r="N20" s="13"/>
    </row>
    <row r="21" spans="1:14" ht="17.25">
      <c r="A21" s="45" t="s">
        <v>47</v>
      </c>
      <c r="B21" s="36" t="s">
        <v>60</v>
      </c>
      <c r="C21" s="61">
        <f>+'S&amp;D'!G26</f>
        <v>31.73</v>
      </c>
      <c r="D21" s="63">
        <v>4</v>
      </c>
      <c r="E21" s="71">
        <f t="shared" si="2"/>
        <v>7.9325000000000001</v>
      </c>
      <c r="F21" s="58">
        <f t="shared" si="0"/>
        <v>0.12606366214938544</v>
      </c>
      <c r="G21" s="58"/>
      <c r="H21" s="36" t="str">
        <f t="shared" si="3"/>
        <v>CNP</v>
      </c>
      <c r="I21" s="61">
        <f t="shared" si="4"/>
        <v>31.73</v>
      </c>
      <c r="J21" s="63">
        <v>4.25</v>
      </c>
      <c r="K21" s="63"/>
      <c r="L21" s="71">
        <f t="shared" si="5"/>
        <v>7.4658823529411764</v>
      </c>
      <c r="M21" s="58">
        <f t="shared" si="1"/>
        <v>0.13394264103372203</v>
      </c>
      <c r="N21" s="13"/>
    </row>
    <row r="22" spans="1:14" ht="17.25">
      <c r="A22" s="45" t="s">
        <v>48</v>
      </c>
      <c r="B22" s="36" t="s">
        <v>55</v>
      </c>
      <c r="C22" s="61">
        <f>+'S&amp;D'!G27</f>
        <v>66.650000000000006</v>
      </c>
      <c r="D22" s="63">
        <v>7.75</v>
      </c>
      <c r="E22" s="71">
        <f t="shared" si="2"/>
        <v>8.6000000000000014</v>
      </c>
      <c r="F22" s="58">
        <f t="shared" si="0"/>
        <v>0.11627906976744184</v>
      </c>
      <c r="G22" s="58"/>
      <c r="H22" s="36" t="str">
        <f t="shared" si="3"/>
        <v>CMS</v>
      </c>
      <c r="I22" s="61">
        <f t="shared" si="4"/>
        <v>66.650000000000006</v>
      </c>
      <c r="J22" s="63">
        <v>8</v>
      </c>
      <c r="K22" s="63"/>
      <c r="L22" s="71">
        <f t="shared" si="5"/>
        <v>8.3312500000000007</v>
      </c>
      <c r="M22" s="58">
        <f t="shared" si="1"/>
        <v>0.12003000750187545</v>
      </c>
      <c r="N22" s="13"/>
    </row>
    <row r="23" spans="1:14" ht="17.25">
      <c r="A23" s="45" t="s">
        <v>49</v>
      </c>
      <c r="B23" s="36" t="s">
        <v>56</v>
      </c>
      <c r="C23" s="61">
        <f>+'S&amp;D'!G28</f>
        <v>120.75</v>
      </c>
      <c r="D23" s="63">
        <v>15.95</v>
      </c>
      <c r="E23" s="71">
        <f t="shared" si="2"/>
        <v>7.5705329153605021</v>
      </c>
      <c r="F23" s="58">
        <f t="shared" si="0"/>
        <v>0.13209109730848861</v>
      </c>
      <c r="G23" s="58"/>
      <c r="H23" s="36" t="str">
        <f t="shared" si="3"/>
        <v>DTE</v>
      </c>
      <c r="I23" s="61">
        <f t="shared" si="4"/>
        <v>120.75</v>
      </c>
      <c r="J23" s="63">
        <v>16.75</v>
      </c>
      <c r="K23" s="63"/>
      <c r="L23" s="71">
        <f t="shared" si="5"/>
        <v>7.2089552238805972</v>
      </c>
      <c r="M23" s="58">
        <f t="shared" si="1"/>
        <v>0.13871635610766045</v>
      </c>
      <c r="N23" s="13"/>
    </row>
    <row r="24" spans="1:14" ht="17.25">
      <c r="A24" s="45" t="s">
        <v>74</v>
      </c>
      <c r="B24" s="36" t="s">
        <v>67</v>
      </c>
      <c r="C24" s="61">
        <f>+'S&amp;D'!G29</f>
        <v>107.74</v>
      </c>
      <c r="D24" s="63">
        <v>15</v>
      </c>
      <c r="E24" s="71">
        <f t="shared" ref="E24" si="6">C24/D24</f>
        <v>7.1826666666666661</v>
      </c>
      <c r="F24" s="58">
        <f t="shared" ref="F24" si="7">1/E24</f>
        <v>0.1392240579172081</v>
      </c>
      <c r="G24" s="58"/>
      <c r="H24" s="36" t="str">
        <f t="shared" si="3"/>
        <v>DUK</v>
      </c>
      <c r="I24" s="61">
        <f t="shared" si="4"/>
        <v>107.74</v>
      </c>
      <c r="J24" s="63">
        <v>15.75</v>
      </c>
      <c r="K24" s="63"/>
      <c r="L24" s="71">
        <f t="shared" si="5"/>
        <v>6.84063492063492</v>
      </c>
      <c r="M24" s="58">
        <f t="shared" si="1"/>
        <v>0.14618526081306851</v>
      </c>
      <c r="N24" s="13"/>
    </row>
    <row r="25" spans="1:14" ht="17.25">
      <c r="A25" s="45" t="s">
        <v>68</v>
      </c>
      <c r="B25" s="36" t="s">
        <v>69</v>
      </c>
      <c r="C25" s="61">
        <f>+'S&amp;D'!G30</f>
        <v>75.819999999999993</v>
      </c>
      <c r="D25" s="63">
        <v>8.8000000000000007</v>
      </c>
      <c r="E25" s="71">
        <f t="shared" ref="E25:E27" si="8">C25/D25</f>
        <v>8.6159090909090903</v>
      </c>
      <c r="F25" s="58">
        <f t="shared" ref="F25:F27" si="9">1/E25</f>
        <v>0.11606436296491691</v>
      </c>
      <c r="G25" s="58"/>
      <c r="H25" s="36" t="str">
        <f t="shared" si="3"/>
        <v>ETR</v>
      </c>
      <c r="I25" s="61">
        <f t="shared" si="4"/>
        <v>75.819999999999993</v>
      </c>
      <c r="J25" s="63">
        <v>9.3000000000000007</v>
      </c>
      <c r="K25" s="63"/>
      <c r="L25" s="71">
        <f t="shared" si="5"/>
        <v>8.1526881720430087</v>
      </c>
      <c r="M25" s="58">
        <f t="shared" si="1"/>
        <v>0.12265892904246904</v>
      </c>
      <c r="N25" s="13"/>
    </row>
    <row r="26" spans="1:14" ht="17.25">
      <c r="A26" s="45" t="s">
        <v>284</v>
      </c>
      <c r="B26" s="36" t="s">
        <v>285</v>
      </c>
      <c r="C26" s="61">
        <f>+'S&amp;D'!G31</f>
        <v>61.55</v>
      </c>
      <c r="D26" s="63">
        <v>8.5500000000000007</v>
      </c>
      <c r="E26" s="71">
        <f t="shared" ref="E26" si="10">C26/D26</f>
        <v>7.1988304093567246</v>
      </c>
      <c r="F26" s="58">
        <f t="shared" ref="F26" si="11">1/E26</f>
        <v>0.13891145410235581</v>
      </c>
      <c r="G26" s="58"/>
      <c r="H26" s="36" t="str">
        <f t="shared" si="3"/>
        <v>EVRG</v>
      </c>
      <c r="I26" s="61">
        <f t="shared" si="4"/>
        <v>61.55</v>
      </c>
      <c r="J26" s="63">
        <v>8.85</v>
      </c>
      <c r="K26" s="63"/>
      <c r="L26" s="71">
        <f t="shared" ref="L26" si="12">I26/J26</f>
        <v>6.9548022598870052</v>
      </c>
      <c r="M26" s="58">
        <f t="shared" ref="M26" si="13">1/L26</f>
        <v>0.1437855402112104</v>
      </c>
      <c r="N26" s="13"/>
    </row>
    <row r="27" spans="1:14" ht="17.25">
      <c r="A27" s="45" t="s">
        <v>78</v>
      </c>
      <c r="B27" s="36" t="s">
        <v>79</v>
      </c>
      <c r="C27" s="61">
        <f>+'S&amp;D'!G32</f>
        <v>39.78</v>
      </c>
      <c r="D27" s="63">
        <v>5.3</v>
      </c>
      <c r="E27" s="71">
        <f t="shared" si="8"/>
        <v>7.5056603773584909</v>
      </c>
      <c r="F27" s="58">
        <f t="shared" si="9"/>
        <v>0.13323278029160382</v>
      </c>
      <c r="G27" s="58"/>
      <c r="H27" s="36" t="str">
        <f t="shared" si="3"/>
        <v>FE</v>
      </c>
      <c r="I27" s="61">
        <f t="shared" si="4"/>
        <v>39.78</v>
      </c>
      <c r="J27" s="63">
        <v>5.6</v>
      </c>
      <c r="K27" s="63"/>
      <c r="L27" s="71">
        <f t="shared" si="5"/>
        <v>7.1035714285714295</v>
      </c>
      <c r="M27" s="58">
        <f t="shared" si="1"/>
        <v>0.14077425842131722</v>
      </c>
      <c r="N27" s="13"/>
    </row>
    <row r="28" spans="1:14" ht="17.25">
      <c r="A28" s="45" t="s">
        <v>50</v>
      </c>
      <c r="B28" s="36" t="s">
        <v>57</v>
      </c>
      <c r="C28" s="61">
        <f>+'S&amp;D'!G33</f>
        <v>41.25</v>
      </c>
      <c r="D28" s="63">
        <v>5.05</v>
      </c>
      <c r="E28" s="71">
        <f t="shared" si="2"/>
        <v>8.1683168316831694</v>
      </c>
      <c r="F28" s="58">
        <f t="shared" si="0"/>
        <v>0.12242424242424241</v>
      </c>
      <c r="G28" s="58"/>
      <c r="H28" s="36" t="str">
        <f t="shared" si="3"/>
        <v>OGE</v>
      </c>
      <c r="I28" s="61">
        <f t="shared" si="4"/>
        <v>41.25</v>
      </c>
      <c r="J28" s="63">
        <v>5.25</v>
      </c>
      <c r="K28" s="63"/>
      <c r="L28" s="71">
        <f t="shared" si="5"/>
        <v>7.8571428571428568</v>
      </c>
      <c r="M28" s="58">
        <f t="shared" si="1"/>
        <v>0.12727272727272729</v>
      </c>
      <c r="N28" s="13"/>
    </row>
    <row r="29" spans="1:14" ht="17.25">
      <c r="A29" s="45" t="s">
        <v>51</v>
      </c>
      <c r="B29" s="36" t="s">
        <v>61</v>
      </c>
      <c r="C29" s="61">
        <f>+'S&amp;D'!G34</f>
        <v>73.84</v>
      </c>
      <c r="D29" s="63">
        <v>8.8000000000000007</v>
      </c>
      <c r="E29" s="71">
        <f t="shared" si="2"/>
        <v>8.3909090909090907</v>
      </c>
      <c r="F29" s="58">
        <f t="shared" si="0"/>
        <v>0.11917659804983749</v>
      </c>
      <c r="G29" s="58"/>
      <c r="H29" s="36" t="str">
        <f t="shared" si="3"/>
        <v>OTTR</v>
      </c>
      <c r="I29" s="61">
        <f t="shared" si="4"/>
        <v>73.84</v>
      </c>
      <c r="J29" s="63">
        <v>7.6</v>
      </c>
      <c r="K29" s="63"/>
      <c r="L29" s="71">
        <f t="shared" si="5"/>
        <v>9.715789473684211</v>
      </c>
      <c r="M29" s="58">
        <f t="shared" si="1"/>
        <v>0.10292524377031419</v>
      </c>
      <c r="N29" s="13"/>
    </row>
    <row r="30" spans="1:14" ht="17.25">
      <c r="A30" s="45" t="s">
        <v>70</v>
      </c>
      <c r="B30" s="36" t="s">
        <v>71</v>
      </c>
      <c r="C30" s="61">
        <f>+'S&amp;D'!G35</f>
        <v>32.46</v>
      </c>
      <c r="D30" s="63">
        <v>3.7</v>
      </c>
      <c r="E30" s="71">
        <f t="shared" ref="E30" si="14">C30/D30</f>
        <v>8.7729729729729726</v>
      </c>
      <c r="F30" s="58">
        <f t="shared" ref="F30" si="15">1/E30</f>
        <v>0.11398644485520641</v>
      </c>
      <c r="G30" s="58"/>
      <c r="H30" s="36" t="str">
        <f t="shared" si="3"/>
        <v>PPL</v>
      </c>
      <c r="I30" s="61">
        <f t="shared" si="4"/>
        <v>32.46</v>
      </c>
      <c r="J30" s="63">
        <v>3.8</v>
      </c>
      <c r="K30" s="63"/>
      <c r="L30" s="71">
        <f t="shared" si="5"/>
        <v>8.5421052631578949</v>
      </c>
      <c r="M30" s="58">
        <f t="shared" si="1"/>
        <v>0.11706715958102279</v>
      </c>
      <c r="N30" s="13"/>
    </row>
    <row r="31" spans="1:14" ht="17.25">
      <c r="A31" s="45" t="s">
        <v>72</v>
      </c>
      <c r="B31" s="36" t="s">
        <v>73</v>
      </c>
      <c r="C31" s="61">
        <f>+'S&amp;D'!G36</f>
        <v>82.32</v>
      </c>
      <c r="D31" s="63">
        <v>8.5</v>
      </c>
      <c r="E31" s="71">
        <f t="shared" ref="E31" si="16">C31/D31</f>
        <v>9.6847058823529402</v>
      </c>
      <c r="F31" s="58">
        <f t="shared" ref="F31" si="17">1/E31</f>
        <v>0.10325558794946552</v>
      </c>
      <c r="G31" s="58"/>
      <c r="H31" s="36" t="str">
        <f t="shared" si="3"/>
        <v>SO</v>
      </c>
      <c r="I31" s="61">
        <f t="shared" si="4"/>
        <v>82.32</v>
      </c>
      <c r="J31" s="63">
        <v>8.8000000000000007</v>
      </c>
      <c r="K31" s="63"/>
      <c r="L31" s="71">
        <f t="shared" si="5"/>
        <v>9.3545454545454536</v>
      </c>
      <c r="M31" s="58">
        <f t="shared" si="1"/>
        <v>0.10689990281827018</v>
      </c>
      <c r="N31" s="13"/>
    </row>
    <row r="32" spans="1:14" ht="17.25">
      <c r="A32" s="45" t="s">
        <v>52</v>
      </c>
      <c r="B32" s="36" t="s">
        <v>62</v>
      </c>
      <c r="C32" s="61">
        <f>+'S&amp;D'!G37</f>
        <v>94.04</v>
      </c>
      <c r="D32" s="63">
        <v>10.15</v>
      </c>
      <c r="E32" s="71">
        <f t="shared" si="2"/>
        <v>9.2650246305418715</v>
      </c>
      <c r="F32" s="58">
        <f t="shared" si="0"/>
        <v>0.1079327945555083</v>
      </c>
      <c r="G32" s="58"/>
      <c r="H32" s="36" t="str">
        <f t="shared" si="3"/>
        <v>WEC</v>
      </c>
      <c r="I32" s="61">
        <f t="shared" si="4"/>
        <v>94.04</v>
      </c>
      <c r="J32" s="63">
        <v>10.65</v>
      </c>
      <c r="K32" s="63"/>
      <c r="L32" s="71">
        <f t="shared" si="5"/>
        <v>8.8300469483568076</v>
      </c>
      <c r="M32" s="58">
        <f t="shared" si="1"/>
        <v>0.11324968098681412</v>
      </c>
      <c r="N32" s="13"/>
    </row>
    <row r="33" spans="1:14" ht="17.25" thickBot="1">
      <c r="A33" s="13"/>
      <c r="B33" s="72"/>
      <c r="C33" s="72"/>
      <c r="D33" s="72"/>
      <c r="E33" s="72"/>
      <c r="F33" s="72"/>
      <c r="G33" s="13"/>
      <c r="H33" s="72"/>
      <c r="I33" s="72"/>
      <c r="J33" s="72"/>
      <c r="K33" s="72"/>
      <c r="L33" s="72"/>
      <c r="M33" s="72"/>
      <c r="N33" s="13"/>
    </row>
    <row r="34" spans="1:14" ht="17.25" thickTop="1">
      <c r="A34" s="13"/>
      <c r="C34" s="15" t="s">
        <v>65</v>
      </c>
      <c r="D34" s="294">
        <f>MAX(D17:D32)</f>
        <v>15.95</v>
      </c>
      <c r="E34" s="294">
        <f t="shared" ref="E34:F34" si="18">MAX(E17:E32)</f>
        <v>10.109401709401711</v>
      </c>
      <c r="F34" s="281">
        <f t="shared" si="18"/>
        <v>0.1392240579172081</v>
      </c>
      <c r="I34" s="15" t="s">
        <v>65</v>
      </c>
      <c r="J34" s="294">
        <f t="shared" ref="J34:M34" si="19">MAX(J17:J32)</f>
        <v>16.75</v>
      </c>
      <c r="K34" s="294"/>
      <c r="L34" s="294">
        <f t="shared" si="19"/>
        <v>9.7752066115702476</v>
      </c>
      <c r="M34" s="281">
        <f t="shared" si="19"/>
        <v>0.14618526081306851</v>
      </c>
      <c r="N34" s="13"/>
    </row>
    <row r="35" spans="1:14" ht="16.5">
      <c r="A35" s="13"/>
      <c r="C35" s="15" t="s">
        <v>66</v>
      </c>
      <c r="D35" s="297">
        <f>MIN(D17:D32)</f>
        <v>3.7</v>
      </c>
      <c r="E35" s="297">
        <f t="shared" ref="E35:F35" si="20">MIN(E17:E32)</f>
        <v>7.1826666666666661</v>
      </c>
      <c r="F35" s="282">
        <f t="shared" si="20"/>
        <v>9.8917822117010473E-2</v>
      </c>
      <c r="I35" s="15" t="s">
        <v>66</v>
      </c>
      <c r="J35" s="297">
        <f t="shared" ref="J35:M35" si="21">MIN(J17:J32)</f>
        <v>3.8</v>
      </c>
      <c r="K35" s="297"/>
      <c r="L35" s="297">
        <f t="shared" si="21"/>
        <v>6.84063492063492</v>
      </c>
      <c r="M35" s="282">
        <f t="shared" si="21"/>
        <v>0.10229962800135273</v>
      </c>
      <c r="N35" s="13"/>
    </row>
    <row r="36" spans="1:14" ht="16.5">
      <c r="A36" s="13"/>
      <c r="C36" s="15" t="s">
        <v>18</v>
      </c>
      <c r="D36" s="73">
        <f>MEDIAN(D17:D32)</f>
        <v>8.5250000000000004</v>
      </c>
      <c r="E36" s="22">
        <f>MEDIAN(E17:E32)</f>
        <v>8.0636227015558717</v>
      </c>
      <c r="F36" s="58">
        <f>MEDIAN(F17:F32)</f>
        <v>0.12403464757514565</v>
      </c>
      <c r="I36" s="15" t="s">
        <v>18</v>
      </c>
      <c r="J36" s="73">
        <f>MEDIAN(J17:J32)</f>
        <v>8.8249999999999993</v>
      </c>
      <c r="K36" s="73"/>
      <c r="L36" s="22">
        <f>MEDIAN(L17:L32)</f>
        <v>7.7543225015328012</v>
      </c>
      <c r="M36" s="58">
        <f>MEDIAN(M17:M32)</f>
        <v>0.12898300936218821</v>
      </c>
      <c r="N36" s="13"/>
    </row>
    <row r="37" spans="1:14" ht="16.5">
      <c r="A37" s="13"/>
      <c r="C37" s="15" t="s">
        <v>403</v>
      </c>
      <c r="D37" s="18">
        <f>AVERAGE(D17:D32)</f>
        <v>8.703125</v>
      </c>
      <c r="E37" s="22">
        <f>AVERAGE(E17:E32)</f>
        <v>8.2615521417356259</v>
      </c>
      <c r="F37" s="74">
        <f>AVERAGE(F17:F32)</f>
        <v>0.12224276639982304</v>
      </c>
      <c r="I37" s="15" t="s">
        <v>403</v>
      </c>
      <c r="J37" s="18">
        <f>AVERAGE(J17:J32)</f>
        <v>9.0062499999999996</v>
      </c>
      <c r="K37" s="18"/>
      <c r="L37" s="22">
        <f>AVERAGE(L17:L32)</f>
        <v>8.0118494913961467</v>
      </c>
      <c r="M37" s="74">
        <f>AVERAGE(M17:M32)</f>
        <v>0.12651081199967126</v>
      </c>
      <c r="N37" s="13"/>
    </row>
    <row r="38" spans="1:14" ht="16.5">
      <c r="A38" s="13"/>
      <c r="B38" s="13"/>
      <c r="C38" s="13"/>
      <c r="D38" s="13"/>
      <c r="E38" s="13"/>
      <c r="F38" s="13"/>
      <c r="H38" s="13"/>
      <c r="I38" s="13"/>
      <c r="J38" s="13"/>
      <c r="K38" s="13"/>
      <c r="L38" s="13"/>
      <c r="M38" s="13"/>
      <c r="N38" s="13"/>
    </row>
    <row r="39" spans="1:14" ht="26.25">
      <c r="A39" s="13"/>
      <c r="B39" s="13"/>
      <c r="C39" s="13"/>
      <c r="D39" s="78" t="s">
        <v>108</v>
      </c>
      <c r="E39" s="348">
        <v>8.26</v>
      </c>
      <c r="F39" s="303">
        <v>0.1222</v>
      </c>
      <c r="H39" s="13"/>
      <c r="I39" s="13"/>
      <c r="J39" s="78" t="s">
        <v>108</v>
      </c>
      <c r="K39" s="50"/>
      <c r="L39" s="349">
        <v>8.01</v>
      </c>
      <c r="M39" s="303">
        <v>0.1265</v>
      </c>
      <c r="N39" s="13"/>
    </row>
    <row r="40" spans="1:14" ht="17.25" thickBot="1">
      <c r="A40" s="13"/>
      <c r="B40" s="13"/>
      <c r="C40" s="13"/>
      <c r="D40" s="13"/>
      <c r="E40" s="13"/>
      <c r="F40" s="75" t="s">
        <v>0</v>
      </c>
      <c r="G40" s="75"/>
      <c r="H40" s="13"/>
      <c r="I40" s="13"/>
      <c r="J40" s="13"/>
      <c r="K40" s="13"/>
      <c r="L40" s="13"/>
      <c r="M40" s="13"/>
      <c r="N40" s="13"/>
    </row>
    <row r="41" spans="1:14" ht="27" thickBot="1">
      <c r="A41" s="76" t="s">
        <v>0</v>
      </c>
      <c r="B41" s="13"/>
      <c r="C41" s="13"/>
      <c r="D41" s="13"/>
      <c r="E41" s="25" t="s">
        <v>153</v>
      </c>
      <c r="F41" s="25"/>
      <c r="G41" s="350">
        <f>(+E39+L39)/2</f>
        <v>8.1349999999999998</v>
      </c>
      <c r="H41" s="339">
        <f>(+F39+M39)/2</f>
        <v>0.12435</v>
      </c>
      <c r="N41" s="13"/>
    </row>
    <row r="42" spans="1:14" ht="26.25">
      <c r="A42" s="76"/>
      <c r="B42" s="13"/>
      <c r="C42" s="13"/>
      <c r="D42" s="13"/>
      <c r="E42" s="25"/>
      <c r="F42" s="25"/>
      <c r="G42" s="305"/>
      <c r="H42" s="306"/>
      <c r="N42" s="13"/>
    </row>
    <row r="43" spans="1:14" ht="16.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6.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6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</sheetData>
  <pageMargins left="0.25" right="0.25" top="0.75" bottom="0.75" header="0.3" footer="0.3"/>
  <pageSetup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AAB1-5671-4283-A0D0-11DDA5DBBF04}">
  <sheetPr>
    <tabColor rgb="FF92D050"/>
  </sheetPr>
  <dimension ref="A1:O77"/>
  <sheetViews>
    <sheetView view="pageBreakPreview" zoomScale="60" zoomScaleNormal="80" workbookViewId="0">
      <selection activeCell="J42" sqref="J42"/>
    </sheetView>
  </sheetViews>
  <sheetFormatPr defaultRowHeight="15"/>
  <cols>
    <col min="1" max="1" width="44.140625" customWidth="1"/>
    <col min="2" max="2" width="14.42578125" customWidth="1"/>
    <col min="3" max="3" width="12.42578125" bestFit="1" customWidth="1"/>
    <col min="4" max="4" width="23.5703125" customWidth="1"/>
    <col min="5" max="5" width="21.42578125" customWidth="1"/>
    <col min="6" max="6" width="19" customWidth="1"/>
    <col min="7" max="7" width="16.42578125" customWidth="1"/>
    <col min="8" max="10" width="19.42578125" customWidth="1"/>
    <col min="11" max="12" width="21.5703125" customWidth="1"/>
    <col min="13" max="13" width="18.42578125" customWidth="1"/>
  </cols>
  <sheetData>
    <row r="1" spans="1:15" ht="26.25">
      <c r="A1" s="25" t="s">
        <v>1</v>
      </c>
      <c r="B1" s="25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7.25">
      <c r="A2" s="64" t="s">
        <v>9</v>
      </c>
      <c r="B2" s="6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6.5">
      <c r="A3" s="27" t="s">
        <v>435</v>
      </c>
      <c r="B3" s="45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6.5">
      <c r="A4" s="13"/>
      <c r="B4" s="13"/>
      <c r="C4" s="13"/>
      <c r="D4" s="13"/>
      <c r="E4" s="28" t="s">
        <v>0</v>
      </c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18" thickBot="1">
      <c r="A5" s="64"/>
      <c r="B5" s="6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21" thickBot="1">
      <c r="A6" s="245" t="str">
        <f>+'S&amp;D'!A12</f>
        <v>Electric Utilities</v>
      </c>
      <c r="B6" s="24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8" thickBot="1">
      <c r="A7" s="64"/>
      <c r="B7" s="64"/>
      <c r="C7" s="30"/>
      <c r="D7" s="30"/>
      <c r="E7" s="30"/>
      <c r="F7" s="30"/>
      <c r="G7" s="30"/>
      <c r="H7" s="13"/>
      <c r="I7" s="30"/>
      <c r="J7" s="30"/>
      <c r="K7" s="30"/>
      <c r="L7" s="30"/>
      <c r="M7" s="30"/>
      <c r="N7" s="13"/>
      <c r="O7" s="13"/>
    </row>
    <row r="8" spans="1:15" ht="26.25">
      <c r="B8" s="32"/>
      <c r="C8" s="13"/>
      <c r="D8" s="13"/>
      <c r="E8" s="33" t="s">
        <v>258</v>
      </c>
      <c r="F8" s="13"/>
      <c r="G8" s="13"/>
      <c r="H8" s="13"/>
      <c r="I8" s="13"/>
      <c r="J8" s="13"/>
      <c r="K8" s="33" t="s">
        <v>259</v>
      </c>
      <c r="L8" s="13"/>
      <c r="M8" s="13"/>
      <c r="N8" s="13"/>
      <c r="O8" s="13"/>
    </row>
    <row r="9" spans="1:15" ht="21" thickBot="1">
      <c r="A9" s="32"/>
      <c r="B9" s="32"/>
      <c r="C9" s="30"/>
      <c r="D9" s="30"/>
      <c r="E9" s="34" t="s">
        <v>436</v>
      </c>
      <c r="F9" s="30"/>
      <c r="G9" s="30"/>
      <c r="H9" s="13"/>
      <c r="I9" s="30"/>
      <c r="J9" s="30"/>
      <c r="K9" s="34" t="s">
        <v>436</v>
      </c>
      <c r="L9" s="30"/>
      <c r="M9" s="30"/>
      <c r="N9" s="13"/>
      <c r="O9" s="13"/>
    </row>
    <row r="10" spans="1:15" ht="17.25" thickBot="1">
      <c r="A10" s="35" t="s">
        <v>0</v>
      </c>
      <c r="B10" s="35"/>
      <c r="C10" s="35" t="s">
        <v>0</v>
      </c>
      <c r="D10" s="35" t="s">
        <v>0</v>
      </c>
      <c r="E10" s="35" t="s">
        <v>0</v>
      </c>
      <c r="F10" s="35" t="s">
        <v>0</v>
      </c>
      <c r="G10" s="35" t="s">
        <v>0</v>
      </c>
      <c r="H10" s="13"/>
      <c r="I10" s="30"/>
      <c r="J10" s="30"/>
      <c r="K10" s="30"/>
      <c r="L10" s="30"/>
      <c r="M10" s="30"/>
      <c r="N10" s="13"/>
      <c r="O10" s="13"/>
    </row>
    <row r="11" spans="1:15" ht="16.5">
      <c r="A11" s="36" t="s">
        <v>0</v>
      </c>
      <c r="B11" s="36"/>
      <c r="C11" s="36" t="s">
        <v>3</v>
      </c>
      <c r="D11" s="36" t="s">
        <v>0</v>
      </c>
      <c r="E11" s="36" t="s">
        <v>145</v>
      </c>
      <c r="F11" s="36" t="s">
        <v>145</v>
      </c>
      <c r="G11" s="36" t="s">
        <v>27</v>
      </c>
      <c r="H11" s="13"/>
      <c r="I11" s="36" t="s">
        <v>3</v>
      </c>
      <c r="J11" s="36" t="s">
        <v>0</v>
      </c>
      <c r="K11" s="36" t="s">
        <v>145</v>
      </c>
      <c r="L11" s="36" t="s">
        <v>145</v>
      </c>
      <c r="M11" s="36" t="s">
        <v>27</v>
      </c>
      <c r="N11" s="13"/>
      <c r="O11" s="13"/>
    </row>
    <row r="12" spans="1:15" ht="17.25" thickBot="1">
      <c r="A12" s="38" t="s">
        <v>2</v>
      </c>
      <c r="B12" s="38"/>
      <c r="C12" s="38" t="s">
        <v>4</v>
      </c>
      <c r="D12" s="38" t="s">
        <v>28</v>
      </c>
      <c r="E12" s="38" t="s">
        <v>198</v>
      </c>
      <c r="F12" s="38" t="s">
        <v>29</v>
      </c>
      <c r="G12" s="38" t="s">
        <v>30</v>
      </c>
      <c r="H12" s="13"/>
      <c r="I12" s="38" t="s">
        <v>4</v>
      </c>
      <c r="J12" s="38" t="s">
        <v>28</v>
      </c>
      <c r="K12" s="38" t="s">
        <v>198</v>
      </c>
      <c r="L12" s="38" t="s">
        <v>29</v>
      </c>
      <c r="M12" s="38" t="s">
        <v>30</v>
      </c>
      <c r="N12" s="13"/>
      <c r="O12" s="13"/>
    </row>
    <row r="13" spans="1:15" ht="16.5">
      <c r="A13" s="40" t="s">
        <v>0</v>
      </c>
      <c r="B13" s="40"/>
      <c r="C13" s="40" t="s">
        <v>0</v>
      </c>
      <c r="D13" s="41" t="s">
        <v>147</v>
      </c>
      <c r="E13" s="77" t="s">
        <v>148</v>
      </c>
      <c r="F13" s="40" t="s">
        <v>0</v>
      </c>
      <c r="G13" s="40" t="s">
        <v>0</v>
      </c>
      <c r="H13" s="13"/>
      <c r="I13" s="40" t="s">
        <v>0</v>
      </c>
      <c r="J13" s="41" t="s">
        <v>147</v>
      </c>
      <c r="K13" s="77" t="s">
        <v>146</v>
      </c>
      <c r="L13" s="40" t="s">
        <v>0</v>
      </c>
      <c r="M13" s="40" t="s">
        <v>0</v>
      </c>
      <c r="N13" s="13"/>
      <c r="O13" s="13"/>
    </row>
    <row r="14" spans="1:15" ht="16.5">
      <c r="A14" s="36"/>
      <c r="B14" s="36"/>
      <c r="C14" s="36"/>
      <c r="D14" s="36"/>
      <c r="E14" s="36"/>
      <c r="F14" s="36"/>
      <c r="G14" s="36"/>
      <c r="H14" s="13"/>
      <c r="I14" s="36"/>
      <c r="J14" s="36"/>
      <c r="K14" s="36"/>
      <c r="L14" s="36"/>
      <c r="M14" s="36"/>
      <c r="N14" s="13"/>
      <c r="O14" s="13"/>
    </row>
    <row r="15" spans="1:15" ht="16.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7.25">
      <c r="A16" s="45" t="str">
        <f>+'S&amp;D'!A22</f>
        <v>ALLETE Inc</v>
      </c>
      <c r="B16" s="45"/>
      <c r="C16" s="36" t="str">
        <f>+'S&amp;D'!B22</f>
        <v>ALE</v>
      </c>
      <c r="D16" s="61">
        <f>'S&amp;D'!G22</f>
        <v>64.8</v>
      </c>
      <c r="E16" s="63">
        <f>+Earnings!E16</f>
        <v>3.7</v>
      </c>
      <c r="F16" s="71">
        <f>D16/E16</f>
        <v>17.513513513513512</v>
      </c>
      <c r="G16" s="58">
        <f t="shared" ref="G16:G26" si="0">1/F16</f>
        <v>5.7098765432098769E-2</v>
      </c>
      <c r="H16" s="13"/>
      <c r="I16" s="36" t="s">
        <v>53</v>
      </c>
      <c r="J16" s="61">
        <f>+D16</f>
        <v>64.8</v>
      </c>
      <c r="K16" s="63">
        <f>+Earnings!G16</f>
        <v>4.3499999999999996</v>
      </c>
      <c r="L16" s="71">
        <f>J16/K16</f>
        <v>14.896551724137932</v>
      </c>
      <c r="M16" s="58">
        <f t="shared" ref="M16:M26" si="1">1/L16</f>
        <v>6.7129629629629622E-2</v>
      </c>
      <c r="N16" s="13"/>
      <c r="O16" s="13"/>
    </row>
    <row r="17" spans="1:15" ht="17.25">
      <c r="A17" s="45" t="str">
        <f>+'S&amp;D'!A23</f>
        <v>Alliant Energy</v>
      </c>
      <c r="B17" s="45"/>
      <c r="C17" s="36" t="str">
        <f>+'S&amp;D'!B23</f>
        <v>LNT</v>
      </c>
      <c r="D17" s="61">
        <f>'S&amp;D'!G23</f>
        <v>59.14</v>
      </c>
      <c r="E17" s="63">
        <f>+Earnings!E17</f>
        <v>3.25</v>
      </c>
      <c r="F17" s="71">
        <f t="shared" ref="F17:F26" si="2">D17/E17</f>
        <v>18.196923076923078</v>
      </c>
      <c r="G17" s="58">
        <f t="shared" si="0"/>
        <v>5.4954345620561375E-2</v>
      </c>
      <c r="H17" s="13"/>
      <c r="I17" s="36" t="s">
        <v>54</v>
      </c>
      <c r="J17" s="61">
        <f t="shared" ref="J17:J26" si="3">+D17</f>
        <v>59.14</v>
      </c>
      <c r="K17" s="63">
        <f>+Earnings!G17</f>
        <v>3.45</v>
      </c>
      <c r="L17" s="71">
        <f t="shared" ref="L17:L26" si="4">J17/K17</f>
        <v>17.142028985507245</v>
      </c>
      <c r="M17" s="58">
        <f t="shared" si="1"/>
        <v>5.8336151504903622E-2</v>
      </c>
      <c r="N17" s="13"/>
      <c r="O17" s="13"/>
    </row>
    <row r="18" spans="1:15" ht="17.25">
      <c r="A18" s="45" t="str">
        <f>+'S&amp;D'!A24</f>
        <v>AMEREN Corporation</v>
      </c>
      <c r="B18" s="45"/>
      <c r="C18" s="36" t="str">
        <f>+'S&amp;D'!B24</f>
        <v>AEE</v>
      </c>
      <c r="D18" s="61">
        <f>'S&amp;D'!G24</f>
        <v>89.14</v>
      </c>
      <c r="E18" s="63">
        <f>+Earnings!E18</f>
        <v>4.95</v>
      </c>
      <c r="F18" s="71">
        <f t="shared" si="2"/>
        <v>18.008080808080809</v>
      </c>
      <c r="G18" s="58">
        <f t="shared" si="0"/>
        <v>5.5530625981601973E-2</v>
      </c>
      <c r="H18" s="13"/>
      <c r="I18" s="36" t="s">
        <v>58</v>
      </c>
      <c r="J18" s="61">
        <f t="shared" si="3"/>
        <v>89.14</v>
      </c>
      <c r="K18" s="63">
        <f>+Earnings!G18</f>
        <v>5.3</v>
      </c>
      <c r="L18" s="71">
        <f t="shared" si="4"/>
        <v>16.818867924528302</v>
      </c>
      <c r="M18" s="58">
        <f t="shared" si="1"/>
        <v>5.9457033879291001E-2</v>
      </c>
      <c r="N18" s="13"/>
      <c r="O18" s="13"/>
    </row>
    <row r="19" spans="1:15" ht="17.25">
      <c r="A19" s="45" t="str">
        <f>+'S&amp;D'!A25</f>
        <v>American Electric Power</v>
      </c>
      <c r="B19" s="45"/>
      <c r="C19" s="36" t="str">
        <f>+'S&amp;D'!B25</f>
        <v>AEP</v>
      </c>
      <c r="D19" s="61">
        <f>'S&amp;D'!G25</f>
        <v>92.23</v>
      </c>
      <c r="E19" s="63">
        <f>+Earnings!E19</f>
        <v>5.85</v>
      </c>
      <c r="F19" s="71">
        <f>D19/E19</f>
        <v>15.765811965811967</v>
      </c>
      <c r="G19" s="58">
        <f t="shared" si="0"/>
        <v>6.342838555784451E-2</v>
      </c>
      <c r="H19" s="13"/>
      <c r="I19" s="36" t="s">
        <v>59</v>
      </c>
      <c r="J19" s="61">
        <f t="shared" si="3"/>
        <v>92.23</v>
      </c>
      <c r="K19" s="63">
        <f>+Earnings!G19</f>
        <v>6.3</v>
      </c>
      <c r="L19" s="71">
        <f t="shared" si="4"/>
        <v>14.639682539682541</v>
      </c>
      <c r="M19" s="58">
        <f t="shared" si="1"/>
        <v>6.8307492139217163E-2</v>
      </c>
      <c r="N19" s="13"/>
      <c r="O19" s="13"/>
    </row>
    <row r="20" spans="1:15" ht="17.25">
      <c r="A20" s="45" t="str">
        <f>+'S&amp;D'!A26</f>
        <v>Centerpoint Energy</v>
      </c>
      <c r="B20" s="45"/>
      <c r="C20" s="36" t="str">
        <f>+'S&amp;D'!B26</f>
        <v>CNP</v>
      </c>
      <c r="D20" s="61">
        <f>'S&amp;D'!G26</f>
        <v>31.73</v>
      </c>
      <c r="E20" s="63">
        <f>+Earnings!E20</f>
        <v>1.7</v>
      </c>
      <c r="F20" s="71">
        <f t="shared" si="2"/>
        <v>18.664705882352941</v>
      </c>
      <c r="G20" s="58">
        <f t="shared" si="0"/>
        <v>5.3577056413488811E-2</v>
      </c>
      <c r="H20" s="13"/>
      <c r="I20" s="36" t="s">
        <v>60</v>
      </c>
      <c r="J20" s="61">
        <f t="shared" si="3"/>
        <v>31.73</v>
      </c>
      <c r="K20" s="63">
        <f>+Earnings!G20</f>
        <v>1.8</v>
      </c>
      <c r="L20" s="71">
        <f t="shared" si="4"/>
        <v>17.627777777777776</v>
      </c>
      <c r="M20" s="58">
        <f t="shared" si="1"/>
        <v>5.6728647967223454E-2</v>
      </c>
      <c r="N20" s="13"/>
      <c r="O20" s="13"/>
    </row>
    <row r="21" spans="1:15" ht="17.25">
      <c r="A21" s="45" t="str">
        <f>+'S&amp;D'!A27</f>
        <v>CMS Energy</v>
      </c>
      <c r="B21" s="45"/>
      <c r="C21" s="36" t="str">
        <f>+'S&amp;D'!B27</f>
        <v>CMS</v>
      </c>
      <c r="D21" s="61">
        <f>'S&amp;D'!G27</f>
        <v>66.650000000000006</v>
      </c>
      <c r="E21" s="63">
        <f>+Earnings!E21</f>
        <v>3.6</v>
      </c>
      <c r="F21" s="71">
        <f t="shared" si="2"/>
        <v>18.513888888888889</v>
      </c>
      <c r="G21" s="58">
        <f t="shared" si="0"/>
        <v>5.4013503375843958E-2</v>
      </c>
      <c r="H21" s="13"/>
      <c r="I21" s="36" t="s">
        <v>55</v>
      </c>
      <c r="J21" s="61">
        <f t="shared" si="3"/>
        <v>66.650000000000006</v>
      </c>
      <c r="K21" s="63">
        <f>+Earnings!G21</f>
        <v>3.8</v>
      </c>
      <c r="L21" s="71">
        <f t="shared" si="4"/>
        <v>17.539473684210527</v>
      </c>
      <c r="M21" s="58">
        <f t="shared" si="1"/>
        <v>5.7014253563390842E-2</v>
      </c>
      <c r="N21" s="13"/>
      <c r="O21" s="13"/>
    </row>
    <row r="22" spans="1:15" ht="17.25">
      <c r="A22" s="45" t="str">
        <f>+'S&amp;D'!A28</f>
        <v>DTE Energy</v>
      </c>
      <c r="B22" s="45"/>
      <c r="C22" s="36" t="str">
        <f>+'S&amp;D'!B28</f>
        <v>DTE</v>
      </c>
      <c r="D22" s="61">
        <f>'S&amp;D'!G28</f>
        <v>120.75</v>
      </c>
      <c r="E22" s="63">
        <f>+Earnings!E22</f>
        <v>7.2</v>
      </c>
      <c r="F22" s="71">
        <f t="shared" si="2"/>
        <v>16.770833333333332</v>
      </c>
      <c r="G22" s="58">
        <f t="shared" si="0"/>
        <v>5.962732919254659E-2</v>
      </c>
      <c r="H22" s="13"/>
      <c r="I22" s="36" t="s">
        <v>56</v>
      </c>
      <c r="J22" s="61">
        <f t="shared" si="3"/>
        <v>120.75</v>
      </c>
      <c r="K22" s="63">
        <f>+Earnings!G22</f>
        <v>7.75</v>
      </c>
      <c r="L22" s="71">
        <f t="shared" si="4"/>
        <v>15.580645161290322</v>
      </c>
      <c r="M22" s="58">
        <f t="shared" si="1"/>
        <v>6.4182194616977231E-2</v>
      </c>
      <c r="N22" s="13"/>
      <c r="O22" s="13"/>
    </row>
    <row r="23" spans="1:15" ht="17.25">
      <c r="A23" s="45" t="str">
        <f>+'S&amp;D'!A29</f>
        <v>Duke Energy</v>
      </c>
      <c r="B23" s="45"/>
      <c r="C23" s="36" t="str">
        <f>+'S&amp;D'!B29</f>
        <v>DUK</v>
      </c>
      <c r="D23" s="61">
        <f>'S&amp;D'!G29</f>
        <v>107.74</v>
      </c>
      <c r="E23" s="63">
        <f>+Earnings!E23</f>
        <v>6.35</v>
      </c>
      <c r="F23" s="71">
        <f t="shared" si="2"/>
        <v>16.966929133858269</v>
      </c>
      <c r="G23" s="58">
        <f t="shared" si="0"/>
        <v>5.8938184518284753E-2</v>
      </c>
      <c r="H23" s="13"/>
      <c r="I23" s="36" t="s">
        <v>67</v>
      </c>
      <c r="J23" s="61">
        <f t="shared" si="3"/>
        <v>107.74</v>
      </c>
      <c r="K23" s="63">
        <f>+Earnings!G23</f>
        <v>6.7</v>
      </c>
      <c r="L23" s="71">
        <f t="shared" si="4"/>
        <v>16.08059701492537</v>
      </c>
      <c r="M23" s="58">
        <f t="shared" si="1"/>
        <v>6.218674586968629E-2</v>
      </c>
      <c r="N23" s="13"/>
      <c r="O23" s="13"/>
    </row>
    <row r="24" spans="1:15" ht="17.25">
      <c r="A24" s="45" t="str">
        <f>+'S&amp;D'!A30</f>
        <v>Entergy Corp</v>
      </c>
      <c r="B24" s="45"/>
      <c r="C24" s="36" t="str">
        <f>+'S&amp;D'!B30</f>
        <v>ETR</v>
      </c>
      <c r="D24" s="61">
        <f>'S&amp;D'!G30</f>
        <v>75.819999999999993</v>
      </c>
      <c r="E24" s="63">
        <f>+Earnings!E24</f>
        <v>3.35</v>
      </c>
      <c r="F24" s="71">
        <f t="shared" si="2"/>
        <v>22.632835820895519</v>
      </c>
      <c r="G24" s="58">
        <f t="shared" si="0"/>
        <v>4.4183592719599055E-2</v>
      </c>
      <c r="H24" s="13"/>
      <c r="I24" s="36" t="s">
        <v>69</v>
      </c>
      <c r="J24" s="61">
        <f>+D24</f>
        <v>75.819999999999993</v>
      </c>
      <c r="K24" s="63">
        <f>+Earnings!G24</f>
        <v>3.6</v>
      </c>
      <c r="L24" s="71">
        <f>J24/K24</f>
        <v>21.06111111111111</v>
      </c>
      <c r="M24" s="58">
        <f t="shared" si="1"/>
        <v>4.7480875758375105E-2</v>
      </c>
      <c r="N24" s="13"/>
      <c r="O24" s="13"/>
    </row>
    <row r="25" spans="1:15" ht="17.25">
      <c r="A25" s="45" t="str">
        <f>+'S&amp;D'!A31</f>
        <v>Evergy Inc</v>
      </c>
      <c r="B25" s="45"/>
      <c r="C25" s="36" t="str">
        <f>+'S&amp;D'!B31</f>
        <v>EVRG</v>
      </c>
      <c r="D25" s="61">
        <f>'S&amp;D'!G31</f>
        <v>61.55</v>
      </c>
      <c r="E25" s="63">
        <f>+Earnings!E25</f>
        <v>4.05</v>
      </c>
      <c r="F25" s="71">
        <f t="shared" si="2"/>
        <v>15.19753086419753</v>
      </c>
      <c r="G25" s="58">
        <f t="shared" si="0"/>
        <v>6.580016246953696E-2</v>
      </c>
      <c r="H25" s="13"/>
      <c r="I25" s="36" t="str">
        <f>+C25</f>
        <v>EVRG</v>
      </c>
      <c r="J25" s="61">
        <f>+D25</f>
        <v>61.55</v>
      </c>
      <c r="K25" s="63">
        <f>+Earnings!G25</f>
        <v>4.25</v>
      </c>
      <c r="L25" s="71">
        <f>J25/K25</f>
        <v>14.482352941176471</v>
      </c>
      <c r="M25" s="58">
        <f t="shared" ref="M25" si="5">1/L25</f>
        <v>6.9049553208773359E-2</v>
      </c>
      <c r="N25" s="13"/>
      <c r="O25" s="13"/>
    </row>
    <row r="26" spans="1:15" ht="17.25">
      <c r="A26" s="45" t="str">
        <f>+'S&amp;D'!A32</f>
        <v>FirstEnergy Corp</v>
      </c>
      <c r="B26" s="45"/>
      <c r="C26" s="36" t="str">
        <f>+'S&amp;D'!B32</f>
        <v>FE</v>
      </c>
      <c r="D26" s="61">
        <f>'S&amp;D'!G32</f>
        <v>39.78</v>
      </c>
      <c r="E26" s="63">
        <f>+Earnings!E26</f>
        <v>2.5499999999999998</v>
      </c>
      <c r="F26" s="71">
        <f t="shared" si="2"/>
        <v>15.600000000000001</v>
      </c>
      <c r="G26" s="58">
        <f t="shared" si="0"/>
        <v>6.4102564102564097E-2</v>
      </c>
      <c r="H26" s="13"/>
      <c r="I26" s="36" t="s">
        <v>79</v>
      </c>
      <c r="J26" s="61">
        <f t="shared" si="3"/>
        <v>39.78</v>
      </c>
      <c r="K26" s="63">
        <f>+Earnings!G26</f>
        <v>2.7</v>
      </c>
      <c r="L26" s="71">
        <f t="shared" si="4"/>
        <v>14.733333333333333</v>
      </c>
      <c r="M26" s="58">
        <f t="shared" si="1"/>
        <v>6.7873303167420823E-2</v>
      </c>
      <c r="N26" s="13"/>
      <c r="O26" s="13"/>
    </row>
    <row r="27" spans="1:15" ht="17.25">
      <c r="A27" s="45" t="str">
        <f>+'S&amp;D'!A33</f>
        <v>OGE Energy Corp.</v>
      </c>
      <c r="B27" s="45"/>
      <c r="C27" s="36" t="str">
        <f>+'S&amp;D'!B33</f>
        <v>OGE</v>
      </c>
      <c r="D27" s="61">
        <f>'S&amp;D'!G33</f>
        <v>41.25</v>
      </c>
      <c r="E27" s="63">
        <f>+Earnings!E27</f>
        <v>2.2999999999999998</v>
      </c>
      <c r="F27" s="71">
        <f>D27/E27</f>
        <v>17.934782608695652</v>
      </c>
      <c r="G27" s="58">
        <f>1/F27</f>
        <v>5.5757575757575756E-2</v>
      </c>
      <c r="I27" s="36" t="s">
        <v>57</v>
      </c>
      <c r="J27" s="61">
        <f>+D27</f>
        <v>41.25</v>
      </c>
      <c r="K27" s="63">
        <f>+Earnings!G27</f>
        <v>2.4500000000000002</v>
      </c>
      <c r="L27" s="71">
        <f>J27/K27</f>
        <v>16.836734693877549</v>
      </c>
      <c r="M27" s="58">
        <f>1/L27</f>
        <v>5.9393939393939402E-2</v>
      </c>
      <c r="N27" s="13"/>
      <c r="O27" s="13"/>
    </row>
    <row r="28" spans="1:15" ht="17.25">
      <c r="A28" s="45" t="str">
        <f>+'S&amp;D'!A34</f>
        <v>Otter Tail Corp</v>
      </c>
      <c r="B28" s="45"/>
      <c r="C28" s="36" t="str">
        <f>+'S&amp;D'!B34</f>
        <v>OTTR</v>
      </c>
      <c r="D28" s="61">
        <f>'S&amp;D'!G34</f>
        <v>73.84</v>
      </c>
      <c r="E28" s="63">
        <f>+Earnings!E28</f>
        <v>6.2</v>
      </c>
      <c r="F28" s="71">
        <f>D28/E28</f>
        <v>11.909677419354839</v>
      </c>
      <c r="G28" s="58">
        <f>1/F28</f>
        <v>8.3965330444203679E-2</v>
      </c>
      <c r="H28" s="13"/>
      <c r="I28" s="36" t="s">
        <v>61</v>
      </c>
      <c r="J28" s="61">
        <f>+D28</f>
        <v>73.84</v>
      </c>
      <c r="K28" s="63">
        <f>+Earnings!G28</f>
        <v>5</v>
      </c>
      <c r="L28" s="71">
        <f>J28/K28</f>
        <v>14.768000000000001</v>
      </c>
      <c r="M28" s="58">
        <f>1/L28</f>
        <v>6.7713976164680389E-2</v>
      </c>
      <c r="N28" s="13"/>
      <c r="O28" s="13"/>
    </row>
    <row r="29" spans="1:15" ht="17.25">
      <c r="A29" s="45" t="str">
        <f>+'S&amp;D'!A35</f>
        <v>PPL Corporation</v>
      </c>
      <c r="B29" s="45"/>
      <c r="C29" s="36" t="str">
        <f>+'S&amp;D'!B35</f>
        <v>PPL</v>
      </c>
      <c r="D29" s="61">
        <f>'S&amp;D'!G35</f>
        <v>32.46</v>
      </c>
      <c r="E29" s="63">
        <f>+Earnings!E29</f>
        <v>1.85</v>
      </c>
      <c r="F29" s="71">
        <f>D29/E29</f>
        <v>17.545945945945945</v>
      </c>
      <c r="G29" s="58">
        <f>1/F29</f>
        <v>5.6993222427603206E-2</v>
      </c>
      <c r="H29" s="13"/>
      <c r="I29" s="36" t="s">
        <v>71</v>
      </c>
      <c r="J29" s="61">
        <f>+D29</f>
        <v>32.46</v>
      </c>
      <c r="K29" s="63">
        <f>+Earnings!G29</f>
        <v>1.95</v>
      </c>
      <c r="L29" s="71">
        <f>J29/K29</f>
        <v>16.646153846153847</v>
      </c>
      <c r="M29" s="58">
        <f>1/L29</f>
        <v>6.007393715341959E-2</v>
      </c>
      <c r="N29" s="13"/>
      <c r="O29" s="13"/>
    </row>
    <row r="30" spans="1:15" ht="17.25">
      <c r="A30" s="45" t="str">
        <f>+'S&amp;D'!A36</f>
        <v>The Southern Company</v>
      </c>
      <c r="B30" s="45"/>
      <c r="C30" s="36" t="str">
        <f>+'S&amp;D'!B36</f>
        <v>SO</v>
      </c>
      <c r="D30" s="61">
        <f>'S&amp;D'!G36</f>
        <v>82.32</v>
      </c>
      <c r="E30" s="63">
        <f>+Earnings!E30</f>
        <v>4.5999999999999996</v>
      </c>
      <c r="F30" s="71">
        <f>D30/E30</f>
        <v>17.895652173913042</v>
      </c>
      <c r="G30" s="58">
        <f>1/F30</f>
        <v>5.5879494655004865E-2</v>
      </c>
      <c r="H30" s="13"/>
      <c r="I30" s="36" t="s">
        <v>73</v>
      </c>
      <c r="J30" s="61">
        <f>+D30</f>
        <v>82.32</v>
      </c>
      <c r="K30" s="63">
        <f>+Earnings!G30</f>
        <v>4.5999999999999996</v>
      </c>
      <c r="L30" s="71">
        <f>J30/K30</f>
        <v>17.895652173913042</v>
      </c>
      <c r="M30" s="58">
        <f>1/L30</f>
        <v>5.5879494655004865E-2</v>
      </c>
      <c r="N30" s="13"/>
      <c r="O30" s="13"/>
    </row>
    <row r="31" spans="1:15" ht="17.25">
      <c r="A31" s="45" t="str">
        <f>+'S&amp;D'!A37</f>
        <v>WEC Energy Group</v>
      </c>
      <c r="B31" s="45"/>
      <c r="C31" s="36" t="str">
        <f>+'S&amp;D'!B37</f>
        <v>WEC</v>
      </c>
      <c r="D31" s="61">
        <f>'S&amp;D'!G37</f>
        <v>94.04</v>
      </c>
      <c r="E31" s="63">
        <f>+Earnings!E31</f>
        <v>5.25</v>
      </c>
      <c r="F31" s="71">
        <f>D31/E31</f>
        <v>17.912380952380953</v>
      </c>
      <c r="G31" s="58">
        <f>1/F31</f>
        <v>5.5827307528711186E-2</v>
      </c>
      <c r="H31" s="13"/>
      <c r="I31" s="36" t="s">
        <v>62</v>
      </c>
      <c r="J31" s="61">
        <f>+D31</f>
        <v>94.04</v>
      </c>
      <c r="K31" s="63">
        <f>+Earnings!G31</f>
        <v>5.6</v>
      </c>
      <c r="L31" s="71">
        <f>J31/K31</f>
        <v>16.792857142857144</v>
      </c>
      <c r="M31" s="58">
        <f>1/L31</f>
        <v>5.9549128030625259E-2</v>
      </c>
      <c r="N31" s="13"/>
      <c r="O31" s="13"/>
    </row>
    <row r="32" spans="1:15" ht="18" thickBot="1">
      <c r="A32" s="13"/>
      <c r="B32" s="13"/>
      <c r="C32" s="72"/>
      <c r="D32" s="72"/>
      <c r="E32" s="72"/>
      <c r="F32" s="72"/>
      <c r="G32" s="72"/>
      <c r="H32" s="13"/>
      <c r="I32" s="72"/>
      <c r="J32" s="66" t="s">
        <v>0</v>
      </c>
      <c r="K32" s="72"/>
      <c r="L32" s="72"/>
      <c r="M32" s="72"/>
      <c r="N32" s="13"/>
      <c r="O32" s="13"/>
    </row>
    <row r="33" spans="1:15" ht="17.25" thickTop="1">
      <c r="A33" s="13"/>
      <c r="B33" s="13"/>
      <c r="D33" s="15" t="s">
        <v>65</v>
      </c>
      <c r="E33" s="294">
        <f>MAX(E16:E31)</f>
        <v>7.2</v>
      </c>
      <c r="F33" s="294">
        <f t="shared" ref="F33:G33" si="6">MAX(F16:F31)</f>
        <v>22.632835820895519</v>
      </c>
      <c r="G33" s="281">
        <f t="shared" si="6"/>
        <v>8.3965330444203679E-2</v>
      </c>
      <c r="H33" s="13"/>
      <c r="J33" s="15" t="s">
        <v>65</v>
      </c>
      <c r="K33" s="294">
        <f t="shared" ref="K33:M33" si="7">MAX(K16:K31)</f>
        <v>7.75</v>
      </c>
      <c r="L33" s="294">
        <f t="shared" si="7"/>
        <v>21.06111111111111</v>
      </c>
      <c r="M33" s="281">
        <f t="shared" si="7"/>
        <v>6.9049553208773359E-2</v>
      </c>
      <c r="N33" s="13"/>
      <c r="O33" s="13"/>
    </row>
    <row r="34" spans="1:15" ht="16.5">
      <c r="A34" s="13"/>
      <c r="B34" s="13"/>
      <c r="D34" s="271" t="s">
        <v>66</v>
      </c>
      <c r="E34" s="297">
        <f>MIN(E16:E31)</f>
        <v>1.7</v>
      </c>
      <c r="F34" s="297">
        <f t="shared" ref="F34:G34" si="8">MIN(F16:F31)</f>
        <v>11.909677419354839</v>
      </c>
      <c r="G34" s="282">
        <f t="shared" si="8"/>
        <v>4.4183592719599055E-2</v>
      </c>
      <c r="H34" s="13"/>
      <c r="J34" s="271" t="s">
        <v>66</v>
      </c>
      <c r="K34" s="297">
        <f t="shared" ref="K34:M34" si="9">MIN(K16:K31)</f>
        <v>1.8</v>
      </c>
      <c r="L34" s="297">
        <f t="shared" si="9"/>
        <v>14.482352941176471</v>
      </c>
      <c r="M34" s="282">
        <f t="shared" si="9"/>
        <v>4.7480875758375105E-2</v>
      </c>
      <c r="N34" s="13"/>
      <c r="O34" s="13"/>
    </row>
    <row r="35" spans="1:15" ht="16.5">
      <c r="A35" s="13"/>
      <c r="B35" s="13"/>
      <c r="D35" s="15" t="s">
        <v>18</v>
      </c>
      <c r="E35" s="73">
        <f>MEDIAN(E16:E31)</f>
        <v>3.875</v>
      </c>
      <c r="F35" s="22">
        <f>MEDIAN(F16:F31)</f>
        <v>17.720799059929494</v>
      </c>
      <c r="G35" s="58">
        <f>MEDIAN(G16:G31)</f>
        <v>5.6436358541304035E-2</v>
      </c>
      <c r="H35" s="13"/>
      <c r="J35" s="15" t="s">
        <v>18</v>
      </c>
      <c r="K35" s="73">
        <f>MEDIAN(K16:K31)</f>
        <v>4.3</v>
      </c>
      <c r="L35" s="22">
        <f>MEDIAN(L16:L31)</f>
        <v>16.719505494505498</v>
      </c>
      <c r="M35" s="58">
        <f>MEDIAN(M16:M31)</f>
        <v>5.9811532592022425E-2</v>
      </c>
      <c r="N35" s="13"/>
      <c r="O35" s="13"/>
    </row>
    <row r="36" spans="1:15" ht="16.5">
      <c r="A36" s="13"/>
      <c r="B36" s="13"/>
      <c r="D36" s="15" t="s">
        <v>403</v>
      </c>
      <c r="E36" s="18">
        <f>AVERAGE(E16:E31)</f>
        <v>4.171875</v>
      </c>
      <c r="F36" s="22">
        <f>AVERAGE(F16:F31)</f>
        <v>17.314343274259141</v>
      </c>
      <c r="G36" s="74">
        <f>AVERAGE(G16:G31)</f>
        <v>5.8729840387316851E-2</v>
      </c>
      <c r="H36" s="13"/>
      <c r="J36" s="15" t="s">
        <v>403</v>
      </c>
      <c r="K36" s="18">
        <f>AVERAGE(K16:K31)</f>
        <v>4.3500000000000005</v>
      </c>
      <c r="L36" s="22">
        <f>AVERAGE(L16:L31)</f>
        <v>16.471363753405157</v>
      </c>
      <c r="M36" s="74">
        <f>AVERAGE(M16:M31)</f>
        <v>6.1272272293909878E-2</v>
      </c>
      <c r="N36" s="13"/>
      <c r="O36" s="13"/>
    </row>
    <row r="37" spans="1:15" ht="16.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ht="26.25">
      <c r="A38" s="13"/>
      <c r="B38" s="13"/>
      <c r="C38" s="13"/>
      <c r="D38" s="13"/>
      <c r="E38" s="78" t="s">
        <v>108</v>
      </c>
      <c r="F38" s="302">
        <v>17.309999999999999</v>
      </c>
      <c r="G38" s="303">
        <v>5.8700000000000002E-2</v>
      </c>
      <c r="H38" s="13"/>
      <c r="I38" s="13"/>
      <c r="J38" s="13"/>
      <c r="K38" s="78" t="s">
        <v>108</v>
      </c>
      <c r="L38" s="304">
        <v>16.47</v>
      </c>
      <c r="M38" s="303">
        <v>6.13E-2</v>
      </c>
      <c r="N38" s="13"/>
      <c r="O38" s="13"/>
    </row>
    <row r="39" spans="1:15" ht="16.5">
      <c r="A39" s="13"/>
      <c r="B39" s="13"/>
      <c r="C39" s="13"/>
      <c r="D39" s="13"/>
      <c r="E39" s="13"/>
      <c r="F39" s="13"/>
      <c r="K39" s="13"/>
      <c r="L39" s="13"/>
      <c r="M39" s="13"/>
      <c r="N39" s="13"/>
      <c r="O39" s="13"/>
    </row>
    <row r="40" spans="1:15" ht="16.5">
      <c r="A40" s="13"/>
      <c r="B40" s="13"/>
      <c r="C40" s="13"/>
      <c r="D40" s="13"/>
      <c r="E40" s="13"/>
      <c r="F40" s="13"/>
      <c r="K40" s="13"/>
      <c r="L40" s="13"/>
      <c r="M40" s="13"/>
      <c r="N40" s="13"/>
      <c r="O40" s="13"/>
    </row>
    <row r="41" spans="1:15" ht="17.25" thickBot="1">
      <c r="A41" s="13"/>
      <c r="B41" s="13"/>
      <c r="C41" s="13"/>
      <c r="D41" s="13"/>
      <c r="E41" s="13"/>
      <c r="F41" s="13"/>
      <c r="K41" s="13"/>
      <c r="L41" s="13"/>
      <c r="M41" s="13"/>
      <c r="N41" s="13"/>
      <c r="O41" s="13"/>
    </row>
    <row r="42" spans="1:15" ht="30.75" customHeight="1" thickBot="1">
      <c r="A42" s="76" t="s">
        <v>0</v>
      </c>
      <c r="B42" s="76"/>
      <c r="C42" s="13"/>
      <c r="D42" s="13"/>
      <c r="E42" s="13"/>
      <c r="F42" s="13"/>
      <c r="G42" s="25" t="s">
        <v>153</v>
      </c>
      <c r="H42" s="13"/>
      <c r="I42" s="205">
        <f>(+F38+L38)/2</f>
        <v>16.89</v>
      </c>
      <c r="J42" s="206">
        <f>(+G38+M38)/2</f>
        <v>0.06</v>
      </c>
      <c r="N42" s="13"/>
      <c r="O42" s="13"/>
    </row>
    <row r="43" spans="1:15" ht="16.5">
      <c r="A43" s="76" t="s">
        <v>0</v>
      </c>
      <c r="B43" s="76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ht="16.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ht="16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 ht="15.75" thickBot="1">
      <c r="B46" s="148"/>
      <c r="C46" s="148"/>
      <c r="D46" s="148"/>
      <c r="E46" s="148"/>
      <c r="F46" s="148"/>
      <c r="G46" s="148"/>
      <c r="H46" s="148"/>
    </row>
    <row r="47" spans="1:15" ht="26.25">
      <c r="B47" s="32"/>
      <c r="C47" s="13"/>
      <c r="D47" s="13"/>
      <c r="E47" s="33" t="s">
        <v>501</v>
      </c>
      <c r="F47" s="13"/>
      <c r="G47" s="13"/>
    </row>
    <row r="48" spans="1:15" ht="21" thickBot="1">
      <c r="A48" s="32"/>
      <c r="B48" s="149"/>
      <c r="C48" s="30"/>
      <c r="D48" s="30"/>
      <c r="E48" s="34" t="s">
        <v>436</v>
      </c>
      <c r="F48" s="30"/>
      <c r="G48" s="30"/>
      <c r="H48" s="148"/>
    </row>
    <row r="49" spans="1:7" ht="15.75" thickBot="1">
      <c r="A49" s="35" t="s">
        <v>0</v>
      </c>
      <c r="B49" s="35"/>
      <c r="C49" s="35" t="s">
        <v>0</v>
      </c>
      <c r="D49" s="35" t="s">
        <v>0</v>
      </c>
      <c r="E49" s="35" t="s">
        <v>0</v>
      </c>
      <c r="F49" s="35" t="s">
        <v>0</v>
      </c>
      <c r="G49" s="35" t="s">
        <v>0</v>
      </c>
    </row>
    <row r="50" spans="1:7" ht="16.5">
      <c r="A50" s="36" t="s">
        <v>0</v>
      </c>
      <c r="B50" s="36"/>
      <c r="C50" s="36" t="s">
        <v>3</v>
      </c>
      <c r="D50" s="36" t="s">
        <v>369</v>
      </c>
      <c r="E50" s="36" t="s">
        <v>370</v>
      </c>
      <c r="F50" s="36" t="s">
        <v>145</v>
      </c>
      <c r="G50" s="36" t="s">
        <v>27</v>
      </c>
    </row>
    <row r="51" spans="1:7" ht="17.25" thickBot="1">
      <c r="A51" s="38" t="s">
        <v>2</v>
      </c>
      <c r="B51" s="38"/>
      <c r="C51" s="38" t="s">
        <v>4</v>
      </c>
      <c r="D51" s="38" t="s">
        <v>28</v>
      </c>
      <c r="E51" s="38" t="s">
        <v>193</v>
      </c>
      <c r="F51" s="38" t="s">
        <v>29</v>
      </c>
      <c r="G51" s="38" t="s">
        <v>30</v>
      </c>
    </row>
    <row r="52" spans="1:7">
      <c r="A52" s="40" t="s">
        <v>0</v>
      </c>
      <c r="B52" s="40"/>
      <c r="C52" s="40" t="s">
        <v>0</v>
      </c>
      <c r="D52" s="41" t="s">
        <v>147</v>
      </c>
      <c r="E52" s="77" t="s">
        <v>264</v>
      </c>
      <c r="F52" s="40" t="s">
        <v>0</v>
      </c>
      <c r="G52" s="40" t="s">
        <v>0</v>
      </c>
    </row>
    <row r="53" spans="1:7" ht="16.5">
      <c r="A53" s="36"/>
      <c r="B53" s="36"/>
      <c r="C53" s="36"/>
      <c r="D53" s="36"/>
      <c r="E53" s="36"/>
      <c r="F53" s="36"/>
      <c r="G53" s="36"/>
    </row>
    <row r="54" spans="1:7" ht="16.5">
      <c r="A54" s="13"/>
      <c r="B54" s="13"/>
      <c r="C54" s="13"/>
      <c r="D54" s="13"/>
      <c r="E54" s="13"/>
      <c r="F54" s="13"/>
      <c r="G54" s="13"/>
    </row>
    <row r="55" spans="1:7" ht="17.25">
      <c r="A55" s="45" t="str">
        <f>+'S&amp;D'!A22</f>
        <v>ALLETE Inc</v>
      </c>
      <c r="B55" s="45"/>
      <c r="C55" s="36" t="str">
        <f>+'S&amp;D'!B22</f>
        <v>ALE</v>
      </c>
      <c r="D55" s="61">
        <f>'S&amp;D'!G22</f>
        <v>64.8</v>
      </c>
      <c r="E55" s="63">
        <f>+Earnings!I16</f>
        <v>5.5</v>
      </c>
      <c r="F55" s="71">
        <f>D55/E55</f>
        <v>11.781818181818181</v>
      </c>
      <c r="G55" s="58">
        <f t="shared" ref="G55:G70" si="10">1/F55</f>
        <v>8.4876543209876545E-2</v>
      </c>
    </row>
    <row r="56" spans="1:7" ht="17.25">
      <c r="A56" s="45" t="str">
        <f>+'S&amp;D'!A23</f>
        <v>Alliant Energy</v>
      </c>
      <c r="B56" s="45"/>
      <c r="C56" s="36" t="str">
        <f>+'S&amp;D'!B23</f>
        <v>LNT</v>
      </c>
      <c r="D56" s="61">
        <f>'S&amp;D'!G23</f>
        <v>59.14</v>
      </c>
      <c r="E56" s="63">
        <f>+Earnings!I17</f>
        <v>4.25</v>
      </c>
      <c r="F56" s="71">
        <f t="shared" ref="F56:F57" si="11">D56/E56</f>
        <v>13.915294117647059</v>
      </c>
      <c r="G56" s="58">
        <f t="shared" si="10"/>
        <v>7.1863375042272568E-2</v>
      </c>
    </row>
    <row r="57" spans="1:7" ht="17.25">
      <c r="A57" s="45" t="str">
        <f>+'S&amp;D'!A24</f>
        <v>AMEREN Corporation</v>
      </c>
      <c r="B57" s="45"/>
      <c r="C57" s="36" t="str">
        <f>+'S&amp;D'!B24</f>
        <v>AEE</v>
      </c>
      <c r="D57" s="61">
        <f>'S&amp;D'!G24</f>
        <v>89.14</v>
      </c>
      <c r="E57" s="63">
        <f>+Earnings!I18</f>
        <v>6.5</v>
      </c>
      <c r="F57" s="71">
        <f t="shared" si="11"/>
        <v>13.713846153846154</v>
      </c>
      <c r="G57" s="58">
        <f t="shared" si="10"/>
        <v>7.2919003814224809E-2</v>
      </c>
    </row>
    <row r="58" spans="1:7" ht="17.25">
      <c r="A58" s="45" t="str">
        <f>+'S&amp;D'!A25</f>
        <v>American Electric Power</v>
      </c>
      <c r="B58" s="45"/>
      <c r="C58" s="36" t="str">
        <f>+'S&amp;D'!B25</f>
        <v>AEP</v>
      </c>
      <c r="D58" s="61">
        <f>'S&amp;D'!G25</f>
        <v>92.23</v>
      </c>
      <c r="E58" s="63">
        <f>+Earnings!I19</f>
        <v>7.5</v>
      </c>
      <c r="F58" s="71">
        <f>D58/E58</f>
        <v>12.297333333333334</v>
      </c>
      <c r="G58" s="58">
        <f t="shared" si="10"/>
        <v>8.1318443022877579E-2</v>
      </c>
    </row>
    <row r="59" spans="1:7" ht="17.25">
      <c r="A59" s="45" t="str">
        <f>+'S&amp;D'!A26</f>
        <v>Centerpoint Energy</v>
      </c>
      <c r="B59" s="45"/>
      <c r="C59" s="36" t="str">
        <f>+'S&amp;D'!B26</f>
        <v>CNP</v>
      </c>
      <c r="D59" s="61">
        <f>'S&amp;D'!G26</f>
        <v>31.73</v>
      </c>
      <c r="E59" s="63">
        <f>+Earnings!I20</f>
        <v>2</v>
      </c>
      <c r="F59" s="71">
        <f t="shared" ref="F59:F70" si="12">D59/E59</f>
        <v>15.865</v>
      </c>
      <c r="G59" s="58">
        <f t="shared" si="10"/>
        <v>6.3031831074692721E-2</v>
      </c>
    </row>
    <row r="60" spans="1:7" ht="17.25">
      <c r="A60" s="45" t="str">
        <f>+'S&amp;D'!A27</f>
        <v>CMS Energy</v>
      </c>
      <c r="B60" s="45"/>
      <c r="C60" s="36" t="str">
        <f>+'S&amp;D'!B27</f>
        <v>CMS</v>
      </c>
      <c r="D60" s="61">
        <f>'S&amp;D'!G27</f>
        <v>66.650000000000006</v>
      </c>
      <c r="E60" s="63">
        <f>+Earnings!I21</f>
        <v>4.2</v>
      </c>
      <c r="F60" s="71">
        <f t="shared" si="12"/>
        <v>15.86904761904762</v>
      </c>
      <c r="G60" s="58">
        <f t="shared" si="10"/>
        <v>6.3015753938484617E-2</v>
      </c>
    </row>
    <row r="61" spans="1:7" ht="17.25">
      <c r="A61" s="45" t="str">
        <f>+'S&amp;D'!A28</f>
        <v>DTE Energy</v>
      </c>
      <c r="B61" s="45"/>
      <c r="C61" s="36" t="str">
        <f>+'S&amp;D'!B28</f>
        <v>DTE</v>
      </c>
      <c r="D61" s="61">
        <f>'S&amp;D'!G28</f>
        <v>120.75</v>
      </c>
      <c r="E61" s="63">
        <f>+Earnings!I22</f>
        <v>9.6</v>
      </c>
      <c r="F61" s="71">
        <f t="shared" si="12"/>
        <v>12.578125</v>
      </c>
      <c r="G61" s="58">
        <f t="shared" si="10"/>
        <v>7.9503105590062115E-2</v>
      </c>
    </row>
    <row r="62" spans="1:7" ht="17.25">
      <c r="A62" s="45" t="str">
        <f>+'S&amp;D'!A29</f>
        <v>Duke Energy</v>
      </c>
      <c r="B62" s="45"/>
      <c r="C62" s="36" t="str">
        <f>+'S&amp;D'!B29</f>
        <v>DUK</v>
      </c>
      <c r="D62" s="61">
        <f>'S&amp;D'!G29</f>
        <v>107.74</v>
      </c>
      <c r="E62" s="63">
        <f>+Earnings!I23</f>
        <v>8</v>
      </c>
      <c r="F62" s="71">
        <f t="shared" si="12"/>
        <v>13.467499999999999</v>
      </c>
      <c r="G62" s="58">
        <f t="shared" si="10"/>
        <v>7.4252830889177654E-2</v>
      </c>
    </row>
    <row r="63" spans="1:7" ht="17.25">
      <c r="A63" s="45" t="str">
        <f>+'S&amp;D'!A30</f>
        <v>Entergy Corp</v>
      </c>
      <c r="B63" s="45"/>
      <c r="C63" s="36" t="str">
        <f>+'S&amp;D'!B30</f>
        <v>ETR</v>
      </c>
      <c r="D63" s="61">
        <f>'S&amp;D'!G30</f>
        <v>75.819999999999993</v>
      </c>
      <c r="E63" s="63">
        <f>+Earnings!I24</f>
        <v>4.2</v>
      </c>
      <c r="F63" s="71">
        <f t="shared" si="12"/>
        <v>18.05238095238095</v>
      </c>
      <c r="G63" s="58">
        <f t="shared" si="10"/>
        <v>5.5394355051437624E-2</v>
      </c>
    </row>
    <row r="64" spans="1:7" ht="17.25">
      <c r="A64" s="45" t="str">
        <f>+'S&amp;D'!A31</f>
        <v>Evergy Inc</v>
      </c>
      <c r="B64" s="45"/>
      <c r="C64" s="36" t="str">
        <f>+'S&amp;D'!B31</f>
        <v>EVRG</v>
      </c>
      <c r="D64" s="61">
        <f>'S&amp;D'!G31</f>
        <v>61.55</v>
      </c>
      <c r="E64" s="63">
        <f>+Earnings!I25</f>
        <v>5</v>
      </c>
      <c r="F64" s="71">
        <f t="shared" si="12"/>
        <v>12.309999999999999</v>
      </c>
      <c r="G64" s="58">
        <f t="shared" si="10"/>
        <v>8.1234768480909839E-2</v>
      </c>
    </row>
    <row r="65" spans="1:7" ht="17.25">
      <c r="A65" s="45" t="str">
        <f>+'S&amp;D'!A32</f>
        <v>FirstEnergy Corp</v>
      </c>
      <c r="B65" s="45"/>
      <c r="C65" s="36" t="str">
        <f>+'S&amp;D'!B32</f>
        <v>FE</v>
      </c>
      <c r="D65" s="61">
        <f>'S&amp;D'!G32</f>
        <v>39.78</v>
      </c>
      <c r="E65" s="63">
        <f>+Earnings!I26</f>
        <v>3.3</v>
      </c>
      <c r="F65" s="71">
        <f t="shared" si="12"/>
        <v>12.054545454545455</v>
      </c>
      <c r="G65" s="58">
        <f t="shared" si="10"/>
        <v>8.2956259426847659E-2</v>
      </c>
    </row>
    <row r="66" spans="1:7" ht="17.25">
      <c r="A66" s="45" t="str">
        <f>+'S&amp;D'!A33</f>
        <v>OGE Energy Corp.</v>
      </c>
      <c r="B66" s="45"/>
      <c r="C66" s="36" t="str">
        <f>+'S&amp;D'!B33</f>
        <v>OGE</v>
      </c>
      <c r="D66" s="61">
        <f>'S&amp;D'!G33</f>
        <v>41.25</v>
      </c>
      <c r="E66" s="63">
        <f>+Earnings!I27</f>
        <v>2.95</v>
      </c>
      <c r="F66" s="71">
        <f t="shared" si="12"/>
        <v>13.983050847457626</v>
      </c>
      <c r="G66" s="58">
        <f t="shared" si="10"/>
        <v>7.1515151515151518E-2</v>
      </c>
    </row>
    <row r="67" spans="1:7" ht="17.25">
      <c r="A67" s="45" t="str">
        <f>+'S&amp;D'!A34</f>
        <v>Otter Tail Corp</v>
      </c>
      <c r="B67" s="45"/>
      <c r="C67" s="36" t="str">
        <f>+'S&amp;D'!B34</f>
        <v>OTTR</v>
      </c>
      <c r="D67" s="61">
        <f>'S&amp;D'!G34</f>
        <v>73.84</v>
      </c>
      <c r="E67" s="63">
        <f>+Earnings!I28</f>
        <v>4.2</v>
      </c>
      <c r="F67" s="71">
        <f t="shared" si="12"/>
        <v>17.580952380952382</v>
      </c>
      <c r="G67" s="58">
        <f t="shared" si="10"/>
        <v>5.6879739978331526E-2</v>
      </c>
    </row>
    <row r="68" spans="1:7" ht="17.25">
      <c r="A68" s="45" t="str">
        <f>+'S&amp;D'!A35</f>
        <v>PPL Corporation</v>
      </c>
      <c r="B68" s="45"/>
      <c r="C68" s="36" t="str">
        <f>+'S&amp;D'!B35</f>
        <v>PPL</v>
      </c>
      <c r="D68" s="61">
        <f>'S&amp;D'!G35</f>
        <v>32.46</v>
      </c>
      <c r="E68" s="63">
        <f>+Earnings!I29</f>
        <v>2.4</v>
      </c>
      <c r="F68" s="71">
        <f t="shared" si="12"/>
        <v>13.525</v>
      </c>
      <c r="G68" s="58">
        <f t="shared" si="10"/>
        <v>7.3937153419593338E-2</v>
      </c>
    </row>
    <row r="69" spans="1:7" ht="17.25">
      <c r="A69" s="45" t="str">
        <f>+'S&amp;D'!A36</f>
        <v>The Southern Company</v>
      </c>
      <c r="B69" s="45"/>
      <c r="C69" s="36" t="str">
        <f>+'S&amp;D'!B36</f>
        <v>SO</v>
      </c>
      <c r="D69" s="61">
        <f>'S&amp;D'!G36</f>
        <v>82.32</v>
      </c>
      <c r="E69" s="63">
        <f>+Earnings!I30</f>
        <v>5.6</v>
      </c>
      <c r="F69" s="71">
        <f t="shared" si="12"/>
        <v>14.7</v>
      </c>
      <c r="G69" s="58">
        <f t="shared" si="10"/>
        <v>6.8027210884353748E-2</v>
      </c>
    </row>
    <row r="70" spans="1:7" ht="17.25">
      <c r="A70" s="45" t="str">
        <f>+'S&amp;D'!A37</f>
        <v>WEC Energy Group</v>
      </c>
      <c r="B70" s="45"/>
      <c r="C70" s="36" t="str">
        <f>+'S&amp;D'!B37</f>
        <v>WEC</v>
      </c>
      <c r="D70" s="61">
        <f>'S&amp;D'!G37</f>
        <v>94.04</v>
      </c>
      <c r="E70" s="63">
        <f>+Earnings!I31</f>
        <v>6.9</v>
      </c>
      <c r="F70" s="71">
        <f t="shared" si="12"/>
        <v>13.628985507246377</v>
      </c>
      <c r="G70" s="58">
        <f t="shared" si="10"/>
        <v>7.3373032752020423E-2</v>
      </c>
    </row>
    <row r="71" spans="1:7" ht="17.25" thickBot="1">
      <c r="A71" s="13"/>
      <c r="B71" s="13"/>
      <c r="C71" s="72"/>
      <c r="D71" s="72"/>
      <c r="E71" s="72"/>
      <c r="F71" s="72"/>
      <c r="G71" s="72"/>
    </row>
    <row r="72" spans="1:7" ht="17.25" thickTop="1">
      <c r="A72" s="13"/>
      <c r="B72" s="13"/>
      <c r="D72" s="15" t="s">
        <v>65</v>
      </c>
      <c r="E72" s="294">
        <f t="shared" ref="E72:G72" si="13">MAX(E55:E70)</f>
        <v>9.6</v>
      </c>
      <c r="F72" s="294">
        <f t="shared" si="13"/>
        <v>18.05238095238095</v>
      </c>
      <c r="G72" s="281">
        <f t="shared" si="13"/>
        <v>8.4876543209876545E-2</v>
      </c>
    </row>
    <row r="73" spans="1:7" ht="16.5">
      <c r="A73" s="13"/>
      <c r="B73" s="13"/>
      <c r="D73" s="15" t="s">
        <v>66</v>
      </c>
      <c r="E73" s="294">
        <f t="shared" ref="E73:G73" si="14">MIN(E55:E70)</f>
        <v>2</v>
      </c>
      <c r="F73" s="294">
        <f t="shared" si="14"/>
        <v>11.781818181818181</v>
      </c>
      <c r="G73" s="281">
        <f t="shared" si="14"/>
        <v>5.5394355051437624E-2</v>
      </c>
    </row>
    <row r="74" spans="1:7" ht="16.5">
      <c r="A74" s="13"/>
      <c r="B74" s="13"/>
      <c r="D74" s="15" t="s">
        <v>18</v>
      </c>
      <c r="E74" s="73">
        <f>MEDIAN(E55:E70)</f>
        <v>4.625</v>
      </c>
      <c r="F74" s="22">
        <f>MEDIAN(F55:F70)</f>
        <v>13.671415830546266</v>
      </c>
      <c r="G74" s="58">
        <f>MEDIAN(G55:G70)</f>
        <v>7.3146018283122616E-2</v>
      </c>
    </row>
    <row r="75" spans="1:7" ht="16.5">
      <c r="A75" s="13"/>
      <c r="B75" s="13"/>
      <c r="D75" s="15" t="s">
        <v>403</v>
      </c>
      <c r="E75" s="18">
        <f>AVERAGE(E55:E70)</f>
        <v>5.1312500000000005</v>
      </c>
      <c r="F75" s="22">
        <f>AVERAGE(F55:F70)</f>
        <v>14.082679971767195</v>
      </c>
      <c r="G75" s="74">
        <f>AVERAGE(G55:G70)</f>
        <v>7.2131159880644641E-2</v>
      </c>
    </row>
    <row r="76" spans="1:7" ht="16.5">
      <c r="A76" s="13"/>
      <c r="B76" s="13"/>
      <c r="C76" s="13"/>
      <c r="D76" s="13"/>
      <c r="E76" s="13"/>
      <c r="F76" s="13"/>
      <c r="G76" s="13"/>
    </row>
    <row r="77" spans="1:7" ht="26.25">
      <c r="A77" s="13"/>
      <c r="B77" s="13"/>
      <c r="C77" s="13"/>
      <c r="D77" s="13"/>
      <c r="E77" s="50" t="s">
        <v>108</v>
      </c>
      <c r="F77" s="375">
        <v>14.08</v>
      </c>
      <c r="G77" s="376">
        <v>7.2099999999999997E-2</v>
      </c>
    </row>
  </sheetData>
  <pageMargins left="0.25" right="0.25" top="0.75" bottom="0.75" header="0.3" footer="0.3"/>
  <pageSetup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01B68-F78F-4F0B-B297-7DBEE2F24F41}">
  <sheetPr>
    <tabColor rgb="FF92D050"/>
    <pageSetUpPr fitToPage="1"/>
  </sheetPr>
  <dimension ref="A1:J85"/>
  <sheetViews>
    <sheetView view="pageBreakPreview" zoomScale="60" zoomScaleNormal="80" workbookViewId="0">
      <selection activeCell="G82" sqref="G82"/>
    </sheetView>
  </sheetViews>
  <sheetFormatPr defaultRowHeight="15"/>
  <cols>
    <col min="1" max="1" width="74.5703125" customWidth="1"/>
    <col min="2" max="2" width="21.5703125" customWidth="1"/>
    <col min="3" max="3" width="24.5703125" customWidth="1"/>
    <col min="4" max="4" width="29.42578125" customWidth="1"/>
    <col min="5" max="5" width="30.5703125" customWidth="1"/>
    <col min="6" max="6" width="32.140625" customWidth="1"/>
    <col min="7" max="7" width="27" customWidth="1"/>
    <col min="8" max="8" width="13.5703125" customWidth="1"/>
    <col min="9" max="9" width="13.85546875" customWidth="1"/>
    <col min="10" max="11" width="14.140625" bestFit="1" customWidth="1"/>
  </cols>
  <sheetData>
    <row r="1" spans="1:10" ht="26.25">
      <c r="A1" s="25" t="s">
        <v>1</v>
      </c>
      <c r="B1" s="25"/>
      <c r="C1" s="25"/>
      <c r="D1" s="13"/>
      <c r="E1" s="13"/>
      <c r="F1" s="13"/>
      <c r="G1" s="13"/>
      <c r="H1" s="13"/>
      <c r="I1" s="13"/>
      <c r="J1" s="13"/>
    </row>
    <row r="2" spans="1:10" ht="17.25">
      <c r="A2" s="26" t="s">
        <v>9</v>
      </c>
      <c r="B2" s="26"/>
      <c r="C2" s="26"/>
      <c r="D2" s="13"/>
      <c r="E2" s="13"/>
      <c r="F2" s="13"/>
      <c r="G2" s="13"/>
      <c r="H2" s="13"/>
      <c r="I2" s="13"/>
      <c r="J2" s="13"/>
    </row>
    <row r="3" spans="1:10" ht="16.5">
      <c r="A3" s="27" t="s">
        <v>435</v>
      </c>
      <c r="B3" s="27"/>
      <c r="C3" s="27"/>
      <c r="D3" s="13"/>
      <c r="E3" s="13"/>
      <c r="F3" s="13"/>
      <c r="G3" s="13"/>
      <c r="H3" s="13"/>
      <c r="I3" s="13"/>
      <c r="J3" s="13"/>
    </row>
    <row r="4" spans="1:10" ht="16.5">
      <c r="A4" s="27"/>
      <c r="B4" s="27"/>
      <c r="C4" s="27"/>
      <c r="D4" s="13"/>
      <c r="E4" s="13"/>
      <c r="F4" s="13"/>
      <c r="G4" s="13"/>
      <c r="H4" s="13"/>
      <c r="I4" s="13"/>
      <c r="J4" s="13"/>
    </row>
    <row r="5" spans="1:10" ht="17.25" thickBot="1">
      <c r="A5" s="13"/>
      <c r="B5" s="13"/>
      <c r="C5" s="13"/>
      <c r="D5" s="13"/>
      <c r="E5" s="13"/>
      <c r="F5" s="13"/>
      <c r="G5" s="13"/>
      <c r="H5" s="28" t="s">
        <v>0</v>
      </c>
      <c r="I5" s="28"/>
      <c r="J5" s="13"/>
    </row>
    <row r="6" spans="1:10" ht="21" thickBot="1">
      <c r="A6" s="29" t="str">
        <f>+'S&amp;D'!A12</f>
        <v>Electric Utilities</v>
      </c>
      <c r="B6" s="13"/>
      <c r="C6" s="13"/>
      <c r="D6" s="30"/>
      <c r="E6" s="30"/>
      <c r="F6" s="30"/>
      <c r="G6" s="13"/>
      <c r="H6" s="13"/>
      <c r="I6" s="13"/>
      <c r="J6" s="13"/>
    </row>
    <row r="7" spans="1:10" ht="26.25">
      <c r="B7" s="32"/>
      <c r="C7" s="32"/>
      <c r="D7" s="13"/>
      <c r="E7" s="33" t="s">
        <v>235</v>
      </c>
      <c r="F7" s="13"/>
      <c r="G7" s="13"/>
      <c r="H7" s="13"/>
      <c r="I7" s="13"/>
      <c r="J7" s="13"/>
    </row>
    <row r="8" spans="1:10" ht="21" thickBot="1">
      <c r="A8" s="32"/>
      <c r="B8" s="32"/>
      <c r="C8" s="32"/>
      <c r="D8" s="30"/>
      <c r="E8" s="34" t="s">
        <v>436</v>
      </c>
      <c r="F8" s="30"/>
      <c r="G8" s="13"/>
      <c r="H8" s="13"/>
      <c r="I8" s="13"/>
      <c r="J8" s="13"/>
    </row>
    <row r="9" spans="1:10" ht="20.25">
      <c r="A9" s="32"/>
      <c r="B9" s="32"/>
      <c r="C9" s="32"/>
      <c r="D9" s="13"/>
      <c r="E9" s="36"/>
      <c r="F9" s="13"/>
      <c r="G9" s="13"/>
      <c r="H9" s="13"/>
      <c r="I9" s="13"/>
      <c r="J9" s="13"/>
    </row>
    <row r="10" spans="1:10" ht="20.25">
      <c r="A10" s="32"/>
      <c r="B10" s="32"/>
      <c r="H10" s="13"/>
      <c r="I10" s="13"/>
      <c r="J10" s="13"/>
    </row>
    <row r="11" spans="1:10" ht="20.25">
      <c r="A11" s="32"/>
      <c r="B11" s="32"/>
      <c r="H11" s="13"/>
      <c r="I11" s="13"/>
      <c r="J11" s="13"/>
    </row>
    <row r="12" spans="1:10" ht="30" customHeight="1" thickBot="1">
      <c r="A12" s="32"/>
      <c r="B12" s="32"/>
      <c r="C12" t="s">
        <v>0</v>
      </c>
      <c r="H12" s="13"/>
      <c r="I12" s="13"/>
      <c r="J12" s="13"/>
    </row>
    <row r="13" spans="1:10" ht="26.25" customHeight="1" thickBot="1">
      <c r="A13" s="157" t="s">
        <v>250</v>
      </c>
      <c r="B13" s="13" t="s">
        <v>0</v>
      </c>
      <c r="C13" s="13"/>
      <c r="D13" s="13"/>
      <c r="E13" s="13"/>
      <c r="F13" s="13"/>
      <c r="G13" s="13"/>
      <c r="H13" s="13"/>
      <c r="I13" s="13"/>
      <c r="J13" s="13"/>
    </row>
    <row r="14" spans="1:10" ht="42" customHeight="1" thickBot="1">
      <c r="A14" s="156" t="s">
        <v>248</v>
      </c>
      <c r="B14" s="155" t="s">
        <v>239</v>
      </c>
      <c r="C14" s="154" t="s">
        <v>251</v>
      </c>
      <c r="D14" s="155" t="s">
        <v>241</v>
      </c>
      <c r="E14" s="155" t="s">
        <v>397</v>
      </c>
      <c r="F14" s="153" t="s">
        <v>240</v>
      </c>
      <c r="G14" s="13"/>
      <c r="H14" s="13"/>
      <c r="I14" s="13"/>
      <c r="J14" s="13"/>
    </row>
    <row r="15" spans="1:10" ht="16.5">
      <c r="A15" s="150"/>
      <c r="B15" s="117"/>
      <c r="C15" s="117"/>
      <c r="D15" s="117"/>
      <c r="E15" s="117"/>
      <c r="F15" s="151"/>
      <c r="G15" s="13"/>
      <c r="H15" s="13"/>
      <c r="I15" s="13"/>
      <c r="J15" s="13"/>
    </row>
    <row r="16" spans="1:10" ht="17.25">
      <c r="A16" s="182" t="s">
        <v>496</v>
      </c>
      <c r="B16" s="196">
        <v>2.3300000000000001E-2</v>
      </c>
      <c r="C16" s="193">
        <f>+'Beta for CAPM'!H39</f>
        <v>0.91</v>
      </c>
      <c r="D16" s="183">
        <f>+B16*C16</f>
        <v>2.1203000000000003E-2</v>
      </c>
      <c r="E16" s="183">
        <f>+'Growth &amp; Inflation Rates'!$G$25</f>
        <v>4.8599999999999997E-2</v>
      </c>
      <c r="F16" s="184">
        <f>+D16+E16</f>
        <v>6.9803000000000004E-2</v>
      </c>
      <c r="G16" s="13"/>
      <c r="H16" s="13"/>
      <c r="I16" s="13"/>
      <c r="J16" s="13"/>
    </row>
    <row r="17" spans="1:10" ht="17.25">
      <c r="A17" s="182" t="s">
        <v>497</v>
      </c>
      <c r="B17" s="196">
        <v>3.04E-2</v>
      </c>
      <c r="C17" s="193">
        <f>+C16</f>
        <v>0.91</v>
      </c>
      <c r="D17" s="183">
        <f>+B17*C17</f>
        <v>2.7664000000000001E-2</v>
      </c>
      <c r="E17" s="183">
        <f>+'Growth &amp; Inflation Rates'!$G$25</f>
        <v>4.8599999999999997E-2</v>
      </c>
      <c r="F17" s="184">
        <f>+D17+E17</f>
        <v>7.6263999999999998E-2</v>
      </c>
      <c r="G17" s="13"/>
      <c r="H17" s="13"/>
      <c r="I17" s="13"/>
      <c r="J17" s="13"/>
    </row>
    <row r="18" spans="1:10" ht="17.25">
      <c r="A18" s="185"/>
      <c r="B18" s="112"/>
      <c r="C18" s="112"/>
      <c r="D18" s="112"/>
      <c r="E18" s="112"/>
      <c r="F18" s="186"/>
      <c r="G18" s="13"/>
      <c r="H18" s="13"/>
      <c r="I18" s="13"/>
      <c r="J18" s="13"/>
    </row>
    <row r="19" spans="1:10" ht="17.25">
      <c r="A19" s="182" t="s">
        <v>418</v>
      </c>
      <c r="B19" s="196">
        <v>4.3299999999999998E-2</v>
      </c>
      <c r="C19" s="193">
        <f>+C16</f>
        <v>0.91</v>
      </c>
      <c r="D19" s="183">
        <f>+B19*C19</f>
        <v>3.9403000000000001E-2</v>
      </c>
      <c r="E19" s="183">
        <f>+'Growth &amp; Inflation Rates'!$G$25</f>
        <v>4.8599999999999997E-2</v>
      </c>
      <c r="F19" s="184">
        <f>+D19+E19</f>
        <v>8.8002999999999998E-2</v>
      </c>
      <c r="G19" s="13"/>
      <c r="H19" s="13"/>
      <c r="I19" s="13"/>
      <c r="J19" s="13"/>
    </row>
    <row r="20" spans="1:10" ht="17.25">
      <c r="A20" s="182" t="s">
        <v>428</v>
      </c>
      <c r="B20" s="196">
        <v>6.1499999999999999E-2</v>
      </c>
      <c r="C20" s="193">
        <f>+C16</f>
        <v>0.91</v>
      </c>
      <c r="D20" s="183">
        <f>+B20*C20</f>
        <v>5.5965000000000001E-2</v>
      </c>
      <c r="E20" s="183">
        <f>+'Growth &amp; Inflation Rates'!$G$25</f>
        <v>4.8599999999999997E-2</v>
      </c>
      <c r="F20" s="184">
        <f>+D20+E20</f>
        <v>0.10456499999999999</v>
      </c>
      <c r="G20" s="13"/>
      <c r="H20" s="13"/>
      <c r="I20" s="13"/>
      <c r="J20" s="13"/>
    </row>
    <row r="21" spans="1:10" ht="17.25">
      <c r="A21" s="182" t="s">
        <v>416</v>
      </c>
      <c r="B21" s="196">
        <v>4.1500000000000002E-2</v>
      </c>
      <c r="C21" s="193">
        <f>+C16</f>
        <v>0.91</v>
      </c>
      <c r="D21" s="183">
        <f t="shared" ref="D21:D22" si="0">+B21*C21</f>
        <v>3.7765E-2</v>
      </c>
      <c r="E21" s="183">
        <f>+'Growth &amp; Inflation Rates'!$G$25</f>
        <v>4.8599999999999997E-2</v>
      </c>
      <c r="F21" s="184">
        <f t="shared" ref="F21:F22" si="1">+D21+E21</f>
        <v>8.6364999999999997E-2</v>
      </c>
      <c r="G21" s="13"/>
      <c r="H21" s="13"/>
      <c r="I21" s="13"/>
      <c r="J21" s="13"/>
    </row>
    <row r="22" spans="1:10" ht="17.25">
      <c r="A22" s="182" t="s">
        <v>417</v>
      </c>
      <c r="B22" s="196">
        <v>3.8100000000000002E-2</v>
      </c>
      <c r="C22" s="193">
        <f>+C16</f>
        <v>0.91</v>
      </c>
      <c r="D22" s="183">
        <f t="shared" si="0"/>
        <v>3.4671E-2</v>
      </c>
      <c r="E22" s="183">
        <f>+'Growth &amp; Inflation Rates'!$G$25</f>
        <v>4.8599999999999997E-2</v>
      </c>
      <c r="F22" s="184">
        <f t="shared" si="1"/>
        <v>8.3270999999999998E-2</v>
      </c>
      <c r="G22" s="13"/>
      <c r="H22" s="13"/>
      <c r="I22" s="13"/>
      <c r="J22" s="13"/>
    </row>
    <row r="23" spans="1:10" ht="17.25">
      <c r="A23" s="182" t="s">
        <v>0</v>
      </c>
      <c r="B23" s="196"/>
      <c r="C23" s="194" t="s">
        <v>0</v>
      </c>
      <c r="D23" s="183" t="s">
        <v>0</v>
      </c>
      <c r="E23" s="183" t="s">
        <v>0</v>
      </c>
      <c r="F23" s="184" t="s">
        <v>0</v>
      </c>
      <c r="G23" s="13"/>
      <c r="H23" s="13"/>
      <c r="I23" s="13"/>
      <c r="J23" s="13"/>
    </row>
    <row r="24" spans="1:10" ht="17.25">
      <c r="A24" s="182" t="s">
        <v>244</v>
      </c>
      <c r="B24" s="196">
        <v>5.3900000000000003E-2</v>
      </c>
      <c r="C24" s="193">
        <f>+C16</f>
        <v>0.91</v>
      </c>
      <c r="D24" s="183">
        <f>+B24*C24</f>
        <v>4.9049000000000002E-2</v>
      </c>
      <c r="E24" s="183">
        <f>+'Growth &amp; Inflation Rates'!$G$25</f>
        <v>4.8599999999999997E-2</v>
      </c>
      <c r="F24" s="184">
        <f>+D24+E24</f>
        <v>9.7649E-2</v>
      </c>
      <c r="G24" s="13"/>
      <c r="H24" s="13"/>
      <c r="I24" s="13"/>
      <c r="J24" s="13"/>
    </row>
    <row r="25" spans="1:10" ht="17.25">
      <c r="A25" s="182" t="s">
        <v>0</v>
      </c>
      <c r="B25" s="196"/>
      <c r="C25" s="194" t="s">
        <v>0</v>
      </c>
      <c r="D25" s="183" t="s">
        <v>0</v>
      </c>
      <c r="E25" s="183" t="s">
        <v>0</v>
      </c>
      <c r="F25" s="184" t="s">
        <v>0</v>
      </c>
      <c r="G25" s="13"/>
      <c r="H25" s="13"/>
      <c r="I25" s="13"/>
      <c r="J25" s="13"/>
    </row>
    <row r="26" spans="1:10" ht="17.25">
      <c r="A26" s="182" t="s">
        <v>429</v>
      </c>
      <c r="B26" s="196">
        <v>5.5E-2</v>
      </c>
      <c r="C26" s="193">
        <f>+C16</f>
        <v>0.91</v>
      </c>
      <c r="D26" s="183">
        <f>+B26*C26</f>
        <v>5.0050000000000004E-2</v>
      </c>
      <c r="E26" s="183">
        <f>+'Growth &amp; Inflation Rates'!$G$25</f>
        <v>4.8599999999999997E-2</v>
      </c>
      <c r="F26" s="184">
        <f>+D26+E26</f>
        <v>9.8650000000000002E-2</v>
      </c>
      <c r="G26" s="13"/>
      <c r="H26" s="13"/>
      <c r="I26" s="13"/>
      <c r="J26" s="13"/>
    </row>
    <row r="27" spans="1:10" ht="17.25">
      <c r="A27" s="182" t="s">
        <v>0</v>
      </c>
      <c r="B27" s="196"/>
      <c r="C27" s="194" t="s">
        <v>0</v>
      </c>
      <c r="D27" s="183" t="s">
        <v>0</v>
      </c>
      <c r="E27" s="183" t="s">
        <v>0</v>
      </c>
      <c r="F27" s="184" t="s">
        <v>0</v>
      </c>
      <c r="G27" s="13"/>
      <c r="H27" s="13"/>
      <c r="I27" s="13"/>
      <c r="J27" s="13"/>
    </row>
    <row r="28" spans="1:10" ht="17.25">
      <c r="A28" s="182" t="s">
        <v>245</v>
      </c>
      <c r="B28" s="196">
        <v>6.7100000000000007E-2</v>
      </c>
      <c r="C28" s="193">
        <f>+C16</f>
        <v>0.91</v>
      </c>
      <c r="D28" s="183">
        <f>+B28*C28</f>
        <v>6.1061000000000011E-2</v>
      </c>
      <c r="E28" s="183">
        <f>+'Growth &amp; Inflation Rates'!$G$25</f>
        <v>4.8599999999999997E-2</v>
      </c>
      <c r="F28" s="184">
        <f>+D28+E28</f>
        <v>0.10966100000000001</v>
      </c>
      <c r="G28" s="13"/>
      <c r="H28" s="13"/>
      <c r="I28" s="13"/>
      <c r="J28" s="13"/>
    </row>
    <row r="29" spans="1:10" ht="17.25">
      <c r="A29" s="182" t="s">
        <v>246</v>
      </c>
      <c r="B29" s="196">
        <v>5.4600000000000003E-2</v>
      </c>
      <c r="C29" s="193">
        <f>+C16</f>
        <v>0.91</v>
      </c>
      <c r="D29" s="183">
        <f>+B29*C29</f>
        <v>4.9686000000000001E-2</v>
      </c>
      <c r="E29" s="183">
        <f>+'Growth &amp; Inflation Rates'!$G$25</f>
        <v>4.8599999999999997E-2</v>
      </c>
      <c r="F29" s="184">
        <f>+D29+E29</f>
        <v>9.8285999999999998E-2</v>
      </c>
      <c r="G29" s="13"/>
      <c r="H29" s="13"/>
      <c r="I29" s="13"/>
      <c r="J29" s="13"/>
    </row>
    <row r="30" spans="1:10" ht="17.25">
      <c r="A30" s="182"/>
      <c r="B30" s="196"/>
      <c r="C30" s="193"/>
      <c r="D30" s="183"/>
      <c r="E30" s="183"/>
      <c r="F30" s="184"/>
      <c r="G30" s="13"/>
      <c r="H30" s="13"/>
      <c r="I30" s="13"/>
      <c r="J30" s="13"/>
    </row>
    <row r="31" spans="1:10" ht="17.25">
      <c r="A31" s="182" t="s">
        <v>419</v>
      </c>
      <c r="B31" s="196">
        <v>7.3099999999999998E-2</v>
      </c>
      <c r="C31" s="193">
        <f>+C16</f>
        <v>0.91</v>
      </c>
      <c r="D31" s="183">
        <f>+B31*C31</f>
        <v>6.6520999999999997E-2</v>
      </c>
      <c r="E31" s="183">
        <f>+'Growth &amp; Inflation Rates'!$G$25</f>
        <v>4.8599999999999997E-2</v>
      </c>
      <c r="F31" s="184">
        <f>+D31+E31</f>
        <v>0.115121</v>
      </c>
      <c r="G31" s="13"/>
      <c r="H31" s="13"/>
      <c r="I31" s="13"/>
      <c r="J31" s="13"/>
    </row>
    <row r="32" spans="1:10" ht="17.25">
      <c r="A32" s="182" t="s">
        <v>420</v>
      </c>
      <c r="B32" s="196">
        <v>6.2600000000000003E-2</v>
      </c>
      <c r="C32" s="193">
        <f>+C17</f>
        <v>0.91</v>
      </c>
      <c r="D32" s="183">
        <f>+B32*C32</f>
        <v>5.6966000000000003E-2</v>
      </c>
      <c r="E32" s="183">
        <f>+'Growth &amp; Inflation Rates'!$G$25</f>
        <v>4.8599999999999997E-2</v>
      </c>
      <c r="F32" s="184">
        <f>+D32+E32</f>
        <v>0.10556599999999999</v>
      </c>
      <c r="G32" s="13"/>
      <c r="H32" s="13"/>
      <c r="I32" s="13"/>
      <c r="J32" s="13"/>
    </row>
    <row r="33" spans="1:10" ht="17.25">
      <c r="A33" s="182" t="s">
        <v>421</v>
      </c>
      <c r="B33" s="196">
        <v>0.05</v>
      </c>
      <c r="C33" s="193">
        <f>+C16</f>
        <v>0.91</v>
      </c>
      <c r="D33" s="183">
        <f>+B33*C33</f>
        <v>4.5500000000000006E-2</v>
      </c>
      <c r="E33" s="183">
        <f>+'Growth &amp; Inflation Rates'!$G$25</f>
        <v>4.8599999999999997E-2</v>
      </c>
      <c r="F33" s="184">
        <f>+D33+E33</f>
        <v>9.4100000000000003E-2</v>
      </c>
      <c r="G33" s="13"/>
      <c r="H33" s="13"/>
      <c r="I33" s="13"/>
      <c r="J33" s="13"/>
    </row>
    <row r="34" spans="1:10" ht="17.25">
      <c r="A34" s="182"/>
      <c r="B34" s="196"/>
      <c r="C34" s="193"/>
      <c r="D34" s="183"/>
      <c r="E34" s="183"/>
      <c r="F34" s="184"/>
      <c r="G34" s="13"/>
      <c r="H34" s="13"/>
      <c r="I34" s="13"/>
      <c r="J34" s="13"/>
    </row>
    <row r="35" spans="1:10" ht="17.25">
      <c r="A35" s="359" t="s">
        <v>0</v>
      </c>
      <c r="B35" s="357" t="s">
        <v>0</v>
      </c>
      <c r="C35" s="193" t="s">
        <v>0</v>
      </c>
      <c r="D35" s="183" t="s">
        <v>0</v>
      </c>
      <c r="E35" s="183" t="s">
        <v>0</v>
      </c>
      <c r="F35" s="184" t="s">
        <v>0</v>
      </c>
      <c r="G35" s="13"/>
      <c r="H35" s="13"/>
      <c r="I35" s="13"/>
      <c r="J35" s="13"/>
    </row>
    <row r="36" spans="1:10" ht="17.25" thickBot="1">
      <c r="A36" s="328"/>
      <c r="B36" s="30"/>
      <c r="C36" s="30"/>
      <c r="D36" s="30"/>
      <c r="E36" s="30"/>
      <c r="F36" s="329"/>
      <c r="G36" s="13"/>
      <c r="H36" s="13"/>
      <c r="I36" s="13"/>
      <c r="J36" s="13"/>
    </row>
    <row r="37" spans="1:10" ht="16.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27" customHeight="1" thickBot="1">
      <c r="A38" s="13"/>
      <c r="B38" s="13"/>
      <c r="C38" s="13"/>
      <c r="D38" s="13"/>
      <c r="E38" s="13"/>
      <c r="F38" s="13"/>
      <c r="G38" s="13" t="s">
        <v>0</v>
      </c>
      <c r="H38" s="13"/>
      <c r="I38" s="13"/>
      <c r="J38" s="13"/>
    </row>
    <row r="39" spans="1:10" ht="18" thickBot="1">
      <c r="A39" s="157" t="s">
        <v>249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41.25" thickBot="1">
      <c r="A40" s="156" t="s">
        <v>247</v>
      </c>
      <c r="B40" s="155" t="s">
        <v>239</v>
      </c>
      <c r="C40" s="154" t="s">
        <v>251</v>
      </c>
      <c r="D40" s="155" t="s">
        <v>242</v>
      </c>
      <c r="E40" s="155" t="s">
        <v>243</v>
      </c>
      <c r="F40" s="155" t="s">
        <v>397</v>
      </c>
      <c r="G40" s="153" t="s">
        <v>240</v>
      </c>
      <c r="H40" s="13"/>
      <c r="I40" s="13"/>
      <c r="J40" s="13"/>
    </row>
    <row r="41" spans="1:10" ht="16.5">
      <c r="A41" s="150"/>
      <c r="B41" s="117"/>
      <c r="C41" s="117"/>
      <c r="D41" s="117"/>
      <c r="E41" s="117"/>
      <c r="F41" s="117"/>
      <c r="G41" s="151"/>
      <c r="H41" s="13"/>
      <c r="I41" s="13"/>
      <c r="J41" s="13"/>
    </row>
    <row r="42" spans="1:10" ht="17.25">
      <c r="A42" s="182" t="str">
        <f t="shared" ref="A42:C43" si="2">+A16</f>
        <v>Three Stage Ex Ante  Version 1  (1)</v>
      </c>
      <c r="B42" s="196">
        <f t="shared" si="2"/>
        <v>2.3300000000000001E-2</v>
      </c>
      <c r="C42" s="192">
        <f t="shared" si="2"/>
        <v>0.91</v>
      </c>
      <c r="D42" s="183">
        <f>+B42*C42*0.75</f>
        <v>1.5902250000000003E-2</v>
      </c>
      <c r="E42" s="196">
        <f>+B42*0.25</f>
        <v>5.8250000000000003E-3</v>
      </c>
      <c r="F42" s="183">
        <f>+'Growth &amp; Inflation Rates'!$G$25</f>
        <v>4.8599999999999997E-2</v>
      </c>
      <c r="G42" s="184">
        <f>+D42+E42+F42</f>
        <v>7.0327250000000008E-2</v>
      </c>
      <c r="H42" s="13"/>
      <c r="I42" s="13"/>
      <c r="J42" s="13"/>
    </row>
    <row r="43" spans="1:10" ht="17.25">
      <c r="A43" s="182" t="str">
        <f t="shared" si="2"/>
        <v>Three Stage Ex Ante  Version 2   (2)</v>
      </c>
      <c r="B43" s="196">
        <f t="shared" si="2"/>
        <v>3.04E-2</v>
      </c>
      <c r="C43" s="192">
        <f t="shared" si="2"/>
        <v>0.91</v>
      </c>
      <c r="D43" s="183">
        <f>+B43*C43*0.75</f>
        <v>2.0748000000000003E-2</v>
      </c>
      <c r="E43" s="196">
        <f>+B43*0.25</f>
        <v>7.6E-3</v>
      </c>
      <c r="F43" s="183">
        <f>+'Growth &amp; Inflation Rates'!$G$25</f>
        <v>4.8599999999999997E-2</v>
      </c>
      <c r="G43" s="184">
        <f>+D43+E43+F43</f>
        <v>7.6948000000000003E-2</v>
      </c>
      <c r="H43" s="13"/>
      <c r="I43" s="13"/>
      <c r="J43" s="13"/>
    </row>
    <row r="44" spans="1:10" ht="17.25">
      <c r="A44" s="185"/>
      <c r="B44" s="112"/>
      <c r="C44" s="112"/>
      <c r="D44" s="112"/>
      <c r="E44" s="112"/>
      <c r="F44" s="112"/>
      <c r="G44" s="186"/>
      <c r="H44" s="13"/>
      <c r="I44" s="13"/>
      <c r="J44" s="13"/>
    </row>
    <row r="45" spans="1:10" ht="17.25">
      <c r="A45" s="182" t="str">
        <f t="shared" ref="A45:C46" si="3">+A19</f>
        <v>Damodaran Implied ERP Ex Ante   Trailing 12 mo Cash Yield (3)</v>
      </c>
      <c r="B45" s="196">
        <f t="shared" si="3"/>
        <v>4.3299999999999998E-2</v>
      </c>
      <c r="C45" s="192">
        <f t="shared" si="3"/>
        <v>0.91</v>
      </c>
      <c r="D45" s="183">
        <f>+B45*C45*0.75</f>
        <v>2.9552250000000002E-2</v>
      </c>
      <c r="E45" s="196">
        <f>+B45*0.25</f>
        <v>1.0825E-2</v>
      </c>
      <c r="F45" s="183">
        <f>+'Growth &amp; Inflation Rates'!$G$25</f>
        <v>4.8599999999999997E-2</v>
      </c>
      <c r="G45" s="184">
        <f>+D45+E45+F45</f>
        <v>8.8977250000000008E-2</v>
      </c>
      <c r="H45" s="13"/>
      <c r="I45" s="13"/>
      <c r="J45" s="13"/>
    </row>
    <row r="46" spans="1:10" ht="17.25">
      <c r="A46" s="182" t="str">
        <f t="shared" si="3"/>
        <v>Damodaran Implied ERP Ex Ante   Avg CF Yield Last 10 Yrs (3)</v>
      </c>
      <c r="B46" s="196">
        <f t="shared" si="3"/>
        <v>6.1499999999999999E-2</v>
      </c>
      <c r="C46" s="192">
        <f t="shared" si="3"/>
        <v>0.91</v>
      </c>
      <c r="D46" s="183">
        <f>+B46*C46*0.75</f>
        <v>4.1973750000000004E-2</v>
      </c>
      <c r="E46" s="196">
        <f>+B46*0.25</f>
        <v>1.5375E-2</v>
      </c>
      <c r="F46" s="183">
        <f>+'Growth &amp; Inflation Rates'!$G$25</f>
        <v>4.8599999999999997E-2</v>
      </c>
      <c r="G46" s="184">
        <f>+D46+E46+F46</f>
        <v>0.10594875000000001</v>
      </c>
      <c r="H46" s="13"/>
      <c r="I46" s="13"/>
      <c r="J46" s="13"/>
    </row>
    <row r="47" spans="1:10" ht="17.25">
      <c r="A47" s="182" t="str">
        <f t="shared" ref="A47:C47" si="4">+A21</f>
        <v>Damodaran Implied ERP Ex Ante   Net Cash Yield (3)</v>
      </c>
      <c r="B47" s="196">
        <f t="shared" si="4"/>
        <v>4.1500000000000002E-2</v>
      </c>
      <c r="C47" s="192">
        <f t="shared" si="4"/>
        <v>0.91</v>
      </c>
      <c r="D47" s="183">
        <f t="shared" ref="D47:D48" si="5">+B47*C47*0.75</f>
        <v>2.8323750000000002E-2</v>
      </c>
      <c r="E47" s="196">
        <f t="shared" ref="E47:E48" si="6">+B47*0.25</f>
        <v>1.0375000000000001E-2</v>
      </c>
      <c r="F47" s="183">
        <f>+'Growth &amp; Inflation Rates'!$G$25</f>
        <v>4.8599999999999997E-2</v>
      </c>
      <c r="G47" s="184">
        <f t="shared" ref="G47:G48" si="7">+D47+E47+F47</f>
        <v>8.7298750000000008E-2</v>
      </c>
      <c r="H47" s="13"/>
      <c r="I47" s="13"/>
      <c r="J47" s="13"/>
    </row>
    <row r="48" spans="1:10" ht="17.25">
      <c r="A48" s="182" t="str">
        <f>+A22</f>
        <v>Damodaran Implied ERP Ex Ante   Norm. Earnings &amp; Payout (3)</v>
      </c>
      <c r="B48" s="196">
        <f t="shared" ref="B48:C48" si="8">+B22</f>
        <v>3.8100000000000002E-2</v>
      </c>
      <c r="C48" s="192">
        <f t="shared" si="8"/>
        <v>0.91</v>
      </c>
      <c r="D48" s="183">
        <f t="shared" si="5"/>
        <v>2.6003249999999999E-2</v>
      </c>
      <c r="E48" s="196">
        <f t="shared" si="6"/>
        <v>9.5250000000000005E-3</v>
      </c>
      <c r="F48" s="183">
        <f>+'Growth &amp; Inflation Rates'!$G$25</f>
        <v>4.8599999999999997E-2</v>
      </c>
      <c r="G48" s="184">
        <f t="shared" si="7"/>
        <v>8.4128249999999988E-2</v>
      </c>
      <c r="H48" s="13"/>
      <c r="I48" s="13"/>
      <c r="J48" s="13"/>
    </row>
    <row r="49" spans="1:10" ht="17.25">
      <c r="A49" s="182" t="s">
        <v>0</v>
      </c>
      <c r="B49" s="196" t="s">
        <v>0</v>
      </c>
      <c r="C49" s="183" t="s">
        <v>0</v>
      </c>
      <c r="D49" s="183" t="s">
        <v>0</v>
      </c>
      <c r="E49" s="196" t="s">
        <v>0</v>
      </c>
      <c r="F49" s="183" t="s">
        <v>0</v>
      </c>
      <c r="G49" s="184" t="s">
        <v>0</v>
      </c>
      <c r="H49" s="13"/>
      <c r="I49" s="13"/>
      <c r="J49" s="13"/>
    </row>
    <row r="50" spans="1:10" ht="17.25">
      <c r="A50" s="182" t="s">
        <v>244</v>
      </c>
      <c r="B50" s="196">
        <f>+B24</f>
        <v>5.3900000000000003E-2</v>
      </c>
      <c r="C50" s="192">
        <f>+C24</f>
        <v>0.91</v>
      </c>
      <c r="D50" s="183">
        <f>+B50*C50*0.75</f>
        <v>3.678675E-2</v>
      </c>
      <c r="E50" s="196">
        <f>+B50*0.25</f>
        <v>1.3475000000000001E-2</v>
      </c>
      <c r="F50" s="183">
        <f>+'Growth &amp; Inflation Rates'!$G$25</f>
        <v>4.8599999999999997E-2</v>
      </c>
      <c r="G50" s="184">
        <f>+D50+E50+F50</f>
        <v>9.8861749999999998E-2</v>
      </c>
    </row>
    <row r="51" spans="1:10" ht="17.25">
      <c r="A51" s="182" t="s">
        <v>0</v>
      </c>
      <c r="B51" s="196" t="s">
        <v>0</v>
      </c>
      <c r="C51" s="183" t="s">
        <v>0</v>
      </c>
      <c r="D51" s="183" t="s">
        <v>0</v>
      </c>
      <c r="E51" s="196" t="s">
        <v>0</v>
      </c>
      <c r="F51" s="183" t="s">
        <v>0</v>
      </c>
      <c r="G51" s="184" t="s">
        <v>0</v>
      </c>
    </row>
    <row r="52" spans="1:10" ht="17.25">
      <c r="A52" s="182" t="s">
        <v>429</v>
      </c>
      <c r="B52" s="196">
        <f>+B26</f>
        <v>5.5E-2</v>
      </c>
      <c r="C52" s="192">
        <f>+C26</f>
        <v>0.91</v>
      </c>
      <c r="D52" s="183">
        <f>+B52*C52*0.75</f>
        <v>3.7537500000000001E-2</v>
      </c>
      <c r="E52" s="196">
        <f>+B52*0.25</f>
        <v>1.375E-2</v>
      </c>
      <c r="F52" s="183">
        <f>+'Growth &amp; Inflation Rates'!$G$25</f>
        <v>4.8599999999999997E-2</v>
      </c>
      <c r="G52" s="184">
        <f>+D52+E52+F52</f>
        <v>9.988749999999999E-2</v>
      </c>
    </row>
    <row r="53" spans="1:10" ht="17.25">
      <c r="A53" s="182" t="s">
        <v>0</v>
      </c>
      <c r="B53" s="196" t="s">
        <v>0</v>
      </c>
      <c r="C53" s="183" t="s">
        <v>0</v>
      </c>
      <c r="D53" s="183" t="s">
        <v>0</v>
      </c>
      <c r="E53" s="196" t="s">
        <v>0</v>
      </c>
      <c r="F53" s="183" t="s">
        <v>0</v>
      </c>
      <c r="G53" s="184" t="s">
        <v>0</v>
      </c>
    </row>
    <row r="54" spans="1:10" ht="17.25">
      <c r="A54" s="182" t="s">
        <v>245</v>
      </c>
      <c r="B54" s="196">
        <f>+B28</f>
        <v>6.7100000000000007E-2</v>
      </c>
      <c r="C54" s="192">
        <f>+C28</f>
        <v>0.91</v>
      </c>
      <c r="D54" s="183">
        <f>+B54*C54*0.75</f>
        <v>4.579575000000001E-2</v>
      </c>
      <c r="E54" s="196">
        <f>+B54*0.25</f>
        <v>1.6775000000000002E-2</v>
      </c>
      <c r="F54" s="183">
        <f>+'Growth &amp; Inflation Rates'!$G$25</f>
        <v>4.8599999999999997E-2</v>
      </c>
      <c r="G54" s="184">
        <f>+D54+E54+F54</f>
        <v>0.11117075000000001</v>
      </c>
    </row>
    <row r="55" spans="1:10" ht="17.25">
      <c r="A55" s="182" t="s">
        <v>246</v>
      </c>
      <c r="B55" s="196">
        <f>+B29</f>
        <v>5.4600000000000003E-2</v>
      </c>
      <c r="C55" s="192">
        <f>+C29</f>
        <v>0.91</v>
      </c>
      <c r="D55" s="183">
        <f>+B55*C55*0.75</f>
        <v>3.7264499999999999E-2</v>
      </c>
      <c r="E55" s="196">
        <f>+B55*0.25</f>
        <v>1.3650000000000001E-2</v>
      </c>
      <c r="F55" s="183">
        <f>+'Growth &amp; Inflation Rates'!$G$25</f>
        <v>4.8599999999999997E-2</v>
      </c>
      <c r="G55" s="184">
        <f>+D55+E55+F55</f>
        <v>9.9514500000000006E-2</v>
      </c>
    </row>
    <row r="56" spans="1:10" ht="17.25">
      <c r="A56" s="182"/>
      <c r="B56" s="196"/>
      <c r="C56" s="192"/>
      <c r="D56" s="183"/>
      <c r="E56" s="196"/>
      <c r="F56" s="183"/>
      <c r="G56" s="184"/>
    </row>
    <row r="57" spans="1:10" ht="17.25">
      <c r="A57" s="182" t="str">
        <f t="shared" ref="A57:A59" si="9">+A31</f>
        <v>KROLL Ex Post  - ERP Historical (8)</v>
      </c>
      <c r="B57" s="196">
        <f>+B31</f>
        <v>7.3099999999999998E-2</v>
      </c>
      <c r="C57" s="192">
        <f>+C31</f>
        <v>0.91</v>
      </c>
      <c r="D57" s="183">
        <f>+B57*C57*0.75</f>
        <v>4.9890749999999998E-2</v>
      </c>
      <c r="E57" s="196">
        <f>+B57*0.25</f>
        <v>1.8275E-2</v>
      </c>
      <c r="F57" s="183">
        <f>+'Growth &amp; Inflation Rates'!$G$25</f>
        <v>4.8599999999999997E-2</v>
      </c>
      <c r="G57" s="184">
        <f>+D57+E57+F57</f>
        <v>0.11676575</v>
      </c>
    </row>
    <row r="58" spans="1:10" ht="17.25">
      <c r="A58" s="182" t="str">
        <f t="shared" si="9"/>
        <v>KROLL Ex Post - ERP Supply Side (8)</v>
      </c>
      <c r="B58" s="196">
        <f>+B32</f>
        <v>6.2600000000000003E-2</v>
      </c>
      <c r="C58" s="192">
        <f>+C32</f>
        <v>0.91</v>
      </c>
      <c r="D58" s="183">
        <f>+B58*C58*0.75</f>
        <v>4.2724499999999999E-2</v>
      </c>
      <c r="E58" s="196">
        <f>+B58*0.25</f>
        <v>1.5650000000000001E-2</v>
      </c>
      <c r="F58" s="183">
        <f>+'Growth &amp; Inflation Rates'!$G$25</f>
        <v>4.8599999999999997E-2</v>
      </c>
      <c r="G58" s="184">
        <f>+D58+E58+F58</f>
        <v>0.1069745</v>
      </c>
    </row>
    <row r="59" spans="1:10" ht="17.25">
      <c r="A59" s="182" t="str">
        <f t="shared" si="9"/>
        <v>KROLL Ex Ante - ERP Conditional (8)</v>
      </c>
      <c r="B59" s="196">
        <f>+B33</f>
        <v>0.05</v>
      </c>
      <c r="C59" s="192">
        <f>+C29</f>
        <v>0.91</v>
      </c>
      <c r="D59" s="183">
        <f>+B59*C59*0.75</f>
        <v>3.4125000000000003E-2</v>
      </c>
      <c r="E59" s="196">
        <f>+B59*0.25</f>
        <v>1.2500000000000001E-2</v>
      </c>
      <c r="F59" s="183">
        <f>+'Growth &amp; Inflation Rates'!$G$25</f>
        <v>4.8599999999999997E-2</v>
      </c>
      <c r="G59" s="184">
        <f>+D59+E59+F59</f>
        <v>9.5225000000000004E-2</v>
      </c>
    </row>
    <row r="60" spans="1:10" ht="17.25">
      <c r="A60" s="182"/>
      <c r="B60" s="196"/>
      <c r="C60" s="192"/>
      <c r="D60" s="183"/>
      <c r="E60" s="196"/>
      <c r="F60" s="183"/>
      <c r="G60" s="184"/>
    </row>
    <row r="61" spans="1:10" ht="17.25">
      <c r="A61" s="359" t="s">
        <v>0</v>
      </c>
      <c r="B61" s="357" t="s">
        <v>0</v>
      </c>
      <c r="C61" s="192" t="s">
        <v>0</v>
      </c>
      <c r="D61" s="183" t="s">
        <v>0</v>
      </c>
      <c r="E61" s="196" t="s">
        <v>0</v>
      </c>
      <c r="F61" s="183" t="s">
        <v>0</v>
      </c>
      <c r="G61" s="184" t="s">
        <v>0</v>
      </c>
    </row>
    <row r="62" spans="1:10" ht="15.75" thickBot="1">
      <c r="A62" s="330"/>
      <c r="B62" s="148"/>
      <c r="C62" s="148"/>
      <c r="D62" s="148"/>
      <c r="E62" s="148"/>
      <c r="F62" s="148"/>
      <c r="G62" s="331"/>
    </row>
    <row r="64" spans="1:10" ht="17.25">
      <c r="A64" s="64" t="s">
        <v>106</v>
      </c>
      <c r="E64" s="195" t="s">
        <v>0</v>
      </c>
    </row>
    <row r="65" spans="1:7">
      <c r="A65" s="158" t="s">
        <v>0</v>
      </c>
      <c r="E65" s="195" t="s">
        <v>0</v>
      </c>
    </row>
    <row r="66" spans="1:7" ht="16.5">
      <c r="A66" s="447" t="s">
        <v>498</v>
      </c>
      <c r="B66" s="13"/>
      <c r="C66" s="13"/>
      <c r="D66" s="13"/>
      <c r="E66" s="13"/>
      <c r="F66" s="13"/>
      <c r="G66" s="13"/>
    </row>
    <row r="67" spans="1:7" ht="16.5">
      <c r="A67" s="447" t="s">
        <v>499</v>
      </c>
      <c r="B67" s="13"/>
      <c r="C67" s="13"/>
      <c r="D67" s="13"/>
      <c r="E67" s="13"/>
      <c r="F67" s="13"/>
      <c r="G67" s="13"/>
    </row>
    <row r="68" spans="1:7" ht="16.5">
      <c r="A68" s="45" t="s">
        <v>0</v>
      </c>
      <c r="B68" s="13"/>
      <c r="C68" s="13"/>
      <c r="D68" s="13"/>
      <c r="E68" s="13"/>
      <c r="F68" s="13"/>
      <c r="G68" s="13"/>
    </row>
    <row r="69" spans="1:7" ht="16.5">
      <c r="A69" s="45" t="s">
        <v>505</v>
      </c>
      <c r="B69" s="13"/>
      <c r="C69" s="13"/>
      <c r="D69" s="13"/>
      <c r="E69" s="13"/>
      <c r="F69" s="13"/>
      <c r="G69" s="13"/>
    </row>
    <row r="70" spans="1:7" ht="16.5">
      <c r="A70" s="146" t="s">
        <v>407</v>
      </c>
      <c r="C70" s="13"/>
      <c r="D70" s="13"/>
      <c r="E70" s="13"/>
      <c r="F70" s="13"/>
      <c r="G70" s="13"/>
    </row>
    <row r="71" spans="1:7" ht="16.5">
      <c r="A71" s="45" t="s">
        <v>0</v>
      </c>
      <c r="B71" s="13"/>
      <c r="C71" s="13"/>
      <c r="D71" s="13"/>
      <c r="E71" s="13"/>
      <c r="F71" s="13"/>
      <c r="G71" s="13"/>
    </row>
    <row r="72" spans="1:7" ht="16.5">
      <c r="A72" s="45" t="s">
        <v>506</v>
      </c>
      <c r="B72" s="13"/>
      <c r="C72" s="13"/>
      <c r="D72" s="13"/>
      <c r="E72" s="13"/>
      <c r="F72" s="13"/>
      <c r="G72" s="13"/>
    </row>
    <row r="73" spans="1:7" ht="16.5">
      <c r="A73" s="146" t="s">
        <v>408</v>
      </c>
      <c r="B73" s="13"/>
      <c r="C73" s="13"/>
      <c r="D73" s="13"/>
      <c r="E73" s="13"/>
      <c r="F73" s="13"/>
      <c r="G73" s="13"/>
    </row>
    <row r="74" spans="1:7" ht="16.5">
      <c r="A74" s="45"/>
      <c r="B74" s="13"/>
      <c r="C74" s="13"/>
      <c r="D74" s="13"/>
      <c r="E74" s="13"/>
      <c r="F74" s="13"/>
      <c r="G74" s="13"/>
    </row>
    <row r="75" spans="1:7" ht="16.5">
      <c r="A75" s="45" t="s">
        <v>507</v>
      </c>
      <c r="B75" s="13"/>
      <c r="C75" s="13"/>
      <c r="D75" s="13"/>
      <c r="E75" s="13"/>
      <c r="F75" s="13"/>
      <c r="G75" s="13"/>
    </row>
    <row r="76" spans="1:7" ht="16.5">
      <c r="A76" s="146" t="s">
        <v>508</v>
      </c>
      <c r="B76" s="146"/>
      <c r="C76" s="13"/>
      <c r="D76" s="13"/>
      <c r="E76" s="13"/>
      <c r="F76" s="13"/>
      <c r="G76" s="13"/>
    </row>
    <row r="77" spans="1:7" ht="16.5">
      <c r="A77" s="45"/>
      <c r="B77" s="13"/>
      <c r="C77" s="13"/>
      <c r="D77" s="13"/>
      <c r="E77" s="13"/>
      <c r="F77" s="13"/>
      <c r="G77" s="13"/>
    </row>
    <row r="78" spans="1:7" ht="16.5">
      <c r="A78" s="45" t="s">
        <v>509</v>
      </c>
      <c r="B78" s="13"/>
      <c r="C78" s="13"/>
      <c r="D78" s="13"/>
      <c r="E78" s="13"/>
      <c r="F78" s="13"/>
      <c r="G78" s="13"/>
    </row>
    <row r="79" spans="1:7" ht="16.5">
      <c r="A79" s="146" t="s">
        <v>409</v>
      </c>
      <c r="B79" s="13"/>
      <c r="C79" s="13"/>
      <c r="D79" s="13"/>
      <c r="E79" s="13"/>
      <c r="F79" s="13"/>
      <c r="G79" s="13"/>
    </row>
    <row r="80" spans="1:7">
      <c r="A80" s="158"/>
    </row>
    <row r="81" spans="1:7" ht="16.5">
      <c r="A81" s="45" t="s">
        <v>510</v>
      </c>
    </row>
    <row r="82" spans="1:7" ht="16.5">
      <c r="A82" s="45" t="s">
        <v>0</v>
      </c>
      <c r="B82" s="146"/>
    </row>
    <row r="83" spans="1:7" ht="16.5">
      <c r="A83" s="45" t="s">
        <v>0</v>
      </c>
    </row>
    <row r="84" spans="1:7">
      <c r="A84" s="146" t="s">
        <v>0</v>
      </c>
    </row>
    <row r="85" spans="1:7" ht="21" thickBot="1">
      <c r="A85" s="149"/>
      <c r="B85" s="149"/>
      <c r="C85" s="149"/>
      <c r="D85" s="30"/>
      <c r="E85" s="38"/>
      <c r="F85" s="30"/>
      <c r="G85" s="148"/>
    </row>
  </sheetData>
  <hyperlinks>
    <hyperlink ref="A84" r:id="rId1" display="https://simplywall.st/stocks/us/transportation" xr:uid="{B46970AC-9F77-424F-A792-C3D10784A850}"/>
    <hyperlink ref="A79" r:id="rId2" xr:uid="{45D6A8A1-5981-430F-A2D2-3818AA3D2CD5}"/>
    <hyperlink ref="A70" r:id="rId3" xr:uid="{5555DF15-DA3D-419E-B493-647D869518C0}"/>
    <hyperlink ref="A73" r:id="rId4" xr:uid="{E0FD12C2-6B38-4314-9A79-3ED36302C13D}"/>
  </hyperlinks>
  <pageMargins left="0.25" right="0.25" top="0.75" bottom="0.75" header="0.3" footer="0.3"/>
  <pageSetup scale="40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D4E0-B3FC-4586-BC67-68D962BDC454}">
  <sheetPr>
    <tabColor rgb="FF92D050"/>
  </sheetPr>
  <dimension ref="A1:R108"/>
  <sheetViews>
    <sheetView view="pageBreakPreview" zoomScale="50" zoomScaleNormal="80" zoomScaleSheetLayoutView="50" workbookViewId="0">
      <selection activeCell="J54" sqref="J54"/>
    </sheetView>
  </sheetViews>
  <sheetFormatPr defaultRowHeight="15"/>
  <cols>
    <col min="1" max="1" width="70.5703125" customWidth="1"/>
    <col min="2" max="2" width="23.5703125" customWidth="1"/>
    <col min="3" max="3" width="26.7109375" customWidth="1"/>
    <col min="4" max="4" width="27.85546875" customWidth="1"/>
    <col min="5" max="5" width="28.85546875" customWidth="1"/>
    <col min="6" max="6" width="29.140625" customWidth="1"/>
    <col min="7" max="7" width="31" customWidth="1"/>
    <col min="8" max="8" width="27.42578125" customWidth="1"/>
    <col min="9" max="9" width="15.42578125" customWidth="1"/>
    <col min="10" max="10" width="23.42578125" customWidth="1"/>
    <col min="11" max="11" width="18.28515625" customWidth="1"/>
    <col min="12" max="12" width="14.140625" bestFit="1" customWidth="1"/>
    <col min="14" max="14" width="1.7109375" bestFit="1" customWidth="1"/>
    <col min="16" max="16" width="18.140625" bestFit="1" customWidth="1"/>
    <col min="17" max="17" width="18.5703125" bestFit="1" customWidth="1"/>
    <col min="18" max="18" width="47.42578125" bestFit="1" customWidth="1"/>
  </cols>
  <sheetData>
    <row r="1" spans="1:11" ht="26.25">
      <c r="A1" s="25" t="s">
        <v>1</v>
      </c>
      <c r="C1" s="25"/>
      <c r="D1" s="25"/>
      <c r="E1" s="13"/>
      <c r="F1" s="13"/>
      <c r="G1" s="13"/>
      <c r="H1" s="13"/>
      <c r="I1" s="13"/>
      <c r="J1" s="13"/>
      <c r="K1" s="13"/>
    </row>
    <row r="2" spans="1:11" ht="17.25">
      <c r="A2" s="26" t="s">
        <v>9</v>
      </c>
      <c r="C2" s="26"/>
      <c r="D2" s="26"/>
      <c r="E2" s="13"/>
      <c r="F2" s="13"/>
      <c r="G2" s="13"/>
      <c r="H2" s="13"/>
      <c r="I2" s="13"/>
      <c r="J2" s="13"/>
      <c r="K2" s="13"/>
    </row>
    <row r="3" spans="1:11" ht="16.5">
      <c r="A3" s="27" t="s">
        <v>435</v>
      </c>
      <c r="C3" s="27"/>
      <c r="D3" s="27"/>
      <c r="E3" s="13"/>
      <c r="F3" s="13"/>
      <c r="G3" s="13"/>
      <c r="H3" s="13"/>
      <c r="I3" s="13"/>
      <c r="J3" s="13"/>
      <c r="K3" s="13"/>
    </row>
    <row r="4" spans="1:11" ht="16.5">
      <c r="B4" s="27"/>
      <c r="C4" s="27"/>
      <c r="D4" s="27"/>
      <c r="E4" s="13"/>
      <c r="F4" s="13"/>
      <c r="G4" s="13"/>
      <c r="H4" s="13"/>
      <c r="I4" s="13"/>
      <c r="J4" s="13"/>
      <c r="K4" s="13"/>
    </row>
    <row r="5" spans="1:11" ht="16.5">
      <c r="B5" s="13"/>
      <c r="C5" s="13"/>
      <c r="D5" s="13"/>
      <c r="E5" s="13"/>
      <c r="F5" s="13"/>
      <c r="G5" s="13"/>
      <c r="H5" s="13"/>
      <c r="I5" s="28" t="s">
        <v>0</v>
      </c>
      <c r="J5" s="28"/>
      <c r="K5" s="13"/>
    </row>
    <row r="6" spans="1:11" ht="17.25" thickBot="1">
      <c r="B6" s="13"/>
      <c r="C6" s="13"/>
      <c r="D6" s="30"/>
      <c r="E6" s="30"/>
      <c r="F6" s="148"/>
      <c r="H6" s="13"/>
      <c r="I6" s="13"/>
      <c r="J6" s="13"/>
    </row>
    <row r="7" spans="1:11" ht="27" thickBot="1">
      <c r="A7" s="29" t="s">
        <v>406</v>
      </c>
      <c r="C7" s="32"/>
      <c r="D7" s="32"/>
      <c r="E7" s="33" t="s">
        <v>273</v>
      </c>
      <c r="H7" s="13"/>
      <c r="I7" s="13"/>
      <c r="J7" s="13"/>
    </row>
    <row r="8" spans="1:11" ht="21" thickBot="1">
      <c r="B8" s="32"/>
      <c r="C8" s="32"/>
      <c r="D8" s="149"/>
      <c r="E8" s="38" t="s">
        <v>436</v>
      </c>
      <c r="F8" s="148"/>
      <c r="H8" s="13"/>
      <c r="I8" s="13"/>
    </row>
    <row r="9" spans="1:11" ht="20.25">
      <c r="B9" s="32"/>
      <c r="C9" s="32"/>
      <c r="D9" s="32"/>
      <c r="E9" s="36"/>
      <c r="H9" s="13"/>
      <c r="I9" s="13"/>
    </row>
    <row r="10" spans="1:11" ht="29.1" customHeight="1" thickBot="1">
      <c r="A10" s="149"/>
      <c r="B10" s="32"/>
      <c r="I10" s="13"/>
    </row>
    <row r="11" spans="1:11" ht="22.5" customHeight="1" thickBot="1">
      <c r="A11" s="162" t="s">
        <v>272</v>
      </c>
      <c r="B11" s="32"/>
      <c r="I11" s="13"/>
    </row>
    <row r="12" spans="1:11" ht="20.100000000000001" customHeight="1" thickBot="1">
      <c r="A12" s="161" t="s">
        <v>0</v>
      </c>
      <c r="B12" s="13"/>
      <c r="C12" s="13"/>
      <c r="D12" s="13"/>
      <c r="E12" s="13"/>
      <c r="F12" s="13"/>
      <c r="G12" s="13"/>
      <c r="H12" s="13"/>
      <c r="I12" s="13"/>
    </row>
    <row r="13" spans="1:11" ht="60.6" customHeight="1" thickBot="1">
      <c r="A13" s="207" t="s">
        <v>0</v>
      </c>
      <c r="B13" s="155" t="s">
        <v>324</v>
      </c>
      <c r="C13" s="155" t="s">
        <v>323</v>
      </c>
      <c r="D13" s="154" t="s">
        <v>252</v>
      </c>
      <c r="E13" s="155" t="s">
        <v>253</v>
      </c>
      <c r="F13" s="155" t="s">
        <v>293</v>
      </c>
      <c r="G13" s="155" t="s">
        <v>440</v>
      </c>
      <c r="H13" s="155" t="s">
        <v>254</v>
      </c>
    </row>
    <row r="14" spans="1:11" ht="16.5">
      <c r="A14" s="150"/>
      <c r="B14" s="201"/>
      <c r="C14" s="201"/>
      <c r="D14" s="117"/>
      <c r="E14" s="201"/>
      <c r="F14" s="201"/>
      <c r="G14" s="201"/>
      <c r="H14" s="201"/>
    </row>
    <row r="15" spans="1:11" ht="20.25">
      <c r="A15" s="159" t="str">
        <f>+A7</f>
        <v>Electric Utilities</v>
      </c>
      <c r="B15" s="219">
        <v>0</v>
      </c>
      <c r="C15" s="219">
        <v>0</v>
      </c>
      <c r="D15" s="298">
        <v>0</v>
      </c>
      <c r="E15" s="219">
        <v>0</v>
      </c>
      <c r="F15" s="219">
        <f>+'Dividends '!K35</f>
        <v>3.5129529192939962E-2</v>
      </c>
      <c r="G15" s="219">
        <f>+Earnings!K35</f>
        <v>6.5814808600820535E-2</v>
      </c>
      <c r="H15" s="219">
        <v>0</v>
      </c>
    </row>
    <row r="16" spans="1:11" ht="21" thickBot="1">
      <c r="A16" s="152" t="s">
        <v>0</v>
      </c>
      <c r="B16" s="202" t="s">
        <v>0</v>
      </c>
      <c r="C16" s="202"/>
      <c r="D16" s="160"/>
      <c r="E16" s="202"/>
      <c r="F16" s="244">
        <f>+'Dividends '!K36</f>
        <v>3.6570336428641277E-2</v>
      </c>
      <c r="G16" s="244">
        <f>+Earnings!K36</f>
        <v>5.5284363871984703E-2</v>
      </c>
      <c r="H16" s="202"/>
    </row>
    <row r="17" spans="1:18" ht="57.95" customHeight="1" thickBot="1">
      <c r="A17" s="13"/>
      <c r="B17" s="13"/>
      <c r="C17" s="13"/>
      <c r="D17" s="13"/>
      <c r="E17" s="13"/>
      <c r="F17" s="13"/>
      <c r="G17" s="13"/>
      <c r="H17" s="13"/>
      <c r="I17" s="13"/>
    </row>
    <row r="18" spans="1:18" ht="24.95" customHeight="1" thickBot="1">
      <c r="A18" s="162" t="s">
        <v>481</v>
      </c>
      <c r="B18" s="13"/>
      <c r="C18" s="13"/>
      <c r="D18" s="405"/>
      <c r="E18" s="13"/>
      <c r="F18" s="13"/>
      <c r="G18" s="13"/>
      <c r="H18" s="13"/>
      <c r="I18" s="13"/>
    </row>
    <row r="19" spans="1:18" ht="20.100000000000001" customHeight="1">
      <c r="A19" s="13"/>
      <c r="B19" s="13"/>
      <c r="C19" s="13"/>
      <c r="D19" s="422" t="s">
        <v>481</v>
      </c>
      <c r="E19" s="13"/>
      <c r="F19" s="13"/>
      <c r="G19" s="13"/>
      <c r="H19" s="13"/>
      <c r="I19" s="13"/>
    </row>
    <row r="20" spans="1:18" ht="27.95" customHeight="1">
      <c r="A20" s="423"/>
      <c r="B20" s="399"/>
      <c r="C20" s="424" t="s">
        <v>482</v>
      </c>
      <c r="D20" s="425"/>
      <c r="E20" s="13"/>
      <c r="F20" s="13"/>
      <c r="G20" s="13"/>
      <c r="H20" s="13"/>
      <c r="I20" s="13"/>
    </row>
    <row r="21" spans="1:18" ht="27.95" customHeight="1">
      <c r="A21" s="356"/>
      <c r="C21" s="426" t="s">
        <v>483</v>
      </c>
      <c r="D21" s="427">
        <v>4.5699999999999998E-2</v>
      </c>
      <c r="E21" s="13"/>
      <c r="F21" s="13"/>
      <c r="G21" s="13"/>
      <c r="H21" s="13"/>
      <c r="I21" s="13"/>
    </row>
    <row r="22" spans="1:18" ht="27.95" customHeight="1">
      <c r="A22" s="356"/>
      <c r="C22" s="426" t="s">
        <v>484</v>
      </c>
      <c r="D22" s="427">
        <v>4.6600000000000003E-2</v>
      </c>
      <c r="E22" s="13"/>
      <c r="F22" s="13"/>
      <c r="G22" s="13"/>
      <c r="H22" s="13"/>
      <c r="I22" s="13"/>
    </row>
    <row r="23" spans="1:18" ht="27" customHeight="1">
      <c r="A23" s="356"/>
      <c r="C23" s="426" t="s">
        <v>485</v>
      </c>
      <c r="D23" s="427">
        <v>4.8599999999999997E-2</v>
      </c>
      <c r="E23" s="13"/>
      <c r="F23" s="13"/>
      <c r="G23" s="13"/>
      <c r="H23" s="13"/>
      <c r="I23" s="13"/>
    </row>
    <row r="24" spans="1:18" ht="27" customHeight="1" thickBot="1">
      <c r="A24" s="356"/>
      <c r="C24" s="426" t="s">
        <v>486</v>
      </c>
      <c r="D24" s="427">
        <v>4.7899999999999998E-2</v>
      </c>
      <c r="E24" s="13"/>
      <c r="F24" s="13"/>
      <c r="G24" s="428" t="s">
        <v>487</v>
      </c>
      <c r="I24" s="13"/>
    </row>
    <row r="25" spans="1:18" ht="27" customHeight="1" thickBot="1">
      <c r="A25" s="356"/>
      <c r="B25" s="13"/>
      <c r="C25" s="429" t="s">
        <v>488</v>
      </c>
      <c r="D25" s="430"/>
      <c r="E25" s="13"/>
      <c r="F25" s="13"/>
      <c r="G25" s="431">
        <v>4.8599999999999997E-2</v>
      </c>
      <c r="H25" s="13"/>
      <c r="I25" s="13"/>
    </row>
    <row r="26" spans="1:18" ht="27" customHeight="1">
      <c r="A26" s="356"/>
      <c r="C26" s="426" t="s">
        <v>483</v>
      </c>
      <c r="D26" s="427">
        <v>4.5499999999999999E-2</v>
      </c>
      <c r="E26" s="13"/>
      <c r="F26" s="13"/>
      <c r="G26" s="13"/>
      <c r="H26" s="13"/>
      <c r="I26" s="13"/>
    </row>
    <row r="27" spans="1:18" ht="27" customHeight="1">
      <c r="A27" s="356"/>
      <c r="C27" s="426" t="s">
        <v>489</v>
      </c>
      <c r="D27" s="427">
        <v>0</v>
      </c>
      <c r="E27" s="13"/>
      <c r="F27" s="13"/>
      <c r="G27" s="13"/>
      <c r="H27" s="13"/>
      <c r="I27" s="13"/>
    </row>
    <row r="28" spans="1:18" ht="27" customHeight="1">
      <c r="A28" s="356"/>
      <c r="C28" s="426" t="s">
        <v>490</v>
      </c>
      <c r="D28" s="427">
        <v>4.7699999999999999E-2</v>
      </c>
      <c r="E28" s="13"/>
      <c r="F28" s="13"/>
      <c r="G28" s="13"/>
      <c r="H28" s="13"/>
      <c r="I28" s="13"/>
    </row>
    <row r="29" spans="1:18" ht="27" customHeight="1">
      <c r="A29" s="356"/>
      <c r="C29" s="432" t="s">
        <v>491</v>
      </c>
      <c r="D29" s="433">
        <v>4.58E-2</v>
      </c>
      <c r="E29" s="13"/>
      <c r="F29" s="13"/>
      <c r="G29" s="13"/>
      <c r="H29" s="13"/>
      <c r="I29" s="13"/>
    </row>
    <row r="30" spans="1:18" ht="20.25">
      <c r="A30" s="434"/>
      <c r="B30" s="227"/>
      <c r="C30" s="435" t="s">
        <v>492</v>
      </c>
      <c r="D30" s="436">
        <v>4.8599999999999997E-2</v>
      </c>
      <c r="L30" s="13"/>
    </row>
    <row r="31" spans="1:18" ht="63.6" customHeight="1" thickBot="1">
      <c r="B31" s="13"/>
      <c r="C31" s="13"/>
      <c r="D31" s="30"/>
      <c r="E31" s="30"/>
      <c r="F31" s="30"/>
      <c r="G31" s="13"/>
      <c r="H31" s="13"/>
      <c r="I31" s="13"/>
      <c r="L31" s="13"/>
    </row>
    <row r="32" spans="1:18" ht="26.25">
      <c r="B32" s="32"/>
      <c r="C32" s="32"/>
      <c r="D32" s="13"/>
      <c r="E32" s="33" t="s">
        <v>237</v>
      </c>
      <c r="F32" s="13"/>
      <c r="G32" s="13"/>
      <c r="H32" s="13"/>
      <c r="I32" s="13"/>
      <c r="J32" s="437" t="s">
        <v>0</v>
      </c>
      <c r="K32" s="88"/>
      <c r="L32" s="88"/>
      <c r="M32" s="88"/>
      <c r="N32" s="88"/>
      <c r="O32" s="13"/>
      <c r="P32" s="13"/>
      <c r="Q32" s="13"/>
      <c r="R32" s="13"/>
    </row>
    <row r="33" spans="1:18" ht="21" thickBot="1">
      <c r="A33" s="148"/>
      <c r="B33" s="32"/>
      <c r="C33" s="32"/>
      <c r="D33" s="30"/>
      <c r="E33" s="38" t="s">
        <v>436</v>
      </c>
      <c r="F33" s="30"/>
      <c r="G33" s="13"/>
      <c r="H33" s="13"/>
      <c r="I33" s="13"/>
      <c r="J33" s="438"/>
      <c r="K33" s="439"/>
      <c r="L33" s="439"/>
      <c r="M33" s="88"/>
      <c r="N33" s="88"/>
      <c r="O33" s="13"/>
      <c r="P33" s="13"/>
      <c r="Q33" s="13"/>
      <c r="R33" s="13"/>
    </row>
    <row r="34" spans="1:18" ht="21" thickBot="1">
      <c r="A34" s="147" t="s">
        <v>441</v>
      </c>
      <c r="B34" s="32"/>
      <c r="C34" s="32"/>
      <c r="D34" s="36"/>
      <c r="E34" s="145"/>
      <c r="F34" s="13"/>
      <c r="G34" s="13"/>
      <c r="H34" s="13"/>
      <c r="I34" s="13"/>
      <c r="J34" s="438"/>
      <c r="K34" s="438"/>
      <c r="L34" s="438"/>
      <c r="M34" s="439"/>
      <c r="N34" s="440" t="s">
        <v>0</v>
      </c>
      <c r="O34" s="13"/>
      <c r="P34" s="13"/>
      <c r="Q34" s="13"/>
      <c r="R34" s="13"/>
    </row>
    <row r="35" spans="1:18" ht="18.75">
      <c r="A35" s="42" t="s">
        <v>0</v>
      </c>
      <c r="B35" s="42"/>
      <c r="C35" s="42"/>
      <c r="D35" s="42" t="s">
        <v>0</v>
      </c>
      <c r="E35" s="42" t="s">
        <v>0</v>
      </c>
      <c r="F35" s="42" t="s">
        <v>0</v>
      </c>
      <c r="G35" s="42"/>
      <c r="H35" s="13"/>
      <c r="I35" s="13"/>
      <c r="J35" s="438"/>
      <c r="K35" s="441"/>
      <c r="L35" s="438"/>
      <c r="M35" s="439"/>
      <c r="N35" s="88"/>
      <c r="O35" s="13"/>
      <c r="P35" s="13"/>
      <c r="Q35" s="13"/>
      <c r="R35" s="13"/>
    </row>
    <row r="36" spans="1:18" ht="20.25">
      <c r="A36" s="36" t="s">
        <v>0</v>
      </c>
      <c r="B36" s="36"/>
      <c r="C36" s="36"/>
      <c r="D36" s="382" t="s">
        <v>112</v>
      </c>
      <c r="E36" s="382" t="s">
        <v>274</v>
      </c>
      <c r="F36" s="382" t="s">
        <v>156</v>
      </c>
      <c r="G36" s="241"/>
      <c r="H36" s="13"/>
      <c r="I36" s="13"/>
      <c r="J36" s="438"/>
      <c r="K36" s="438"/>
      <c r="L36" s="438"/>
      <c r="M36" s="439"/>
      <c r="N36" s="88"/>
      <c r="O36" s="13"/>
      <c r="P36" s="13"/>
      <c r="Q36" s="13"/>
      <c r="R36" s="13"/>
    </row>
    <row r="37" spans="1:18" ht="20.25">
      <c r="A37" s="459" t="s">
        <v>154</v>
      </c>
      <c r="B37" s="460"/>
      <c r="C37" s="461"/>
      <c r="D37" s="383" t="s">
        <v>114</v>
      </c>
      <c r="E37" s="383" t="s">
        <v>155</v>
      </c>
      <c r="F37" s="383" t="s">
        <v>157</v>
      </c>
      <c r="G37" s="241"/>
      <c r="H37" s="13"/>
      <c r="I37" s="13"/>
      <c r="J37" s="439"/>
      <c r="K37" s="439"/>
      <c r="L37" s="442"/>
      <c r="M37" s="439"/>
      <c r="N37" s="88"/>
      <c r="O37" s="13"/>
      <c r="P37" s="13"/>
      <c r="Q37" s="13"/>
      <c r="R37" s="13"/>
    </row>
    <row r="38" spans="1:18" ht="18.75">
      <c r="H38" s="381"/>
      <c r="J38" s="439"/>
      <c r="K38" s="439"/>
      <c r="L38" s="88"/>
      <c r="M38" s="88"/>
      <c r="N38" s="88"/>
      <c r="O38" s="13"/>
      <c r="P38" s="13"/>
      <c r="Q38" s="13"/>
      <c r="R38" s="13"/>
    </row>
    <row r="39" spans="1:18" ht="20.25">
      <c r="A39" s="384" t="s">
        <v>275</v>
      </c>
      <c r="B39" s="163"/>
      <c r="C39" s="197"/>
      <c r="D39" s="385">
        <v>2.3300000000000001E-2</v>
      </c>
      <c r="E39" s="386" t="s">
        <v>442</v>
      </c>
      <c r="F39" s="386" t="s">
        <v>442</v>
      </c>
      <c r="H39" s="381" t="s">
        <v>0</v>
      </c>
      <c r="J39" s="443"/>
      <c r="K39" s="439"/>
      <c r="L39" s="439"/>
      <c r="M39" s="88"/>
      <c r="N39" s="88"/>
      <c r="O39" s="13"/>
      <c r="P39" s="13"/>
      <c r="Q39" s="13"/>
      <c r="R39" s="13"/>
    </row>
    <row r="40" spans="1:18" ht="20.25">
      <c r="A40" s="387" t="s">
        <v>276</v>
      </c>
      <c r="B40" s="64"/>
      <c r="C40" s="198"/>
      <c r="D40" s="388">
        <v>2.46E-2</v>
      </c>
      <c r="E40" s="389" t="s">
        <v>442</v>
      </c>
      <c r="F40" s="389" t="s">
        <v>442</v>
      </c>
      <c r="H40" s="32" t="s">
        <v>0</v>
      </c>
      <c r="I40" s="13"/>
      <c r="J40" s="443"/>
      <c r="K40" s="439"/>
      <c r="L40" s="439"/>
      <c r="M40" s="88"/>
      <c r="N40" s="88"/>
      <c r="O40" s="13"/>
      <c r="P40" s="13"/>
      <c r="Q40" s="13"/>
      <c r="R40" s="13"/>
    </row>
    <row r="41" spans="1:18" ht="20.25">
      <c r="A41" s="390" t="s">
        <v>277</v>
      </c>
      <c r="B41" s="165"/>
      <c r="C41" s="199"/>
      <c r="D41" s="391">
        <v>2.3099999999999999E-2</v>
      </c>
      <c r="E41" s="392" t="s">
        <v>442</v>
      </c>
      <c r="F41" s="392" t="s">
        <v>442</v>
      </c>
      <c r="H41" s="127" t="s">
        <v>0</v>
      </c>
      <c r="I41" s="13"/>
      <c r="J41" s="443"/>
      <c r="K41" s="439"/>
      <c r="L41" s="439"/>
      <c r="M41" s="88"/>
      <c r="N41" s="88"/>
      <c r="O41" s="13"/>
      <c r="P41" s="13"/>
      <c r="Q41" s="13"/>
      <c r="R41" s="13"/>
    </row>
    <row r="42" spans="1:18" ht="20.25">
      <c r="A42" s="387" t="s">
        <v>278</v>
      </c>
      <c r="B42" s="64"/>
      <c r="C42" s="198"/>
      <c r="D42" s="393">
        <v>2.29E-2</v>
      </c>
      <c r="E42" s="393">
        <v>2.1100000000000001E-2</v>
      </c>
      <c r="F42" s="388">
        <f t="shared" ref="F42:F50" si="0">+D42+E42</f>
        <v>4.3999999999999997E-2</v>
      </c>
      <c r="H42" s="13" t="s">
        <v>0</v>
      </c>
      <c r="I42" s="13"/>
      <c r="J42" s="443"/>
      <c r="K42" s="439"/>
      <c r="L42" s="439"/>
      <c r="M42" s="88"/>
      <c r="N42" s="88"/>
      <c r="O42" s="13"/>
      <c r="P42" s="13"/>
      <c r="Q42" s="13"/>
      <c r="R42" s="13"/>
    </row>
    <row r="43" spans="1:18" ht="20.25">
      <c r="A43" s="387" t="s">
        <v>443</v>
      </c>
      <c r="B43" s="64"/>
      <c r="C43" s="198"/>
      <c r="D43" s="393">
        <v>2.2800000000000001E-2</v>
      </c>
      <c r="E43" s="393">
        <v>2.0500000000000001E-2</v>
      </c>
      <c r="F43" s="388">
        <f t="shared" si="0"/>
        <v>4.3300000000000005E-2</v>
      </c>
      <c r="H43" s="13"/>
      <c r="I43" s="13"/>
      <c r="J43" s="443"/>
      <c r="K43" s="439"/>
      <c r="L43" s="88"/>
      <c r="M43" s="88"/>
      <c r="N43" s="88"/>
      <c r="O43" s="13"/>
      <c r="P43" s="13"/>
      <c r="Q43" s="13"/>
      <c r="R43" s="13"/>
    </row>
    <row r="44" spans="1:18" ht="20.25">
      <c r="A44" s="390" t="s">
        <v>444</v>
      </c>
      <c r="B44" s="165"/>
      <c r="C44" s="199"/>
      <c r="D44" s="394">
        <v>2.3800000000000002E-2</v>
      </c>
      <c r="E44" s="394">
        <v>2.1000000000000001E-2</v>
      </c>
      <c r="F44" s="391">
        <f t="shared" si="0"/>
        <v>4.4800000000000006E-2</v>
      </c>
      <c r="H44" s="13"/>
      <c r="I44" s="13"/>
      <c r="J44" s="443"/>
      <c r="K44" s="439"/>
      <c r="L44" s="88"/>
      <c r="M44" s="88"/>
      <c r="N44" s="88"/>
      <c r="O44" s="13"/>
      <c r="P44" s="13"/>
      <c r="Q44" s="13"/>
      <c r="R44" s="13"/>
    </row>
    <row r="45" spans="1:18" ht="20.25">
      <c r="A45" s="387" t="s">
        <v>445</v>
      </c>
      <c r="B45" s="64"/>
      <c r="C45" s="198"/>
      <c r="D45" s="388">
        <v>2.3E-2</v>
      </c>
      <c r="E45" s="393">
        <v>1.7999999999999999E-2</v>
      </c>
      <c r="F45" s="388">
        <f t="shared" si="0"/>
        <v>4.0999999999999995E-2</v>
      </c>
      <c r="H45" s="125" t="s">
        <v>0</v>
      </c>
      <c r="I45" s="13"/>
      <c r="J45" s="443"/>
      <c r="K45" s="439"/>
      <c r="L45" s="88"/>
      <c r="M45" s="88"/>
      <c r="N45" s="88"/>
      <c r="O45" s="13"/>
      <c r="P45" s="13"/>
      <c r="Q45" s="13"/>
      <c r="R45" s="13"/>
    </row>
    <row r="46" spans="1:18" ht="20.25">
      <c r="A46" s="387" t="s">
        <v>446</v>
      </c>
      <c r="B46" s="64"/>
      <c r="C46" s="198"/>
      <c r="D46" s="388">
        <v>2.3E-2</v>
      </c>
      <c r="E46" s="393">
        <v>2.1999999999999999E-2</v>
      </c>
      <c r="F46" s="388">
        <f t="shared" si="0"/>
        <v>4.4999999999999998E-2</v>
      </c>
      <c r="H46" s="125" t="s">
        <v>0</v>
      </c>
      <c r="I46" s="13"/>
      <c r="J46" s="443"/>
      <c r="K46" s="439"/>
      <c r="L46" s="88"/>
      <c r="M46" s="88"/>
      <c r="N46" s="88"/>
      <c r="O46" s="13"/>
      <c r="P46" s="13"/>
      <c r="Q46" s="13"/>
      <c r="R46" s="13"/>
    </row>
    <row r="47" spans="1:18" ht="20.25">
      <c r="A47" s="390" t="s">
        <v>447</v>
      </c>
      <c r="B47" s="165"/>
      <c r="C47" s="199"/>
      <c r="D47" s="391">
        <v>2.3E-2</v>
      </c>
      <c r="E47" s="394">
        <v>1.9E-2</v>
      </c>
      <c r="F47" s="391">
        <f t="shared" si="0"/>
        <v>4.1999999999999996E-2</v>
      </c>
      <c r="H47" s="13"/>
      <c r="I47" s="13"/>
      <c r="J47" s="443"/>
      <c r="K47" s="439"/>
      <c r="L47" s="88"/>
      <c r="M47" s="88"/>
      <c r="N47" s="88"/>
      <c r="O47" s="13"/>
      <c r="P47" s="13"/>
      <c r="Q47" s="13"/>
      <c r="R47" s="13"/>
    </row>
    <row r="48" spans="1:18" ht="20.25">
      <c r="A48" s="387" t="s">
        <v>448</v>
      </c>
      <c r="B48" s="64"/>
      <c r="C48" s="198"/>
      <c r="D48" s="388">
        <v>2.3E-2</v>
      </c>
      <c r="E48" s="393">
        <v>2.1000000000000001E-2</v>
      </c>
      <c r="F48" s="388">
        <f t="shared" si="0"/>
        <v>4.3999999999999997E-2</v>
      </c>
      <c r="H48" s="13"/>
      <c r="I48" s="13"/>
      <c r="J48" s="443"/>
      <c r="K48" s="439"/>
      <c r="L48" s="88"/>
      <c r="M48" s="88"/>
      <c r="N48" s="88"/>
      <c r="O48" s="13"/>
      <c r="P48" s="13"/>
      <c r="Q48" s="13"/>
      <c r="R48" s="13"/>
    </row>
    <row r="49" spans="1:18" ht="20.25">
      <c r="A49" s="387" t="s">
        <v>449</v>
      </c>
      <c r="B49" s="64"/>
      <c r="C49" s="198"/>
      <c r="D49" s="389" t="s">
        <v>442</v>
      </c>
      <c r="E49" s="393">
        <v>2.3E-2</v>
      </c>
      <c r="F49" s="389" t="s">
        <v>442</v>
      </c>
      <c r="H49" s="13"/>
      <c r="I49" s="13"/>
      <c r="J49" s="443"/>
      <c r="K49" s="439"/>
      <c r="L49" s="88"/>
      <c r="M49" s="88"/>
      <c r="N49" s="88"/>
      <c r="O49" s="13"/>
      <c r="P49" s="13"/>
      <c r="Q49" s="13"/>
      <c r="R49" s="13"/>
    </row>
    <row r="50" spans="1:18" ht="20.25">
      <c r="A50" s="390" t="s">
        <v>450</v>
      </c>
      <c r="B50" s="165"/>
      <c r="C50" s="199"/>
      <c r="D50" s="391">
        <v>0.02</v>
      </c>
      <c r="E50" s="391">
        <v>1.7999999999999999E-2</v>
      </c>
      <c r="F50" s="391">
        <f t="shared" si="0"/>
        <v>3.7999999999999999E-2</v>
      </c>
      <c r="H50" s="13"/>
      <c r="I50" s="13"/>
      <c r="J50" s="443"/>
      <c r="K50" s="444" t="s">
        <v>0</v>
      </c>
      <c r="L50" s="88"/>
      <c r="M50" s="88"/>
      <c r="N50" s="88"/>
      <c r="O50" s="13"/>
      <c r="P50" s="13"/>
      <c r="Q50" s="13"/>
      <c r="R50" s="13"/>
    </row>
    <row r="51" spans="1:18" ht="20.25">
      <c r="A51" s="112"/>
      <c r="B51" s="120"/>
      <c r="C51" s="120" t="s">
        <v>65</v>
      </c>
      <c r="D51" s="395">
        <f>MAX(D39:D50)</f>
        <v>2.46E-2</v>
      </c>
      <c r="E51" s="395">
        <f>MAX(E39:E50)</f>
        <v>2.3E-2</v>
      </c>
      <c r="F51" s="395">
        <f>MAX(F39:F50)</f>
        <v>4.4999999999999998E-2</v>
      </c>
      <c r="G51" s="242"/>
      <c r="H51" s="13"/>
      <c r="I51" s="13"/>
      <c r="L51" s="13"/>
      <c r="M51" s="13"/>
      <c r="N51" s="13"/>
      <c r="Q51" s="13"/>
      <c r="R51" s="13"/>
    </row>
    <row r="52" spans="1:18" ht="18.75" customHeight="1">
      <c r="A52" s="112"/>
      <c r="B52" s="120"/>
      <c r="C52" s="120" t="s">
        <v>66</v>
      </c>
      <c r="D52" s="395">
        <f>MIN(D39:D50)</f>
        <v>0.02</v>
      </c>
      <c r="E52" s="395">
        <f>MIN(E39:E50)</f>
        <v>1.7999999999999999E-2</v>
      </c>
      <c r="F52" s="396">
        <f>MIN(F39:F50)</f>
        <v>3.7999999999999999E-2</v>
      </c>
      <c r="G52" s="243"/>
      <c r="H52" s="13"/>
      <c r="I52" s="13"/>
      <c r="L52" s="13"/>
      <c r="M52" s="13"/>
      <c r="N52" s="13"/>
      <c r="O52" s="13"/>
      <c r="R52" s="13"/>
    </row>
    <row r="53" spans="1:18" ht="20.25">
      <c r="A53" s="112"/>
      <c r="B53" s="120"/>
      <c r="C53" s="120" t="s">
        <v>18</v>
      </c>
      <c r="D53" s="397">
        <f>MEDIAN(D39:D50)</f>
        <v>2.3E-2</v>
      </c>
      <c r="E53" s="397">
        <f>MEDIAN(E39:E50)</f>
        <v>2.1000000000000001E-2</v>
      </c>
      <c r="F53" s="388">
        <f t="shared" ref="F53:F54" si="1">+D53+E53</f>
        <v>4.3999999999999997E-2</v>
      </c>
      <c r="G53" s="243"/>
      <c r="H53" s="13"/>
      <c r="I53" s="13"/>
      <c r="L53" s="13"/>
      <c r="M53" s="13"/>
      <c r="N53" s="13"/>
      <c r="O53" s="13"/>
      <c r="R53" s="13"/>
    </row>
    <row r="54" spans="1:18" ht="20.25">
      <c r="A54" s="112"/>
      <c r="B54" s="120"/>
      <c r="C54" s="120" t="s">
        <v>19</v>
      </c>
      <c r="D54" s="394">
        <f>AVERAGE(D39:D50)</f>
        <v>2.2954545454545453E-2</v>
      </c>
      <c r="E54" s="394">
        <f>AVERAGE(E39:E50)</f>
        <v>2.0399999999999998E-2</v>
      </c>
      <c r="F54" s="391">
        <f t="shared" si="1"/>
        <v>4.3354545454545451E-2</v>
      </c>
      <c r="G54" s="242"/>
      <c r="H54" s="13"/>
      <c r="I54" s="13"/>
      <c r="L54" s="13"/>
      <c r="M54" s="13"/>
      <c r="N54" s="13"/>
      <c r="O54" s="13"/>
      <c r="R54" s="13"/>
    </row>
    <row r="55" spans="1:18" ht="18.75">
      <c r="A55" s="13"/>
      <c r="B55" s="15"/>
      <c r="D55" s="211"/>
      <c r="E55" s="211"/>
      <c r="F55" s="211"/>
      <c r="G55" s="242"/>
      <c r="H55" s="13"/>
      <c r="I55" s="13"/>
      <c r="L55" s="13"/>
      <c r="M55" s="13"/>
      <c r="N55" s="13"/>
      <c r="O55" s="13"/>
    </row>
    <row r="56" spans="1:18" ht="16.5" customHeight="1" thickBot="1">
      <c r="A56" s="13"/>
      <c r="B56" s="15"/>
      <c r="D56" s="211"/>
      <c r="E56" s="211"/>
      <c r="F56" s="211"/>
      <c r="L56" s="13"/>
      <c r="M56" s="13"/>
      <c r="N56" s="13"/>
      <c r="O56" s="13"/>
    </row>
    <row r="57" spans="1:18" ht="27" thickBot="1">
      <c r="A57" s="13"/>
      <c r="B57" s="127"/>
      <c r="C57" s="50" t="s">
        <v>238</v>
      </c>
      <c r="D57" s="431">
        <v>2.3E-2</v>
      </c>
      <c r="E57" s="431">
        <v>2.0400000000000001E-2</v>
      </c>
      <c r="F57" s="445">
        <v>4.3400000000000001E-2</v>
      </c>
      <c r="L57" s="13"/>
      <c r="M57" s="13"/>
      <c r="N57" s="13"/>
      <c r="O57" s="13"/>
    </row>
    <row r="58" spans="1:18" ht="16.5" customHeight="1">
      <c r="L58" s="13"/>
      <c r="N58" s="13"/>
    </row>
    <row r="59" spans="1:18" ht="16.5">
      <c r="A59" s="13"/>
      <c r="B59" s="13"/>
      <c r="C59" s="13"/>
      <c r="D59" s="13"/>
      <c r="E59" s="13"/>
      <c r="F59" s="13"/>
      <c r="G59" s="13"/>
      <c r="I59" s="13"/>
      <c r="L59" s="13"/>
      <c r="N59" s="13"/>
    </row>
    <row r="60" spans="1:18" ht="19.5" customHeight="1">
      <c r="A60" s="398" t="s">
        <v>451</v>
      </c>
      <c r="B60" s="399"/>
      <c r="C60" s="400"/>
      <c r="D60" s="13"/>
      <c r="E60" s="13"/>
      <c r="F60" s="13"/>
      <c r="I60" s="13"/>
      <c r="L60" s="13"/>
      <c r="M60" s="13"/>
      <c r="N60" s="13"/>
    </row>
    <row r="61" spans="1:18" ht="19.5" customHeight="1">
      <c r="A61" s="398" t="s">
        <v>452</v>
      </c>
      <c r="B61" s="399"/>
      <c r="C61" s="399"/>
      <c r="D61" s="399"/>
      <c r="E61" s="399"/>
      <c r="F61" s="399"/>
      <c r="G61" s="401"/>
      <c r="I61" s="13"/>
      <c r="L61" s="13"/>
      <c r="M61" s="13"/>
      <c r="N61" s="13"/>
    </row>
    <row r="62" spans="1:18" ht="19.5" customHeight="1">
      <c r="A62" s="402" t="s">
        <v>453</v>
      </c>
      <c r="B62" s="13"/>
      <c r="C62" s="13"/>
      <c r="D62" s="13"/>
      <c r="E62" s="13"/>
      <c r="F62" s="13"/>
      <c r="G62" s="403"/>
      <c r="I62" s="13"/>
      <c r="L62" s="13"/>
      <c r="M62" s="13"/>
      <c r="N62" s="13"/>
      <c r="O62" s="446"/>
    </row>
    <row r="63" spans="1:18" ht="19.5" customHeight="1">
      <c r="A63" s="402" t="s">
        <v>454</v>
      </c>
      <c r="B63" s="13"/>
      <c r="C63" s="13"/>
      <c r="D63" s="13"/>
      <c r="E63" s="13"/>
      <c r="F63" s="13"/>
      <c r="G63" s="403"/>
      <c r="I63" s="13"/>
      <c r="L63" s="13"/>
      <c r="M63" s="13"/>
      <c r="N63" s="13"/>
      <c r="O63" s="446"/>
      <c r="P63" s="88"/>
      <c r="Q63" s="13"/>
      <c r="R63" s="13"/>
    </row>
    <row r="64" spans="1:18" ht="19.5" customHeight="1">
      <c r="A64" s="404" t="s">
        <v>455</v>
      </c>
      <c r="B64" s="405"/>
      <c r="C64" s="405"/>
      <c r="D64" s="405"/>
      <c r="E64" s="405"/>
      <c r="F64" s="405"/>
      <c r="G64" s="406"/>
      <c r="I64" s="13"/>
      <c r="L64" s="13"/>
      <c r="M64" s="13"/>
      <c r="N64" s="13"/>
      <c r="O64" s="446"/>
      <c r="P64" s="88"/>
      <c r="Q64" s="13"/>
      <c r="R64" s="13"/>
    </row>
    <row r="65" spans="1:18" ht="17.25">
      <c r="A65" s="112"/>
      <c r="B65" s="13"/>
      <c r="C65" s="13"/>
      <c r="D65" s="13"/>
      <c r="E65" s="13"/>
      <c r="F65" s="13"/>
      <c r="I65" s="13"/>
      <c r="L65" s="13"/>
      <c r="M65" s="13"/>
      <c r="N65" s="13"/>
      <c r="O65" s="13"/>
      <c r="P65" s="13"/>
      <c r="Q65" s="13"/>
      <c r="R65" s="13"/>
    </row>
    <row r="66" spans="1:18" ht="15.6" customHeight="1">
      <c r="A66" s="407" t="s">
        <v>279</v>
      </c>
      <c r="B66" s="408"/>
      <c r="C66" s="399"/>
      <c r="D66" s="399"/>
      <c r="E66" s="399"/>
      <c r="F66" s="400"/>
      <c r="G66" s="13"/>
      <c r="I66" s="13"/>
      <c r="L66" s="13"/>
      <c r="M66" s="13"/>
      <c r="N66" s="13"/>
      <c r="O66" s="13"/>
      <c r="P66" s="13"/>
      <c r="Q66" s="13"/>
      <c r="R66" s="13"/>
    </row>
    <row r="67" spans="1:18" ht="15.6" customHeight="1">
      <c r="A67" s="164" t="s">
        <v>456</v>
      </c>
      <c r="B67" s="13"/>
      <c r="C67" s="13"/>
      <c r="E67" s="13"/>
      <c r="F67" s="299"/>
      <c r="G67" s="13"/>
      <c r="I67" s="13"/>
      <c r="L67" s="13"/>
      <c r="M67" s="13"/>
      <c r="N67" s="13"/>
      <c r="O67" s="13"/>
      <c r="P67" s="13"/>
      <c r="Q67" s="13"/>
      <c r="R67" s="13"/>
    </row>
    <row r="68" spans="1:18" ht="15.6" customHeight="1">
      <c r="A68" s="409" t="s">
        <v>280</v>
      </c>
      <c r="B68" s="405"/>
      <c r="C68" s="405"/>
      <c r="D68" s="405"/>
      <c r="E68" s="405"/>
      <c r="F68" s="300"/>
      <c r="G68" s="13"/>
      <c r="I68" s="13" t="s">
        <v>0</v>
      </c>
      <c r="L68" s="13"/>
      <c r="M68" s="13"/>
      <c r="N68" s="13"/>
      <c r="O68" s="13"/>
      <c r="P68" s="13"/>
      <c r="Q68" s="13"/>
      <c r="R68" s="13"/>
    </row>
    <row r="69" spans="1:18" ht="16.5">
      <c r="A69" s="358"/>
      <c r="B69" s="13"/>
      <c r="C69" s="13"/>
      <c r="D69" s="13"/>
      <c r="E69" s="13"/>
      <c r="F69" s="13"/>
      <c r="G69" s="13"/>
      <c r="I69" s="13"/>
      <c r="L69" s="13"/>
      <c r="M69" s="13"/>
      <c r="N69" s="13"/>
      <c r="O69" s="13"/>
      <c r="P69" s="13"/>
      <c r="Q69" s="13"/>
      <c r="R69" s="13"/>
    </row>
    <row r="70" spans="1:18" ht="17.25">
      <c r="A70" s="142" t="s">
        <v>457</v>
      </c>
      <c r="B70" s="129"/>
      <c r="C70" s="129"/>
      <c r="D70" s="129"/>
      <c r="E70" s="130"/>
      <c r="F70" s="129"/>
      <c r="G70" s="129"/>
      <c r="H70" s="129"/>
      <c r="I70" s="13"/>
      <c r="L70" s="13"/>
      <c r="M70" s="13"/>
      <c r="N70" s="13"/>
      <c r="O70" s="13"/>
      <c r="P70" s="13"/>
      <c r="Q70" s="13"/>
      <c r="R70" s="13"/>
    </row>
    <row r="71" spans="1:18" ht="17.25">
      <c r="A71" s="142"/>
      <c r="B71" s="129"/>
      <c r="C71" s="129"/>
      <c r="D71" s="129"/>
      <c r="E71" s="130"/>
      <c r="F71" s="129"/>
      <c r="G71" s="129"/>
      <c r="H71" s="129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6.5">
      <c r="A72" s="410" t="s">
        <v>458</v>
      </c>
      <c r="B72" s="129"/>
      <c r="C72" s="129"/>
      <c r="D72" s="129"/>
      <c r="E72" s="130"/>
      <c r="F72" s="129"/>
      <c r="G72" s="129"/>
      <c r="H72" s="129"/>
      <c r="I72" s="13"/>
    </row>
    <row r="73" spans="1:18" ht="16.5">
      <c r="A73" s="411" t="s">
        <v>459</v>
      </c>
      <c r="B73" s="129"/>
      <c r="C73" s="129"/>
      <c r="D73" s="129"/>
      <c r="E73" s="130"/>
      <c r="F73" s="129"/>
      <c r="G73" s="129"/>
      <c r="H73" s="129"/>
      <c r="I73" s="13"/>
    </row>
    <row r="74" spans="1:18" ht="16.5">
      <c r="A74" s="412" t="s">
        <v>391</v>
      </c>
      <c r="B74" s="413"/>
      <c r="C74" s="129"/>
      <c r="D74" s="129"/>
      <c r="E74" s="130"/>
      <c r="F74" s="129"/>
      <c r="G74" s="129"/>
      <c r="H74" s="129"/>
      <c r="I74" s="13"/>
    </row>
    <row r="75" spans="1:18" ht="16.5">
      <c r="A75" s="128"/>
      <c r="B75" s="129"/>
      <c r="C75" s="129"/>
      <c r="D75" s="129"/>
      <c r="E75" s="130"/>
      <c r="F75" s="129"/>
      <c r="G75" s="129"/>
      <c r="H75" s="129"/>
      <c r="I75" s="13"/>
    </row>
    <row r="76" spans="1:18" ht="16.5">
      <c r="A76" s="410" t="s">
        <v>460</v>
      </c>
    </row>
    <row r="77" spans="1:18">
      <c r="A77" s="414" t="s">
        <v>461</v>
      </c>
    </row>
    <row r="78" spans="1:18">
      <c r="A78" s="414" t="s">
        <v>462</v>
      </c>
    </row>
    <row r="79" spans="1:18" ht="16.5">
      <c r="A79" s="415" t="s">
        <v>174</v>
      </c>
      <c r="B79" s="379"/>
    </row>
    <row r="80" spans="1:18" ht="16.5">
      <c r="A80" s="128"/>
      <c r="B80" s="129"/>
      <c r="C80" s="129"/>
      <c r="D80" s="129"/>
      <c r="E80" s="130"/>
      <c r="F80" s="129"/>
      <c r="G80" s="129"/>
      <c r="H80" s="129"/>
      <c r="I80" s="13"/>
    </row>
    <row r="81" spans="1:9" ht="16.5">
      <c r="A81" s="410" t="s">
        <v>463</v>
      </c>
      <c r="B81" s="129"/>
      <c r="C81" s="129"/>
      <c r="D81" s="129"/>
      <c r="E81" s="130"/>
      <c r="F81" s="129"/>
      <c r="G81" s="129"/>
      <c r="H81" s="129"/>
      <c r="I81" s="13"/>
    </row>
    <row r="82" spans="1:9" ht="16.5">
      <c r="A82" s="414" t="s">
        <v>464</v>
      </c>
      <c r="B82" s="129"/>
      <c r="C82" s="129"/>
      <c r="D82" s="129"/>
      <c r="E82" s="130"/>
      <c r="F82" s="129"/>
      <c r="G82" s="129"/>
      <c r="H82" s="129"/>
      <c r="I82" s="13"/>
    </row>
    <row r="83" spans="1:9" ht="16.5">
      <c r="A83" s="416" t="s">
        <v>175</v>
      </c>
      <c r="B83" s="413"/>
      <c r="C83" s="413"/>
      <c r="D83" s="129"/>
      <c r="E83" s="130"/>
      <c r="F83" s="129"/>
      <c r="G83" s="129"/>
      <c r="H83" s="129"/>
      <c r="I83" s="13"/>
    </row>
    <row r="84" spans="1:9" ht="16.5">
      <c r="A84" s="146"/>
      <c r="B84" s="129"/>
      <c r="C84" s="129"/>
      <c r="D84" s="129"/>
      <c r="E84" s="130"/>
      <c r="F84" s="129"/>
      <c r="G84" s="129"/>
      <c r="H84" s="129"/>
      <c r="I84" s="13"/>
    </row>
    <row r="85" spans="1:9" ht="16.5">
      <c r="A85" s="410" t="s">
        <v>465</v>
      </c>
      <c r="B85" s="129"/>
      <c r="C85" s="129"/>
      <c r="D85" s="129"/>
      <c r="E85" s="130"/>
      <c r="F85" s="129"/>
      <c r="G85" s="129"/>
      <c r="H85" s="129"/>
      <c r="I85" s="13"/>
    </row>
    <row r="86" spans="1:9" ht="16.5">
      <c r="A86" s="417" t="s">
        <v>466</v>
      </c>
      <c r="B86" s="129"/>
      <c r="D86" s="129" t="s">
        <v>0</v>
      </c>
      <c r="E86" s="130"/>
      <c r="F86" s="129"/>
      <c r="G86" s="129"/>
      <c r="H86" s="129"/>
      <c r="I86" s="13"/>
    </row>
    <row r="87" spans="1:9" ht="16.5">
      <c r="A87" s="412" t="s">
        <v>467</v>
      </c>
      <c r="G87" s="129"/>
      <c r="H87" s="129"/>
      <c r="I87" s="129"/>
    </row>
    <row r="88" spans="1:9" ht="16.5">
      <c r="A88" s="416" t="s">
        <v>468</v>
      </c>
      <c r="C88" s="129"/>
      <c r="E88" s="130"/>
      <c r="F88" s="129"/>
      <c r="G88" s="129"/>
      <c r="H88" s="129"/>
      <c r="I88" s="13"/>
    </row>
    <row r="89" spans="1:9" ht="16.5">
      <c r="A89" s="416" t="s">
        <v>469</v>
      </c>
      <c r="B89" s="416"/>
      <c r="C89" s="129"/>
      <c r="D89" s="416"/>
      <c r="E89" s="130"/>
      <c r="F89" s="129"/>
      <c r="G89" s="129"/>
      <c r="H89" s="129"/>
      <c r="I89" s="13"/>
    </row>
    <row r="90" spans="1:9" ht="16.5">
      <c r="A90" s="416" t="s">
        <v>470</v>
      </c>
      <c r="B90" s="416"/>
      <c r="C90" s="129"/>
      <c r="D90" s="416"/>
      <c r="E90" s="130"/>
      <c r="F90" s="129"/>
      <c r="G90" s="129"/>
      <c r="H90" s="129"/>
      <c r="I90" s="13"/>
    </row>
    <row r="91" spans="1:9" ht="16.5">
      <c r="A91" s="146"/>
      <c r="B91" s="129"/>
      <c r="C91" s="129"/>
      <c r="D91" s="129"/>
      <c r="E91" s="130"/>
      <c r="F91" s="129"/>
      <c r="G91" s="129"/>
      <c r="H91" s="129"/>
      <c r="I91" s="13"/>
    </row>
    <row r="92" spans="1:9" ht="16.5">
      <c r="A92" s="410" t="s">
        <v>471</v>
      </c>
      <c r="B92" s="129"/>
      <c r="D92" s="129"/>
      <c r="E92" s="130"/>
      <c r="F92" s="129"/>
      <c r="G92" s="129"/>
      <c r="H92" s="129"/>
      <c r="I92" s="13"/>
    </row>
    <row r="93" spans="1:9" ht="16.5">
      <c r="A93" s="414" t="s">
        <v>472</v>
      </c>
      <c r="B93" s="129"/>
      <c r="D93" s="129"/>
      <c r="E93" s="130"/>
      <c r="F93" s="129"/>
      <c r="G93" s="129"/>
      <c r="H93" s="129"/>
      <c r="I93" s="13"/>
    </row>
    <row r="94" spans="1:9" ht="16.5">
      <c r="A94" s="416" t="s">
        <v>473</v>
      </c>
      <c r="B94" s="129"/>
      <c r="D94" s="129"/>
      <c r="E94" s="130"/>
      <c r="F94" s="129"/>
      <c r="G94" s="129"/>
      <c r="H94" s="129"/>
      <c r="I94" s="13"/>
    </row>
    <row r="95" spans="1:9" ht="16.5">
      <c r="A95" s="415"/>
      <c r="B95" s="129"/>
      <c r="C95" s="129"/>
      <c r="D95" s="129"/>
      <c r="E95" s="130"/>
      <c r="F95" s="129"/>
      <c r="G95" s="129"/>
      <c r="H95" s="129"/>
      <c r="I95" s="13"/>
    </row>
    <row r="96" spans="1:9" ht="16.5">
      <c r="A96" s="410" t="s">
        <v>474</v>
      </c>
      <c r="C96" s="129"/>
      <c r="D96" s="129"/>
      <c r="E96" s="130"/>
      <c r="F96" s="129"/>
      <c r="G96" s="129"/>
      <c r="H96" s="129"/>
      <c r="I96" s="13"/>
    </row>
    <row r="97" spans="1:9" ht="16.5">
      <c r="A97" s="418" t="s">
        <v>475</v>
      </c>
      <c r="B97" s="129"/>
      <c r="C97" s="129"/>
      <c r="D97" s="129"/>
      <c r="E97" s="130"/>
      <c r="F97" s="129"/>
      <c r="G97" s="129"/>
      <c r="H97" s="129"/>
      <c r="I97" s="13"/>
    </row>
    <row r="98" spans="1:9" ht="16.5">
      <c r="A98" s="419" t="s">
        <v>476</v>
      </c>
      <c r="B98" s="129"/>
      <c r="C98" s="129"/>
      <c r="D98" s="129"/>
      <c r="E98" s="130"/>
      <c r="F98" s="129"/>
      <c r="G98" s="129"/>
      <c r="H98" s="129"/>
      <c r="I98" s="13"/>
    </row>
    <row r="99" spans="1:9" ht="16.5">
      <c r="A99" s="416" t="s">
        <v>477</v>
      </c>
      <c r="B99" s="420"/>
      <c r="C99" s="129"/>
      <c r="D99" s="129"/>
      <c r="E99" s="130"/>
      <c r="F99" s="129"/>
      <c r="G99" s="129"/>
      <c r="H99" s="129"/>
      <c r="I99" s="13"/>
    </row>
    <row r="100" spans="1:9" ht="16.5">
      <c r="A100" s="421"/>
      <c r="B100" s="129"/>
      <c r="C100" s="129"/>
      <c r="D100" s="129"/>
      <c r="E100" s="130"/>
      <c r="F100" s="129"/>
      <c r="G100" s="129"/>
      <c r="H100" s="129"/>
      <c r="I100" s="13"/>
    </row>
    <row r="101" spans="1:9" ht="16.5">
      <c r="A101" s="410" t="s">
        <v>478</v>
      </c>
      <c r="B101" s="129"/>
      <c r="C101" s="129"/>
      <c r="D101" s="129"/>
      <c r="E101" s="130"/>
      <c r="F101" s="129"/>
      <c r="G101" s="129"/>
      <c r="H101" s="129"/>
      <c r="I101" s="13"/>
    </row>
    <row r="102" spans="1:9" ht="16.5">
      <c r="A102" s="418" t="s">
        <v>475</v>
      </c>
      <c r="B102" s="129"/>
      <c r="C102" s="129"/>
      <c r="D102" s="129"/>
      <c r="E102" s="130"/>
      <c r="F102" s="129"/>
      <c r="G102" s="129"/>
      <c r="H102" s="129"/>
      <c r="I102" s="13"/>
    </row>
    <row r="103" spans="1:9" ht="16.5">
      <c r="A103" s="419" t="s">
        <v>479</v>
      </c>
      <c r="B103" s="129"/>
      <c r="C103" s="129"/>
      <c r="D103" s="129"/>
      <c r="E103" s="130"/>
      <c r="F103" s="129"/>
      <c r="G103" s="129"/>
      <c r="H103" s="129"/>
      <c r="I103" s="13"/>
    </row>
    <row r="104" spans="1:9" ht="16.5">
      <c r="A104" s="416" t="s">
        <v>480</v>
      </c>
      <c r="B104" s="129"/>
      <c r="C104" s="129"/>
      <c r="D104" s="129"/>
      <c r="E104" s="130"/>
      <c r="F104" s="129"/>
      <c r="G104" s="129"/>
      <c r="H104" s="129"/>
      <c r="I104" s="13"/>
    </row>
    <row r="105" spans="1:9" ht="16.5">
      <c r="A105" s="421"/>
      <c r="B105" s="129"/>
      <c r="C105" s="129"/>
      <c r="D105" s="129"/>
      <c r="E105" s="130"/>
      <c r="F105" s="129"/>
      <c r="G105" s="129"/>
      <c r="H105" s="129"/>
      <c r="I105" s="13"/>
    </row>
    <row r="106" spans="1:9" ht="16.5">
      <c r="A106" s="380" t="s">
        <v>493</v>
      </c>
    </row>
    <row r="107" spans="1:9" ht="16.5">
      <c r="A107" s="416" t="s">
        <v>494</v>
      </c>
    </row>
    <row r="108" spans="1:9" ht="16.5">
      <c r="A108" s="415" t="s">
        <v>495</v>
      </c>
    </row>
  </sheetData>
  <mergeCells count="1">
    <mergeCell ref="A37:C37"/>
  </mergeCells>
  <hyperlinks>
    <hyperlink ref="A74" r:id="rId1" xr:uid="{AFE3B0FA-BDB3-4F7F-905F-FB6F16173D6D}"/>
    <hyperlink ref="A79" r:id="rId2" xr:uid="{C778BFEA-4C76-4649-991D-EA2FAE41D686}"/>
    <hyperlink ref="A83" r:id="rId3" xr:uid="{A400E9FA-5EB6-4739-A64E-CE4FA70F18F9}"/>
    <hyperlink ref="A94" r:id="rId4" xr:uid="{7FFA0328-9B11-48E7-85EC-7168337E7631}"/>
    <hyperlink ref="A99" r:id="rId5" xr:uid="{4938E84C-319E-43B1-A2B4-D9218889A2DB}"/>
    <hyperlink ref="A104" r:id="rId6" xr:uid="{450823A6-249F-4563-B484-14BB92027783}"/>
    <hyperlink ref="A89" r:id="rId7" xr:uid="{9B491364-3383-4961-B64A-B3E8135134BA}"/>
    <hyperlink ref="A88" r:id="rId8" display="https://www.cbo.gov/system/files/2025-01/60870-Outlook-2025.pdf" xr:uid="{25BB1165-5D65-43AA-9B50-171CBEBCF1FE}"/>
    <hyperlink ref="A90" r:id="rId9" xr:uid="{29C5EB86-5FD2-4685-80BF-5B5C8BBF56D4}"/>
    <hyperlink ref="A87" r:id="rId10" location="4" display="https://www.cbo.gov/data/budget-economic-data - 4" xr:uid="{BEBB060D-3113-45D1-AF0D-EC4BF1D89D5F}"/>
    <hyperlink ref="A68" r:id="rId11" xr:uid="{B7213787-90BA-47C8-933F-BD1782142865}"/>
    <hyperlink ref="A107" r:id="rId12" xr:uid="{11D86181-4621-4329-8545-C9290D70B981}"/>
    <hyperlink ref="A108" r:id="rId13" xr:uid="{D572D4DF-6877-4FE0-BFCD-CF921F0B229D}"/>
  </hyperlinks>
  <pageMargins left="0.25" right="0.25" top="0.75" bottom="0.75" header="0.3" footer="0.3"/>
  <pageSetup scale="27" fitToWidth="0" orientation="portrait"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4C5F-277C-4B9C-9271-640BB89134E7}">
  <sheetPr>
    <tabColor rgb="FF92D050"/>
    <pageSetUpPr fitToPage="1"/>
  </sheetPr>
  <dimension ref="A1:I105"/>
  <sheetViews>
    <sheetView view="pageBreakPreview" topLeftCell="A7" zoomScale="70" zoomScaleNormal="80" zoomScaleSheetLayoutView="70" workbookViewId="0">
      <selection activeCell="D48" sqref="D48"/>
    </sheetView>
  </sheetViews>
  <sheetFormatPr defaultRowHeight="15"/>
  <cols>
    <col min="1" max="1" width="45.5703125" customWidth="1"/>
    <col min="2" max="2" width="22.5703125" customWidth="1"/>
    <col min="3" max="3" width="72.140625" customWidth="1"/>
    <col min="4" max="4" width="34.5703125" customWidth="1"/>
    <col min="5" max="5" width="21.5703125" customWidth="1"/>
    <col min="6" max="6" width="17" customWidth="1"/>
    <col min="7" max="7" width="24.85546875" customWidth="1"/>
    <col min="8" max="8" width="18" customWidth="1"/>
    <col min="9" max="9" width="20.85546875" customWidth="1"/>
    <col min="10" max="10" width="19" customWidth="1"/>
    <col min="11" max="11" width="17.42578125" customWidth="1"/>
    <col min="12" max="12" width="24.140625" customWidth="1"/>
  </cols>
  <sheetData>
    <row r="1" spans="1:9" ht="26.25">
      <c r="A1" s="25" t="s">
        <v>1</v>
      </c>
      <c r="B1" s="13"/>
      <c r="C1" s="13"/>
      <c r="D1" s="13"/>
      <c r="E1" s="13"/>
      <c r="F1" s="13"/>
      <c r="G1" s="13"/>
      <c r="H1" s="13"/>
      <c r="I1" s="13"/>
    </row>
    <row r="2" spans="1:9" ht="17.25">
      <c r="A2" s="64" t="s">
        <v>9</v>
      </c>
      <c r="B2" s="13"/>
      <c r="C2" s="13"/>
      <c r="D2" s="13"/>
      <c r="E2" s="13"/>
      <c r="F2" s="13"/>
      <c r="G2" s="13"/>
      <c r="H2" s="13"/>
      <c r="I2" s="13"/>
    </row>
    <row r="3" spans="1:9" ht="16.5">
      <c r="A3" s="27" t="s">
        <v>435</v>
      </c>
      <c r="B3" s="13"/>
      <c r="C3" s="13"/>
      <c r="D3" s="13"/>
      <c r="E3" s="13"/>
      <c r="F3" s="13"/>
      <c r="G3" s="13"/>
      <c r="H3" s="13"/>
      <c r="I3" s="13"/>
    </row>
    <row r="4" spans="1:9" ht="16.5">
      <c r="A4" s="13"/>
      <c r="B4" s="13"/>
      <c r="C4" s="13"/>
      <c r="D4" s="13"/>
      <c r="E4" s="13"/>
      <c r="F4" s="13"/>
      <c r="G4" s="13"/>
      <c r="H4" s="13"/>
      <c r="I4" s="13"/>
    </row>
    <row r="5" spans="1:9" ht="18" thickBot="1">
      <c r="A5" s="64"/>
      <c r="B5" s="13"/>
      <c r="C5" s="13"/>
      <c r="D5" s="13"/>
      <c r="E5" s="13"/>
      <c r="F5" s="13"/>
      <c r="G5" s="13"/>
      <c r="H5" s="13"/>
      <c r="I5" s="13"/>
    </row>
    <row r="6" spans="1:9" ht="21" thickBot="1">
      <c r="A6" s="245" t="str">
        <f>+'S&amp;D'!A12</f>
        <v>Electric Utilities</v>
      </c>
      <c r="B6" s="181"/>
      <c r="C6" s="13"/>
      <c r="D6" s="13"/>
      <c r="E6" s="13"/>
      <c r="F6" s="13"/>
      <c r="G6" s="13"/>
      <c r="H6" s="13"/>
      <c r="I6" s="13"/>
    </row>
    <row r="7" spans="1:9" ht="30.75" customHeight="1" thickBot="1">
      <c r="A7" s="64"/>
      <c r="B7" s="13"/>
      <c r="C7" s="30"/>
      <c r="E7" s="13"/>
      <c r="F7" s="13"/>
      <c r="G7" s="13"/>
      <c r="H7" s="13"/>
      <c r="I7" s="13"/>
    </row>
    <row r="8" spans="1:9" ht="26.25">
      <c r="B8" s="13"/>
      <c r="C8" s="33" t="s">
        <v>182</v>
      </c>
      <c r="E8" s="13"/>
      <c r="F8" s="13"/>
      <c r="G8" s="13"/>
      <c r="H8" s="13"/>
      <c r="I8" s="13"/>
    </row>
    <row r="9" spans="1:9" ht="21" thickBot="1">
      <c r="A9" s="32"/>
      <c r="B9" s="13"/>
      <c r="C9" s="34" t="s">
        <v>436</v>
      </c>
      <c r="E9" s="13"/>
      <c r="F9" s="13"/>
      <c r="G9" s="13"/>
      <c r="H9" s="13"/>
      <c r="I9" s="13"/>
    </row>
    <row r="10" spans="1:9" ht="20.25">
      <c r="A10" s="32"/>
      <c r="B10" s="13"/>
      <c r="C10" s="13"/>
      <c r="D10" s="13"/>
      <c r="E10" s="13"/>
      <c r="F10" s="13"/>
      <c r="G10" s="13"/>
      <c r="H10" s="13"/>
      <c r="I10" s="13"/>
    </row>
    <row r="11" spans="1:9" ht="27.75" customHeight="1" thickBot="1">
      <c r="A11" s="13"/>
      <c r="B11" s="13"/>
      <c r="C11" s="13"/>
      <c r="D11" s="13"/>
      <c r="E11" s="13"/>
      <c r="F11" s="13"/>
      <c r="G11" s="13"/>
      <c r="H11" s="13"/>
      <c r="I11" s="13"/>
    </row>
    <row r="12" spans="1:9" ht="16.5">
      <c r="A12" s="13"/>
      <c r="B12" s="13"/>
      <c r="C12" s="80" t="s">
        <v>0</v>
      </c>
      <c r="D12" s="80" t="s">
        <v>216</v>
      </c>
      <c r="E12" s="13"/>
      <c r="F12" s="13"/>
      <c r="G12" s="13"/>
      <c r="H12" s="13"/>
      <c r="I12" s="13"/>
    </row>
    <row r="13" spans="1:9" ht="21" thickBot="1">
      <c r="A13" s="13"/>
      <c r="B13" s="13"/>
      <c r="C13" s="314" t="s">
        <v>181</v>
      </c>
      <c r="D13" s="82" t="s">
        <v>294</v>
      </c>
      <c r="E13" s="13"/>
      <c r="F13" s="13"/>
      <c r="G13" s="13"/>
      <c r="H13" s="13"/>
      <c r="I13" s="13"/>
    </row>
    <row r="14" spans="1:9" ht="17.25">
      <c r="A14" s="13"/>
      <c r="B14" s="13"/>
      <c r="C14" s="318" t="s">
        <v>399</v>
      </c>
      <c r="D14" s="319">
        <f>+CAPM!F16</f>
        <v>6.9803000000000004E-2</v>
      </c>
      <c r="E14" s="320"/>
      <c r="F14" s="13"/>
      <c r="G14" s="13"/>
      <c r="H14" s="13"/>
      <c r="I14" s="13"/>
    </row>
    <row r="15" spans="1:9" ht="17.25">
      <c r="A15" s="13"/>
      <c r="B15" s="13"/>
      <c r="C15" s="250" t="s">
        <v>400</v>
      </c>
      <c r="D15" s="321">
        <f>+CAPM!F17</f>
        <v>7.6263999999999998E-2</v>
      </c>
      <c r="E15" s="320"/>
      <c r="F15" s="13"/>
      <c r="G15" s="13"/>
      <c r="H15" s="13"/>
      <c r="I15" s="13"/>
    </row>
    <row r="16" spans="1:9" ht="17.25">
      <c r="A16" s="13"/>
      <c r="B16" s="13"/>
      <c r="C16" s="250" t="s">
        <v>412</v>
      </c>
      <c r="D16" s="321">
        <f>+CAPM!F19</f>
        <v>8.8002999999999998E-2</v>
      </c>
      <c r="E16" s="320"/>
      <c r="F16" s="13"/>
      <c r="G16" s="13"/>
      <c r="H16" s="13"/>
      <c r="I16" s="13"/>
    </row>
    <row r="17" spans="1:9" ht="17.25">
      <c r="A17" s="13"/>
      <c r="B17" s="13"/>
      <c r="C17" s="250" t="s">
        <v>431</v>
      </c>
      <c r="D17" s="321">
        <f>+CAPM!F20</f>
        <v>0.10456499999999999</v>
      </c>
      <c r="E17" s="320"/>
      <c r="F17" s="13"/>
      <c r="G17" s="13"/>
      <c r="H17" s="13"/>
      <c r="I17" s="13"/>
    </row>
    <row r="18" spans="1:9" ht="17.25">
      <c r="A18" s="13"/>
      <c r="B18" s="13"/>
      <c r="C18" s="250" t="s">
        <v>410</v>
      </c>
      <c r="D18" s="321">
        <f>+CAPM!F21</f>
        <v>8.6364999999999997E-2</v>
      </c>
      <c r="E18" s="320"/>
      <c r="F18" s="13"/>
      <c r="G18" s="13"/>
      <c r="H18" s="13"/>
      <c r="I18" s="13"/>
    </row>
    <row r="19" spans="1:9" ht="17.25">
      <c r="A19" s="13"/>
      <c r="B19" s="13"/>
      <c r="C19" s="250" t="s">
        <v>411</v>
      </c>
      <c r="D19" s="321">
        <f>+CAPM!F22</f>
        <v>8.3270999999999998E-2</v>
      </c>
      <c r="E19" s="320"/>
      <c r="F19" s="13"/>
      <c r="G19" s="13"/>
      <c r="H19" s="13"/>
      <c r="I19" s="13"/>
    </row>
    <row r="20" spans="1:9" ht="17.25">
      <c r="A20" s="13"/>
      <c r="B20" s="13"/>
      <c r="C20" s="250" t="s">
        <v>183</v>
      </c>
      <c r="D20" s="321">
        <f>+CAPM!F24</f>
        <v>9.7649E-2</v>
      </c>
      <c r="E20" s="320"/>
      <c r="F20" s="13"/>
      <c r="G20" s="13"/>
      <c r="H20" s="13"/>
      <c r="I20" s="13"/>
    </row>
    <row r="21" spans="1:9" ht="17.25">
      <c r="A21" s="13"/>
      <c r="B21" s="13"/>
      <c r="C21" s="250" t="s">
        <v>184</v>
      </c>
      <c r="D21" s="321">
        <f>+CAPM!F26</f>
        <v>9.8650000000000002E-2</v>
      </c>
      <c r="E21" s="320"/>
      <c r="F21" s="13"/>
      <c r="G21" s="13"/>
      <c r="H21" s="13"/>
      <c r="I21" s="13"/>
    </row>
    <row r="22" spans="1:9" ht="17.25">
      <c r="A22" s="13"/>
      <c r="B22" s="13"/>
      <c r="C22" s="333" t="s">
        <v>185</v>
      </c>
      <c r="D22" s="321">
        <f>+CAPM!F28</f>
        <v>0.10966100000000001</v>
      </c>
      <c r="E22" s="320"/>
      <c r="F22" s="13"/>
      <c r="G22" s="13"/>
      <c r="H22" s="13"/>
      <c r="I22" s="13"/>
    </row>
    <row r="23" spans="1:9" ht="17.25">
      <c r="A23" s="13"/>
      <c r="B23" s="13"/>
      <c r="C23" s="333" t="s">
        <v>186</v>
      </c>
      <c r="D23" s="321">
        <f>+CAPM!F29</f>
        <v>9.8285999999999998E-2</v>
      </c>
      <c r="E23" s="356"/>
      <c r="G23" s="13"/>
      <c r="H23" s="13"/>
      <c r="I23" s="13"/>
    </row>
    <row r="24" spans="1:9" ht="17.25">
      <c r="A24" s="13"/>
      <c r="B24" s="13"/>
      <c r="C24" s="336" t="s">
        <v>422</v>
      </c>
      <c r="D24" s="332">
        <f>+CAPM!F31</f>
        <v>0.115121</v>
      </c>
      <c r="E24" s="322"/>
      <c r="F24" s="13"/>
      <c r="G24" s="13"/>
      <c r="H24" s="13"/>
      <c r="I24" s="13"/>
    </row>
    <row r="25" spans="1:9" ht="17.25">
      <c r="A25" s="13"/>
      <c r="B25" s="13"/>
      <c r="C25" s="336" t="s">
        <v>423</v>
      </c>
      <c r="D25" s="332">
        <f>+CAPM!F32</f>
        <v>0.10556599999999999</v>
      </c>
      <c r="E25" s="322"/>
      <c r="F25" s="13"/>
      <c r="G25" s="13"/>
      <c r="H25" s="13"/>
      <c r="I25" s="13"/>
    </row>
    <row r="26" spans="1:9" ht="17.25">
      <c r="A26" s="13"/>
      <c r="B26" s="13"/>
      <c r="C26" s="336" t="s">
        <v>424</v>
      </c>
      <c r="D26" s="332">
        <f>+CAPM!F33</f>
        <v>9.4100000000000003E-2</v>
      </c>
      <c r="E26" s="322"/>
      <c r="F26" s="13"/>
      <c r="G26" s="13"/>
      <c r="H26" s="13"/>
      <c r="I26" s="13"/>
    </row>
    <row r="27" spans="1:9" ht="17.25">
      <c r="A27" s="13"/>
      <c r="B27" s="13"/>
      <c r="C27" s="333" t="s">
        <v>401</v>
      </c>
      <c r="D27" s="332">
        <f>+CAPM!G42</f>
        <v>7.0327250000000008E-2</v>
      </c>
      <c r="E27" s="320"/>
      <c r="F27" s="13"/>
      <c r="G27" s="13"/>
      <c r="H27" s="13"/>
      <c r="I27" s="13"/>
    </row>
    <row r="28" spans="1:9" ht="17.25">
      <c r="A28" s="13"/>
      <c r="B28" s="13"/>
      <c r="C28" s="333" t="s">
        <v>402</v>
      </c>
      <c r="D28" s="332">
        <f>+CAPM!G43</f>
        <v>7.6948000000000003E-2</v>
      </c>
      <c r="E28" s="320"/>
      <c r="F28" s="13"/>
      <c r="G28" s="13"/>
      <c r="H28" s="13"/>
      <c r="I28" s="13"/>
    </row>
    <row r="29" spans="1:9" ht="17.25">
      <c r="A29" s="13"/>
      <c r="B29" s="13"/>
      <c r="C29" s="250" t="s">
        <v>413</v>
      </c>
      <c r="D29" s="332">
        <f>+CAPM!G45</f>
        <v>8.8977250000000008E-2</v>
      </c>
      <c r="E29" s="320"/>
      <c r="F29" s="13"/>
      <c r="G29" s="13"/>
      <c r="H29" s="13"/>
      <c r="I29" s="13"/>
    </row>
    <row r="30" spans="1:9" ht="17.25">
      <c r="A30" s="13"/>
      <c r="B30" s="13"/>
      <c r="C30" s="250" t="s">
        <v>430</v>
      </c>
      <c r="D30" s="332">
        <f>+CAPM!G46</f>
        <v>0.10594875000000001</v>
      </c>
      <c r="E30" s="320"/>
      <c r="F30" s="13"/>
      <c r="G30" s="13"/>
      <c r="H30" s="13"/>
      <c r="I30" s="13"/>
    </row>
    <row r="31" spans="1:9" ht="17.25">
      <c r="A31" s="13"/>
      <c r="B31" s="13"/>
      <c r="C31" s="250" t="s">
        <v>414</v>
      </c>
      <c r="D31" s="332">
        <f>+CAPM!G47</f>
        <v>8.7298750000000008E-2</v>
      </c>
      <c r="E31" s="320"/>
      <c r="F31" s="13"/>
      <c r="G31" s="13"/>
      <c r="H31" s="13"/>
      <c r="I31" s="13"/>
    </row>
    <row r="32" spans="1:9" ht="17.25">
      <c r="A32" s="13"/>
      <c r="B32" s="13"/>
      <c r="C32" s="250" t="s">
        <v>415</v>
      </c>
      <c r="D32" s="332">
        <f>+CAPM!G48</f>
        <v>8.4128249999999988E-2</v>
      </c>
      <c r="E32" s="320"/>
      <c r="F32" s="13"/>
      <c r="G32" s="13"/>
      <c r="H32" s="13"/>
      <c r="I32" s="13"/>
    </row>
    <row r="33" spans="1:9" ht="17.25">
      <c r="A33" s="13"/>
      <c r="B33" s="13"/>
      <c r="C33" s="333" t="s">
        <v>187</v>
      </c>
      <c r="D33" s="332">
        <f>+CAPM!G50</f>
        <v>9.8861749999999998E-2</v>
      </c>
      <c r="E33" s="320"/>
      <c r="F33" s="13"/>
      <c r="G33" s="13"/>
      <c r="H33" s="13"/>
      <c r="I33" s="13"/>
    </row>
    <row r="34" spans="1:9" ht="17.25">
      <c r="A34" s="13"/>
      <c r="B34" s="13"/>
      <c r="C34" s="333" t="s">
        <v>188</v>
      </c>
      <c r="D34" s="332">
        <f>+CAPM!G52</f>
        <v>9.988749999999999E-2</v>
      </c>
      <c r="E34" s="320"/>
      <c r="F34" s="13"/>
      <c r="G34" s="13"/>
      <c r="H34" s="13"/>
      <c r="I34" s="13"/>
    </row>
    <row r="35" spans="1:9" ht="17.25">
      <c r="A35" s="13"/>
      <c r="B35" s="13"/>
      <c r="C35" s="334" t="s">
        <v>189</v>
      </c>
      <c r="D35" s="332">
        <f>+CAPM!G54</f>
        <v>0.11117075000000001</v>
      </c>
      <c r="E35" s="320"/>
      <c r="F35" s="13"/>
      <c r="G35" s="13"/>
      <c r="H35" s="13"/>
      <c r="I35" s="13"/>
    </row>
    <row r="36" spans="1:9" ht="17.25">
      <c r="A36" s="13"/>
      <c r="B36" s="13"/>
      <c r="C36" s="333" t="s">
        <v>190</v>
      </c>
      <c r="D36" s="332">
        <f>+CAPM!G55</f>
        <v>9.9514500000000006E-2</v>
      </c>
      <c r="E36" s="320"/>
      <c r="F36" s="13"/>
      <c r="G36" s="13"/>
      <c r="H36" s="13"/>
      <c r="I36" s="13"/>
    </row>
    <row r="37" spans="1:9" ht="16.5" customHeight="1">
      <c r="A37" s="13"/>
      <c r="B37" s="13"/>
      <c r="C37" s="336" t="s">
        <v>425</v>
      </c>
      <c r="D37" s="332">
        <f>+CAPM!G57</f>
        <v>0.11676575</v>
      </c>
      <c r="E37" s="320" t="s">
        <v>0</v>
      </c>
      <c r="F37" s="13"/>
      <c r="G37" s="13"/>
      <c r="H37" s="13"/>
      <c r="I37" s="13"/>
    </row>
    <row r="38" spans="1:9" ht="16.5" customHeight="1">
      <c r="A38" s="13"/>
      <c r="B38" s="13"/>
      <c r="C38" s="336" t="s">
        <v>426</v>
      </c>
      <c r="D38" s="332">
        <f>+CAPM!G58</f>
        <v>0.1069745</v>
      </c>
      <c r="E38" s="320"/>
      <c r="F38" s="13"/>
      <c r="G38" s="13"/>
      <c r="H38" s="13"/>
      <c r="I38" s="13"/>
    </row>
    <row r="39" spans="1:9" ht="18.75" customHeight="1">
      <c r="A39" s="13"/>
      <c r="B39" s="13"/>
      <c r="C39" s="336" t="s">
        <v>427</v>
      </c>
      <c r="D39" s="332">
        <f>+CAPM!G59</f>
        <v>9.5225000000000004E-2</v>
      </c>
      <c r="E39" s="323"/>
      <c r="F39" s="13"/>
      <c r="G39" s="13"/>
      <c r="H39" s="13"/>
      <c r="I39" s="13"/>
    </row>
    <row r="40" spans="1:9" ht="21.75" customHeight="1">
      <c r="A40" s="13"/>
      <c r="B40" s="13"/>
      <c r="C40" s="335" t="s">
        <v>262</v>
      </c>
      <c r="D40" s="200">
        <f>+'Single Stage Div Growth Model'!I39</f>
        <v>8.5999999999999993E-2</v>
      </c>
      <c r="G40" s="13"/>
      <c r="H40" s="13"/>
      <c r="I40" s="13"/>
    </row>
    <row r="41" spans="1:9" ht="21.75" customHeight="1">
      <c r="A41" s="13"/>
      <c r="B41" s="13"/>
      <c r="C41" s="335" t="s">
        <v>261</v>
      </c>
      <c r="D41" s="200">
        <f>+'Single Stage Div Growth Model'!I41</f>
        <v>9.7299999999999998E-2</v>
      </c>
      <c r="G41" s="13"/>
      <c r="H41" s="13"/>
      <c r="I41" s="13"/>
    </row>
    <row r="42" spans="1:9" ht="21.75" customHeight="1">
      <c r="A42" s="13"/>
      <c r="B42" s="13"/>
      <c r="C42" s="324" t="s">
        <v>263</v>
      </c>
      <c r="D42" s="325">
        <f>+'Two-Stage Dividend Growth Model'!H43</f>
        <v>9.3200000000000005E-2</v>
      </c>
      <c r="E42" s="13"/>
      <c r="F42" s="83" t="s">
        <v>0</v>
      </c>
      <c r="G42" s="84" t="s">
        <v>0</v>
      </c>
      <c r="H42" s="13"/>
      <c r="I42" s="13"/>
    </row>
    <row r="43" spans="1:9" ht="21.75" customHeight="1">
      <c r="A43" s="13"/>
      <c r="B43" s="13"/>
      <c r="C43" s="310" t="s">
        <v>371</v>
      </c>
      <c r="D43" s="311">
        <f>+'Direct NOPAT'!G77</f>
        <v>7.2099999999999997E-2</v>
      </c>
      <c r="E43" s="173" t="s">
        <v>0</v>
      </c>
      <c r="F43" s="13"/>
      <c r="G43" s="13"/>
      <c r="H43" s="13"/>
      <c r="I43" s="13"/>
    </row>
    <row r="44" spans="1:9" ht="17.25" thickBot="1">
      <c r="A44" s="13"/>
      <c r="B44" s="13"/>
      <c r="C44" s="13"/>
      <c r="D44" s="72"/>
      <c r="E44" s="13"/>
      <c r="F44" s="13"/>
      <c r="G44" s="13"/>
      <c r="H44" s="13"/>
      <c r="I44" s="13"/>
    </row>
    <row r="45" spans="1:9" ht="17.25" thickTop="1">
      <c r="A45" s="13"/>
      <c r="B45" s="13"/>
      <c r="C45" s="15" t="s">
        <v>65</v>
      </c>
      <c r="D45" s="53">
        <f>MAX(D14:D42)</f>
        <v>0.11676575</v>
      </c>
      <c r="E45" s="145"/>
      <c r="F45" s="13"/>
      <c r="G45" s="13"/>
      <c r="H45" s="13"/>
      <c r="I45" s="13"/>
    </row>
    <row r="46" spans="1:9" ht="16.5">
      <c r="A46" s="13"/>
      <c r="B46" s="13"/>
      <c r="C46" s="15" t="s">
        <v>66</v>
      </c>
      <c r="D46" s="313">
        <f>MIN(D14:D42)</f>
        <v>6.9803000000000004E-2</v>
      </c>
      <c r="E46" s="13"/>
      <c r="F46" s="13"/>
      <c r="G46" s="53"/>
      <c r="H46" s="53"/>
      <c r="I46" s="53"/>
    </row>
    <row r="47" spans="1:9" ht="16.5">
      <c r="A47" s="13"/>
      <c r="B47" s="13"/>
      <c r="C47" s="15" t="s">
        <v>18</v>
      </c>
      <c r="D47" s="84">
        <f>MEDIAN(D14:D42)</f>
        <v>9.7299999999999998E-2</v>
      </c>
      <c r="E47" s="84"/>
      <c r="F47" s="84"/>
      <c r="G47" s="84"/>
      <c r="H47" s="84"/>
      <c r="I47" s="84"/>
    </row>
    <row r="48" spans="1:9" ht="16.5">
      <c r="A48" s="13"/>
      <c r="B48" s="13"/>
      <c r="C48" s="15" t="s">
        <v>403</v>
      </c>
      <c r="D48" s="85">
        <f>AVERAGE(D14:D42)</f>
        <v>9.4683862068965535E-2</v>
      </c>
      <c r="E48" s="85"/>
      <c r="F48" s="85"/>
      <c r="G48" s="85"/>
      <c r="H48" s="85"/>
      <c r="I48" s="85"/>
    </row>
    <row r="49" spans="1:9" ht="16.5">
      <c r="A49" s="13"/>
      <c r="B49" s="13"/>
      <c r="C49" s="15"/>
      <c r="D49" s="85"/>
      <c r="E49" s="85"/>
      <c r="F49" s="85"/>
      <c r="G49" s="85"/>
      <c r="H49" s="85"/>
      <c r="I49" s="85"/>
    </row>
    <row r="50" spans="1:9" ht="35.25" customHeight="1" thickBot="1">
      <c r="A50" s="13"/>
      <c r="B50" s="13"/>
      <c r="C50" s="13"/>
      <c r="D50" s="13" t="s">
        <v>218</v>
      </c>
      <c r="E50" s="13"/>
      <c r="F50" s="13"/>
      <c r="G50" s="13"/>
      <c r="H50" s="13"/>
      <c r="I50" s="13"/>
    </row>
    <row r="51" spans="1:9" ht="27" thickBot="1">
      <c r="A51" s="13"/>
      <c r="B51" s="13"/>
      <c r="C51" s="190" t="s">
        <v>270</v>
      </c>
      <c r="D51" s="355">
        <v>9.4700000000000006E-2</v>
      </c>
      <c r="E51" s="86"/>
      <c r="F51" s="86"/>
    </row>
    <row r="52" spans="1:9" ht="26.25">
      <c r="A52" s="13"/>
      <c r="B52" s="13"/>
      <c r="C52" s="50"/>
      <c r="D52" s="337"/>
      <c r="E52" s="86"/>
      <c r="F52" s="86"/>
    </row>
    <row r="53" spans="1:9" ht="26.25">
      <c r="A53" s="13"/>
      <c r="B53" s="13"/>
      <c r="C53" s="50"/>
      <c r="D53" s="337"/>
      <c r="E53" s="86"/>
      <c r="F53" s="86"/>
    </row>
    <row r="54" spans="1:9" ht="16.5">
      <c r="B54" s="13"/>
      <c r="C54" s="13"/>
      <c r="D54" s="13"/>
      <c r="E54" s="13"/>
      <c r="F54" s="13"/>
      <c r="G54" s="13"/>
      <c r="H54" s="13"/>
      <c r="I54" s="13"/>
    </row>
    <row r="55" spans="1:9" ht="16.5">
      <c r="B55" s="13"/>
      <c r="C55" s="13"/>
      <c r="D55" s="13"/>
      <c r="E55" s="13"/>
      <c r="F55" s="13"/>
      <c r="G55" s="13"/>
      <c r="H55" s="13"/>
      <c r="I55" s="13"/>
    </row>
    <row r="56" spans="1:9" ht="16.5">
      <c r="A56" s="13"/>
      <c r="B56" s="13"/>
      <c r="C56" s="13"/>
      <c r="D56" s="13"/>
      <c r="E56" s="13"/>
      <c r="F56" s="13"/>
      <c r="G56" s="13"/>
      <c r="H56" s="13"/>
      <c r="I56" s="13"/>
    </row>
    <row r="57" spans="1:9" ht="16.5">
      <c r="A57" s="13"/>
      <c r="B57" s="13"/>
      <c r="C57" s="13"/>
      <c r="D57" s="13"/>
      <c r="E57" s="13"/>
      <c r="F57" s="13"/>
      <c r="G57" s="13"/>
      <c r="H57" s="13"/>
      <c r="I57" s="13"/>
    </row>
    <row r="58" spans="1:9" ht="16.5">
      <c r="A58" s="13"/>
      <c r="B58" s="13"/>
      <c r="C58" s="13"/>
      <c r="D58" s="13"/>
      <c r="E58" s="13"/>
      <c r="F58" s="13"/>
      <c r="G58" s="13"/>
      <c r="H58" s="13"/>
      <c r="I58" s="13"/>
    </row>
    <row r="59" spans="1:9" ht="17.25">
      <c r="A59" s="112" t="s">
        <v>271</v>
      </c>
      <c r="B59" s="13"/>
      <c r="C59" s="13"/>
      <c r="D59" s="13" t="s">
        <v>0</v>
      </c>
      <c r="E59" s="13"/>
      <c r="F59" s="13"/>
      <c r="G59" s="13"/>
      <c r="H59" s="13"/>
      <c r="I59" s="13"/>
    </row>
    <row r="60" spans="1:9" ht="17.25">
      <c r="A60" s="462" t="s">
        <v>374</v>
      </c>
      <c r="B60" s="462"/>
      <c r="C60" s="462"/>
      <c r="D60" s="462"/>
      <c r="E60" s="462"/>
      <c r="F60" s="13"/>
      <c r="G60" s="13"/>
      <c r="H60" s="13"/>
      <c r="I60" s="13"/>
    </row>
    <row r="61" spans="1:9" ht="16.5">
      <c r="A61" s="13"/>
      <c r="B61" s="13"/>
      <c r="C61" s="13"/>
      <c r="D61" s="13"/>
      <c r="E61" s="13"/>
      <c r="F61" s="13"/>
      <c r="G61" s="13"/>
      <c r="H61" s="13"/>
      <c r="I61" s="13"/>
    </row>
    <row r="62" spans="1:9" ht="16.5">
      <c r="A62" s="13"/>
      <c r="B62" s="13"/>
      <c r="C62" s="13"/>
      <c r="D62" s="13"/>
      <c r="E62" s="13"/>
      <c r="F62" s="13"/>
      <c r="G62" s="13"/>
      <c r="H62" s="13"/>
      <c r="I62" s="13"/>
    </row>
    <row r="63" spans="1:9" ht="16.5">
      <c r="A63" s="13"/>
      <c r="B63" s="13"/>
      <c r="C63" s="13"/>
      <c r="D63" s="13"/>
      <c r="E63" s="13"/>
      <c r="F63" s="13"/>
      <c r="G63" s="13"/>
      <c r="H63" s="13"/>
      <c r="I63" s="13"/>
    </row>
    <row r="64" spans="1:9" ht="16.5">
      <c r="A64" s="13"/>
      <c r="B64" s="13"/>
      <c r="C64" s="13"/>
      <c r="D64" s="13"/>
      <c r="E64" s="13"/>
      <c r="F64" s="13"/>
      <c r="G64" s="13"/>
      <c r="H64" s="13"/>
      <c r="I64" s="13"/>
    </row>
    <row r="65" spans="1:9" ht="16.5">
      <c r="A65" s="13"/>
      <c r="B65" s="13"/>
      <c r="C65" s="13"/>
      <c r="D65" s="13"/>
      <c r="E65" s="13"/>
      <c r="F65" s="13"/>
      <c r="G65" s="13"/>
      <c r="H65" s="13"/>
      <c r="I65" s="13"/>
    </row>
    <row r="66" spans="1:9" ht="16.5">
      <c r="A66" s="13"/>
      <c r="B66" s="13"/>
      <c r="C66" s="13"/>
      <c r="D66" s="13"/>
      <c r="E66" s="13"/>
      <c r="F66" s="13"/>
      <c r="G66" s="13"/>
      <c r="H66" s="13"/>
      <c r="I66" s="13"/>
    </row>
    <row r="67" spans="1:9" ht="16.5">
      <c r="A67" s="13"/>
      <c r="B67" s="13"/>
      <c r="C67" s="13"/>
      <c r="D67" s="13"/>
      <c r="E67" s="13"/>
      <c r="F67" s="13"/>
      <c r="G67" s="13"/>
      <c r="H67" s="13"/>
      <c r="I67" s="13"/>
    </row>
    <row r="68" spans="1:9" ht="16.5">
      <c r="A68" s="13"/>
      <c r="B68" s="13"/>
      <c r="C68" s="13"/>
      <c r="D68" s="13"/>
      <c r="E68" s="13"/>
      <c r="F68" s="13"/>
      <c r="G68" s="13"/>
      <c r="H68" s="13"/>
      <c r="I68" s="13"/>
    </row>
    <row r="69" spans="1:9" ht="16.5">
      <c r="A69" s="13"/>
      <c r="B69" s="13"/>
      <c r="C69" s="13"/>
      <c r="D69" s="13"/>
      <c r="E69" s="13"/>
      <c r="F69" s="13"/>
      <c r="G69" s="13"/>
      <c r="H69" s="13"/>
      <c r="I69" s="13"/>
    </row>
    <row r="70" spans="1:9" ht="16.5">
      <c r="A70" s="13"/>
      <c r="B70" s="13"/>
      <c r="C70" s="13"/>
      <c r="D70" s="13"/>
      <c r="E70" s="13"/>
      <c r="F70" s="13"/>
      <c r="G70" s="13"/>
      <c r="H70" s="13"/>
      <c r="I70" s="13"/>
    </row>
    <row r="71" spans="1:9" ht="16.5">
      <c r="A71" s="13"/>
      <c r="B71" s="13"/>
      <c r="C71" s="13"/>
      <c r="D71" s="13"/>
      <c r="E71" s="13"/>
      <c r="F71" s="13"/>
      <c r="G71" s="13"/>
      <c r="H71" s="13"/>
      <c r="I71" s="13"/>
    </row>
    <row r="72" spans="1:9" ht="16.5">
      <c r="A72" s="13"/>
      <c r="B72" s="13"/>
      <c r="C72" s="13"/>
      <c r="D72" s="13"/>
      <c r="E72" s="13"/>
      <c r="F72" s="13"/>
      <c r="G72" s="13"/>
      <c r="H72" s="13"/>
      <c r="I72" s="13"/>
    </row>
    <row r="73" spans="1:9" ht="16.5">
      <c r="A73" s="13"/>
      <c r="B73" s="13"/>
      <c r="C73" s="13"/>
      <c r="D73" s="13"/>
      <c r="E73" s="13"/>
      <c r="F73" s="13"/>
      <c r="G73" s="13"/>
      <c r="H73" s="13"/>
      <c r="I73" s="13"/>
    </row>
    <row r="74" spans="1:9" ht="16.5">
      <c r="A74" s="13"/>
      <c r="B74" s="13"/>
      <c r="C74" s="13"/>
      <c r="D74" s="13"/>
      <c r="E74" s="13"/>
      <c r="F74" s="13"/>
      <c r="G74" s="13"/>
      <c r="H74" s="13"/>
      <c r="I74" s="13"/>
    </row>
    <row r="75" spans="1:9" ht="16.5">
      <c r="A75" s="13"/>
      <c r="B75" s="13"/>
      <c r="C75" s="13"/>
      <c r="D75" s="13"/>
      <c r="E75" s="13"/>
      <c r="F75" s="13"/>
      <c r="G75" s="13"/>
      <c r="H75" s="13"/>
      <c r="I75" s="13"/>
    </row>
    <row r="76" spans="1:9" ht="16.5">
      <c r="A76" s="13"/>
      <c r="B76" s="13"/>
      <c r="C76" s="13"/>
      <c r="D76" s="13"/>
      <c r="E76" s="13"/>
      <c r="F76" s="13"/>
      <c r="G76" s="13"/>
      <c r="H76" s="13"/>
      <c r="I76" s="13"/>
    </row>
    <row r="77" spans="1:9" ht="16.5">
      <c r="A77" s="13"/>
      <c r="B77" s="13"/>
      <c r="C77" s="13"/>
      <c r="D77" s="13"/>
      <c r="E77" s="13"/>
      <c r="F77" s="13"/>
      <c r="G77" s="13"/>
      <c r="H77" s="13"/>
      <c r="I77" s="13"/>
    </row>
    <row r="78" spans="1:9" ht="16.5">
      <c r="A78" s="13"/>
      <c r="B78" s="13"/>
      <c r="C78" s="13"/>
      <c r="D78" s="13"/>
      <c r="E78" s="13"/>
      <c r="F78" s="13"/>
      <c r="G78" s="13"/>
      <c r="H78" s="13"/>
      <c r="I78" s="13"/>
    </row>
    <row r="79" spans="1:9" ht="16.5">
      <c r="A79" s="13"/>
      <c r="B79" s="13"/>
      <c r="C79" s="13"/>
      <c r="D79" s="13"/>
      <c r="E79" s="13"/>
      <c r="F79" s="13"/>
      <c r="G79" s="13"/>
      <c r="H79" s="13"/>
      <c r="I79" s="13"/>
    </row>
    <row r="80" spans="1:9" ht="16.5">
      <c r="A80" s="13"/>
      <c r="B80" s="13"/>
      <c r="C80" s="13"/>
      <c r="D80" s="13"/>
      <c r="E80" s="13"/>
      <c r="F80" s="13"/>
      <c r="G80" s="13"/>
      <c r="H80" s="13"/>
      <c r="I80" s="13"/>
    </row>
    <row r="81" spans="1:9" ht="16.5">
      <c r="A81" s="13"/>
      <c r="B81" s="13"/>
      <c r="C81" s="13"/>
      <c r="D81" s="13"/>
      <c r="E81" s="13"/>
      <c r="F81" s="13"/>
      <c r="G81" s="13"/>
      <c r="H81" s="13"/>
      <c r="I81" s="13"/>
    </row>
    <row r="82" spans="1:9" ht="16.5">
      <c r="A82" s="13"/>
      <c r="B82" s="13"/>
      <c r="C82" s="13"/>
      <c r="D82" s="13"/>
      <c r="E82" s="13"/>
      <c r="F82" s="13"/>
      <c r="G82" s="13"/>
      <c r="H82" s="13"/>
      <c r="I82" s="13"/>
    </row>
    <row r="83" spans="1:9" ht="16.5">
      <c r="A83" s="13"/>
      <c r="B83" s="13"/>
      <c r="C83" s="13"/>
      <c r="D83" s="13"/>
      <c r="E83" s="13"/>
      <c r="F83" s="13"/>
      <c r="G83" s="13"/>
      <c r="H83" s="13"/>
      <c r="I83" s="13"/>
    </row>
    <row r="84" spans="1:9" ht="16.5">
      <c r="A84" s="13"/>
      <c r="B84" s="13"/>
      <c r="C84" s="13"/>
      <c r="D84" s="13"/>
      <c r="E84" s="13"/>
      <c r="F84" s="13"/>
      <c r="G84" s="13"/>
      <c r="H84" s="13"/>
      <c r="I84" s="13"/>
    </row>
    <row r="85" spans="1:9" ht="16.5">
      <c r="A85" s="13"/>
      <c r="B85" s="13"/>
      <c r="C85" s="13"/>
      <c r="D85" s="13"/>
      <c r="E85" s="13"/>
      <c r="F85" s="13"/>
      <c r="G85" s="13"/>
      <c r="H85" s="13"/>
      <c r="I85" s="13"/>
    </row>
    <row r="86" spans="1:9" ht="16.5">
      <c r="A86" s="13"/>
      <c r="B86" s="13"/>
      <c r="C86" s="13"/>
      <c r="D86" s="13"/>
      <c r="E86" s="13"/>
      <c r="F86" s="13"/>
      <c r="G86" s="13"/>
      <c r="H86" s="13"/>
      <c r="I86" s="13"/>
    </row>
    <row r="87" spans="1:9" ht="16.5">
      <c r="A87" s="13"/>
      <c r="B87" s="13"/>
      <c r="C87" s="13"/>
      <c r="D87" s="13"/>
      <c r="E87" s="13"/>
      <c r="F87" s="13"/>
      <c r="G87" s="13"/>
      <c r="H87" s="13"/>
      <c r="I87" s="13"/>
    </row>
    <row r="88" spans="1:9" ht="16.5">
      <c r="A88" s="13"/>
      <c r="B88" s="13"/>
      <c r="C88" s="13"/>
      <c r="D88" s="13"/>
      <c r="E88" s="13"/>
      <c r="F88" s="13"/>
      <c r="G88" s="13"/>
      <c r="H88" s="13"/>
      <c r="I88" s="13"/>
    </row>
    <row r="89" spans="1:9" ht="16.5">
      <c r="A89" s="13"/>
      <c r="B89" s="13"/>
      <c r="C89" s="13"/>
      <c r="D89" s="13"/>
      <c r="E89" s="13"/>
      <c r="F89" s="13"/>
      <c r="G89" s="13"/>
      <c r="H89" s="13"/>
      <c r="I89" s="13"/>
    </row>
    <row r="90" spans="1:9" ht="16.5">
      <c r="A90" s="13"/>
      <c r="B90" s="13"/>
      <c r="C90" s="13"/>
      <c r="D90" s="13"/>
      <c r="E90" s="13"/>
      <c r="F90" s="13"/>
      <c r="G90" s="13"/>
      <c r="H90" s="13"/>
      <c r="I90" s="13"/>
    </row>
    <row r="91" spans="1:9" ht="16.5">
      <c r="A91" s="13"/>
      <c r="B91" s="13"/>
      <c r="C91" s="13"/>
      <c r="D91" s="13"/>
      <c r="E91" s="13"/>
      <c r="F91" s="13"/>
      <c r="G91" s="13"/>
      <c r="H91" s="13"/>
      <c r="I91" s="13"/>
    </row>
    <row r="92" spans="1:9" ht="16.5">
      <c r="A92" s="13"/>
      <c r="B92" s="13"/>
      <c r="C92" s="13"/>
      <c r="D92" s="13"/>
      <c r="E92" s="13"/>
      <c r="F92" s="13"/>
      <c r="G92" s="13"/>
      <c r="H92" s="13"/>
      <c r="I92" s="13"/>
    </row>
    <row r="93" spans="1:9" ht="16.5">
      <c r="A93" s="13"/>
      <c r="B93" s="13"/>
      <c r="C93" s="13"/>
      <c r="D93" s="13"/>
      <c r="E93" s="13"/>
      <c r="F93" s="13"/>
      <c r="G93" s="13"/>
      <c r="H93" s="13"/>
      <c r="I93" s="13"/>
    </row>
    <row r="94" spans="1:9" ht="16.5">
      <c r="A94" s="13"/>
      <c r="B94" s="13"/>
      <c r="C94" s="13"/>
      <c r="D94" s="13"/>
      <c r="E94" s="13"/>
      <c r="F94" s="13"/>
      <c r="G94" s="13"/>
      <c r="H94" s="13"/>
      <c r="I94" s="13"/>
    </row>
    <row r="95" spans="1:9" ht="16.5">
      <c r="A95" s="13"/>
      <c r="B95" s="13"/>
      <c r="C95" s="13"/>
      <c r="D95" s="13"/>
      <c r="E95" s="13"/>
      <c r="F95" s="13"/>
      <c r="G95" s="13"/>
      <c r="H95" s="13"/>
      <c r="I95" s="13"/>
    </row>
    <row r="96" spans="1:9" ht="16.5">
      <c r="A96" s="13"/>
      <c r="B96" s="13"/>
      <c r="C96" s="13"/>
      <c r="D96" s="13"/>
      <c r="E96" s="13"/>
      <c r="F96" s="13"/>
      <c r="G96" s="13"/>
      <c r="H96" s="13"/>
      <c r="I96" s="13"/>
    </row>
    <row r="97" spans="1:9" ht="16.5">
      <c r="A97" s="13"/>
      <c r="B97" s="13"/>
      <c r="C97" s="13"/>
      <c r="D97" s="13"/>
      <c r="E97" s="13"/>
      <c r="F97" s="13"/>
      <c r="G97" s="13"/>
      <c r="H97" s="13"/>
      <c r="I97" s="13"/>
    </row>
    <row r="98" spans="1:9" ht="16.5">
      <c r="A98" s="13"/>
      <c r="B98" s="13"/>
      <c r="C98" s="13"/>
      <c r="D98" s="13"/>
      <c r="E98" s="13"/>
      <c r="F98" s="13"/>
      <c r="G98" s="13"/>
      <c r="H98" s="13"/>
      <c r="I98" s="13"/>
    </row>
    <row r="99" spans="1:9" ht="16.5">
      <c r="A99" s="13"/>
      <c r="B99" s="13"/>
      <c r="C99" s="13"/>
      <c r="D99" s="13"/>
      <c r="E99" s="13"/>
      <c r="F99" s="13"/>
      <c r="G99" s="13"/>
      <c r="H99" s="13"/>
      <c r="I99" s="13"/>
    </row>
    <row r="100" spans="1:9" ht="16.5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ht="16.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ht="16.5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ht="16.5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ht="16.5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ht="16.5">
      <c r="A105" s="13"/>
      <c r="B105" s="13"/>
      <c r="C105" s="13"/>
      <c r="D105" s="13"/>
      <c r="E105" s="13"/>
      <c r="F105" s="13"/>
      <c r="G105" s="13"/>
      <c r="H105" s="13"/>
      <c r="I105" s="13"/>
    </row>
  </sheetData>
  <mergeCells count="1">
    <mergeCell ref="A60:E60"/>
  </mergeCells>
  <pageMargins left="0.25" right="0.25" top="0.75" bottom="0.75" header="0.3" footer="0.3"/>
  <pageSetup scale="4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EAA8-BBA3-479C-8851-708BD7E9A4CD}">
  <sheetPr>
    <tabColor rgb="FF92D050"/>
  </sheetPr>
  <dimension ref="A1:K55"/>
  <sheetViews>
    <sheetView view="pageBreakPreview" topLeftCell="A3" zoomScale="70" zoomScaleNormal="80" zoomScaleSheetLayoutView="70" workbookViewId="0">
      <selection activeCell="I42" sqref="I42"/>
    </sheetView>
  </sheetViews>
  <sheetFormatPr defaultRowHeight="15"/>
  <cols>
    <col min="1" max="1" width="45.140625" customWidth="1"/>
    <col min="2" max="2" width="10.85546875" bestFit="1" customWidth="1"/>
    <col min="3" max="3" width="23.5703125" customWidth="1"/>
    <col min="4" max="4" width="15.42578125" customWidth="1"/>
    <col min="5" max="5" width="27.140625" customWidth="1"/>
    <col min="6" max="6" width="22" customWidth="1"/>
    <col min="7" max="7" width="29.42578125" customWidth="1"/>
    <col min="8" max="8" width="37" customWidth="1"/>
    <col min="9" max="9" width="24.5703125" customWidth="1"/>
    <col min="10" max="10" width="24.140625" customWidth="1"/>
    <col min="12" max="12" width="10.5703125" customWidth="1"/>
  </cols>
  <sheetData>
    <row r="1" spans="1:11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6.5">
      <c r="A3" s="27" t="s">
        <v>435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6.5">
      <c r="A4" s="27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7.25" thickBot="1">
      <c r="A5" s="13"/>
      <c r="B5" s="13"/>
      <c r="C5" s="13"/>
      <c r="D5" s="13"/>
      <c r="E5" s="13"/>
      <c r="F5" s="13"/>
      <c r="G5" s="13"/>
      <c r="H5" s="28"/>
      <c r="I5" s="13"/>
      <c r="J5" s="13"/>
      <c r="K5" s="13"/>
    </row>
    <row r="6" spans="1:11" ht="18" thickBot="1">
      <c r="A6" s="247" t="str">
        <f>+'S&amp;D'!A12</f>
        <v>Electric Utilities</v>
      </c>
      <c r="B6" s="181"/>
      <c r="C6" s="13"/>
      <c r="D6" s="30"/>
      <c r="E6" s="30"/>
      <c r="F6" s="30"/>
      <c r="G6" s="31" t="s">
        <v>0</v>
      </c>
      <c r="H6" s="30"/>
      <c r="I6" s="13"/>
      <c r="J6" s="13"/>
      <c r="K6" s="13"/>
    </row>
    <row r="7" spans="1:11" ht="26.25">
      <c r="A7" s="32"/>
      <c r="B7" s="13"/>
      <c r="C7" s="13"/>
      <c r="D7" s="13"/>
      <c r="E7" s="13"/>
      <c r="F7" s="33" t="s">
        <v>398</v>
      </c>
      <c r="G7" s="13"/>
      <c r="H7" s="13"/>
      <c r="I7" s="13"/>
      <c r="J7" s="13"/>
      <c r="K7" s="13"/>
    </row>
    <row r="8" spans="1:11" ht="21" thickBot="1">
      <c r="A8" s="32"/>
      <c r="B8" s="13"/>
      <c r="C8" s="13"/>
      <c r="D8" s="30"/>
      <c r="E8" s="30"/>
      <c r="F8" s="34" t="s">
        <v>436</v>
      </c>
      <c r="G8" s="30"/>
      <c r="H8" s="30"/>
      <c r="I8" s="13"/>
      <c r="J8" s="13"/>
      <c r="K8" s="13"/>
    </row>
    <row r="9" spans="1:11" ht="17.25" thickBot="1">
      <c r="A9" s="35" t="s">
        <v>0</v>
      </c>
      <c r="B9" s="35" t="s">
        <v>0</v>
      </c>
      <c r="C9" s="35" t="s">
        <v>0</v>
      </c>
      <c r="D9" s="30"/>
      <c r="E9" s="35"/>
      <c r="F9" s="35" t="s">
        <v>0</v>
      </c>
      <c r="G9" s="35"/>
      <c r="H9" s="30"/>
      <c r="I9" s="30"/>
      <c r="J9" s="30"/>
      <c r="K9" s="13"/>
    </row>
    <row r="10" spans="1:11" ht="16.5">
      <c r="A10" s="36" t="s">
        <v>0</v>
      </c>
      <c r="B10" s="36" t="s">
        <v>3</v>
      </c>
      <c r="C10" s="36" t="s">
        <v>5</v>
      </c>
      <c r="D10" s="36" t="s">
        <v>191</v>
      </c>
      <c r="E10" s="36" t="s">
        <v>12</v>
      </c>
      <c r="F10" s="36" t="s">
        <v>203</v>
      </c>
      <c r="G10" s="36" t="s">
        <v>204</v>
      </c>
      <c r="H10" s="36" t="s">
        <v>204</v>
      </c>
      <c r="I10" s="36" t="s">
        <v>200</v>
      </c>
      <c r="J10" s="36" t="s">
        <v>200</v>
      </c>
      <c r="K10" s="13"/>
    </row>
    <row r="11" spans="1:11" ht="16.5">
      <c r="A11" s="36" t="s">
        <v>2</v>
      </c>
      <c r="B11" s="36" t="s">
        <v>4</v>
      </c>
      <c r="C11" s="36" t="s">
        <v>6</v>
      </c>
      <c r="D11" s="36" t="s">
        <v>231</v>
      </c>
      <c r="E11" s="36" t="s">
        <v>14</v>
      </c>
      <c r="F11" s="36" t="s">
        <v>392</v>
      </c>
      <c r="G11" s="36" t="s">
        <v>232</v>
      </c>
      <c r="H11" s="36" t="s">
        <v>233</v>
      </c>
      <c r="I11" s="36" t="s">
        <v>194</v>
      </c>
      <c r="J11" s="36" t="s">
        <v>198</v>
      </c>
      <c r="K11" s="13"/>
    </row>
    <row r="12" spans="1:11" ht="16.5">
      <c r="A12" s="36"/>
      <c r="B12" s="36"/>
      <c r="C12" s="36"/>
      <c r="D12" s="36"/>
      <c r="E12" s="36"/>
      <c r="F12" s="37" t="s">
        <v>0</v>
      </c>
      <c r="G12" s="37" t="s">
        <v>502</v>
      </c>
      <c r="H12" s="37" t="s">
        <v>502</v>
      </c>
      <c r="I12" s="36"/>
      <c r="J12" s="36"/>
      <c r="K12" s="13"/>
    </row>
    <row r="13" spans="1:11" ht="17.25" thickBot="1">
      <c r="A13" s="38" t="s">
        <v>0</v>
      </c>
      <c r="B13" s="39" t="s">
        <v>123</v>
      </c>
      <c r="C13" s="39" t="s">
        <v>124</v>
      </c>
      <c r="D13" s="39" t="s">
        <v>125</v>
      </c>
      <c r="E13" s="39" t="s">
        <v>126</v>
      </c>
      <c r="F13" s="39" t="s">
        <v>127</v>
      </c>
      <c r="G13" s="39" t="s">
        <v>128</v>
      </c>
      <c r="H13" s="39" t="s">
        <v>129</v>
      </c>
      <c r="I13" s="39" t="s">
        <v>201</v>
      </c>
      <c r="J13" s="39" t="s">
        <v>202</v>
      </c>
      <c r="K13" s="13"/>
    </row>
    <row r="14" spans="1:11" ht="16.5">
      <c r="A14" s="40" t="s">
        <v>7</v>
      </c>
      <c r="B14" s="40" t="s">
        <v>7</v>
      </c>
      <c r="C14" s="40" t="s">
        <v>7</v>
      </c>
      <c r="D14" s="41" t="s">
        <v>147</v>
      </c>
      <c r="E14" s="41"/>
      <c r="F14" s="40" t="s">
        <v>7</v>
      </c>
      <c r="G14" s="40" t="s">
        <v>7</v>
      </c>
      <c r="H14" s="40" t="s">
        <v>7</v>
      </c>
      <c r="I14" s="40" t="s">
        <v>0</v>
      </c>
      <c r="J14" s="40" t="s">
        <v>0</v>
      </c>
      <c r="K14" s="13"/>
    </row>
    <row r="15" spans="1:11" ht="16.5">
      <c r="A15" s="36"/>
      <c r="B15" s="36"/>
      <c r="C15" s="36"/>
      <c r="D15" s="36"/>
      <c r="E15" s="36"/>
      <c r="F15" s="36"/>
      <c r="G15" s="36"/>
      <c r="H15" s="13"/>
      <c r="I15" s="13"/>
      <c r="J15" s="13"/>
      <c r="K15" s="13"/>
    </row>
    <row r="16" spans="1:11" ht="16.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7.25">
      <c r="A17" s="45" t="str">
        <f>+'S&amp;D'!A22</f>
        <v>ALLETE Inc</v>
      </c>
      <c r="B17" s="36" t="str">
        <f>+'S&amp;D'!B22</f>
        <v>ALE</v>
      </c>
      <c r="C17" s="36" t="str">
        <f>+'S&amp;D'!C22</f>
        <v>Electric Utility - Cent</v>
      </c>
      <c r="D17" s="61">
        <f>+'S&amp;D'!G22</f>
        <v>64.8</v>
      </c>
      <c r="E17" s="62">
        <f>+'S&amp;D'!D47</f>
        <v>3751920000</v>
      </c>
      <c r="F17" s="55">
        <f>+'Dividends '!H16</f>
        <v>4.7530864197530866E-2</v>
      </c>
      <c r="G17" s="55">
        <v>3.5000000000000003E-2</v>
      </c>
      <c r="H17" s="55">
        <v>0.06</v>
      </c>
      <c r="I17" s="307">
        <f>+F17+G17</f>
        <v>8.2530864197530862E-2</v>
      </c>
      <c r="J17" s="307">
        <f>+F17+H17</f>
        <v>0.10753086419753086</v>
      </c>
      <c r="K17" s="13"/>
    </row>
    <row r="18" spans="1:11" ht="17.25">
      <c r="A18" s="45" t="str">
        <f>+'S&amp;D'!A23</f>
        <v>Alliant Energy</v>
      </c>
      <c r="B18" s="36" t="str">
        <f>+'S&amp;D'!B23</f>
        <v>LNT</v>
      </c>
      <c r="C18" s="36" t="str">
        <f>+'S&amp;D'!C23</f>
        <v>Electric Utility - Cent</v>
      </c>
      <c r="D18" s="61">
        <f>+'S&amp;D'!G23</f>
        <v>59.14</v>
      </c>
      <c r="E18" s="62">
        <f>+'S&amp;D'!D48</f>
        <v>15180659729.08</v>
      </c>
      <c r="F18" s="55">
        <f>+'Dividends '!H17</f>
        <v>3.6523503550896182E-2</v>
      </c>
      <c r="G18" s="55">
        <v>0.06</v>
      </c>
      <c r="H18" s="55">
        <v>0.06</v>
      </c>
      <c r="I18" s="307">
        <f t="shared" ref="I18:I32" si="0">+F18+G18</f>
        <v>9.6523503550896173E-2</v>
      </c>
      <c r="J18" s="307">
        <f t="shared" ref="J18:J32" si="1">+F18+H18</f>
        <v>9.6523503550896173E-2</v>
      </c>
      <c r="K18" s="13"/>
    </row>
    <row r="19" spans="1:11" ht="17.25">
      <c r="A19" s="45" t="str">
        <f>+'S&amp;D'!A24</f>
        <v>AMEREN Corporation</v>
      </c>
      <c r="B19" s="36" t="str">
        <f>+'S&amp;D'!B24</f>
        <v>AEE</v>
      </c>
      <c r="C19" s="36" t="str">
        <f>+'S&amp;D'!C24</f>
        <v>Electric Utility - Cent</v>
      </c>
      <c r="D19" s="61">
        <f>+'S&amp;D'!G24</f>
        <v>89.14</v>
      </c>
      <c r="E19" s="62">
        <f>+'S&amp;D'!D49</f>
        <v>24058886000</v>
      </c>
      <c r="F19" s="55">
        <f>+'Dividends '!H18</f>
        <v>3.3991474085707872E-2</v>
      </c>
      <c r="G19" s="55">
        <v>6.5000000000000002E-2</v>
      </c>
      <c r="H19" s="55">
        <v>6.5000000000000002E-2</v>
      </c>
      <c r="I19" s="307">
        <f t="shared" si="0"/>
        <v>9.8991474085707881E-2</v>
      </c>
      <c r="J19" s="307">
        <f t="shared" si="1"/>
        <v>9.8991474085707881E-2</v>
      </c>
      <c r="K19" s="13"/>
    </row>
    <row r="20" spans="1:11" ht="17.25">
      <c r="A20" s="45" t="str">
        <f>+'S&amp;D'!A25</f>
        <v>American Electric Power</v>
      </c>
      <c r="B20" s="36" t="str">
        <f>+'S&amp;D'!B25</f>
        <v>AEP</v>
      </c>
      <c r="C20" s="36" t="str">
        <f>+'S&amp;D'!C25</f>
        <v>Electric Utility - Cent</v>
      </c>
      <c r="D20" s="61">
        <f>+'S&amp;D'!G25</f>
        <v>92.23</v>
      </c>
      <c r="E20" s="62">
        <f>+'S&amp;D'!D50</f>
        <v>49150078554.450005</v>
      </c>
      <c r="F20" s="55">
        <f>+'Dividends '!H19</f>
        <v>4.3152987097473706E-2</v>
      </c>
      <c r="G20" s="55">
        <v>5.5E-2</v>
      </c>
      <c r="H20" s="55">
        <v>6.5000000000000002E-2</v>
      </c>
      <c r="I20" s="307">
        <f t="shared" si="0"/>
        <v>9.8152987097473707E-2</v>
      </c>
      <c r="J20" s="307">
        <f t="shared" si="1"/>
        <v>0.1081529870974737</v>
      </c>
      <c r="K20" s="13"/>
    </row>
    <row r="21" spans="1:11" ht="17.25">
      <c r="A21" s="45" t="str">
        <f>+'S&amp;D'!A26</f>
        <v>Centerpoint Energy</v>
      </c>
      <c r="B21" s="36" t="str">
        <f>+'S&amp;D'!B26</f>
        <v>CNP</v>
      </c>
      <c r="C21" s="36" t="str">
        <f>+'S&amp;D'!C26</f>
        <v>Electric Utility - Cent</v>
      </c>
      <c r="D21" s="61">
        <f>+'S&amp;D'!G26</f>
        <v>31.73</v>
      </c>
      <c r="E21" s="62">
        <f>+'S&amp;D'!D51</f>
        <v>20679306467.48</v>
      </c>
      <c r="F21" s="55">
        <f>+'Dividends '!H20</f>
        <v>2.9940119760479039E-2</v>
      </c>
      <c r="G21" s="55">
        <v>0.06</v>
      </c>
      <c r="H21" s="55">
        <v>6.5000000000000002E-2</v>
      </c>
      <c r="I21" s="307">
        <f>+F21+G21</f>
        <v>8.994011976047904E-2</v>
      </c>
      <c r="J21" s="307">
        <f>+F21+H21</f>
        <v>9.4940119760479044E-2</v>
      </c>
      <c r="K21" s="13"/>
    </row>
    <row r="22" spans="1:11" ht="17.25">
      <c r="A22" s="45" t="str">
        <f>+'S&amp;D'!A27</f>
        <v>CMS Energy</v>
      </c>
      <c r="B22" s="36" t="str">
        <f>+'S&amp;D'!B27</f>
        <v>CMS</v>
      </c>
      <c r="C22" s="36" t="str">
        <f>+'S&amp;D'!C27</f>
        <v>Electric Utility - Cent</v>
      </c>
      <c r="D22" s="61">
        <f>+'S&amp;D'!G27</f>
        <v>66.650000000000006</v>
      </c>
      <c r="E22" s="62">
        <f>+'S&amp;D'!D52</f>
        <v>19915020000</v>
      </c>
      <c r="F22" s="55">
        <f>+'Dividends '!H21</f>
        <v>3.4508627156789193E-2</v>
      </c>
      <c r="G22" s="55">
        <v>0.05</v>
      </c>
      <c r="H22" s="55">
        <v>0.06</v>
      </c>
      <c r="I22" s="307">
        <f t="shared" si="0"/>
        <v>8.4508627156789196E-2</v>
      </c>
      <c r="J22" s="307">
        <f t="shared" si="1"/>
        <v>9.4508627156789191E-2</v>
      </c>
      <c r="K22" s="13"/>
    </row>
    <row r="23" spans="1:11" ht="17.25">
      <c r="A23" s="45" t="str">
        <f>+'S&amp;D'!A28</f>
        <v>DTE Energy</v>
      </c>
      <c r="B23" s="36" t="str">
        <f>+'S&amp;D'!B28</f>
        <v>DTE</v>
      </c>
      <c r="C23" s="36" t="str">
        <f>+'S&amp;D'!C28</f>
        <v>Electric Utility - Cent</v>
      </c>
      <c r="D23" s="61">
        <f>+'S&amp;D'!G28</f>
        <v>120.75</v>
      </c>
      <c r="E23" s="62">
        <f>+'S&amp;D'!D53</f>
        <v>25015968526.5</v>
      </c>
      <c r="F23" s="55">
        <f>+'Dividends '!H22</f>
        <v>3.900621118012422E-2</v>
      </c>
      <c r="G23" s="55">
        <v>0.03</v>
      </c>
      <c r="H23" s="55">
        <v>4.4999999999999998E-2</v>
      </c>
      <c r="I23" s="307">
        <f t="shared" si="0"/>
        <v>6.9006211180124219E-2</v>
      </c>
      <c r="J23" s="307">
        <f t="shared" si="1"/>
        <v>8.4006211180124218E-2</v>
      </c>
      <c r="K23" s="13"/>
    </row>
    <row r="24" spans="1:11" ht="17.25">
      <c r="A24" s="45" t="str">
        <f>+'S&amp;D'!A29</f>
        <v>Duke Energy</v>
      </c>
      <c r="B24" s="36" t="str">
        <f>+'S&amp;D'!B29</f>
        <v>DUK</v>
      </c>
      <c r="C24" s="36" t="str">
        <f>+'S&amp;D'!C29</f>
        <v>Electric Utility - East</v>
      </c>
      <c r="D24" s="61">
        <f>+'S&amp;D'!G29</f>
        <v>107.74</v>
      </c>
      <c r="E24" s="62">
        <f>+'S&amp;D'!D54</f>
        <v>83606240000</v>
      </c>
      <c r="F24" s="55">
        <f>+'Dividends '!H23</f>
        <v>3.991089660293299E-2</v>
      </c>
      <c r="G24" s="55">
        <v>3.5000000000000003E-2</v>
      </c>
      <c r="H24" s="55">
        <v>0.06</v>
      </c>
      <c r="I24" s="307">
        <f t="shared" si="0"/>
        <v>7.4910896602932986E-2</v>
      </c>
      <c r="J24" s="307">
        <f t="shared" si="1"/>
        <v>9.991089660293298E-2</v>
      </c>
      <c r="K24" s="13"/>
    </row>
    <row r="25" spans="1:11" ht="17.25">
      <c r="A25" s="45" t="str">
        <f>+'S&amp;D'!A30</f>
        <v>Entergy Corp</v>
      </c>
      <c r="B25" s="36" t="str">
        <f>+'S&amp;D'!B30</f>
        <v>ETR</v>
      </c>
      <c r="C25" s="36" t="str">
        <f>+'S&amp;D'!C30</f>
        <v>Electric Utility - Cent</v>
      </c>
      <c r="D25" s="61">
        <f>+'S&amp;D'!G30</f>
        <v>75.819999999999993</v>
      </c>
      <c r="E25" s="62">
        <f>+'S&amp;D'!D55</f>
        <v>32570787141.119999</v>
      </c>
      <c r="F25" s="55">
        <f>+'Dividends '!H24</f>
        <v>3.3632286995515695E-2</v>
      </c>
      <c r="G25" s="55">
        <v>5.5E-2</v>
      </c>
      <c r="H25" s="55">
        <v>0.03</v>
      </c>
      <c r="I25" s="307">
        <f t="shared" si="0"/>
        <v>8.8632286995515702E-2</v>
      </c>
      <c r="J25" s="307">
        <f t="shared" si="1"/>
        <v>6.3632286995515694E-2</v>
      </c>
      <c r="K25" s="13"/>
    </row>
    <row r="26" spans="1:11" ht="17.25">
      <c r="A26" s="45" t="str">
        <f>+'S&amp;D'!A31</f>
        <v>Evergy Inc</v>
      </c>
      <c r="B26" s="36" t="str">
        <f>+'S&amp;D'!B31</f>
        <v>EVRG</v>
      </c>
      <c r="C26" s="36" t="str">
        <f>+'S&amp;D'!C31</f>
        <v>Electric Utility - Cent</v>
      </c>
      <c r="D26" s="61">
        <f>+'S&amp;D'!G31</f>
        <v>61.55</v>
      </c>
      <c r="E26" s="62">
        <f>+'S&amp;D'!D56</f>
        <v>14155491503.25</v>
      </c>
      <c r="F26" s="55">
        <f>+'Dividends '!H25</f>
        <v>4.614134849715678E-2</v>
      </c>
      <c r="G26" s="55">
        <v>7.0000000000000007E-2</v>
      </c>
      <c r="H26" s="55">
        <v>7.4999999999999997E-2</v>
      </c>
      <c r="I26" s="307">
        <f t="shared" ref="I26" si="2">+F26+G26</f>
        <v>0.11614134849715679</v>
      </c>
      <c r="J26" s="307">
        <f t="shared" ref="J26" si="3">+F26+H26</f>
        <v>0.12114134849715677</v>
      </c>
      <c r="K26" s="13"/>
    </row>
    <row r="27" spans="1:11" ht="17.25">
      <c r="A27" s="45" t="str">
        <f>+'S&amp;D'!A32</f>
        <v>FirstEnergy Corp</v>
      </c>
      <c r="B27" s="36" t="str">
        <f>+'S&amp;D'!B32</f>
        <v>FE</v>
      </c>
      <c r="C27" s="36" t="str">
        <f>+'S&amp;D'!C32</f>
        <v>Electric Utility - East</v>
      </c>
      <c r="D27" s="61">
        <f>+'S&amp;D'!G32</f>
        <v>39.78</v>
      </c>
      <c r="E27" s="62">
        <f>+'S&amp;D'!D57</f>
        <v>22937635106.100002</v>
      </c>
      <c r="F27" s="55">
        <f>+'Dividends '!H26</f>
        <v>4.6757164404223228E-2</v>
      </c>
      <c r="G27" s="55">
        <v>4.4999999999999998E-2</v>
      </c>
      <c r="H27" s="55">
        <v>4.4999999999999998E-2</v>
      </c>
      <c r="I27" s="307">
        <f t="shared" si="0"/>
        <v>9.1757164404223227E-2</v>
      </c>
      <c r="J27" s="307">
        <f t="shared" si="1"/>
        <v>9.1757164404223227E-2</v>
      </c>
      <c r="K27" s="13"/>
    </row>
    <row r="28" spans="1:11" ht="17.25">
      <c r="A28" s="45" t="str">
        <f>+'S&amp;D'!A33</f>
        <v>OGE Energy Corp.</v>
      </c>
      <c r="B28" s="36" t="str">
        <f>+'S&amp;D'!B33</f>
        <v>OGE</v>
      </c>
      <c r="C28" s="36" t="str">
        <f>+'S&amp;D'!C33</f>
        <v>Electric Utility - Cent</v>
      </c>
      <c r="D28" s="61">
        <f>+'S&amp;D'!G33</f>
        <v>41.25</v>
      </c>
      <c r="E28" s="62">
        <f>+'S&amp;D'!D58</f>
        <v>8291250000</v>
      </c>
      <c r="F28" s="55">
        <f>+'Dividends '!H27</f>
        <v>4.1939393939393936E-2</v>
      </c>
      <c r="G28" s="55">
        <v>0.03</v>
      </c>
      <c r="H28" s="55">
        <v>6.5000000000000002E-2</v>
      </c>
      <c r="I28" s="307">
        <f t="shared" si="0"/>
        <v>7.1939393939393942E-2</v>
      </c>
      <c r="J28" s="307">
        <f t="shared" si="1"/>
        <v>0.10693939393939395</v>
      </c>
      <c r="K28" s="13"/>
    </row>
    <row r="29" spans="1:11" ht="17.25">
      <c r="A29" s="45" t="str">
        <f>+'S&amp;D'!A34</f>
        <v>Otter Tail Corp</v>
      </c>
      <c r="B29" s="36" t="str">
        <f>+'S&amp;D'!B34</f>
        <v>OTTR</v>
      </c>
      <c r="C29" s="36" t="str">
        <f>+'S&amp;D'!C34</f>
        <v>Electric Utility - Cent</v>
      </c>
      <c r="D29" s="61">
        <f>+'S&amp;D'!G34</f>
        <v>73.84</v>
      </c>
      <c r="E29" s="62">
        <f>+'S&amp;D'!D59</f>
        <v>15442897600</v>
      </c>
      <c r="F29" s="55">
        <f>+'Dividends '!H28</f>
        <v>2.9523293607800649E-2</v>
      </c>
      <c r="G29" s="55">
        <v>7.0000000000000007E-2</v>
      </c>
      <c r="H29" s="55">
        <v>4.4999999999999998E-2</v>
      </c>
      <c r="I29" s="307">
        <f t="shared" si="0"/>
        <v>9.9523293607800656E-2</v>
      </c>
      <c r="J29" s="307">
        <f t="shared" si="1"/>
        <v>7.4523293607800647E-2</v>
      </c>
      <c r="K29" s="13"/>
    </row>
    <row r="30" spans="1:11" ht="17.25">
      <c r="A30" s="45" t="str">
        <f>+'S&amp;D'!A35</f>
        <v>PPL Corporation</v>
      </c>
      <c r="B30" s="36" t="str">
        <f>+'S&amp;D'!B35</f>
        <v>PPL</v>
      </c>
      <c r="C30" s="36" t="str">
        <f>+'S&amp;D'!C35</f>
        <v>Electric Utility - East</v>
      </c>
      <c r="D30" s="61">
        <f>+'S&amp;D'!G35</f>
        <v>32.46</v>
      </c>
      <c r="E30" s="62">
        <f>+'S&amp;D'!D60</f>
        <v>23956551180</v>
      </c>
      <c r="F30" s="55">
        <f>+'Dividends '!H29</f>
        <v>3.6044362292051754E-2</v>
      </c>
      <c r="G30" s="55">
        <v>-5.0000000000000001E-3</v>
      </c>
      <c r="H30" s="55">
        <v>7.4999999999999997E-2</v>
      </c>
      <c r="I30" s="307">
        <f t="shared" ref="I30" si="4">+F30+G30</f>
        <v>3.1044362292051753E-2</v>
      </c>
      <c r="J30" s="307">
        <f t="shared" ref="J30" si="5">+F30+H30</f>
        <v>0.11104436229205175</v>
      </c>
      <c r="K30" s="13"/>
    </row>
    <row r="31" spans="1:11" ht="17.25">
      <c r="A31" s="45" t="str">
        <f>+'S&amp;D'!A36</f>
        <v>The Southern Company</v>
      </c>
      <c r="B31" s="36" t="str">
        <f>+'S&amp;D'!B36</f>
        <v>SO</v>
      </c>
      <c r="C31" s="36" t="str">
        <f>+'S&amp;D'!C36</f>
        <v>Electric Utility - East</v>
      </c>
      <c r="D31" s="61">
        <f>+'S&amp;D'!G36</f>
        <v>82.32</v>
      </c>
      <c r="E31" s="62">
        <f>+'S&amp;D'!D61</f>
        <v>90469680000</v>
      </c>
      <c r="F31" s="55">
        <f>+'Dividends '!H30</f>
        <v>3.7050534499514093E-2</v>
      </c>
      <c r="G31" s="55">
        <v>3.5000000000000003E-2</v>
      </c>
      <c r="H31" s="55">
        <v>6.5000000000000002E-2</v>
      </c>
      <c r="I31" s="307">
        <f t="shared" si="0"/>
        <v>7.2050534499514096E-2</v>
      </c>
      <c r="J31" s="307">
        <f t="shared" si="1"/>
        <v>0.1020505344995141</v>
      </c>
      <c r="K31" s="13"/>
    </row>
    <row r="32" spans="1:11" ht="18" thickBot="1">
      <c r="A32" s="45" t="str">
        <f>+'S&amp;D'!A37</f>
        <v>WEC Energy Group</v>
      </c>
      <c r="B32" s="36" t="str">
        <f>+'S&amp;D'!B37</f>
        <v>WEC</v>
      </c>
      <c r="C32" s="36" t="str">
        <f>+'S&amp;D'!C37</f>
        <v>Electric Utility - Cent</v>
      </c>
      <c r="D32" s="61">
        <f>+'S&amp;D'!G37</f>
        <v>94.04</v>
      </c>
      <c r="E32" s="62">
        <f>+'S&amp;D'!D62</f>
        <v>29663463295.240002</v>
      </c>
      <c r="F32" s="308">
        <f>+'Dividends '!H31</f>
        <v>4.0514674606550401E-2</v>
      </c>
      <c r="G32" s="308">
        <v>7.0000000000000007E-2</v>
      </c>
      <c r="H32" s="308">
        <v>0.06</v>
      </c>
      <c r="I32" s="309">
        <f t="shared" si="0"/>
        <v>0.1105146746065504</v>
      </c>
      <c r="J32" s="309">
        <f t="shared" si="1"/>
        <v>0.10051467460655039</v>
      </c>
      <c r="K32" s="13"/>
    </row>
    <row r="33" spans="1:11" ht="17.25" thickTop="1">
      <c r="A33" s="13"/>
      <c r="B33" s="13"/>
      <c r="C33" s="15" t="s">
        <v>0</v>
      </c>
      <c r="D33" s="16" t="s">
        <v>0</v>
      </c>
      <c r="E33" s="16" t="s">
        <v>65</v>
      </c>
      <c r="F33" s="369">
        <f>MAX(F17:F32)</f>
        <v>4.7530864197530866E-2</v>
      </c>
      <c r="G33" s="281">
        <f t="shared" ref="G33:J33" si="6">MAX(G17:G32)</f>
        <v>7.0000000000000007E-2</v>
      </c>
      <c r="H33" s="281">
        <f t="shared" si="6"/>
        <v>7.4999999999999997E-2</v>
      </c>
      <c r="I33" s="281">
        <f t="shared" si="6"/>
        <v>0.11614134849715679</v>
      </c>
      <c r="J33" s="281">
        <f t="shared" si="6"/>
        <v>0.12114134849715677</v>
      </c>
      <c r="K33" s="13"/>
    </row>
    <row r="34" spans="1:11" ht="16.5">
      <c r="A34" s="13"/>
      <c r="B34" s="13"/>
      <c r="C34" s="15"/>
      <c r="D34" s="16"/>
      <c r="E34" s="16" t="s">
        <v>66</v>
      </c>
      <c r="F34" s="370">
        <f>MIN(F17:F32)</f>
        <v>2.9523293607800649E-2</v>
      </c>
      <c r="G34" s="282">
        <f t="shared" ref="G34:J34" si="7">MIN(G17:G32)</f>
        <v>-5.0000000000000001E-3</v>
      </c>
      <c r="H34" s="282">
        <f t="shared" si="7"/>
        <v>0.03</v>
      </c>
      <c r="I34" s="282">
        <f t="shared" si="7"/>
        <v>3.1044362292051753E-2</v>
      </c>
      <c r="J34" s="282">
        <f t="shared" si="7"/>
        <v>6.3632286995515694E-2</v>
      </c>
      <c r="K34" s="13"/>
    </row>
    <row r="35" spans="1:11" ht="16.5">
      <c r="A35" s="13"/>
      <c r="B35" s="13"/>
      <c r="D35" s="18" t="s">
        <v>0</v>
      </c>
      <c r="E35" s="15" t="s">
        <v>18</v>
      </c>
      <c r="F35" s="56">
        <f>MEDIAN(F17:F32)</f>
        <v>3.8028372839819156E-2</v>
      </c>
      <c r="G35" s="315">
        <f>MEDIAN(G17:G32)</f>
        <v>5.2500000000000005E-2</v>
      </c>
      <c r="H35" s="315">
        <f>MEDIAN(H17:H32)</f>
        <v>0.06</v>
      </c>
      <c r="I35" s="316">
        <f>MEDIAN(I17:I32)</f>
        <v>8.9286203377997364E-2</v>
      </c>
      <c r="J35" s="316">
        <f>MEDIAN(J17:J32)</f>
        <v>9.9451185344320431E-2</v>
      </c>
      <c r="K35" s="13"/>
    </row>
    <row r="36" spans="1:11" ht="16.5">
      <c r="A36" s="13"/>
      <c r="B36" s="13"/>
      <c r="D36" s="22" t="s">
        <v>0</v>
      </c>
      <c r="E36" s="15" t="s">
        <v>19</v>
      </c>
      <c r="F36" s="56">
        <f>AVERAGE(F17:F32)</f>
        <v>3.851048390463379E-2</v>
      </c>
      <c r="G36" s="56">
        <f>AVERAGE(G17:G32)</f>
        <v>4.7500000000000014E-2</v>
      </c>
      <c r="H36" s="315">
        <f>AVERAGE(H17:H32)</f>
        <v>5.8750000000000011E-2</v>
      </c>
      <c r="I36" s="316">
        <f>AVERAGE(I17:I32)</f>
        <v>8.6010483904633811E-2</v>
      </c>
      <c r="J36" s="316">
        <f>AVERAGE(J17:J32)</f>
        <v>9.7260483904633793E-2</v>
      </c>
      <c r="K36" s="13"/>
    </row>
    <row r="37" spans="1:11" ht="16.5">
      <c r="A37" s="13"/>
      <c r="B37" s="13"/>
      <c r="C37" s="15"/>
      <c r="D37" s="22"/>
      <c r="E37" s="23"/>
      <c r="F37" s="19"/>
      <c r="G37" s="19"/>
      <c r="H37" s="20"/>
      <c r="I37" s="21"/>
      <c r="J37" s="21"/>
      <c r="K37" s="13"/>
    </row>
    <row r="38" spans="1:11" ht="17.25" thickBo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1" ht="27" thickBot="1">
      <c r="A39" s="13"/>
      <c r="B39" s="13"/>
      <c r="C39" s="13"/>
      <c r="D39" s="13"/>
      <c r="E39" s="13"/>
      <c r="F39" s="13"/>
      <c r="G39" s="178" t="s">
        <v>206</v>
      </c>
      <c r="H39" s="180"/>
      <c r="I39" s="351">
        <v>8.5999999999999993E-2</v>
      </c>
      <c r="J39" s="13"/>
      <c r="K39" s="13"/>
    </row>
    <row r="40" spans="1:11" ht="17.25" thickBo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1" ht="27" thickBot="1">
      <c r="A41" s="13"/>
      <c r="B41" s="13"/>
      <c r="C41" s="13"/>
      <c r="D41" s="13"/>
      <c r="E41" s="13"/>
      <c r="F41" s="13"/>
      <c r="G41" s="178" t="s">
        <v>205</v>
      </c>
      <c r="H41" s="181"/>
      <c r="I41" s="351">
        <v>9.7299999999999998E-2</v>
      </c>
      <c r="J41" s="13"/>
      <c r="K41" s="13"/>
    </row>
    <row r="42" spans="1:11" ht="16.5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1" ht="26.25">
      <c r="A43" s="25" t="s">
        <v>375</v>
      </c>
      <c r="B43" s="13"/>
      <c r="C43" s="25" t="s">
        <v>376</v>
      </c>
      <c r="D43" s="13"/>
      <c r="E43" s="13"/>
      <c r="F43" s="13"/>
      <c r="G43" s="13"/>
      <c r="H43" s="13"/>
      <c r="I43" s="13"/>
      <c r="J43" s="13"/>
    </row>
    <row r="44" spans="1:11" ht="17.25">
      <c r="A44" s="64" t="s">
        <v>377</v>
      </c>
      <c r="B44" s="13"/>
      <c r="C44" s="64" t="s">
        <v>377</v>
      </c>
      <c r="D44" s="13"/>
      <c r="E44" s="13"/>
      <c r="F44" s="13"/>
      <c r="G44" s="13"/>
      <c r="H44" s="13"/>
      <c r="I44" s="13"/>
      <c r="J44" s="13"/>
    </row>
    <row r="45" spans="1:11" ht="17.25">
      <c r="A45" s="64" t="s">
        <v>378</v>
      </c>
      <c r="B45" s="13"/>
      <c r="C45" s="64" t="s">
        <v>379</v>
      </c>
      <c r="D45" s="13"/>
      <c r="E45" s="13"/>
      <c r="F45" s="13"/>
      <c r="G45" s="13"/>
      <c r="H45" s="13"/>
      <c r="I45" s="13"/>
      <c r="J45" s="13"/>
    </row>
    <row r="46" spans="1:11" ht="16.5">
      <c r="A46" s="45"/>
      <c r="B46" s="13"/>
      <c r="C46" s="45"/>
      <c r="D46" s="13"/>
      <c r="E46" s="13"/>
      <c r="F46" s="13"/>
      <c r="G46" s="13"/>
      <c r="H46" s="13"/>
      <c r="I46" s="13"/>
      <c r="J46" s="13"/>
    </row>
    <row r="47" spans="1:11" ht="16.5">
      <c r="A47" s="45"/>
      <c r="B47" s="13"/>
      <c r="C47" s="45"/>
      <c r="D47" s="13"/>
      <c r="E47" s="13"/>
      <c r="F47" s="13"/>
      <c r="G47" s="13"/>
      <c r="H47" s="13"/>
      <c r="I47" s="13"/>
      <c r="J47" s="13"/>
    </row>
    <row r="48" spans="1:11" ht="26.25">
      <c r="A48" s="25" t="s">
        <v>228</v>
      </c>
      <c r="B48" s="13"/>
      <c r="C48" s="25" t="s">
        <v>228</v>
      </c>
      <c r="D48" s="13"/>
      <c r="E48" s="13"/>
      <c r="F48" s="13"/>
      <c r="G48" s="13"/>
      <c r="H48" s="13"/>
      <c r="I48" s="13"/>
      <c r="J48" s="13"/>
    </row>
    <row r="49" spans="1:10" ht="16.5">
      <c r="A49" s="45"/>
      <c r="B49" s="13"/>
      <c r="C49" s="45"/>
      <c r="D49" s="13"/>
      <c r="E49" s="13"/>
      <c r="F49" s="13"/>
      <c r="H49" s="13"/>
      <c r="I49" s="13"/>
      <c r="J49" s="13"/>
    </row>
    <row r="50" spans="1:10" ht="17.25">
      <c r="A50" s="64" t="s">
        <v>229</v>
      </c>
      <c r="B50" s="13"/>
      <c r="C50" s="64" t="s">
        <v>229</v>
      </c>
      <c r="D50" s="13"/>
      <c r="E50" s="13"/>
      <c r="F50" s="13"/>
      <c r="G50" s="13"/>
      <c r="H50" s="13"/>
      <c r="I50" s="13"/>
      <c r="J50" s="13"/>
    </row>
    <row r="51" spans="1:10" ht="17.25">
      <c r="A51" s="64" t="s">
        <v>227</v>
      </c>
      <c r="B51" s="13"/>
      <c r="C51" s="64" t="s">
        <v>227</v>
      </c>
      <c r="D51" s="13"/>
      <c r="E51" s="13"/>
      <c r="F51" s="13"/>
      <c r="G51" s="13"/>
      <c r="H51" s="13"/>
      <c r="I51" s="13"/>
      <c r="J51" s="13"/>
    </row>
    <row r="52" spans="1:10" ht="17.25">
      <c r="A52" s="64" t="s">
        <v>230</v>
      </c>
      <c r="B52" s="13"/>
      <c r="C52" s="64" t="s">
        <v>230</v>
      </c>
      <c r="D52" s="13"/>
      <c r="E52" s="13"/>
      <c r="F52" s="13"/>
      <c r="G52" s="13"/>
      <c r="H52" s="13"/>
      <c r="I52" s="13"/>
      <c r="J52" s="13"/>
    </row>
    <row r="53" spans="1:10" ht="17.25">
      <c r="A53" s="64" t="s">
        <v>380</v>
      </c>
      <c r="B53" s="13"/>
      <c r="C53" s="64" t="s">
        <v>381</v>
      </c>
      <c r="D53" s="13"/>
      <c r="E53" s="13"/>
      <c r="F53" s="13"/>
      <c r="G53" s="13"/>
      <c r="H53" s="13"/>
      <c r="I53" s="13"/>
      <c r="J53" s="13"/>
    </row>
    <row r="54" spans="1:10" ht="17.25">
      <c r="A54" s="64"/>
      <c r="B54" s="13"/>
      <c r="C54" s="64"/>
      <c r="D54" s="13"/>
      <c r="E54" s="13"/>
      <c r="F54" s="13"/>
      <c r="G54" s="13"/>
      <c r="H54" s="13"/>
      <c r="I54" s="13"/>
      <c r="J54" s="13"/>
    </row>
    <row r="55" spans="1:10" ht="17.25">
      <c r="A55" s="64"/>
      <c r="B55" s="13"/>
      <c r="C55" s="64"/>
      <c r="D55" s="13"/>
      <c r="E55" s="13"/>
      <c r="F55" s="13"/>
      <c r="G55" s="13"/>
      <c r="H55" s="13"/>
      <c r="I55" s="13"/>
      <c r="J55" s="13"/>
    </row>
  </sheetData>
  <pageMargins left="0.25" right="0.25" top="0.75" bottom="0.75" header="0.3" footer="0.3"/>
  <pageSetup scale="4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50D5-3409-4DE1-88B0-B66A1BCAC2E5}">
  <sheetPr>
    <tabColor rgb="FF92D050"/>
  </sheetPr>
  <dimension ref="A1:K122"/>
  <sheetViews>
    <sheetView view="pageBreakPreview" topLeftCell="A3" zoomScale="70" zoomScaleNormal="80" zoomScaleSheetLayoutView="70" workbookViewId="0">
      <selection activeCell="H44" sqref="H44"/>
    </sheetView>
  </sheetViews>
  <sheetFormatPr defaultRowHeight="15"/>
  <cols>
    <col min="1" max="1" width="47.85546875" customWidth="1"/>
    <col min="2" max="2" width="15.42578125" customWidth="1"/>
    <col min="3" max="3" width="24.5703125" customWidth="1"/>
    <col min="4" max="4" width="26.5703125" customWidth="1"/>
    <col min="5" max="5" width="33" customWidth="1"/>
    <col min="6" max="6" width="22.42578125" customWidth="1"/>
    <col min="7" max="7" width="27" customWidth="1"/>
    <col min="8" max="8" width="43" customWidth="1"/>
    <col min="9" max="9" width="15.42578125" customWidth="1"/>
    <col min="10" max="10" width="24.5703125" customWidth="1"/>
    <col min="11" max="11" width="24.140625" customWidth="1"/>
    <col min="13" max="13" width="10.5703125" customWidth="1"/>
  </cols>
  <sheetData>
    <row r="1" spans="1:9" ht="26.25">
      <c r="A1" s="25" t="s">
        <v>1</v>
      </c>
      <c r="B1" s="13"/>
      <c r="C1" s="13"/>
      <c r="D1" s="13"/>
      <c r="E1" s="13"/>
      <c r="F1" s="13"/>
      <c r="G1" s="13"/>
      <c r="H1" s="13"/>
      <c r="I1" s="13"/>
    </row>
    <row r="2" spans="1:9" ht="17.25">
      <c r="A2" s="26" t="s">
        <v>9</v>
      </c>
      <c r="B2" s="13"/>
      <c r="C2" s="13"/>
      <c r="D2" s="13"/>
      <c r="E2" s="13"/>
      <c r="F2" s="13"/>
      <c r="G2" s="13"/>
      <c r="H2" s="13"/>
      <c r="I2" s="13"/>
    </row>
    <row r="3" spans="1:9" ht="16.5">
      <c r="A3" s="27" t="s">
        <v>435</v>
      </c>
      <c r="B3" s="13"/>
      <c r="C3" s="13"/>
      <c r="D3" s="13"/>
      <c r="E3" s="13"/>
      <c r="F3" s="13"/>
      <c r="G3" s="13"/>
      <c r="H3" s="13"/>
      <c r="I3" s="13"/>
    </row>
    <row r="4" spans="1:9" ht="16.5">
      <c r="A4" s="27"/>
      <c r="B4" s="13"/>
      <c r="C4" s="13"/>
      <c r="D4" s="13"/>
      <c r="E4" s="13"/>
      <c r="F4" s="13"/>
      <c r="G4" s="13"/>
      <c r="H4" s="13"/>
      <c r="I4" s="13"/>
    </row>
    <row r="5" spans="1:9" ht="17.25" thickBot="1">
      <c r="A5" s="13"/>
      <c r="B5" s="13"/>
      <c r="C5" s="13"/>
      <c r="D5" s="13"/>
      <c r="E5" s="13"/>
      <c r="F5" s="13"/>
      <c r="G5" s="13"/>
      <c r="H5" s="13"/>
      <c r="I5" s="28"/>
    </row>
    <row r="6" spans="1:9" ht="21" thickBot="1">
      <c r="A6" s="245" t="str">
        <f>+'S&amp;D'!A12</f>
        <v>Electric Utilities</v>
      </c>
      <c r="B6" s="181"/>
      <c r="C6" s="13"/>
      <c r="D6" s="13"/>
      <c r="E6" s="13"/>
      <c r="F6" s="13"/>
      <c r="G6" s="13"/>
      <c r="H6" s="13"/>
      <c r="I6" s="13"/>
    </row>
    <row r="7" spans="1:9" ht="20.25">
      <c r="A7" s="32"/>
      <c r="B7" s="13"/>
      <c r="C7" s="13"/>
      <c r="D7" s="13"/>
      <c r="E7" s="13"/>
      <c r="F7" s="13"/>
      <c r="G7" s="13"/>
      <c r="H7" s="13"/>
      <c r="I7" s="13"/>
    </row>
    <row r="8" spans="1:9" ht="21" thickBot="1">
      <c r="A8" s="32"/>
      <c r="B8" s="13"/>
      <c r="C8" s="13"/>
      <c r="D8" s="30"/>
      <c r="E8" s="30"/>
      <c r="F8" s="30"/>
      <c r="G8" s="13"/>
      <c r="H8" s="13"/>
      <c r="I8" s="13"/>
    </row>
    <row r="9" spans="1:9" ht="26.25">
      <c r="A9" s="32"/>
      <c r="B9" s="13"/>
      <c r="C9" s="13"/>
      <c r="D9" s="13"/>
      <c r="E9" s="33" t="s">
        <v>207</v>
      </c>
      <c r="F9" s="13"/>
      <c r="G9" s="13"/>
      <c r="H9" s="13"/>
      <c r="I9" s="13"/>
    </row>
    <row r="10" spans="1:9" ht="21" thickBot="1">
      <c r="A10" s="32"/>
      <c r="B10" s="13"/>
      <c r="C10" s="13"/>
      <c r="D10" s="30"/>
      <c r="E10" s="34" t="s">
        <v>436</v>
      </c>
      <c r="F10" s="30"/>
      <c r="G10" s="13"/>
      <c r="H10" s="13"/>
      <c r="I10" s="13"/>
    </row>
    <row r="11" spans="1:9" ht="20.25">
      <c r="A11" s="32"/>
      <c r="B11" s="13"/>
      <c r="C11" s="13"/>
      <c r="D11" s="13"/>
      <c r="E11" s="13"/>
      <c r="F11" s="36"/>
      <c r="G11" s="36"/>
      <c r="H11" s="13"/>
      <c r="I11" s="13"/>
    </row>
    <row r="12" spans="1:9" ht="20.25">
      <c r="A12" s="32"/>
      <c r="B12" s="13"/>
      <c r="C12" s="13"/>
      <c r="D12" s="13"/>
      <c r="E12" s="13"/>
      <c r="F12" s="36"/>
      <c r="G12" s="36"/>
      <c r="H12" s="13"/>
      <c r="I12" s="13"/>
    </row>
    <row r="13" spans="1:9" ht="45.75" customHeight="1" thickBot="1">
      <c r="A13" s="35" t="s">
        <v>0</v>
      </c>
      <c r="B13" s="35" t="s">
        <v>0</v>
      </c>
      <c r="C13" s="35" t="s">
        <v>0</v>
      </c>
      <c r="D13" s="30"/>
      <c r="E13" s="30"/>
      <c r="F13" s="35" t="s">
        <v>0</v>
      </c>
      <c r="G13" s="35"/>
      <c r="H13" s="35"/>
      <c r="I13" s="13"/>
    </row>
    <row r="14" spans="1:9" ht="16.5">
      <c r="A14" s="36" t="s">
        <v>0</v>
      </c>
      <c r="B14" s="36" t="s">
        <v>3</v>
      </c>
      <c r="C14" s="36" t="s">
        <v>5</v>
      </c>
      <c r="D14" s="36" t="s">
        <v>203</v>
      </c>
      <c r="E14" s="36" t="s">
        <v>204</v>
      </c>
      <c r="F14" s="36" t="s">
        <v>208</v>
      </c>
      <c r="G14" s="36" t="s">
        <v>19</v>
      </c>
      <c r="H14" s="36" t="s">
        <v>210</v>
      </c>
      <c r="I14" s="13"/>
    </row>
    <row r="15" spans="1:9" ht="16.5">
      <c r="A15" s="36" t="s">
        <v>2</v>
      </c>
      <c r="B15" s="36" t="s">
        <v>4</v>
      </c>
      <c r="C15" s="36" t="s">
        <v>6</v>
      </c>
      <c r="D15" s="36" t="s">
        <v>392</v>
      </c>
      <c r="E15" s="36" t="s">
        <v>394</v>
      </c>
      <c r="F15" s="36" t="s">
        <v>157</v>
      </c>
      <c r="G15" s="36" t="s">
        <v>209</v>
      </c>
      <c r="H15" s="36" t="s">
        <v>199</v>
      </c>
      <c r="I15" s="13"/>
    </row>
    <row r="16" spans="1:9" ht="16.5">
      <c r="A16" s="36"/>
      <c r="B16" s="36" t="s">
        <v>0</v>
      </c>
      <c r="C16" s="36" t="s">
        <v>0</v>
      </c>
      <c r="D16" s="36" t="s">
        <v>0</v>
      </c>
      <c r="E16" s="37" t="s">
        <v>393</v>
      </c>
      <c r="F16" s="37" t="s">
        <v>0</v>
      </c>
      <c r="G16" s="36" t="s">
        <v>214</v>
      </c>
      <c r="H16" s="37" t="s">
        <v>215</v>
      </c>
      <c r="I16" s="13"/>
    </row>
    <row r="17" spans="1:11" ht="18" customHeight="1" thickBot="1">
      <c r="A17" s="68" t="s">
        <v>0</v>
      </c>
      <c r="B17" s="39" t="s">
        <v>0</v>
      </c>
      <c r="C17" s="39" t="s">
        <v>0</v>
      </c>
      <c r="D17" s="34" t="s">
        <v>212</v>
      </c>
      <c r="E17" s="34" t="s">
        <v>213</v>
      </c>
      <c r="F17" s="34" t="s">
        <v>211</v>
      </c>
      <c r="G17" s="36" t="s">
        <v>128</v>
      </c>
      <c r="H17" s="148"/>
      <c r="I17" s="13"/>
    </row>
    <row r="18" spans="1:11" ht="16.5">
      <c r="A18" s="40" t="s">
        <v>0</v>
      </c>
      <c r="B18" s="40" t="s">
        <v>0</v>
      </c>
      <c r="C18" s="40" t="s">
        <v>0</v>
      </c>
      <c r="D18" s="40" t="s">
        <v>7</v>
      </c>
      <c r="E18" s="40" t="s">
        <v>7</v>
      </c>
      <c r="F18" s="40" t="s">
        <v>0</v>
      </c>
      <c r="G18" s="69" t="s">
        <v>0</v>
      </c>
      <c r="H18" s="40" t="s">
        <v>0</v>
      </c>
      <c r="I18" s="13"/>
    </row>
    <row r="19" spans="1:11" ht="16.5">
      <c r="A19" s="36"/>
      <c r="B19" s="36"/>
      <c r="C19" s="36"/>
      <c r="D19" s="36"/>
      <c r="E19" s="13"/>
      <c r="F19" s="36"/>
      <c r="G19" s="13"/>
      <c r="H19" s="13"/>
      <c r="I19" s="13"/>
      <c r="J19" t="s">
        <v>0</v>
      </c>
      <c r="K19" t="s">
        <v>0</v>
      </c>
    </row>
    <row r="20" spans="1:11" ht="16.5">
      <c r="A20" s="13"/>
      <c r="B20" s="13"/>
      <c r="C20" s="13"/>
      <c r="D20" s="13"/>
      <c r="E20" s="13"/>
      <c r="F20" s="13"/>
      <c r="G20" s="13"/>
      <c r="H20" s="13" t="s">
        <v>0</v>
      </c>
      <c r="I20" s="13"/>
      <c r="J20" t="s">
        <v>0</v>
      </c>
      <c r="K20" t="s">
        <v>0</v>
      </c>
    </row>
    <row r="21" spans="1:11" ht="16.5">
      <c r="A21" s="45" t="str">
        <f>+'S&amp;D'!A22</f>
        <v>ALLETE Inc</v>
      </c>
      <c r="B21" s="36" t="str">
        <f>+'S&amp;D'!B22</f>
        <v>ALE</v>
      </c>
      <c r="C21" s="36" t="str">
        <f>+'S&amp;D'!C22</f>
        <v>Electric Utility - Cent</v>
      </c>
      <c r="D21" s="67">
        <f>+'Single Stage Div Growth Model'!F17</f>
        <v>4.7530864197530866E-2</v>
      </c>
      <c r="E21" s="67">
        <f>+'Single Stage Div Growth Model'!H17</f>
        <v>0.06</v>
      </c>
      <c r="F21" s="67">
        <f>+'Growth &amp; Inflation Rates'!$F$57</f>
        <v>4.3400000000000001E-2</v>
      </c>
      <c r="G21" s="67">
        <f t="shared" ref="G21" si="0">(F21+E21)/2</f>
        <v>5.1699999999999996E-2</v>
      </c>
      <c r="H21" s="67">
        <f>D21*(1+(0.5*G21))+(0.67*E21)+(0.33*F21)</f>
        <v>0.10328153703703703</v>
      </c>
      <c r="I21" s="13"/>
      <c r="J21" t="s">
        <v>0</v>
      </c>
      <c r="K21" t="s">
        <v>0</v>
      </c>
    </row>
    <row r="22" spans="1:11" ht="16.5">
      <c r="A22" s="45" t="str">
        <f>+'S&amp;D'!A23</f>
        <v>Alliant Energy</v>
      </c>
      <c r="B22" s="36" t="str">
        <f>+'S&amp;D'!B23</f>
        <v>LNT</v>
      </c>
      <c r="C22" s="36" t="str">
        <f>+'S&amp;D'!C23</f>
        <v>Electric Utility - Cent</v>
      </c>
      <c r="D22" s="67">
        <f>+'Single Stage Div Growth Model'!F18</f>
        <v>3.6523503550896182E-2</v>
      </c>
      <c r="E22" s="67">
        <f>+'Single Stage Div Growth Model'!H18</f>
        <v>0.06</v>
      </c>
      <c r="F22" s="67">
        <f>+'Growth &amp; Inflation Rates'!$F$57</f>
        <v>4.3400000000000001E-2</v>
      </c>
      <c r="G22" s="67">
        <f t="shared" ref="G22:G36" si="1">(F22+E22)/2</f>
        <v>5.1699999999999996E-2</v>
      </c>
      <c r="H22" s="67">
        <f t="shared" ref="H22:H36" si="2">D22*(1+(0.5*G22))+(0.67*E22)+(0.33*F22)</f>
        <v>9.1989636117686846E-2</v>
      </c>
      <c r="I22" s="13"/>
      <c r="J22" t="s">
        <v>0</v>
      </c>
      <c r="K22" t="s">
        <v>0</v>
      </c>
    </row>
    <row r="23" spans="1:11" ht="16.5">
      <c r="A23" s="45" t="str">
        <f>+'S&amp;D'!A24</f>
        <v>AMEREN Corporation</v>
      </c>
      <c r="B23" s="36" t="str">
        <f>+'S&amp;D'!B24</f>
        <v>AEE</v>
      </c>
      <c r="C23" s="36" t="str">
        <f>+'S&amp;D'!C24</f>
        <v>Electric Utility - Cent</v>
      </c>
      <c r="D23" s="67">
        <f>+'Single Stage Div Growth Model'!F19</f>
        <v>3.3991474085707872E-2</v>
      </c>
      <c r="E23" s="67">
        <f>+'Single Stage Div Growth Model'!H19</f>
        <v>6.5000000000000002E-2</v>
      </c>
      <c r="F23" s="67">
        <f>+'Growth &amp; Inflation Rates'!$F$57</f>
        <v>4.3400000000000001E-2</v>
      </c>
      <c r="G23" s="67">
        <f t="shared" si="1"/>
        <v>5.4199999999999998E-2</v>
      </c>
      <c r="H23" s="67">
        <f t="shared" si="2"/>
        <v>9.2784643033430564E-2</v>
      </c>
      <c r="I23" s="13"/>
      <c r="J23" t="s">
        <v>0</v>
      </c>
      <c r="K23" t="s">
        <v>0</v>
      </c>
    </row>
    <row r="24" spans="1:11" ht="16.5">
      <c r="A24" s="45" t="str">
        <f>+'S&amp;D'!A25</f>
        <v>American Electric Power</v>
      </c>
      <c r="B24" s="36" t="str">
        <f>+'S&amp;D'!B25</f>
        <v>AEP</v>
      </c>
      <c r="C24" s="36" t="str">
        <f>+'S&amp;D'!C25</f>
        <v>Electric Utility - Cent</v>
      </c>
      <c r="D24" s="67">
        <f>+'Single Stage Div Growth Model'!F20</f>
        <v>4.3152987097473706E-2</v>
      </c>
      <c r="E24" s="67">
        <f>+'Single Stage Div Growth Model'!H20</f>
        <v>6.5000000000000002E-2</v>
      </c>
      <c r="F24" s="67">
        <f>+'Growth &amp; Inflation Rates'!$F$57</f>
        <v>4.3400000000000001E-2</v>
      </c>
      <c r="G24" s="67">
        <f t="shared" si="1"/>
        <v>5.4199999999999998E-2</v>
      </c>
      <c r="H24" s="67">
        <f t="shared" si="2"/>
        <v>0.10219443304781525</v>
      </c>
      <c r="I24" s="13"/>
      <c r="J24" t="s">
        <v>0</v>
      </c>
      <c r="K24" t="s">
        <v>0</v>
      </c>
    </row>
    <row r="25" spans="1:11" ht="16.5">
      <c r="A25" s="45" t="str">
        <f>+'S&amp;D'!A26</f>
        <v>Centerpoint Energy</v>
      </c>
      <c r="B25" s="36" t="str">
        <f>+'S&amp;D'!B26</f>
        <v>CNP</v>
      </c>
      <c r="C25" s="36" t="str">
        <f>+'S&amp;D'!C26</f>
        <v>Electric Utility - Cent</v>
      </c>
      <c r="D25" s="67">
        <f>+'Single Stage Div Growth Model'!F21</f>
        <v>2.9940119760479039E-2</v>
      </c>
      <c r="E25" s="67">
        <f>+'Single Stage Div Growth Model'!H21</f>
        <v>6.5000000000000002E-2</v>
      </c>
      <c r="F25" s="67">
        <f>+'Growth &amp; Inflation Rates'!$F$57</f>
        <v>4.3400000000000001E-2</v>
      </c>
      <c r="G25" s="67">
        <f t="shared" si="1"/>
        <v>5.4199999999999998E-2</v>
      </c>
      <c r="H25" s="67">
        <f t="shared" si="2"/>
        <v>8.8623497005988025E-2</v>
      </c>
      <c r="I25" s="13"/>
      <c r="J25" t="s">
        <v>0</v>
      </c>
      <c r="K25" t="s">
        <v>0</v>
      </c>
    </row>
    <row r="26" spans="1:11" ht="16.5">
      <c r="A26" s="45" t="str">
        <f>+'S&amp;D'!A27</f>
        <v>CMS Energy</v>
      </c>
      <c r="B26" s="36" t="str">
        <f>+'S&amp;D'!B27</f>
        <v>CMS</v>
      </c>
      <c r="C26" s="36" t="str">
        <f>+'S&amp;D'!C27</f>
        <v>Electric Utility - Cent</v>
      </c>
      <c r="D26" s="67">
        <f>+'Single Stage Div Growth Model'!F22</f>
        <v>3.4508627156789193E-2</v>
      </c>
      <c r="E26" s="67">
        <f>+'Single Stage Div Growth Model'!H22</f>
        <v>0.06</v>
      </c>
      <c r="F26" s="67">
        <f>+'Growth &amp; Inflation Rates'!$F$57</f>
        <v>4.3400000000000001E-2</v>
      </c>
      <c r="G26" s="67">
        <f t="shared" si="1"/>
        <v>5.1699999999999996E-2</v>
      </c>
      <c r="H26" s="67">
        <f t="shared" si="2"/>
        <v>8.9922675168792182E-2</v>
      </c>
      <c r="I26" s="13"/>
      <c r="J26" s="12" t="s">
        <v>0</v>
      </c>
      <c r="K26" t="s">
        <v>0</v>
      </c>
    </row>
    <row r="27" spans="1:11" ht="16.5">
      <c r="A27" s="45" t="str">
        <f>+'S&amp;D'!A28</f>
        <v>DTE Energy</v>
      </c>
      <c r="B27" s="36" t="str">
        <f>+'S&amp;D'!B28</f>
        <v>DTE</v>
      </c>
      <c r="C27" s="36" t="str">
        <f>+'S&amp;D'!C28</f>
        <v>Electric Utility - Cent</v>
      </c>
      <c r="D27" s="67">
        <f>+'Single Stage Div Growth Model'!F23</f>
        <v>3.900621118012422E-2</v>
      </c>
      <c r="E27" s="67">
        <f>+'Single Stage Div Growth Model'!H23</f>
        <v>4.4999999999999998E-2</v>
      </c>
      <c r="F27" s="67">
        <f>+'Growth &amp; Inflation Rates'!$F$57</f>
        <v>4.3400000000000001E-2</v>
      </c>
      <c r="G27" s="67">
        <f t="shared" si="1"/>
        <v>4.4200000000000003E-2</v>
      </c>
      <c r="H27" s="67">
        <f t="shared" si="2"/>
        <v>8.434024844720496E-2</v>
      </c>
      <c r="I27" s="13"/>
      <c r="J27" s="12" t="s">
        <v>0</v>
      </c>
    </row>
    <row r="28" spans="1:11" ht="16.5">
      <c r="A28" s="45" t="str">
        <f>+'S&amp;D'!A29</f>
        <v>Duke Energy</v>
      </c>
      <c r="B28" s="36" t="str">
        <f>+'S&amp;D'!B29</f>
        <v>DUK</v>
      </c>
      <c r="C28" s="36" t="str">
        <f>+'S&amp;D'!C29</f>
        <v>Electric Utility - East</v>
      </c>
      <c r="D28" s="67">
        <f>+'Single Stage Div Growth Model'!F24</f>
        <v>3.991089660293299E-2</v>
      </c>
      <c r="E28" s="67">
        <f>+'Single Stage Div Growth Model'!H24</f>
        <v>0.06</v>
      </c>
      <c r="F28" s="67">
        <f>+'Growth &amp; Inflation Rates'!$F$57</f>
        <v>4.3400000000000001E-2</v>
      </c>
      <c r="G28" s="67">
        <f t="shared" si="1"/>
        <v>5.1699999999999996E-2</v>
      </c>
      <c r="H28" s="67">
        <f t="shared" si="2"/>
        <v>9.5464593280118804E-2</v>
      </c>
      <c r="I28" s="13"/>
      <c r="J28" t="s">
        <v>0</v>
      </c>
    </row>
    <row r="29" spans="1:11" ht="16.5">
      <c r="A29" s="45" t="str">
        <f>+'S&amp;D'!A30</f>
        <v>Entergy Corp</v>
      </c>
      <c r="B29" s="36" t="str">
        <f>+'S&amp;D'!B30</f>
        <v>ETR</v>
      </c>
      <c r="C29" s="36" t="str">
        <f>+'S&amp;D'!C30</f>
        <v>Electric Utility - Cent</v>
      </c>
      <c r="D29" s="67">
        <f>+'Single Stage Div Growth Model'!F25</f>
        <v>3.3632286995515695E-2</v>
      </c>
      <c r="E29" s="67">
        <f>+'Single Stage Div Growth Model'!H25</f>
        <v>0.03</v>
      </c>
      <c r="F29" s="67">
        <f>+'Growth &amp; Inflation Rates'!$F$57</f>
        <v>4.3400000000000001E-2</v>
      </c>
      <c r="G29" s="67">
        <f t="shared" si="1"/>
        <v>3.6699999999999997E-2</v>
      </c>
      <c r="H29" s="67">
        <f t="shared" si="2"/>
        <v>6.8671439461883421E-2</v>
      </c>
      <c r="I29" s="13"/>
    </row>
    <row r="30" spans="1:11" ht="16.5">
      <c r="A30" s="45" t="str">
        <f>+'S&amp;D'!A31</f>
        <v>Evergy Inc</v>
      </c>
      <c r="B30" s="36" t="str">
        <f>+'S&amp;D'!B31</f>
        <v>EVRG</v>
      </c>
      <c r="C30" s="36" t="str">
        <f>+'S&amp;D'!C31</f>
        <v>Electric Utility - Cent</v>
      </c>
      <c r="D30" s="67">
        <f>+'Single Stage Div Growth Model'!F26</f>
        <v>4.614134849715678E-2</v>
      </c>
      <c r="E30" s="67">
        <f>+'Single Stage Div Growth Model'!H26</f>
        <v>7.4999999999999997E-2</v>
      </c>
      <c r="F30" s="67">
        <f>+'Growth &amp; Inflation Rates'!$F$57</f>
        <v>4.3400000000000001E-2</v>
      </c>
      <c r="G30" s="67">
        <f t="shared" si="1"/>
        <v>5.9200000000000003E-2</v>
      </c>
      <c r="H30" s="67">
        <f t="shared" si="2"/>
        <v>0.11207913241267263</v>
      </c>
      <c r="I30" s="13"/>
    </row>
    <row r="31" spans="1:11" ht="16.5">
      <c r="A31" s="45" t="str">
        <f>+'S&amp;D'!A32</f>
        <v>FirstEnergy Corp</v>
      </c>
      <c r="B31" s="36" t="str">
        <f>+'S&amp;D'!B32</f>
        <v>FE</v>
      </c>
      <c r="C31" s="36" t="str">
        <f>+'S&amp;D'!C32</f>
        <v>Electric Utility - East</v>
      </c>
      <c r="D31" s="67">
        <f>+'Single Stage Div Growth Model'!F27</f>
        <v>4.6757164404223228E-2</v>
      </c>
      <c r="E31" s="67">
        <f>+'Single Stage Div Growth Model'!H27</f>
        <v>4.4999999999999998E-2</v>
      </c>
      <c r="F31" s="67">
        <f>+'Growth &amp; Inflation Rates'!$F$57</f>
        <v>4.3400000000000001E-2</v>
      </c>
      <c r="G31" s="67">
        <f t="shared" si="1"/>
        <v>4.4200000000000003E-2</v>
      </c>
      <c r="H31" s="67">
        <f t="shared" si="2"/>
        <v>9.2262497737556556E-2</v>
      </c>
      <c r="I31" s="13"/>
    </row>
    <row r="32" spans="1:11" ht="16.5">
      <c r="A32" s="45" t="str">
        <f>+'S&amp;D'!A33</f>
        <v>OGE Energy Corp.</v>
      </c>
      <c r="B32" s="36" t="str">
        <f>+'S&amp;D'!B33</f>
        <v>OGE</v>
      </c>
      <c r="C32" s="36" t="str">
        <f>+'S&amp;D'!C33</f>
        <v>Electric Utility - Cent</v>
      </c>
      <c r="D32" s="67">
        <f>+'Single Stage Div Growth Model'!F28</f>
        <v>4.1939393939393936E-2</v>
      </c>
      <c r="E32" s="67">
        <f>+'Single Stage Div Growth Model'!H28</f>
        <v>6.5000000000000002E-2</v>
      </c>
      <c r="F32" s="67">
        <f>+'Growth &amp; Inflation Rates'!$F$57</f>
        <v>4.3400000000000001E-2</v>
      </c>
      <c r="G32" s="67">
        <f t="shared" si="1"/>
        <v>5.4199999999999998E-2</v>
      </c>
      <c r="H32" s="67">
        <f t="shared" si="2"/>
        <v>0.10094795151515151</v>
      </c>
      <c r="I32" s="13"/>
    </row>
    <row r="33" spans="1:9" ht="16.5">
      <c r="A33" s="45" t="str">
        <f>+'S&amp;D'!A34</f>
        <v>Otter Tail Corp</v>
      </c>
      <c r="B33" s="36" t="str">
        <f>+'S&amp;D'!B34</f>
        <v>OTTR</v>
      </c>
      <c r="C33" s="36" t="str">
        <f>+'S&amp;D'!C34</f>
        <v>Electric Utility - Cent</v>
      </c>
      <c r="D33" s="67">
        <f>+'Single Stage Div Growth Model'!F29</f>
        <v>2.9523293607800649E-2</v>
      </c>
      <c r="E33" s="67">
        <f>+'Single Stage Div Growth Model'!H29</f>
        <v>4.4999999999999998E-2</v>
      </c>
      <c r="F33" s="67">
        <f>+'Growth &amp; Inflation Rates'!$F$57</f>
        <v>4.3400000000000001E-2</v>
      </c>
      <c r="G33" s="67">
        <f t="shared" si="1"/>
        <v>4.4200000000000003E-2</v>
      </c>
      <c r="H33" s="67">
        <f t="shared" si="2"/>
        <v>7.4647758396533037E-2</v>
      </c>
      <c r="I33" s="13"/>
    </row>
    <row r="34" spans="1:9" ht="16.5">
      <c r="A34" s="45" t="str">
        <f>+'S&amp;D'!A35</f>
        <v>PPL Corporation</v>
      </c>
      <c r="B34" s="36" t="str">
        <f>+'S&amp;D'!B35</f>
        <v>PPL</v>
      </c>
      <c r="C34" s="36" t="str">
        <f>+'S&amp;D'!C35</f>
        <v>Electric Utility - East</v>
      </c>
      <c r="D34" s="67">
        <f>+'Single Stage Div Growth Model'!F30</f>
        <v>3.6044362292051754E-2</v>
      </c>
      <c r="E34" s="67">
        <f>+'Single Stage Div Growth Model'!H30</f>
        <v>7.4999999999999997E-2</v>
      </c>
      <c r="F34" s="67">
        <f>+'Growth &amp; Inflation Rates'!$F$57</f>
        <v>4.3400000000000001E-2</v>
      </c>
      <c r="G34" s="67">
        <f t="shared" si="1"/>
        <v>5.9200000000000003E-2</v>
      </c>
      <c r="H34" s="67">
        <f t="shared" si="2"/>
        <v>0.1016832754158965</v>
      </c>
      <c r="I34" s="13"/>
    </row>
    <row r="35" spans="1:9" ht="16.5">
      <c r="A35" s="45" t="str">
        <f>+'S&amp;D'!A36</f>
        <v>The Southern Company</v>
      </c>
      <c r="B35" s="36" t="str">
        <f>+'S&amp;D'!B36</f>
        <v>SO</v>
      </c>
      <c r="C35" s="36" t="str">
        <f>+'S&amp;D'!C36</f>
        <v>Electric Utility - East</v>
      </c>
      <c r="D35" s="67">
        <f>+'Single Stage Div Growth Model'!F31</f>
        <v>3.7050534499514093E-2</v>
      </c>
      <c r="E35" s="67">
        <f>+'Single Stage Div Growth Model'!H31</f>
        <v>6.5000000000000002E-2</v>
      </c>
      <c r="F35" s="67">
        <f>+'Growth &amp; Inflation Rates'!$F$57</f>
        <v>4.3400000000000001E-2</v>
      </c>
      <c r="G35" s="67">
        <f t="shared" si="1"/>
        <v>5.4199999999999998E-2</v>
      </c>
      <c r="H35" s="67">
        <f t="shared" si="2"/>
        <v>9.5926603984450937E-2</v>
      </c>
      <c r="I35" s="13"/>
    </row>
    <row r="36" spans="1:9" ht="17.25" thickBot="1">
      <c r="A36" s="45" t="str">
        <f>+'S&amp;D'!A37</f>
        <v>WEC Energy Group</v>
      </c>
      <c r="B36" s="36" t="str">
        <f>+'S&amp;D'!B37</f>
        <v>WEC</v>
      </c>
      <c r="C36" s="36" t="str">
        <f>+'S&amp;D'!C37</f>
        <v>Electric Utility - Cent</v>
      </c>
      <c r="D36" s="67">
        <f>+'Single Stage Div Growth Model'!F32</f>
        <v>4.0514674606550401E-2</v>
      </c>
      <c r="E36" s="67">
        <f>+'Single Stage Div Growth Model'!H32</f>
        <v>0.06</v>
      </c>
      <c r="F36" s="67">
        <f>+'Growth &amp; Inflation Rates'!$F$57</f>
        <v>4.3400000000000001E-2</v>
      </c>
      <c r="G36" s="67">
        <f t="shared" si="1"/>
        <v>5.1699999999999996E-2</v>
      </c>
      <c r="H36" s="144">
        <f t="shared" si="2"/>
        <v>9.6083978945129725E-2</v>
      </c>
      <c r="I36" s="13"/>
    </row>
    <row r="37" spans="1:9" ht="17.25" thickTop="1">
      <c r="A37" s="13"/>
      <c r="B37" s="13"/>
      <c r="C37" s="13"/>
      <c r="D37" s="13"/>
      <c r="E37" s="13"/>
      <c r="F37" s="13"/>
      <c r="G37" s="172" t="s">
        <v>65</v>
      </c>
      <c r="H37" s="57">
        <f>MAX(H21:H36)</f>
        <v>0.11207913241267263</v>
      </c>
      <c r="I37" s="13"/>
    </row>
    <row r="38" spans="1:9" ht="16.5">
      <c r="A38" s="13"/>
      <c r="B38" s="13"/>
      <c r="C38" s="15" t="s">
        <v>0</v>
      </c>
      <c r="D38" s="16" t="s">
        <v>0</v>
      </c>
      <c r="E38" s="16" t="s">
        <v>0</v>
      </c>
      <c r="F38" s="17" t="s">
        <v>0</v>
      </c>
      <c r="G38" s="17" t="s">
        <v>66</v>
      </c>
      <c r="H38" s="273">
        <f>MIN(H21:H36)</f>
        <v>6.8671439461883421E-2</v>
      </c>
      <c r="I38" s="13"/>
    </row>
    <row r="39" spans="1:9" ht="16.5">
      <c r="A39" s="13"/>
      <c r="B39" s="13"/>
      <c r="D39" s="57" t="s">
        <v>0</v>
      </c>
      <c r="E39" s="51" t="s">
        <v>0</v>
      </c>
      <c r="F39" s="51" t="s">
        <v>0</v>
      </c>
      <c r="G39" s="15" t="s">
        <v>18</v>
      </c>
      <c r="H39" s="52">
        <f>MEDIAN(H21:H36)</f>
        <v>9.4124618156774684E-2</v>
      </c>
      <c r="I39" s="13"/>
    </row>
    <row r="40" spans="1:9" ht="16.5">
      <c r="A40" s="13"/>
      <c r="B40" s="13"/>
      <c r="D40" s="57" t="s">
        <v>0</v>
      </c>
      <c r="E40" s="51" t="s">
        <v>0</v>
      </c>
      <c r="F40" s="57" t="s">
        <v>0</v>
      </c>
      <c r="G40" s="15" t="s">
        <v>19</v>
      </c>
      <c r="H40" s="52">
        <f>AVERAGE(H21:H36)</f>
        <v>9.3181493812959246E-2</v>
      </c>
      <c r="I40" s="13"/>
    </row>
    <row r="41" spans="1:9" ht="16.5">
      <c r="A41" s="13"/>
      <c r="B41" s="13"/>
      <c r="C41" s="15"/>
      <c r="D41" s="19"/>
      <c r="E41" s="20"/>
      <c r="F41" s="19"/>
      <c r="G41" s="21"/>
      <c r="H41" s="21"/>
      <c r="I41" s="13"/>
    </row>
    <row r="42" spans="1:9" ht="17.25" thickBot="1">
      <c r="A42" s="13"/>
      <c r="B42" s="13"/>
      <c r="C42" s="13"/>
      <c r="D42" s="13"/>
      <c r="E42" s="13"/>
      <c r="F42" s="13"/>
      <c r="G42" s="13"/>
      <c r="H42" s="13"/>
      <c r="I42" s="13"/>
    </row>
    <row r="43" spans="1:9" ht="27" thickBot="1">
      <c r="A43" s="13"/>
      <c r="B43" s="13"/>
      <c r="C43" s="13"/>
      <c r="D43" s="13"/>
      <c r="F43" s="178"/>
      <c r="G43" s="179" t="s">
        <v>260</v>
      </c>
      <c r="H43" s="352">
        <v>9.3200000000000005E-2</v>
      </c>
      <c r="I43" s="13"/>
    </row>
    <row r="44" spans="1:9" ht="16.5">
      <c r="A44" s="13"/>
      <c r="B44" s="13"/>
      <c r="C44" s="13"/>
      <c r="D44" s="13"/>
      <c r="E44" s="13"/>
      <c r="F44" s="13"/>
      <c r="G44" s="13"/>
      <c r="H44" s="13"/>
      <c r="I44" s="13"/>
    </row>
    <row r="45" spans="1:9" ht="27">
      <c r="A45" s="25" t="s">
        <v>328</v>
      </c>
      <c r="B45" s="13"/>
      <c r="C45" s="13"/>
      <c r="D45" s="13"/>
      <c r="E45" s="13"/>
      <c r="F45" s="13"/>
      <c r="G45" s="24" t="s">
        <v>0</v>
      </c>
      <c r="H45" s="13"/>
      <c r="I45" s="13"/>
    </row>
    <row r="46" spans="1:9" ht="16.5">
      <c r="A46" s="45"/>
      <c r="B46" s="13"/>
      <c r="C46" s="13"/>
      <c r="D46" s="13"/>
      <c r="E46" s="13"/>
      <c r="F46" s="13"/>
      <c r="G46" s="13"/>
      <c r="H46" s="13"/>
      <c r="I46" s="13"/>
    </row>
    <row r="47" spans="1:9" ht="17.25">
      <c r="A47" s="64" t="s">
        <v>229</v>
      </c>
      <c r="B47" s="13"/>
      <c r="C47" s="13"/>
      <c r="D47" s="13"/>
      <c r="E47" s="13"/>
      <c r="F47" s="13"/>
      <c r="G47" s="13"/>
      <c r="H47" s="13"/>
      <c r="I47" s="13"/>
    </row>
    <row r="48" spans="1:9" ht="17.25">
      <c r="A48" s="64" t="s">
        <v>329</v>
      </c>
      <c r="B48" s="13"/>
      <c r="C48" s="13"/>
      <c r="D48" s="13"/>
      <c r="E48" s="13"/>
      <c r="F48" s="13"/>
      <c r="G48" s="13"/>
      <c r="H48" s="13"/>
      <c r="I48" s="13"/>
    </row>
    <row r="49" spans="1:9" ht="17.25">
      <c r="A49" s="64" t="s">
        <v>330</v>
      </c>
      <c r="B49" s="13"/>
      <c r="C49" s="13"/>
      <c r="D49" s="13"/>
      <c r="E49" s="13"/>
      <c r="F49" s="13"/>
      <c r="G49" s="13"/>
      <c r="H49" s="13"/>
      <c r="I49" s="13"/>
    </row>
    <row r="50" spans="1:9" ht="17.25">
      <c r="A50" s="64" t="s">
        <v>331</v>
      </c>
      <c r="B50" s="13"/>
      <c r="C50" s="13"/>
      <c r="D50" s="13"/>
      <c r="E50" s="13"/>
      <c r="F50" s="13"/>
      <c r="G50" s="13"/>
      <c r="H50" s="13"/>
      <c r="I50" s="13"/>
    </row>
    <row r="51" spans="1:9" ht="17.25">
      <c r="A51" s="64" t="s">
        <v>332</v>
      </c>
      <c r="B51" s="13"/>
      <c r="C51" s="13"/>
      <c r="D51" s="13"/>
      <c r="E51" s="13"/>
      <c r="F51" s="13"/>
      <c r="G51" s="13"/>
      <c r="H51" s="13"/>
      <c r="I51" s="13"/>
    </row>
    <row r="52" spans="1:9" ht="16.5">
      <c r="A52" s="13"/>
      <c r="B52" s="13"/>
      <c r="C52" s="13"/>
      <c r="D52" s="13"/>
      <c r="E52" s="13"/>
      <c r="F52" s="13"/>
      <c r="G52" s="13"/>
      <c r="H52" s="13"/>
      <c r="I52" s="13"/>
    </row>
    <row r="53" spans="1:9" ht="16.5">
      <c r="A53" s="45" t="s">
        <v>0</v>
      </c>
      <c r="B53" s="13"/>
      <c r="C53" s="13"/>
      <c r="D53" s="13"/>
      <c r="E53" s="13"/>
      <c r="F53" s="13"/>
      <c r="G53" s="13"/>
      <c r="H53" s="13"/>
      <c r="I53" s="13"/>
    </row>
    <row r="54" spans="1:9" ht="16.5">
      <c r="A54" s="45"/>
      <c r="B54" s="13"/>
      <c r="C54" s="13"/>
      <c r="D54" s="13"/>
      <c r="E54" s="13"/>
      <c r="F54" s="13"/>
      <c r="G54" s="13"/>
      <c r="H54" s="13"/>
      <c r="I54" s="13"/>
    </row>
    <row r="55" spans="1:9" ht="16.5">
      <c r="A55" s="13"/>
      <c r="B55" s="13"/>
      <c r="C55" s="13"/>
      <c r="D55" s="13"/>
      <c r="E55" s="13"/>
      <c r="F55" s="13"/>
      <c r="G55" s="13"/>
      <c r="H55" s="13"/>
      <c r="I55" s="13"/>
    </row>
    <row r="56" spans="1:9" ht="16.5">
      <c r="A56" s="13"/>
      <c r="B56" s="13"/>
      <c r="C56" s="13"/>
      <c r="D56" s="13"/>
      <c r="E56" s="13"/>
      <c r="F56" s="13"/>
      <c r="G56" s="13"/>
      <c r="H56" s="13"/>
      <c r="I56" s="13"/>
    </row>
    <row r="57" spans="1:9" ht="16.5">
      <c r="A57" s="13"/>
      <c r="B57" s="13"/>
      <c r="C57" s="13"/>
      <c r="D57" s="13"/>
      <c r="E57" s="13"/>
      <c r="F57" s="13"/>
      <c r="G57" s="13"/>
      <c r="H57" s="13"/>
      <c r="I57" s="13"/>
    </row>
    <row r="58" spans="1:9" ht="16.5">
      <c r="A58" s="13"/>
      <c r="B58" s="13"/>
      <c r="C58" s="13"/>
      <c r="D58" s="13"/>
      <c r="E58" s="13"/>
      <c r="F58" s="13"/>
      <c r="G58" s="13"/>
      <c r="H58" s="13"/>
      <c r="I58" s="13"/>
    </row>
    <row r="59" spans="1:9" ht="16.5">
      <c r="C59" s="13"/>
      <c r="D59" s="13"/>
      <c r="E59" s="13"/>
      <c r="F59" s="13"/>
      <c r="G59" s="13"/>
      <c r="H59" s="13"/>
      <c r="I59" s="13"/>
    </row>
    <row r="60" spans="1:9" ht="16.5">
      <c r="C60" s="13"/>
      <c r="D60" s="13"/>
      <c r="E60" s="13"/>
      <c r="F60" s="13"/>
      <c r="G60" s="13"/>
      <c r="H60" s="13"/>
      <c r="I60" s="13"/>
    </row>
    <row r="61" spans="1:9" ht="16.5">
      <c r="C61" s="13"/>
      <c r="D61" s="13"/>
      <c r="E61" s="13"/>
      <c r="F61" s="13"/>
      <c r="G61" s="13"/>
      <c r="H61" s="13"/>
      <c r="I61" s="13"/>
    </row>
    <row r="62" spans="1:9" ht="16.5">
      <c r="C62" s="13"/>
      <c r="D62" s="13"/>
      <c r="E62" s="13"/>
      <c r="F62" s="13"/>
      <c r="G62" s="13"/>
      <c r="H62" s="13"/>
      <c r="I62" s="13"/>
    </row>
    <row r="63" spans="1:9" ht="16.5">
      <c r="C63" s="13"/>
      <c r="D63" s="13"/>
      <c r="E63" s="13"/>
      <c r="F63" s="13"/>
      <c r="G63" s="13"/>
      <c r="H63" s="13"/>
      <c r="I63" s="13"/>
    </row>
    <row r="64" spans="1:9" ht="16.5">
      <c r="C64" s="13"/>
      <c r="D64" s="13"/>
      <c r="E64" s="13"/>
      <c r="F64" s="13"/>
      <c r="G64" s="13"/>
      <c r="H64" s="13"/>
      <c r="I64" s="13"/>
    </row>
    <row r="65" spans="1:9" ht="16.5">
      <c r="C65" s="13"/>
      <c r="D65" s="13"/>
      <c r="E65" s="13"/>
      <c r="F65" s="13"/>
      <c r="G65" s="13"/>
      <c r="H65" s="13"/>
      <c r="I65" s="13"/>
    </row>
    <row r="66" spans="1:9" ht="16.5">
      <c r="A66" s="13"/>
      <c r="B66" s="13"/>
      <c r="C66" s="13"/>
      <c r="D66" s="13"/>
      <c r="E66" s="13"/>
      <c r="F66" s="13"/>
      <c r="G66" s="13"/>
      <c r="H66" s="13"/>
      <c r="I66" s="13"/>
    </row>
    <row r="67" spans="1:9" ht="16.5">
      <c r="A67" s="13"/>
      <c r="B67" s="13"/>
      <c r="C67" s="13"/>
      <c r="D67" s="13"/>
      <c r="E67" s="13"/>
      <c r="F67" s="13"/>
      <c r="G67" s="13"/>
      <c r="H67" s="13"/>
      <c r="I67" s="13"/>
    </row>
    <row r="68" spans="1:9" ht="16.5">
      <c r="A68" s="13"/>
      <c r="B68" s="13"/>
      <c r="C68" s="13"/>
      <c r="D68" s="13"/>
      <c r="E68" s="13"/>
      <c r="F68" s="13"/>
      <c r="G68" s="13"/>
      <c r="H68" s="13"/>
      <c r="I68" s="13"/>
    </row>
    <row r="69" spans="1:9" ht="16.5">
      <c r="A69" s="13"/>
      <c r="B69" s="13"/>
      <c r="C69" s="13"/>
      <c r="D69" s="13"/>
      <c r="E69" s="13"/>
      <c r="F69" s="13"/>
      <c r="G69" s="13"/>
      <c r="H69" s="13"/>
      <c r="I69" s="13"/>
    </row>
    <row r="70" spans="1:9" ht="16.5">
      <c r="A70" s="13"/>
      <c r="B70" s="13"/>
      <c r="C70" s="13"/>
      <c r="D70" s="13"/>
      <c r="E70" s="13"/>
      <c r="F70" s="13"/>
      <c r="G70" s="13"/>
      <c r="H70" s="13"/>
      <c r="I70" s="13"/>
    </row>
    <row r="71" spans="1:9" ht="16.5">
      <c r="A71" s="13"/>
      <c r="B71" s="13"/>
      <c r="C71" s="13"/>
      <c r="D71" s="13"/>
      <c r="E71" s="13"/>
      <c r="F71" s="13"/>
      <c r="G71" s="13"/>
      <c r="H71" s="13"/>
      <c r="I71" s="13"/>
    </row>
    <row r="72" spans="1:9" ht="16.5">
      <c r="A72" s="13"/>
      <c r="B72" s="13"/>
      <c r="C72" s="13"/>
      <c r="D72" s="13"/>
      <c r="E72" s="13"/>
      <c r="F72" s="13"/>
      <c r="G72" s="13"/>
      <c r="H72" s="13"/>
      <c r="I72" s="13"/>
    </row>
    <row r="73" spans="1:9" ht="16.5">
      <c r="A73" s="13"/>
      <c r="B73" s="13"/>
      <c r="C73" s="13"/>
      <c r="D73" s="13"/>
      <c r="E73" s="13"/>
      <c r="F73" s="13"/>
      <c r="G73" s="13"/>
      <c r="H73" s="13"/>
      <c r="I73" s="13"/>
    </row>
    <row r="74" spans="1:9" ht="16.5">
      <c r="A74" s="13"/>
      <c r="B74" s="13"/>
      <c r="C74" s="13"/>
      <c r="D74" s="13"/>
      <c r="E74" s="13"/>
      <c r="F74" s="13"/>
      <c r="G74" s="13"/>
      <c r="H74" s="13"/>
      <c r="I74" s="13"/>
    </row>
    <row r="75" spans="1:9" ht="16.5">
      <c r="A75" s="13"/>
      <c r="B75" s="13"/>
      <c r="C75" s="13"/>
      <c r="D75" s="13"/>
      <c r="E75" s="13"/>
      <c r="F75" s="13"/>
      <c r="G75" s="13"/>
      <c r="H75" s="13"/>
      <c r="I75" s="13"/>
    </row>
    <row r="76" spans="1:9" ht="16.5">
      <c r="A76" s="13"/>
      <c r="B76" s="13"/>
      <c r="C76" s="13"/>
      <c r="D76" s="13"/>
      <c r="E76" s="13"/>
      <c r="F76" s="13"/>
      <c r="G76" s="13"/>
      <c r="H76" s="13"/>
      <c r="I76" s="13"/>
    </row>
    <row r="77" spans="1:9" ht="16.5">
      <c r="A77" s="13"/>
      <c r="B77" s="13"/>
      <c r="C77" s="13"/>
      <c r="D77" s="13"/>
      <c r="E77" s="13"/>
      <c r="F77" s="13"/>
      <c r="G77" s="13"/>
      <c r="H77" s="13"/>
      <c r="I77" s="13"/>
    </row>
    <row r="78" spans="1:9" ht="16.5">
      <c r="A78" s="13"/>
      <c r="B78" s="13"/>
      <c r="C78" s="13"/>
      <c r="D78" s="13"/>
      <c r="E78" s="13"/>
      <c r="F78" s="13"/>
      <c r="G78" s="13"/>
      <c r="H78" s="13"/>
      <c r="I78" s="13"/>
    </row>
    <row r="79" spans="1:9" ht="16.5">
      <c r="A79" s="13"/>
      <c r="B79" s="13"/>
      <c r="C79" s="13"/>
      <c r="D79" s="13"/>
      <c r="E79" s="13"/>
      <c r="F79" s="13"/>
      <c r="G79" s="13"/>
      <c r="H79" s="13"/>
      <c r="I79" s="13"/>
    </row>
    <row r="80" spans="1:9" ht="16.5">
      <c r="A80" s="13"/>
      <c r="B80" s="13"/>
      <c r="C80" s="13"/>
      <c r="D80" s="13"/>
      <c r="E80" s="13"/>
      <c r="F80" s="13"/>
      <c r="G80" s="13"/>
      <c r="H80" s="13"/>
      <c r="I80" s="13"/>
    </row>
    <row r="81" spans="1:9" ht="16.5">
      <c r="A81" s="13"/>
      <c r="B81" s="13"/>
      <c r="C81" s="13"/>
      <c r="D81" s="13"/>
      <c r="E81" s="13"/>
      <c r="F81" s="13"/>
      <c r="G81" s="13"/>
      <c r="H81" s="13"/>
      <c r="I81" s="13"/>
    </row>
    <row r="82" spans="1:9" ht="16.5">
      <c r="A82" s="13"/>
      <c r="B82" s="13"/>
      <c r="C82" s="13"/>
      <c r="D82" s="13"/>
      <c r="E82" s="13"/>
      <c r="F82" s="13"/>
      <c r="G82" s="13"/>
      <c r="H82" s="13"/>
      <c r="I82" s="13"/>
    </row>
    <row r="83" spans="1:9" ht="16.5">
      <c r="A83" s="13"/>
      <c r="B83" s="13"/>
      <c r="C83" s="13"/>
      <c r="D83" s="13"/>
      <c r="E83" s="13"/>
      <c r="F83" s="13"/>
      <c r="G83" s="13"/>
      <c r="H83" s="13"/>
      <c r="I83" s="13"/>
    </row>
    <row r="84" spans="1:9" ht="16.5">
      <c r="A84" s="13"/>
      <c r="B84" s="13"/>
      <c r="C84" s="13"/>
      <c r="D84" s="13"/>
      <c r="E84" s="13"/>
      <c r="F84" s="13"/>
      <c r="G84" s="13"/>
      <c r="H84" s="13"/>
      <c r="I84" s="13"/>
    </row>
    <row r="85" spans="1:9" ht="16.5">
      <c r="A85" s="13"/>
      <c r="B85" s="13"/>
      <c r="C85" s="13"/>
      <c r="D85" s="13"/>
      <c r="E85" s="13"/>
      <c r="F85" s="13"/>
      <c r="G85" s="13"/>
      <c r="H85" s="13"/>
      <c r="I85" s="13"/>
    </row>
    <row r="86" spans="1:9" ht="16.5">
      <c r="A86" s="13"/>
      <c r="B86" s="13"/>
      <c r="C86" s="13"/>
      <c r="D86" s="13"/>
      <c r="E86" s="13"/>
      <c r="F86" s="13"/>
      <c r="G86" s="13"/>
      <c r="H86" s="13"/>
      <c r="I86" s="13"/>
    </row>
    <row r="87" spans="1:9" ht="16.5">
      <c r="A87" s="13"/>
      <c r="B87" s="13"/>
      <c r="C87" s="13"/>
      <c r="D87" s="13"/>
      <c r="E87" s="13"/>
      <c r="F87" s="13"/>
      <c r="G87" s="13"/>
      <c r="H87" s="13"/>
      <c r="I87" s="13"/>
    </row>
    <row r="88" spans="1:9" ht="16.5">
      <c r="A88" s="13"/>
      <c r="B88" s="13"/>
      <c r="C88" s="13"/>
      <c r="D88" s="13"/>
      <c r="E88" s="13"/>
      <c r="F88" s="13"/>
      <c r="G88" s="13"/>
      <c r="H88" s="13"/>
      <c r="I88" s="13"/>
    </row>
    <row r="89" spans="1:9" ht="16.5">
      <c r="A89" s="13"/>
      <c r="B89" s="13"/>
      <c r="C89" s="13"/>
      <c r="D89" s="13"/>
      <c r="E89" s="13"/>
      <c r="F89" s="13"/>
      <c r="G89" s="13"/>
      <c r="H89" s="13"/>
      <c r="I89" s="13"/>
    </row>
    <row r="90" spans="1:9" ht="16.5">
      <c r="A90" s="13"/>
      <c r="B90" s="13"/>
      <c r="C90" s="13"/>
      <c r="D90" s="13"/>
      <c r="E90" s="13"/>
      <c r="F90" s="13"/>
      <c r="G90" s="13"/>
      <c r="H90" s="13"/>
      <c r="I90" s="13"/>
    </row>
    <row r="91" spans="1:9" ht="16.5">
      <c r="A91" s="13"/>
      <c r="B91" s="13"/>
      <c r="C91" s="13"/>
      <c r="D91" s="13"/>
      <c r="E91" s="13"/>
      <c r="F91" s="13"/>
      <c r="G91" s="13"/>
      <c r="H91" s="13"/>
      <c r="I91" s="13"/>
    </row>
    <row r="92" spans="1:9" ht="16.5">
      <c r="A92" s="13"/>
      <c r="B92" s="13"/>
      <c r="C92" s="13"/>
      <c r="D92" s="13"/>
      <c r="E92" s="13"/>
      <c r="F92" s="13"/>
      <c r="G92" s="13"/>
      <c r="H92" s="13"/>
      <c r="I92" s="13"/>
    </row>
    <row r="93" spans="1:9" ht="16.5">
      <c r="A93" s="13"/>
      <c r="B93" s="13"/>
      <c r="C93" s="13"/>
      <c r="D93" s="13"/>
      <c r="E93" s="13"/>
      <c r="F93" s="13"/>
      <c r="G93" s="13"/>
      <c r="H93" s="13"/>
      <c r="I93" s="13"/>
    </row>
    <row r="94" spans="1:9" ht="16.5">
      <c r="A94" s="13"/>
      <c r="B94" s="13"/>
      <c r="C94" s="13"/>
      <c r="D94" s="13"/>
      <c r="E94" s="13"/>
      <c r="F94" s="13"/>
      <c r="G94" s="13"/>
      <c r="H94" s="13"/>
      <c r="I94" s="13"/>
    </row>
    <row r="95" spans="1:9" ht="16.5">
      <c r="A95" s="13"/>
      <c r="B95" s="13"/>
      <c r="C95" s="13"/>
      <c r="D95" s="13"/>
      <c r="E95" s="13"/>
      <c r="F95" s="13"/>
      <c r="G95" s="13"/>
      <c r="H95" s="13"/>
      <c r="I95" s="13"/>
    </row>
    <row r="96" spans="1:9" ht="16.5">
      <c r="A96" s="13"/>
      <c r="B96" s="13"/>
      <c r="C96" s="13"/>
      <c r="D96" s="13"/>
      <c r="E96" s="13"/>
      <c r="F96" s="13"/>
      <c r="G96" s="13"/>
      <c r="H96" s="13"/>
      <c r="I96" s="13"/>
    </row>
    <row r="97" spans="1:9" ht="16.5">
      <c r="A97" s="13"/>
      <c r="B97" s="13"/>
      <c r="C97" s="13"/>
      <c r="D97" s="13"/>
      <c r="E97" s="13"/>
      <c r="F97" s="13"/>
      <c r="G97" s="13"/>
      <c r="H97" s="13"/>
      <c r="I97" s="13"/>
    </row>
    <row r="98" spans="1:9" ht="16.5">
      <c r="A98" s="13"/>
      <c r="B98" s="13"/>
      <c r="C98" s="13"/>
      <c r="D98" s="13"/>
      <c r="E98" s="13"/>
      <c r="F98" s="13"/>
      <c r="G98" s="13"/>
      <c r="H98" s="13"/>
      <c r="I98" s="13"/>
    </row>
    <row r="99" spans="1:9" ht="16.5">
      <c r="A99" s="13"/>
      <c r="B99" s="13"/>
      <c r="C99" s="13"/>
      <c r="D99" s="13"/>
      <c r="E99" s="13"/>
      <c r="F99" s="13"/>
      <c r="G99" s="13"/>
      <c r="H99" s="13"/>
      <c r="I99" s="13"/>
    </row>
    <row r="100" spans="1:9" ht="16.5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ht="16.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ht="16.5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ht="16.5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ht="16.5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ht="16.5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ht="16.5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ht="16.5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ht="16.5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ht="16.5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ht="16.5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ht="16.5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ht="16.5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ht="16.5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ht="16.5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ht="16.5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ht="16.5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ht="16.5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ht="16.5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ht="16.5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ht="16.5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ht="16.5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ht="16.5">
      <c r="A122" s="13"/>
      <c r="B122" s="13"/>
      <c r="C122" s="13"/>
      <c r="D122" s="13"/>
      <c r="E122" s="13"/>
      <c r="F122" s="13"/>
      <c r="G122" s="13"/>
      <c r="H122" s="13"/>
      <c r="I122" s="13"/>
    </row>
  </sheetData>
  <pageMargins left="0.25" right="0.25" top="0.75" bottom="0.75" header="0.3" footer="0.3"/>
  <pageSetup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9282-6164-4F23-8F00-A2369B6B55B2}">
  <sheetPr>
    <tabColor rgb="FF92D050"/>
  </sheetPr>
  <dimension ref="A1:N55"/>
  <sheetViews>
    <sheetView view="pageBreakPreview" zoomScale="60" zoomScaleNormal="80" workbookViewId="0">
      <selection activeCell="I39" sqref="I39"/>
    </sheetView>
  </sheetViews>
  <sheetFormatPr defaultRowHeight="15"/>
  <cols>
    <col min="1" max="1" width="21.5703125" customWidth="1"/>
    <col min="2" max="2" width="38.42578125" customWidth="1"/>
    <col min="3" max="3" width="25" customWidth="1"/>
    <col min="4" max="4" width="28.85546875" customWidth="1"/>
    <col min="5" max="5" width="22.42578125" customWidth="1"/>
    <col min="6" max="6" width="25" customWidth="1"/>
    <col min="7" max="7" width="17.42578125" customWidth="1"/>
    <col min="8" max="8" width="26.5703125" customWidth="1"/>
    <col min="9" max="9" width="25.5703125" customWidth="1"/>
    <col min="10" max="10" width="21.42578125" customWidth="1"/>
    <col min="11" max="11" width="4.42578125" customWidth="1"/>
    <col min="12" max="12" width="22.5703125" customWidth="1"/>
    <col min="13" max="13" width="17.42578125" customWidth="1"/>
  </cols>
  <sheetData>
    <row r="1" spans="1:14" ht="26.25">
      <c r="A1" s="25" t="s">
        <v>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7.25">
      <c r="A2" s="64" t="s">
        <v>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6.5">
      <c r="A3" s="27" t="s">
        <v>435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6.5">
      <c r="A4" s="13"/>
      <c r="C4" s="13"/>
      <c r="D4" s="13"/>
      <c r="E4" s="28" t="s">
        <v>0</v>
      </c>
      <c r="F4" s="13"/>
      <c r="G4" s="13"/>
      <c r="H4" s="13"/>
      <c r="I4" s="13"/>
      <c r="J4" s="13"/>
      <c r="K4" s="13"/>
      <c r="L4" s="13"/>
      <c r="M4" s="13"/>
      <c r="N4" s="13"/>
    </row>
    <row r="5" spans="1:14" ht="18" thickBot="1">
      <c r="A5" s="6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21" thickBot="1">
      <c r="A6" s="29" t="str">
        <f>+'S&amp;D'!A12</f>
        <v>Electric Utilities</v>
      </c>
      <c r="B6" s="174"/>
      <c r="C6" s="13"/>
      <c r="D6" s="13"/>
      <c r="E6" s="13"/>
      <c r="F6" s="13"/>
      <c r="G6" s="13"/>
      <c r="H6" s="13"/>
    </row>
    <row r="7" spans="1:14" ht="18" thickBot="1">
      <c r="A7" s="64"/>
      <c r="C7" s="30"/>
      <c r="D7" s="30"/>
      <c r="E7" s="30"/>
      <c r="F7" s="30"/>
      <c r="G7" s="30"/>
      <c r="H7" s="13"/>
    </row>
    <row r="8" spans="1:14" ht="26.25">
      <c r="C8" s="13"/>
      <c r="D8" s="13"/>
      <c r="E8" s="33" t="s">
        <v>360</v>
      </c>
      <c r="F8" s="13"/>
      <c r="G8" s="13"/>
      <c r="H8" s="13"/>
    </row>
    <row r="9" spans="1:14" ht="21" thickBot="1">
      <c r="B9" s="32"/>
      <c r="C9" s="30"/>
      <c r="D9" s="30"/>
      <c r="E9" s="34" t="s">
        <v>436</v>
      </c>
      <c r="F9" s="30"/>
      <c r="G9" s="30"/>
      <c r="H9" s="13"/>
    </row>
    <row r="10" spans="1:14" ht="21.75" customHeight="1" thickBot="1">
      <c r="B10" s="35" t="s">
        <v>0</v>
      </c>
      <c r="C10" s="35" t="s">
        <v>0</v>
      </c>
      <c r="D10" s="35" t="s">
        <v>0</v>
      </c>
      <c r="E10" s="35" t="s">
        <v>0</v>
      </c>
      <c r="F10" s="35" t="s">
        <v>0</v>
      </c>
      <c r="G10" s="35" t="s">
        <v>0</v>
      </c>
      <c r="H10" s="30"/>
      <c r="I10" s="148"/>
      <c r="J10" s="148"/>
    </row>
    <row r="11" spans="1:14" ht="16.5">
      <c r="B11" s="36" t="s">
        <v>0</v>
      </c>
      <c r="C11" s="36" t="s">
        <v>3</v>
      </c>
      <c r="D11" s="36" t="s">
        <v>0</v>
      </c>
      <c r="E11" s="36" t="s">
        <v>361</v>
      </c>
      <c r="F11" s="36" t="s">
        <v>256</v>
      </c>
      <c r="G11" s="36" t="s">
        <v>27</v>
      </c>
      <c r="H11" s="36" t="s">
        <v>362</v>
      </c>
      <c r="I11" s="36" t="s">
        <v>362</v>
      </c>
      <c r="J11" s="36" t="s">
        <v>27</v>
      </c>
    </row>
    <row r="12" spans="1:14" ht="17.25" thickBot="1">
      <c r="B12" s="38" t="s">
        <v>2</v>
      </c>
      <c r="C12" s="38" t="s">
        <v>4</v>
      </c>
      <c r="D12" s="38" t="s">
        <v>28</v>
      </c>
      <c r="E12" s="38" t="s">
        <v>193</v>
      </c>
      <c r="F12" s="38" t="s">
        <v>363</v>
      </c>
      <c r="G12" s="38" t="s">
        <v>30</v>
      </c>
      <c r="H12" s="38" t="s">
        <v>386</v>
      </c>
      <c r="I12" s="38" t="s">
        <v>29</v>
      </c>
      <c r="J12" s="38" t="s">
        <v>30</v>
      </c>
    </row>
    <row r="13" spans="1:14">
      <c r="B13" s="40" t="s">
        <v>0</v>
      </c>
      <c r="C13" s="40" t="s">
        <v>0</v>
      </c>
      <c r="D13" s="41" t="s">
        <v>147</v>
      </c>
      <c r="E13" s="40" t="s">
        <v>148</v>
      </c>
      <c r="F13" s="40" t="s">
        <v>0</v>
      </c>
      <c r="G13" s="40" t="s">
        <v>0</v>
      </c>
      <c r="H13" s="40" t="s">
        <v>148</v>
      </c>
      <c r="I13" s="40" t="s">
        <v>0</v>
      </c>
      <c r="J13" s="40" t="s">
        <v>0</v>
      </c>
    </row>
    <row r="14" spans="1:14" ht="16.5">
      <c r="B14" s="36"/>
      <c r="C14" s="36"/>
      <c r="D14" s="36"/>
      <c r="E14" s="36"/>
      <c r="F14" s="36"/>
      <c r="G14" s="36"/>
      <c r="H14" s="36"/>
      <c r="I14" s="36"/>
      <c r="J14" s="36"/>
    </row>
    <row r="15" spans="1:14" ht="16.5">
      <c r="B15" s="13"/>
      <c r="C15" s="13"/>
      <c r="D15" s="13"/>
      <c r="E15" s="13"/>
      <c r="F15" s="13"/>
      <c r="G15" s="13"/>
      <c r="H15" s="13"/>
      <c r="I15" s="13"/>
      <c r="J15" s="13"/>
    </row>
    <row r="16" spans="1:14" ht="17.25">
      <c r="B16" s="64" t="str">
        <f>+'S&amp;D'!A22</f>
        <v>ALLETE Inc</v>
      </c>
      <c r="C16" s="92" t="str">
        <f>+'S&amp;D'!B22</f>
        <v>ALE</v>
      </c>
      <c r="D16" s="171">
        <f>+'S&amp;D'!G22</f>
        <v>64.8</v>
      </c>
      <c r="E16" s="280">
        <v>29.5</v>
      </c>
      <c r="F16" s="73">
        <f>D16/E16</f>
        <v>2.1966101694915254</v>
      </c>
      <c r="G16" s="58">
        <f t="shared" ref="G16:G31" si="0">1/F16</f>
        <v>0.45524691358024694</v>
      </c>
      <c r="H16" s="280">
        <v>52.55</v>
      </c>
      <c r="I16" s="377">
        <f t="shared" ref="I16:I31" si="1">D16/H16</f>
        <v>1.2331113225499524</v>
      </c>
      <c r="J16" s="58">
        <f t="shared" ref="J16:J31" si="2">1/I16</f>
        <v>0.81095679012345678</v>
      </c>
    </row>
    <row r="17" spans="2:10" ht="17.25">
      <c r="B17" s="64" t="str">
        <f>+'S&amp;D'!A23</f>
        <v>Alliant Energy</v>
      </c>
      <c r="C17" s="92" t="str">
        <f>+'S&amp;D'!B23</f>
        <v>LNT</v>
      </c>
      <c r="D17" s="171">
        <f>+'S&amp;D'!G23</f>
        <v>59.14</v>
      </c>
      <c r="E17" s="280">
        <v>17.3</v>
      </c>
      <c r="F17" s="377">
        <f t="shared" ref="F17:F20" si="3">D17/E17</f>
        <v>3.4184971098265895</v>
      </c>
      <c r="G17" s="58">
        <f t="shared" si="0"/>
        <v>0.29252620899560366</v>
      </c>
      <c r="H17" s="280">
        <v>28.85</v>
      </c>
      <c r="I17" s="377">
        <f t="shared" si="1"/>
        <v>2.0499133448873481</v>
      </c>
      <c r="J17" s="58">
        <f t="shared" si="2"/>
        <v>0.487825498816368</v>
      </c>
    </row>
    <row r="18" spans="2:10" ht="17.25">
      <c r="B18" s="64" t="str">
        <f>+'S&amp;D'!A24</f>
        <v>AMEREN Corporation</v>
      </c>
      <c r="C18" s="92" t="str">
        <f>+'S&amp;D'!B24</f>
        <v>AEE</v>
      </c>
      <c r="D18" s="171">
        <f>+'S&amp;D'!G24</f>
        <v>89.14</v>
      </c>
      <c r="E18" s="280">
        <v>29.95</v>
      </c>
      <c r="F18" s="377">
        <f t="shared" si="3"/>
        <v>2.9762938230383975</v>
      </c>
      <c r="G18" s="58">
        <f t="shared" si="0"/>
        <v>0.33598833295938968</v>
      </c>
      <c r="H18" s="280">
        <v>45.95</v>
      </c>
      <c r="I18" s="377">
        <f t="shared" si="1"/>
        <v>1.9399347116430903</v>
      </c>
      <c r="J18" s="58">
        <f t="shared" si="2"/>
        <v>0.51548126542517392</v>
      </c>
    </row>
    <row r="19" spans="2:10" ht="17.25">
      <c r="B19" s="64" t="str">
        <f>+'S&amp;D'!A25</f>
        <v>American Electric Power</v>
      </c>
      <c r="C19" s="92" t="str">
        <f>+'S&amp;D'!B25</f>
        <v>AEP</v>
      </c>
      <c r="D19" s="171">
        <f>+'S&amp;D'!G25</f>
        <v>92.23</v>
      </c>
      <c r="E19" s="280">
        <v>39.65</v>
      </c>
      <c r="F19" s="377">
        <f>D19/E19</f>
        <v>2.3261034047919296</v>
      </c>
      <c r="G19" s="58">
        <f t="shared" si="0"/>
        <v>0.42990350211427947</v>
      </c>
      <c r="H19" s="280">
        <v>52.35</v>
      </c>
      <c r="I19" s="377">
        <f t="shared" si="1"/>
        <v>1.7617956064947469</v>
      </c>
      <c r="J19" s="58">
        <f t="shared" si="2"/>
        <v>0.56760273229968561</v>
      </c>
    </row>
    <row r="20" spans="2:10" ht="17.25">
      <c r="B20" s="64" t="str">
        <f>+'S&amp;D'!A26</f>
        <v>Centerpoint Energy</v>
      </c>
      <c r="C20" s="92" t="str">
        <f>+'S&amp;D'!B26</f>
        <v>CNP</v>
      </c>
      <c r="D20" s="171">
        <f>+'S&amp;D'!G26</f>
        <v>31.73</v>
      </c>
      <c r="E20" s="280">
        <v>14.85</v>
      </c>
      <c r="F20" s="377">
        <f t="shared" si="3"/>
        <v>2.1367003367003368</v>
      </c>
      <c r="G20" s="58">
        <f t="shared" si="0"/>
        <v>0.46801134572959341</v>
      </c>
      <c r="H20" s="280">
        <v>17.899999999999999</v>
      </c>
      <c r="I20" s="377">
        <f t="shared" si="1"/>
        <v>1.7726256983240225</v>
      </c>
      <c r="J20" s="58">
        <f t="shared" si="2"/>
        <v>0.56413488811849977</v>
      </c>
    </row>
    <row r="21" spans="2:10" ht="17.25">
      <c r="B21" s="64" t="str">
        <f>+'S&amp;D'!A27</f>
        <v>CMS Energy</v>
      </c>
      <c r="C21" s="92" t="str">
        <f>+'S&amp;D'!B27</f>
        <v>CMS</v>
      </c>
      <c r="D21" s="171">
        <f>+'S&amp;D'!G27</f>
        <v>66.650000000000006</v>
      </c>
      <c r="E21" s="280">
        <v>27.15</v>
      </c>
      <c r="F21" s="377">
        <f t="shared" ref="F21:F26" si="4">D21/E21</f>
        <v>2.4548802946593007</v>
      </c>
      <c r="G21" s="58">
        <f t="shared" si="0"/>
        <v>0.40735183795948982</v>
      </c>
      <c r="H21" s="280">
        <v>27.55</v>
      </c>
      <c r="I21" s="377">
        <f t="shared" si="1"/>
        <v>2.4192377495462796</v>
      </c>
      <c r="J21" s="58">
        <f t="shared" si="2"/>
        <v>0.41335333833458365</v>
      </c>
    </row>
    <row r="22" spans="2:10" ht="17.25">
      <c r="B22" s="64" t="str">
        <f>+'S&amp;D'!A28</f>
        <v>DTE Energy</v>
      </c>
      <c r="C22" s="92" t="str">
        <f>+'S&amp;D'!B28</f>
        <v>DTE</v>
      </c>
      <c r="D22" s="171">
        <f>+'S&amp;D'!G28</f>
        <v>120.75</v>
      </c>
      <c r="E22" s="280">
        <v>65.2</v>
      </c>
      <c r="F22" s="377">
        <f t="shared" si="4"/>
        <v>1.8519938650306749</v>
      </c>
      <c r="G22" s="58">
        <f t="shared" si="0"/>
        <v>0.53995859213250519</v>
      </c>
      <c r="H22" s="280">
        <v>58.4</v>
      </c>
      <c r="I22" s="377">
        <f t="shared" si="1"/>
        <v>2.0676369863013697</v>
      </c>
      <c r="J22" s="58">
        <f t="shared" si="2"/>
        <v>0.48364389233954452</v>
      </c>
    </row>
    <row r="23" spans="2:10" ht="17.25">
      <c r="B23" s="64" t="str">
        <f>+'S&amp;D'!A29</f>
        <v>Duke Energy</v>
      </c>
      <c r="C23" s="92" t="str">
        <f>+'S&amp;D'!B29</f>
        <v>DUK</v>
      </c>
      <c r="D23" s="171">
        <f>+'S&amp;D'!G29</f>
        <v>107.74</v>
      </c>
      <c r="E23" s="280">
        <v>40.799999999999997</v>
      </c>
      <c r="F23" s="73">
        <f t="shared" si="4"/>
        <v>2.6406862745098039</v>
      </c>
      <c r="G23" s="58">
        <f t="shared" si="0"/>
        <v>0.37868943753480599</v>
      </c>
      <c r="H23" s="280">
        <v>65.55</v>
      </c>
      <c r="I23" s="377">
        <f t="shared" si="1"/>
        <v>1.6436308161708619</v>
      </c>
      <c r="J23" s="58">
        <f t="shared" si="2"/>
        <v>0.60840913309819933</v>
      </c>
    </row>
    <row r="24" spans="2:10" ht="17.25">
      <c r="B24" s="64" t="str">
        <f>+'S&amp;D'!A30</f>
        <v>Entergy Corp</v>
      </c>
      <c r="C24" s="92" t="str">
        <f>+'S&amp;D'!B30</f>
        <v>ETR</v>
      </c>
      <c r="D24" s="171">
        <f>+'S&amp;D'!G30</f>
        <v>75.819999999999993</v>
      </c>
      <c r="E24" s="280">
        <v>28.75</v>
      </c>
      <c r="F24" s="73">
        <f t="shared" si="4"/>
        <v>2.6372173913043477</v>
      </c>
      <c r="G24" s="58">
        <f t="shared" si="0"/>
        <v>0.3791875494592456</v>
      </c>
      <c r="H24" s="280">
        <v>36.5</v>
      </c>
      <c r="I24" s="377">
        <f t="shared" si="1"/>
        <v>2.0772602739726027</v>
      </c>
      <c r="J24" s="58">
        <f t="shared" si="2"/>
        <v>0.48140332366130312</v>
      </c>
    </row>
    <row r="25" spans="2:10" ht="17.25">
      <c r="B25" s="64" t="str">
        <f>+'S&amp;D'!A31</f>
        <v>Evergy Inc</v>
      </c>
      <c r="C25" s="92" t="str">
        <f>+'S&amp;D'!B31</f>
        <v>EVRG</v>
      </c>
      <c r="D25" s="171">
        <f>+'S&amp;D'!G31</f>
        <v>61.55</v>
      </c>
      <c r="E25" s="280">
        <v>26.1</v>
      </c>
      <c r="F25" s="73">
        <f t="shared" si="4"/>
        <v>2.35823754789272</v>
      </c>
      <c r="G25" s="58">
        <f t="shared" si="0"/>
        <v>0.42404549147034937</v>
      </c>
      <c r="H25" s="280">
        <v>45.65</v>
      </c>
      <c r="I25" s="377">
        <f t="shared" si="1"/>
        <v>1.3483023001095289</v>
      </c>
      <c r="J25" s="58">
        <f t="shared" si="2"/>
        <v>0.74167343623070681</v>
      </c>
    </row>
    <row r="26" spans="2:10" ht="16.5" customHeight="1">
      <c r="B26" s="64" t="str">
        <f>+'S&amp;D'!A32</f>
        <v>FirstEnergy Corp</v>
      </c>
      <c r="C26" s="92" t="str">
        <f>+'S&amp;D'!B32</f>
        <v>FE</v>
      </c>
      <c r="D26" s="171">
        <f>+'S&amp;D'!G32</f>
        <v>39.78</v>
      </c>
      <c r="E26" s="280">
        <v>25.25</v>
      </c>
      <c r="F26" s="73">
        <f t="shared" si="4"/>
        <v>1.5754455445544555</v>
      </c>
      <c r="G26" s="58">
        <f t="shared" si="0"/>
        <v>0.63474107591754647</v>
      </c>
      <c r="H26" s="280">
        <v>22.25</v>
      </c>
      <c r="I26" s="377">
        <f t="shared" si="1"/>
        <v>1.7878651685393259</v>
      </c>
      <c r="J26" s="58">
        <f t="shared" si="2"/>
        <v>0.55932629462041228</v>
      </c>
    </row>
    <row r="27" spans="2:10" ht="17.25">
      <c r="B27" s="64" t="str">
        <f>+'S&amp;D'!A33</f>
        <v>OGE Energy Corp.</v>
      </c>
      <c r="C27" s="92" t="str">
        <f>+'S&amp;D'!B33</f>
        <v>OGE</v>
      </c>
      <c r="D27" s="171">
        <f>+'S&amp;D'!G33</f>
        <v>41.25</v>
      </c>
      <c r="E27" s="280">
        <v>15</v>
      </c>
      <c r="F27" s="73">
        <f t="shared" ref="F27:F31" si="5">D27/E27</f>
        <v>2.75</v>
      </c>
      <c r="G27" s="58">
        <f t="shared" si="0"/>
        <v>0.36363636363636365</v>
      </c>
      <c r="H27" s="280">
        <v>23.75</v>
      </c>
      <c r="I27" s="377">
        <f t="shared" si="1"/>
        <v>1.736842105263158</v>
      </c>
      <c r="J27" s="58">
        <f t="shared" si="2"/>
        <v>0.57575757575757569</v>
      </c>
    </row>
    <row r="28" spans="2:10" ht="17.25">
      <c r="B28" s="64" t="str">
        <f>+'S&amp;D'!A34</f>
        <v>Otter Tail Corp</v>
      </c>
      <c r="C28" s="92" t="str">
        <f>+'S&amp;D'!B34</f>
        <v>OTTR</v>
      </c>
      <c r="D28" s="171">
        <f>+'S&amp;D'!G34</f>
        <v>73.84</v>
      </c>
      <c r="E28" s="280">
        <v>32.4</v>
      </c>
      <c r="F28" s="73">
        <f t="shared" si="5"/>
        <v>2.2790123456790123</v>
      </c>
      <c r="G28" s="58">
        <f t="shared" si="0"/>
        <v>0.43878656554712892</v>
      </c>
      <c r="H28" s="280">
        <v>42.25</v>
      </c>
      <c r="I28" s="73">
        <f t="shared" si="1"/>
        <v>1.7476923076923079</v>
      </c>
      <c r="J28" s="58">
        <f t="shared" si="2"/>
        <v>0.57218309859154926</v>
      </c>
    </row>
    <row r="29" spans="2:10" ht="17.25">
      <c r="B29" s="64" t="str">
        <f>+'S&amp;D'!A35</f>
        <v>PPL Corporation</v>
      </c>
      <c r="C29" s="92" t="str">
        <f>+'S&amp;D'!B35</f>
        <v>PPL</v>
      </c>
      <c r="D29" s="171">
        <f>+'S&amp;D'!G35</f>
        <v>32.46</v>
      </c>
      <c r="E29" s="280">
        <v>11.4</v>
      </c>
      <c r="F29" s="73">
        <f t="shared" si="5"/>
        <v>2.8473684210526318</v>
      </c>
      <c r="G29" s="58">
        <f t="shared" si="0"/>
        <v>0.3512014787430684</v>
      </c>
      <c r="H29" s="280">
        <v>20.55</v>
      </c>
      <c r="I29" s="73">
        <f t="shared" si="1"/>
        <v>1.5795620437956204</v>
      </c>
      <c r="J29" s="58">
        <f t="shared" si="2"/>
        <v>0.63308687615526804</v>
      </c>
    </row>
    <row r="30" spans="2:10" ht="17.25">
      <c r="B30" s="64" t="str">
        <f>+'S&amp;D'!A36</f>
        <v>The Southern Company</v>
      </c>
      <c r="C30" s="92" t="str">
        <f>+'S&amp;D'!B36</f>
        <v>SO</v>
      </c>
      <c r="D30" s="171">
        <f>+'S&amp;D'!G36</f>
        <v>82.32</v>
      </c>
      <c r="E30" s="280">
        <v>24.9</v>
      </c>
      <c r="F30" s="73">
        <f t="shared" si="5"/>
        <v>3.3060240963855421</v>
      </c>
      <c r="G30" s="58">
        <f t="shared" si="0"/>
        <v>0.30247813411078717</v>
      </c>
      <c r="H30" s="280">
        <v>31.75</v>
      </c>
      <c r="I30" s="73">
        <f t="shared" si="1"/>
        <v>2.5927559055118108</v>
      </c>
      <c r="J30" s="58">
        <f t="shared" si="2"/>
        <v>0.38568999028182704</v>
      </c>
    </row>
    <row r="31" spans="2:10" ht="17.25">
      <c r="B31" s="64" t="str">
        <f>+'S&amp;D'!A37</f>
        <v>WEC Energy Group</v>
      </c>
      <c r="C31" s="92" t="str">
        <f>+'S&amp;D'!B37</f>
        <v>WEC</v>
      </c>
      <c r="D31" s="171">
        <f>+'S&amp;D'!G37</f>
        <v>94.04</v>
      </c>
      <c r="E31" s="280">
        <v>30.3</v>
      </c>
      <c r="F31" s="73">
        <f t="shared" si="5"/>
        <v>3.1036303630363036</v>
      </c>
      <c r="G31" s="58">
        <f t="shared" si="0"/>
        <v>0.32220331773713312</v>
      </c>
      <c r="H31" s="280">
        <v>40.700000000000003</v>
      </c>
      <c r="I31" s="73">
        <f t="shared" si="1"/>
        <v>2.3105651105651104</v>
      </c>
      <c r="J31" s="58">
        <f t="shared" si="2"/>
        <v>0.43279455550829438</v>
      </c>
    </row>
    <row r="32" spans="2:10" ht="10.5" customHeight="1" thickBot="1">
      <c r="B32" s="13"/>
      <c r="C32" s="72"/>
      <c r="D32" s="72"/>
      <c r="E32" s="72"/>
      <c r="F32" s="72"/>
      <c r="G32" s="269"/>
      <c r="H32" s="72"/>
      <c r="I32" s="72"/>
      <c r="J32" s="269"/>
    </row>
    <row r="33" spans="1:10" ht="17.25" thickTop="1">
      <c r="B33" s="13"/>
      <c r="D33" s="15" t="s">
        <v>65</v>
      </c>
      <c r="E33" s="17"/>
      <c r="F33" s="294">
        <f>MAX(F16:F31)</f>
        <v>3.4184971098265895</v>
      </c>
      <c r="G33" s="281">
        <f>MAX(G16:G31)</f>
        <v>0.63474107591754647</v>
      </c>
      <c r="H33" s="17"/>
      <c r="I33" s="17">
        <f t="shared" ref="I33:J33" si="6">MAX(I16:I31)</f>
        <v>2.5927559055118108</v>
      </c>
      <c r="J33" s="281">
        <f t="shared" si="6"/>
        <v>0.81095679012345678</v>
      </c>
    </row>
    <row r="34" spans="1:10" ht="16.5">
      <c r="B34" s="13"/>
      <c r="D34" s="15" t="s">
        <v>66</v>
      </c>
      <c r="E34" s="285"/>
      <c r="F34" s="297">
        <f>MIN(F16:F31)</f>
        <v>1.5754455445544555</v>
      </c>
      <c r="G34" s="282">
        <f>MIN(G16:G31)</f>
        <v>0.29252620899560366</v>
      </c>
      <c r="H34" s="285"/>
      <c r="I34" s="285">
        <f t="shared" ref="I34:J34" si="7">MIN(I16:I31)</f>
        <v>1.2331113225499524</v>
      </c>
      <c r="J34" s="282">
        <f t="shared" si="7"/>
        <v>0.38568999028182704</v>
      </c>
    </row>
    <row r="35" spans="1:10" ht="16.5">
      <c r="B35" s="13"/>
      <c r="D35" s="15" t="s">
        <v>18</v>
      </c>
      <c r="E35" s="58" t="s">
        <v>0</v>
      </c>
      <c r="F35" s="22">
        <f>MEDIAN(F16:F31)</f>
        <v>2.5460488429818242</v>
      </c>
      <c r="G35" s="58">
        <f>MEDIAN(G16:G31)</f>
        <v>0.39326969370936771</v>
      </c>
      <c r="H35" s="58" t="s">
        <v>0</v>
      </c>
      <c r="I35" s="22">
        <f>MEDIAN(I16:I31)</f>
        <v>1.7802454334316742</v>
      </c>
      <c r="J35" s="58">
        <f>MEDIAN(J16:J31)</f>
        <v>0.56173059136945602</v>
      </c>
    </row>
    <row r="36" spans="1:10" ht="16.5">
      <c r="B36" s="13"/>
      <c r="D36" s="15" t="s">
        <v>19</v>
      </c>
      <c r="E36" s="74" t="s">
        <v>0</v>
      </c>
      <c r="F36" s="22">
        <f>AVERAGE(F16:F31)</f>
        <v>2.553668811747098</v>
      </c>
      <c r="G36" s="58">
        <f>AVERAGE(G16:G31)</f>
        <v>0.40774725922672111</v>
      </c>
      <c r="H36" s="74" t="s">
        <v>0</v>
      </c>
      <c r="I36" s="22">
        <f>AVERAGE(I16:I31)</f>
        <v>1.8792957157104462</v>
      </c>
      <c r="J36" s="58">
        <f>AVERAGE(J16:J31)</f>
        <v>0.55208266808515316</v>
      </c>
    </row>
    <row r="37" spans="1:10" ht="17.25" thickBot="1">
      <c r="B37" s="13"/>
      <c r="C37" s="13"/>
      <c r="D37" s="13"/>
      <c r="E37" s="13"/>
      <c r="F37" s="13"/>
      <c r="H37" s="13"/>
      <c r="I37" s="13"/>
    </row>
    <row r="38" spans="1:10" ht="27" thickBot="1">
      <c r="B38" s="76" t="s">
        <v>0</v>
      </c>
      <c r="C38" s="13"/>
      <c r="D38" s="25" t="s">
        <v>153</v>
      </c>
      <c r="E38" s="25"/>
      <c r="F38" s="317">
        <v>2.5499999999999998</v>
      </c>
      <c r="I38" s="317">
        <v>1.88</v>
      </c>
    </row>
    <row r="39" spans="1:10" ht="16.5">
      <c r="B39" s="76" t="s">
        <v>0</v>
      </c>
      <c r="C39" s="13"/>
      <c r="D39" s="13"/>
      <c r="E39" s="13"/>
      <c r="F39" s="13"/>
      <c r="G39" s="13"/>
      <c r="H39" s="13"/>
    </row>
    <row r="40" spans="1:10" ht="16.5">
      <c r="B40" s="76"/>
      <c r="C40" s="13"/>
      <c r="D40" s="13"/>
      <c r="E40" s="13"/>
      <c r="F40" s="13"/>
      <c r="G40" s="13"/>
      <c r="H40" s="13"/>
    </row>
    <row r="41" spans="1:10" ht="17.25">
      <c r="A41" s="112" t="s">
        <v>364</v>
      </c>
      <c r="B41" s="76"/>
      <c r="C41" s="13"/>
      <c r="D41" s="13"/>
      <c r="E41" s="13"/>
      <c r="F41" s="13"/>
      <c r="G41" s="13"/>
      <c r="H41" s="13"/>
    </row>
    <row r="42" spans="1:10" ht="17.25">
      <c r="A42" s="112" t="s">
        <v>365</v>
      </c>
      <c r="B42" s="76"/>
      <c r="C42" s="13"/>
      <c r="D42" s="13"/>
      <c r="E42" s="13"/>
      <c r="F42" s="13"/>
      <c r="G42" s="13"/>
      <c r="H42" s="13"/>
    </row>
    <row r="43" spans="1:10" ht="16.5">
      <c r="H43" s="13"/>
    </row>
    <row r="44" spans="1:10" ht="17.25">
      <c r="A44" s="112" t="s">
        <v>366</v>
      </c>
      <c r="H44" s="13"/>
    </row>
    <row r="45" spans="1:10" ht="17.25">
      <c r="A45" s="112" t="s">
        <v>367</v>
      </c>
    </row>
    <row r="46" spans="1:10" ht="17.25">
      <c r="A46" s="112" t="s">
        <v>368</v>
      </c>
    </row>
    <row r="53" spans="1:3" ht="17.25">
      <c r="A53" s="112"/>
      <c r="C53" s="257" t="s">
        <v>0</v>
      </c>
    </row>
    <row r="54" spans="1:3" ht="17.25">
      <c r="C54" s="257" t="s">
        <v>0</v>
      </c>
    </row>
    <row r="55" spans="1:3" ht="17.25">
      <c r="C55" s="257" t="s">
        <v>0</v>
      </c>
    </row>
  </sheetData>
  <pageMargins left="0.25" right="0.25" top="0.75" bottom="0.75" header="0.3" footer="0.3"/>
  <pageSetup scale="42" orientation="landscape" r:id="rId1"/>
  <rowBreaks count="1" manualBreakCount="1">
    <brk id="48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"/>
  <sheetViews>
    <sheetView workbookViewId="0">
      <selection activeCell="L5" sqref="L5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31"/>
  <sheetViews>
    <sheetView view="pageBreakPreview" zoomScale="80" zoomScaleNormal="80" zoomScaleSheetLayoutView="80" workbookViewId="0">
      <selection activeCell="G30" sqref="G30"/>
    </sheetView>
  </sheetViews>
  <sheetFormatPr defaultRowHeight="15"/>
  <cols>
    <col min="1" max="1" width="22.42578125" customWidth="1"/>
    <col min="2" max="2" width="39.5703125" customWidth="1"/>
    <col min="3" max="3" width="16.85546875" customWidth="1"/>
    <col min="4" max="4" width="35.42578125" customWidth="1"/>
    <col min="5" max="5" width="18" customWidth="1"/>
    <col min="6" max="6" width="20.85546875" bestFit="1" customWidth="1"/>
    <col min="7" max="7" width="22" customWidth="1"/>
    <col min="8" max="8" width="23.5703125" customWidth="1"/>
  </cols>
  <sheetData>
    <row r="1" spans="1:11" ht="26.25">
      <c r="A1" s="25" t="s">
        <v>1</v>
      </c>
      <c r="C1" s="13"/>
      <c r="D1" s="13"/>
      <c r="E1" s="13"/>
      <c r="F1" s="13"/>
      <c r="G1" s="13"/>
      <c r="H1" s="13"/>
      <c r="I1" s="13"/>
      <c r="J1" s="13"/>
      <c r="K1" s="13"/>
    </row>
    <row r="2" spans="1:11" ht="17.25">
      <c r="A2" s="26" t="s">
        <v>9</v>
      </c>
      <c r="C2" s="13"/>
      <c r="D2" s="13"/>
      <c r="E2" s="13"/>
      <c r="F2" s="13"/>
      <c r="G2" s="13"/>
      <c r="H2" s="13"/>
      <c r="I2" s="13"/>
      <c r="J2" s="13"/>
      <c r="K2" s="13"/>
    </row>
    <row r="3" spans="1:11" ht="17.25" customHeight="1">
      <c r="A3" s="27" t="s">
        <v>435</v>
      </c>
      <c r="C3" s="13"/>
      <c r="D3" s="13"/>
      <c r="E3" s="13"/>
      <c r="F3" s="13"/>
      <c r="G3" s="13"/>
      <c r="H3" s="13"/>
      <c r="I3" s="13"/>
      <c r="J3" s="13"/>
      <c r="K3" s="13"/>
    </row>
    <row r="4" spans="1:11" ht="17.25" customHeight="1">
      <c r="B4" s="27"/>
      <c r="C4" s="13"/>
      <c r="D4" s="13"/>
      <c r="E4" s="13"/>
      <c r="F4" s="13"/>
      <c r="G4" s="13"/>
      <c r="H4" s="13"/>
      <c r="I4" s="13"/>
      <c r="J4" s="13"/>
      <c r="K4" s="13"/>
    </row>
    <row r="5" spans="1:11" ht="17.25" customHeight="1">
      <c r="B5" s="143"/>
      <c r="C5" s="13"/>
      <c r="D5" s="13"/>
      <c r="E5" s="13"/>
      <c r="F5" s="13"/>
      <c r="G5" s="13"/>
      <c r="H5" s="13"/>
      <c r="I5" s="13"/>
      <c r="J5" s="13"/>
      <c r="K5" s="13"/>
    </row>
    <row r="6" spans="1:11" ht="17.25" customHeight="1">
      <c r="B6" s="143"/>
      <c r="C6" s="13"/>
      <c r="D6" s="13"/>
      <c r="E6" s="13"/>
      <c r="F6" s="13"/>
      <c r="G6" s="13"/>
      <c r="H6" s="13"/>
      <c r="I6" s="13"/>
      <c r="J6" s="13"/>
      <c r="K6" s="13"/>
    </row>
    <row r="7" spans="1:11" ht="17.25" customHeight="1">
      <c r="B7" s="143"/>
      <c r="C7" s="13"/>
      <c r="D7" s="13"/>
      <c r="E7" s="13"/>
      <c r="F7" s="13"/>
      <c r="G7" s="13"/>
      <c r="H7" s="13"/>
      <c r="I7" s="13"/>
      <c r="J7" s="13"/>
      <c r="K7" s="13"/>
    </row>
    <row r="8" spans="1:11" ht="16.5">
      <c r="B8" s="27"/>
      <c r="C8" s="13"/>
      <c r="D8" s="13"/>
      <c r="E8" s="13"/>
      <c r="F8" s="13"/>
      <c r="G8" s="13"/>
      <c r="H8" s="13"/>
      <c r="I8" s="13"/>
      <c r="J8" s="13"/>
      <c r="K8" s="13"/>
    </row>
    <row r="9" spans="1:11" ht="20.25">
      <c r="B9" s="13"/>
      <c r="C9" s="13"/>
      <c r="D9" s="79" t="s">
        <v>0</v>
      </c>
      <c r="E9" s="13"/>
      <c r="F9" s="13"/>
      <c r="G9" s="13"/>
      <c r="H9" s="13"/>
      <c r="I9" s="13"/>
      <c r="J9" s="13"/>
      <c r="K9" s="13"/>
    </row>
    <row r="10" spans="1:11" ht="20.25">
      <c r="B10" s="13"/>
      <c r="C10" s="13"/>
      <c r="D10" s="79" t="s">
        <v>98</v>
      </c>
      <c r="E10" s="13"/>
      <c r="F10" s="13"/>
      <c r="G10" s="13"/>
      <c r="H10" s="13"/>
      <c r="I10" s="13"/>
      <c r="J10" s="13"/>
      <c r="K10" s="13"/>
    </row>
    <row r="11" spans="1:11" ht="16.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6.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6.5">
      <c r="B13" s="13"/>
      <c r="C13" s="13"/>
      <c r="D13" s="13"/>
      <c r="E13" s="28"/>
      <c r="F13" s="13"/>
      <c r="G13" s="13"/>
      <c r="H13" s="13"/>
      <c r="I13" s="13"/>
      <c r="J13" s="13"/>
      <c r="K13" s="13"/>
    </row>
    <row r="14" spans="1:11" ht="16.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7.25" thickBot="1">
      <c r="B15" s="13"/>
      <c r="C15" s="30"/>
      <c r="D15" s="30"/>
      <c r="E15" s="30"/>
      <c r="F15" s="13"/>
      <c r="G15" s="13"/>
      <c r="H15" s="13"/>
      <c r="I15" s="13"/>
      <c r="J15" s="13"/>
      <c r="K15" s="13"/>
    </row>
    <row r="16" spans="1:11" ht="26.25">
      <c r="B16" s="13"/>
      <c r="C16" s="13"/>
      <c r="D16" s="33" t="str">
        <f>+'S&amp;D'!A12</f>
        <v>Electric Utilities</v>
      </c>
      <c r="E16" s="13"/>
      <c r="F16" s="13"/>
      <c r="G16" s="13"/>
      <c r="H16" s="13"/>
      <c r="I16" s="13"/>
      <c r="J16" s="13"/>
      <c r="K16" s="13"/>
    </row>
    <row r="17" spans="2:11" ht="17.25" thickBot="1">
      <c r="B17" s="13"/>
      <c r="C17" s="30"/>
      <c r="D17" s="38" t="s">
        <v>0</v>
      </c>
      <c r="E17" s="30"/>
      <c r="F17" s="13"/>
      <c r="G17" s="13"/>
      <c r="H17" s="13"/>
      <c r="I17" s="13"/>
      <c r="J17" s="13"/>
      <c r="K17" s="13"/>
    </row>
    <row r="18" spans="2:11" ht="17.25" thickBot="1">
      <c r="B18" s="30"/>
      <c r="C18" s="30"/>
      <c r="D18" s="38" t="s">
        <v>0</v>
      </c>
      <c r="E18" s="30"/>
      <c r="F18" s="30"/>
      <c r="G18" s="30"/>
      <c r="H18" s="13"/>
      <c r="I18" s="13"/>
      <c r="J18" s="13"/>
      <c r="K18" s="13"/>
    </row>
    <row r="19" spans="2:11" ht="16.5">
      <c r="B19" s="36" t="s">
        <v>32</v>
      </c>
      <c r="C19" s="36" t="s">
        <v>33</v>
      </c>
      <c r="D19" s="36" t="s">
        <v>34</v>
      </c>
      <c r="E19" s="36" t="s">
        <v>102</v>
      </c>
      <c r="F19" s="36" t="s">
        <v>34</v>
      </c>
      <c r="G19" s="36" t="s">
        <v>35</v>
      </c>
      <c r="H19" s="13"/>
      <c r="I19" s="13"/>
      <c r="J19" s="13"/>
      <c r="K19" s="13"/>
    </row>
    <row r="20" spans="2:11" ht="17.25" thickBot="1">
      <c r="B20" s="38" t="s">
        <v>33</v>
      </c>
      <c r="C20" s="38" t="s">
        <v>36</v>
      </c>
      <c r="D20" s="38" t="s">
        <v>37</v>
      </c>
      <c r="E20" s="38" t="s">
        <v>23</v>
      </c>
      <c r="F20" s="38" t="s">
        <v>38</v>
      </c>
      <c r="G20" s="38" t="s">
        <v>39</v>
      </c>
      <c r="H20" s="13"/>
      <c r="I20" s="13"/>
      <c r="J20" s="13"/>
      <c r="K20" s="13"/>
    </row>
    <row r="21" spans="2:11" ht="16.5">
      <c r="B21" s="40" t="s">
        <v>0</v>
      </c>
      <c r="C21" s="40" t="s">
        <v>0</v>
      </c>
      <c r="D21" s="40" t="s">
        <v>0</v>
      </c>
      <c r="E21" s="40" t="s">
        <v>0</v>
      </c>
      <c r="F21" s="40" t="s">
        <v>0</v>
      </c>
      <c r="G21" s="40" t="s">
        <v>0</v>
      </c>
      <c r="H21" s="13"/>
      <c r="I21" s="13"/>
      <c r="J21" s="13"/>
      <c r="K21" s="13"/>
    </row>
    <row r="22" spans="2:11" ht="16.5">
      <c r="B22" s="36"/>
      <c r="C22" s="36"/>
      <c r="D22" s="36"/>
      <c r="E22" s="36"/>
      <c r="F22" s="36"/>
      <c r="G22" s="36"/>
      <c r="H22" s="13"/>
      <c r="I22" s="13"/>
      <c r="J22" s="13"/>
      <c r="K22" s="13"/>
    </row>
    <row r="23" spans="2:11" ht="17.25">
      <c r="B23" s="92" t="s">
        <v>40</v>
      </c>
      <c r="C23" s="135">
        <f>'S&amp;D'!I68</f>
        <v>0.6</v>
      </c>
      <c r="D23" s="135">
        <f>+'Indicated Yield Equity Rate '!D51</f>
        <v>9.4700000000000006E-2</v>
      </c>
      <c r="E23" s="106" t="s">
        <v>41</v>
      </c>
      <c r="F23" s="135">
        <f>+D23</f>
        <v>9.4700000000000006E-2</v>
      </c>
      <c r="G23" s="136">
        <f>+F23*C23</f>
        <v>5.6820000000000002E-2</v>
      </c>
      <c r="H23" s="13"/>
      <c r="I23" s="13"/>
      <c r="J23" s="13"/>
      <c r="K23" s="13"/>
    </row>
    <row r="24" spans="2:11" ht="17.25">
      <c r="B24" s="92" t="s">
        <v>0</v>
      </c>
      <c r="C24" s="106" t="s">
        <v>0</v>
      </c>
      <c r="D24" s="106" t="s">
        <v>0</v>
      </c>
      <c r="E24" s="106" t="s">
        <v>0</v>
      </c>
      <c r="F24" s="137" t="s">
        <v>0</v>
      </c>
      <c r="G24" s="124" t="s">
        <v>0</v>
      </c>
      <c r="H24" s="13"/>
      <c r="I24" s="13"/>
      <c r="J24" s="13"/>
      <c r="K24" s="13"/>
    </row>
    <row r="25" spans="2:11" ht="17.25">
      <c r="B25" s="92" t="s">
        <v>42</v>
      </c>
      <c r="C25" s="135">
        <f>'S&amp;D'!J68</f>
        <v>0.4</v>
      </c>
      <c r="D25" s="135">
        <f>+Debt!J38</f>
        <v>5.7700000000000001E-2</v>
      </c>
      <c r="E25" s="135">
        <v>0.26</v>
      </c>
      <c r="F25" s="135">
        <f>+D25*(1-E25)</f>
        <v>4.2698E-2</v>
      </c>
      <c r="G25" s="136">
        <f>+C25*F25</f>
        <v>1.7079199999999999E-2</v>
      </c>
      <c r="H25" s="13"/>
      <c r="I25" s="13"/>
      <c r="J25" s="13"/>
      <c r="K25" s="13"/>
    </row>
    <row r="26" spans="2:11" ht="18" thickBot="1">
      <c r="B26" s="99" t="s">
        <v>0</v>
      </c>
      <c r="C26" s="99" t="s">
        <v>0</v>
      </c>
      <c r="D26" s="99" t="s">
        <v>0</v>
      </c>
      <c r="E26" s="99" t="s">
        <v>0</v>
      </c>
      <c r="F26" s="138" t="s">
        <v>0</v>
      </c>
      <c r="G26" s="139" t="s">
        <v>0</v>
      </c>
      <c r="H26" s="13"/>
      <c r="I26" s="13"/>
      <c r="J26" s="13"/>
      <c r="K26" s="13"/>
    </row>
    <row r="27" spans="2:11" ht="17.25">
      <c r="B27" s="92" t="s">
        <v>105</v>
      </c>
      <c r="C27" s="140">
        <f>+C23+C25</f>
        <v>1</v>
      </c>
      <c r="D27" s="92" t="s">
        <v>0</v>
      </c>
      <c r="E27" s="92" t="s">
        <v>0</v>
      </c>
      <c r="F27" s="141" t="s">
        <v>0</v>
      </c>
      <c r="G27" s="136">
        <f>+G23+G25</f>
        <v>7.3899199999999998E-2</v>
      </c>
      <c r="H27" s="13"/>
      <c r="I27" s="13"/>
      <c r="J27" s="13"/>
      <c r="K27" s="13"/>
    </row>
    <row r="28" spans="2:11" ht="18" thickBot="1">
      <c r="B28" s="64"/>
      <c r="C28" s="64"/>
      <c r="D28" s="64"/>
      <c r="E28" s="64"/>
      <c r="F28" s="64"/>
      <c r="G28" s="142"/>
      <c r="H28" s="13"/>
      <c r="I28" s="13"/>
      <c r="J28" s="13"/>
      <c r="K28" s="13"/>
    </row>
    <row r="29" spans="2:11" ht="18" thickBot="1">
      <c r="B29" s="13"/>
      <c r="C29" s="13"/>
      <c r="D29" s="13"/>
      <c r="E29" s="13"/>
      <c r="F29" s="191" t="s">
        <v>108</v>
      </c>
      <c r="G29" s="175">
        <v>7.3899999999999993E-2</v>
      </c>
      <c r="H29" s="13"/>
      <c r="I29" s="13"/>
      <c r="J29" s="13"/>
      <c r="K29" s="13"/>
    </row>
    <row r="30" spans="2:11" ht="16.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ht="16.5">
      <c r="B31" s="13"/>
      <c r="C31" s="13"/>
      <c r="D31" s="13"/>
      <c r="E31" s="13"/>
      <c r="F31" s="13"/>
      <c r="G31" s="13"/>
      <c r="H31" s="13"/>
      <c r="I31" s="13"/>
      <c r="J31" s="13"/>
      <c r="K31" s="13"/>
    </row>
  </sheetData>
  <pageMargins left="0.25" right="0.25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631F-B284-4F75-B05C-C409AB53D71E}">
  <sheetPr>
    <tabColor rgb="FF92D050"/>
    <pageSetUpPr fitToPage="1"/>
  </sheetPr>
  <dimension ref="A1:K64"/>
  <sheetViews>
    <sheetView view="pageBreakPreview" topLeftCell="A25" zoomScale="80" zoomScaleNormal="80" zoomScaleSheetLayoutView="80" workbookViewId="0">
      <selection activeCell="D56" sqref="D56"/>
    </sheetView>
  </sheetViews>
  <sheetFormatPr defaultRowHeight="15"/>
  <cols>
    <col min="1" max="1" width="17.42578125" customWidth="1"/>
    <col min="2" max="2" width="31.5703125" customWidth="1"/>
    <col min="3" max="3" width="16.5703125" customWidth="1"/>
    <col min="4" max="4" width="35.42578125" customWidth="1"/>
    <col min="5" max="5" width="14.85546875" customWidth="1"/>
    <col min="6" max="6" width="25.85546875" customWidth="1"/>
    <col min="7" max="7" width="24.140625" customWidth="1"/>
    <col min="8" max="8" width="17.5703125" customWidth="1"/>
  </cols>
  <sheetData>
    <row r="1" spans="1:11" ht="26.25">
      <c r="A1" s="25" t="s">
        <v>1</v>
      </c>
      <c r="C1" s="13"/>
      <c r="D1" s="13"/>
      <c r="E1" s="13"/>
      <c r="F1" s="13"/>
      <c r="G1" s="13"/>
      <c r="H1" s="13"/>
      <c r="I1" s="13"/>
      <c r="J1" s="13"/>
      <c r="K1" s="13"/>
    </row>
    <row r="2" spans="1:11" ht="17.25">
      <c r="A2" s="26" t="s">
        <v>9</v>
      </c>
      <c r="C2" s="13"/>
      <c r="D2" s="13"/>
      <c r="E2" s="13"/>
      <c r="F2" s="13"/>
      <c r="G2" s="13"/>
      <c r="H2" s="13"/>
      <c r="I2" s="13"/>
      <c r="J2" s="13"/>
      <c r="K2" s="13"/>
    </row>
    <row r="3" spans="1:11" ht="16.5">
      <c r="A3" s="27" t="s">
        <v>435</v>
      </c>
      <c r="C3" s="13"/>
      <c r="D3" s="13"/>
      <c r="E3" s="13"/>
      <c r="F3" s="13"/>
      <c r="G3" s="13"/>
      <c r="H3" s="13"/>
      <c r="I3" s="13"/>
      <c r="J3" s="13"/>
      <c r="K3" s="13"/>
    </row>
    <row r="4" spans="1:11" ht="16.5">
      <c r="B4" s="27"/>
      <c r="C4" s="13"/>
      <c r="D4" s="13"/>
      <c r="E4" s="13"/>
      <c r="F4" s="13"/>
      <c r="G4" s="13"/>
      <c r="H4" s="13"/>
      <c r="I4" s="13"/>
      <c r="J4" s="13"/>
      <c r="K4" s="13"/>
    </row>
    <row r="5" spans="1:11" ht="16.5">
      <c r="B5" s="27"/>
      <c r="C5" s="13"/>
      <c r="D5" s="13"/>
      <c r="E5" s="13"/>
      <c r="F5" s="13"/>
      <c r="G5" s="13"/>
      <c r="H5" s="13"/>
      <c r="I5" s="13"/>
      <c r="J5" s="13"/>
      <c r="K5" s="13"/>
    </row>
    <row r="6" spans="1:11" ht="16.5">
      <c r="B6" s="27"/>
      <c r="C6" s="13"/>
      <c r="D6" s="13"/>
      <c r="E6" s="13"/>
      <c r="F6" s="13"/>
      <c r="G6" s="13"/>
      <c r="H6" s="13"/>
      <c r="I6" s="13"/>
      <c r="J6" s="13"/>
      <c r="K6" s="13"/>
    </row>
    <row r="7" spans="1:11" ht="16.5">
      <c r="B7" s="27"/>
      <c r="C7" s="13"/>
      <c r="D7" s="13"/>
      <c r="E7" s="13"/>
      <c r="F7" s="13"/>
      <c r="G7" s="13"/>
      <c r="H7" s="13"/>
      <c r="I7" s="13"/>
      <c r="J7" s="13"/>
      <c r="K7" s="13"/>
    </row>
    <row r="8" spans="1:11" ht="16.5">
      <c r="B8" s="27"/>
      <c r="C8" s="13"/>
      <c r="D8" s="13"/>
      <c r="E8" s="13"/>
      <c r="F8" s="13"/>
      <c r="G8" s="13"/>
      <c r="H8" s="13"/>
      <c r="I8" s="13"/>
      <c r="J8" s="13"/>
      <c r="K8" s="13"/>
    </row>
    <row r="9" spans="1:11" ht="16.5">
      <c r="B9" s="27"/>
      <c r="C9" s="13"/>
      <c r="D9" s="13"/>
      <c r="E9" s="13"/>
      <c r="F9" s="13"/>
      <c r="G9" s="13"/>
      <c r="H9" s="13"/>
      <c r="I9" s="13"/>
      <c r="J9" s="13"/>
      <c r="K9" s="13"/>
    </row>
    <row r="10" spans="1:11" ht="20.25">
      <c r="B10" s="13"/>
      <c r="C10" s="13"/>
      <c r="D10" s="79" t="s">
        <v>0</v>
      </c>
      <c r="E10" s="13"/>
      <c r="F10" s="13"/>
      <c r="G10" s="13"/>
      <c r="H10" s="13"/>
      <c r="I10" s="13"/>
      <c r="J10" s="13"/>
      <c r="K10" s="13"/>
    </row>
    <row r="11" spans="1:11" ht="20.25">
      <c r="B11" s="13"/>
      <c r="C11" s="13"/>
      <c r="D11" s="79" t="s">
        <v>97</v>
      </c>
      <c r="E11" s="13"/>
      <c r="F11" s="13"/>
      <c r="G11" s="13"/>
      <c r="H11" s="13"/>
      <c r="I11" s="13"/>
      <c r="J11" s="13"/>
      <c r="K11" s="13"/>
    </row>
    <row r="12" spans="1:11" ht="16.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6.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7.25" thickBot="1">
      <c r="B14" s="13"/>
      <c r="C14" s="30"/>
      <c r="D14" s="30"/>
      <c r="E14" s="30"/>
      <c r="F14" s="13"/>
      <c r="G14" s="13"/>
      <c r="H14" s="13"/>
      <c r="I14" s="13"/>
      <c r="J14" s="13"/>
      <c r="K14" s="13"/>
    </row>
    <row r="15" spans="1:11" ht="26.25">
      <c r="B15" s="13"/>
      <c r="C15" s="13"/>
      <c r="D15" s="33" t="str">
        <f>+'S&amp;D'!A12</f>
        <v>Electric Utilities</v>
      </c>
      <c r="E15" s="13"/>
      <c r="F15" s="13"/>
      <c r="G15" s="13"/>
      <c r="H15" s="13"/>
      <c r="I15" s="13"/>
      <c r="J15" s="13"/>
      <c r="K15" s="13"/>
    </row>
    <row r="16" spans="1:11" ht="21" thickBot="1">
      <c r="B16" s="13"/>
      <c r="C16" s="30"/>
      <c r="D16" s="134" t="s">
        <v>104</v>
      </c>
      <c r="E16" s="30"/>
      <c r="F16" s="13"/>
      <c r="G16" s="13"/>
      <c r="H16" s="13"/>
      <c r="I16" s="13"/>
      <c r="J16" s="13"/>
      <c r="K16" s="13"/>
    </row>
    <row r="17" spans="2:11" ht="16.5">
      <c r="H17" s="13"/>
      <c r="I17" s="13"/>
      <c r="J17" s="13"/>
      <c r="K17" s="13"/>
    </row>
    <row r="18" spans="2:11" ht="17.25" thickBot="1">
      <c r="B18" s="30"/>
      <c r="C18" s="30"/>
      <c r="D18" s="38" t="s">
        <v>0</v>
      </c>
      <c r="E18" s="30"/>
      <c r="F18" s="30"/>
      <c r="G18" s="30"/>
      <c r="H18" s="13"/>
      <c r="I18" s="13"/>
      <c r="J18" s="13"/>
      <c r="K18" s="13"/>
    </row>
    <row r="19" spans="2:11" ht="16.5">
      <c r="B19" s="36" t="s">
        <v>32</v>
      </c>
      <c r="C19" s="36" t="s">
        <v>33</v>
      </c>
      <c r="D19" s="36" t="s">
        <v>101</v>
      </c>
      <c r="E19" s="36" t="s">
        <v>102</v>
      </c>
      <c r="F19" s="36" t="s">
        <v>100</v>
      </c>
      <c r="G19" s="36" t="s">
        <v>35</v>
      </c>
      <c r="H19" s="13"/>
      <c r="I19" s="13"/>
      <c r="J19" s="13"/>
      <c r="K19" s="13"/>
    </row>
    <row r="20" spans="2:11" ht="17.25" thickBot="1">
      <c r="B20" s="38" t="s">
        <v>33</v>
      </c>
      <c r="C20" s="38" t="s">
        <v>36</v>
      </c>
      <c r="D20" s="38" t="s">
        <v>37</v>
      </c>
      <c r="E20" s="38" t="s">
        <v>23</v>
      </c>
      <c r="F20" s="38" t="s">
        <v>38</v>
      </c>
      <c r="G20" s="38" t="s">
        <v>103</v>
      </c>
      <c r="H20" s="13"/>
      <c r="I20" s="13"/>
      <c r="J20" s="13"/>
      <c r="K20" s="13"/>
    </row>
    <row r="21" spans="2:11" ht="16.5">
      <c r="B21" s="40" t="s">
        <v>0</v>
      </c>
      <c r="C21" s="40" t="s">
        <v>0</v>
      </c>
      <c r="D21" s="40" t="s">
        <v>0</v>
      </c>
      <c r="E21" s="40" t="s">
        <v>0</v>
      </c>
      <c r="F21" s="40" t="s">
        <v>0</v>
      </c>
      <c r="G21" s="40" t="s">
        <v>0</v>
      </c>
      <c r="H21" s="13"/>
      <c r="I21" s="13"/>
      <c r="J21" s="13"/>
      <c r="K21" s="13"/>
    </row>
    <row r="22" spans="2:11" ht="16.5">
      <c r="B22" s="36"/>
      <c r="C22" s="36"/>
      <c r="D22" s="36"/>
      <c r="E22" s="36"/>
      <c r="F22" s="36"/>
      <c r="G22" s="36"/>
      <c r="H22" s="13"/>
      <c r="I22" s="13"/>
      <c r="J22" s="13"/>
      <c r="K22" s="13"/>
    </row>
    <row r="23" spans="2:11" ht="17.25">
      <c r="B23" s="92" t="s">
        <v>40</v>
      </c>
      <c r="C23" s="135">
        <f>'S&amp;D'!I68</f>
        <v>0.6</v>
      </c>
      <c r="D23" s="135">
        <f>+'Direct NOPAT'!J42</f>
        <v>0.06</v>
      </c>
      <c r="E23" s="106" t="s">
        <v>41</v>
      </c>
      <c r="F23" s="135">
        <f>+D23</f>
        <v>0.06</v>
      </c>
      <c r="G23" s="136">
        <f>+F23*C23</f>
        <v>3.5999999999999997E-2</v>
      </c>
      <c r="H23" s="13"/>
      <c r="I23" s="13"/>
      <c r="J23" s="13"/>
      <c r="K23" s="13"/>
    </row>
    <row r="24" spans="2:11" ht="17.25">
      <c r="B24" s="92" t="s">
        <v>0</v>
      </c>
      <c r="C24" s="106" t="s">
        <v>0</v>
      </c>
      <c r="D24" s="106" t="s">
        <v>0</v>
      </c>
      <c r="E24" s="106" t="s">
        <v>0</v>
      </c>
      <c r="F24" s="137" t="s">
        <v>0</v>
      </c>
      <c r="G24" s="124" t="s">
        <v>0</v>
      </c>
      <c r="H24" s="13"/>
      <c r="I24" s="13"/>
      <c r="J24" s="13"/>
      <c r="K24" s="13"/>
    </row>
    <row r="25" spans="2:11" ht="17.25">
      <c r="B25" s="92" t="s">
        <v>42</v>
      </c>
      <c r="C25" s="135">
        <f>'S&amp;D'!J68</f>
        <v>0.4</v>
      </c>
      <c r="D25" s="135">
        <f>+Debt!J38</f>
        <v>5.7700000000000001E-2</v>
      </c>
      <c r="E25" s="135">
        <v>0.26</v>
      </c>
      <c r="F25" s="135">
        <f>+D25*(1-E25)</f>
        <v>4.2698E-2</v>
      </c>
      <c r="G25" s="136">
        <f>+C25*F25</f>
        <v>1.7079199999999999E-2</v>
      </c>
      <c r="H25" s="13"/>
      <c r="I25" s="13"/>
      <c r="J25" s="13"/>
      <c r="K25" s="13"/>
    </row>
    <row r="26" spans="2:11" ht="18" thickBot="1">
      <c r="B26" s="99" t="s">
        <v>0</v>
      </c>
      <c r="C26" s="99" t="s">
        <v>0</v>
      </c>
      <c r="D26" s="99" t="s">
        <v>0</v>
      </c>
      <c r="E26" s="99" t="s">
        <v>0</v>
      </c>
      <c r="F26" s="138" t="s">
        <v>0</v>
      </c>
      <c r="G26" s="139" t="s">
        <v>0</v>
      </c>
      <c r="H26" s="13"/>
      <c r="I26" s="13"/>
      <c r="J26" s="13"/>
      <c r="K26" s="13"/>
    </row>
    <row r="27" spans="2:11" ht="17.25">
      <c r="B27" s="92" t="s">
        <v>43</v>
      </c>
      <c r="C27" s="140">
        <f>+C23+C25</f>
        <v>1</v>
      </c>
      <c r="D27" s="92" t="s">
        <v>0</v>
      </c>
      <c r="E27" s="92" t="s">
        <v>0</v>
      </c>
      <c r="F27" s="141" t="s">
        <v>0</v>
      </c>
      <c r="G27" s="136">
        <f>+G23+G25</f>
        <v>5.3079199999999993E-2</v>
      </c>
      <c r="H27" s="13"/>
      <c r="I27" s="13"/>
      <c r="J27" s="13"/>
      <c r="K27" s="13"/>
    </row>
    <row r="28" spans="2:11" ht="18" thickBot="1">
      <c r="B28" s="64"/>
      <c r="C28" s="64"/>
      <c r="D28" s="64"/>
      <c r="E28" s="64"/>
      <c r="F28" s="64"/>
      <c r="G28" s="142"/>
      <c r="H28" s="13"/>
      <c r="I28" s="13"/>
      <c r="J28" s="13"/>
      <c r="K28" s="13"/>
    </row>
    <row r="29" spans="2:11" ht="18" thickBot="1">
      <c r="B29" s="13"/>
      <c r="C29" s="13"/>
      <c r="D29" s="13"/>
      <c r="E29" s="13"/>
      <c r="F29" s="191" t="s">
        <v>108</v>
      </c>
      <c r="G29" s="175">
        <v>5.3100000000000001E-2</v>
      </c>
      <c r="H29" s="13"/>
      <c r="I29" s="13"/>
      <c r="J29" s="13"/>
      <c r="K29" s="13"/>
    </row>
    <row r="30" spans="2:11" ht="18" thickBot="1">
      <c r="B30" s="13"/>
      <c r="C30" s="13"/>
      <c r="D30" s="13"/>
      <c r="E30" s="13"/>
      <c r="F30" s="141"/>
      <c r="G30" s="136"/>
      <c r="H30" s="13"/>
      <c r="I30" s="13"/>
      <c r="J30" s="13"/>
      <c r="K30" s="13"/>
    </row>
    <row r="31" spans="2:11" ht="18" thickBot="1">
      <c r="B31" s="13"/>
      <c r="C31" s="13"/>
      <c r="D31" s="13"/>
      <c r="E31" s="13"/>
      <c r="F31" s="191" t="s">
        <v>257</v>
      </c>
      <c r="G31" s="220">
        <f>1/G29</f>
        <v>18.832391713747647</v>
      </c>
      <c r="H31" s="13"/>
      <c r="I31" s="13"/>
      <c r="J31" s="13"/>
      <c r="K31" s="13"/>
    </row>
    <row r="32" spans="2:11" ht="17.25">
      <c r="B32" s="13"/>
      <c r="C32" s="13"/>
      <c r="D32" s="13"/>
      <c r="E32" s="13"/>
      <c r="F32" s="141"/>
      <c r="G32" s="136"/>
      <c r="H32" s="13"/>
      <c r="I32" s="13"/>
      <c r="J32" s="13"/>
      <c r="K32" s="13"/>
    </row>
    <row r="33" spans="1:11" ht="17.25">
      <c r="B33" s="13"/>
      <c r="C33" s="13"/>
      <c r="D33" s="13"/>
      <c r="E33" s="13"/>
      <c r="F33" s="141"/>
      <c r="G33" s="136"/>
      <c r="H33" s="13"/>
      <c r="I33" s="13"/>
      <c r="J33" s="13"/>
      <c r="K33" s="13"/>
    </row>
    <row r="34" spans="1:11" ht="26.25">
      <c r="A34" s="25" t="s">
        <v>1</v>
      </c>
      <c r="C34" s="13"/>
      <c r="D34" s="13"/>
      <c r="E34" s="13"/>
      <c r="F34" s="141"/>
      <c r="G34" s="136"/>
      <c r="H34" s="13"/>
      <c r="I34" s="13"/>
      <c r="J34" s="13"/>
      <c r="K34" s="13"/>
    </row>
    <row r="35" spans="1:11" ht="17.25">
      <c r="A35" s="26" t="s">
        <v>9</v>
      </c>
      <c r="C35" s="13"/>
      <c r="D35" s="13"/>
      <c r="E35" s="13"/>
      <c r="F35" s="141"/>
      <c r="G35" s="136"/>
      <c r="H35" s="13"/>
      <c r="I35" s="13"/>
      <c r="J35" s="13"/>
      <c r="K35" s="13"/>
    </row>
    <row r="36" spans="1:11" ht="17.25">
      <c r="A36" s="27" t="s">
        <v>435</v>
      </c>
      <c r="C36" s="13"/>
      <c r="D36" s="13"/>
      <c r="E36" s="13"/>
      <c r="F36" s="141"/>
      <c r="G36" s="136"/>
      <c r="H36" s="13"/>
      <c r="I36" s="13"/>
      <c r="J36" s="13"/>
      <c r="K36" s="13"/>
    </row>
    <row r="37" spans="1:11" ht="17.25">
      <c r="A37" s="27"/>
      <c r="C37" s="13"/>
      <c r="D37" s="13"/>
      <c r="E37" s="13"/>
      <c r="F37" s="141"/>
      <c r="G37" s="136"/>
      <c r="H37" s="13"/>
      <c r="I37" s="13"/>
      <c r="J37" s="13"/>
      <c r="K37" s="13"/>
    </row>
    <row r="38" spans="1:11" ht="17.25">
      <c r="A38" s="27"/>
      <c r="C38" s="13"/>
      <c r="D38" s="13"/>
      <c r="E38" s="13"/>
      <c r="F38" s="141"/>
      <c r="G38" s="136"/>
      <c r="H38" s="13"/>
      <c r="I38" s="13"/>
      <c r="J38" s="13"/>
      <c r="K38" s="13"/>
    </row>
    <row r="39" spans="1:11" ht="17.25">
      <c r="A39" s="27"/>
      <c r="C39" s="13"/>
      <c r="D39" s="13"/>
      <c r="E39" s="13"/>
      <c r="F39" s="141"/>
      <c r="G39" s="136"/>
      <c r="H39" s="13"/>
      <c r="I39" s="13"/>
      <c r="J39" s="13"/>
      <c r="K39" s="13"/>
    </row>
    <row r="40" spans="1:11" ht="17.25">
      <c r="A40" s="27"/>
      <c r="C40" s="13"/>
      <c r="D40" s="13"/>
      <c r="E40" s="13"/>
      <c r="F40" s="141"/>
      <c r="G40" s="136"/>
      <c r="H40" s="13"/>
      <c r="I40" s="13"/>
      <c r="J40" s="13"/>
      <c r="K40" s="13"/>
    </row>
    <row r="41" spans="1:11" ht="17.25">
      <c r="A41" s="27"/>
      <c r="C41" s="13"/>
      <c r="D41" s="13"/>
      <c r="E41" s="13"/>
      <c r="F41" s="141"/>
      <c r="G41" s="136"/>
      <c r="H41" s="13"/>
      <c r="I41" s="13"/>
      <c r="J41" s="13"/>
      <c r="K41" s="13"/>
    </row>
    <row r="42" spans="1:11" ht="17.25">
      <c r="A42" s="27"/>
      <c r="C42" s="13"/>
      <c r="D42" s="13"/>
      <c r="E42" s="13"/>
      <c r="F42" s="141"/>
      <c r="G42" s="136"/>
      <c r="H42" s="13"/>
      <c r="I42" s="13"/>
      <c r="J42" s="13"/>
      <c r="K42" s="13"/>
    </row>
    <row r="43" spans="1:11" ht="17.25">
      <c r="A43" s="27"/>
      <c r="C43" s="13"/>
      <c r="D43" s="13"/>
      <c r="E43" s="13"/>
      <c r="F43" s="141"/>
      <c r="G43" s="136"/>
      <c r="H43" s="13"/>
      <c r="I43" s="13"/>
      <c r="J43" s="13"/>
      <c r="K43" s="13"/>
    </row>
    <row r="44" spans="1:11" ht="20.25">
      <c r="A44" s="27"/>
      <c r="C44" s="13"/>
      <c r="D44" s="79" t="s">
        <v>97</v>
      </c>
      <c r="E44" s="13"/>
      <c r="F44" s="141"/>
      <c r="G44" s="136"/>
      <c r="H44" s="13"/>
      <c r="I44" s="13"/>
      <c r="J44" s="13"/>
      <c r="K44" s="13"/>
    </row>
    <row r="45" spans="1:11" ht="20.25">
      <c r="A45" s="27"/>
      <c r="C45" s="13"/>
      <c r="D45" s="79"/>
      <c r="E45" s="13"/>
      <c r="F45" s="141"/>
      <c r="G45" s="136"/>
      <c r="H45" s="13"/>
      <c r="I45" s="13"/>
      <c r="J45" s="13"/>
      <c r="K45" s="13"/>
    </row>
    <row r="46" spans="1:11" ht="20.25">
      <c r="A46" s="27"/>
      <c r="C46" s="13"/>
      <c r="D46" s="79"/>
      <c r="E46" s="13"/>
      <c r="F46" s="141"/>
      <c r="G46" s="136"/>
      <c r="H46" s="13"/>
      <c r="I46" s="13"/>
      <c r="J46" s="13"/>
      <c r="K46" s="13"/>
    </row>
    <row r="47" spans="1:11" ht="17.25" thickBot="1">
      <c r="B47" s="13"/>
      <c r="C47" s="30"/>
      <c r="D47" s="30"/>
      <c r="E47" s="30"/>
      <c r="F47" s="13"/>
      <c r="G47" s="13"/>
      <c r="H47" s="13"/>
      <c r="I47" s="13"/>
      <c r="J47" s="13"/>
      <c r="K47" s="13"/>
    </row>
    <row r="48" spans="1:11" ht="26.25">
      <c r="B48" s="13"/>
      <c r="C48" s="13"/>
      <c r="D48" s="33" t="str">
        <f>+D15</f>
        <v>Electric Utilities</v>
      </c>
      <c r="E48" s="13"/>
      <c r="F48" s="13"/>
      <c r="G48" s="13"/>
      <c r="H48" s="13"/>
      <c r="I48" s="13"/>
      <c r="J48" s="13"/>
      <c r="K48" s="13"/>
    </row>
    <row r="49" spans="2:11" ht="21" thickBot="1">
      <c r="B49" s="13"/>
      <c r="C49" s="30"/>
      <c r="D49" s="134" t="s">
        <v>99</v>
      </c>
      <c r="E49" s="30"/>
      <c r="F49" s="13"/>
      <c r="G49" s="13"/>
      <c r="H49" s="13"/>
      <c r="I49" s="13"/>
      <c r="J49" s="13"/>
      <c r="K49" s="13"/>
    </row>
    <row r="50" spans="2:11" ht="16.5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 ht="17.25" thickBot="1">
      <c r="B51" s="30"/>
      <c r="C51" s="30"/>
      <c r="D51" s="38" t="s">
        <v>0</v>
      </c>
      <c r="E51" s="30"/>
      <c r="F51" s="30"/>
      <c r="G51" s="30"/>
      <c r="H51" s="13"/>
      <c r="I51" s="13"/>
      <c r="J51" s="13"/>
      <c r="K51" s="13"/>
    </row>
    <row r="52" spans="2:11" ht="16.5">
      <c r="B52" s="36" t="s">
        <v>32</v>
      </c>
      <c r="C52" s="36" t="s">
        <v>33</v>
      </c>
      <c r="D52" s="36" t="s">
        <v>101</v>
      </c>
      <c r="E52" s="36" t="s">
        <v>102</v>
      </c>
      <c r="F52" s="36" t="s">
        <v>100</v>
      </c>
      <c r="G52" s="36" t="s">
        <v>35</v>
      </c>
      <c r="H52" s="13"/>
      <c r="I52" s="13"/>
      <c r="J52" s="13"/>
      <c r="K52" s="13"/>
    </row>
    <row r="53" spans="2:11" ht="17.25" thickBot="1">
      <c r="B53" s="38" t="s">
        <v>33</v>
      </c>
      <c r="C53" s="38" t="s">
        <v>36</v>
      </c>
      <c r="D53" s="38" t="s">
        <v>37</v>
      </c>
      <c r="E53" s="38" t="s">
        <v>23</v>
      </c>
      <c r="F53" s="38" t="s">
        <v>38</v>
      </c>
      <c r="G53" s="38" t="s">
        <v>103</v>
      </c>
      <c r="H53" s="13"/>
      <c r="I53" s="13"/>
      <c r="J53" s="13"/>
      <c r="K53" s="13"/>
    </row>
    <row r="54" spans="2:11" ht="16.5">
      <c r="B54" s="40" t="s">
        <v>0</v>
      </c>
      <c r="C54" s="40" t="s">
        <v>0</v>
      </c>
      <c r="D54" s="40" t="s">
        <v>0</v>
      </c>
      <c r="E54" s="40" t="s">
        <v>0</v>
      </c>
      <c r="F54" s="40" t="s">
        <v>0</v>
      </c>
      <c r="G54" s="40" t="s">
        <v>0</v>
      </c>
      <c r="H54" s="13"/>
      <c r="I54" s="13"/>
      <c r="J54" s="13"/>
      <c r="K54" s="13"/>
    </row>
    <row r="55" spans="2:11" ht="16.5">
      <c r="B55" s="36"/>
      <c r="C55" s="36"/>
      <c r="D55" s="36"/>
      <c r="E55" s="36"/>
      <c r="F55" s="36"/>
      <c r="G55" s="36"/>
      <c r="H55" s="13"/>
      <c r="I55" s="13"/>
      <c r="J55" s="13"/>
      <c r="K55" s="13"/>
    </row>
    <row r="56" spans="2:11" ht="17.25">
      <c r="B56" s="92" t="s">
        <v>40</v>
      </c>
      <c r="C56" s="135">
        <f>'S&amp;D'!I68</f>
        <v>0.6</v>
      </c>
      <c r="D56" s="135">
        <f>'Direct GCF'!H41</f>
        <v>0.12435</v>
      </c>
      <c r="E56" s="106" t="s">
        <v>41</v>
      </c>
      <c r="F56" s="135">
        <f>+D56</f>
        <v>0.12435</v>
      </c>
      <c r="G56" s="136">
        <f>+F56*C56</f>
        <v>7.4609999999999996E-2</v>
      </c>
      <c r="H56" s="13"/>
      <c r="I56" s="13"/>
      <c r="J56" s="13"/>
      <c r="K56" s="13"/>
    </row>
    <row r="57" spans="2:11" ht="17.25">
      <c r="B57" s="92" t="s">
        <v>0</v>
      </c>
      <c r="C57" s="106" t="s">
        <v>0</v>
      </c>
      <c r="D57" s="106" t="s">
        <v>0</v>
      </c>
      <c r="E57" s="106" t="s">
        <v>0</v>
      </c>
      <c r="F57" s="137" t="s">
        <v>0</v>
      </c>
      <c r="G57" s="124" t="s">
        <v>0</v>
      </c>
      <c r="H57" s="13"/>
      <c r="I57" s="13"/>
      <c r="J57" s="13"/>
      <c r="K57" s="13"/>
    </row>
    <row r="58" spans="2:11" ht="17.25">
      <c r="B58" s="92" t="s">
        <v>42</v>
      </c>
      <c r="C58" s="135">
        <f>'S&amp;D'!J68</f>
        <v>0.4</v>
      </c>
      <c r="D58" s="135">
        <f>+Debt!J38</f>
        <v>5.7700000000000001E-2</v>
      </c>
      <c r="E58" s="135">
        <v>0.26</v>
      </c>
      <c r="F58" s="135">
        <f>+D58*(1-E58)</f>
        <v>4.2698E-2</v>
      </c>
      <c r="G58" s="136">
        <f>+C58*F58</f>
        <v>1.7079199999999999E-2</v>
      </c>
      <c r="H58" s="13"/>
      <c r="I58" s="13"/>
      <c r="J58" s="13"/>
      <c r="K58" s="13"/>
    </row>
    <row r="59" spans="2:11" ht="18" thickBot="1">
      <c r="B59" s="99" t="s">
        <v>0</v>
      </c>
      <c r="C59" s="99" t="s">
        <v>0</v>
      </c>
      <c r="D59" s="99" t="s">
        <v>0</v>
      </c>
      <c r="E59" s="99" t="s">
        <v>0</v>
      </c>
      <c r="F59" s="138" t="s">
        <v>0</v>
      </c>
      <c r="G59" s="139" t="s">
        <v>0</v>
      </c>
      <c r="H59" s="13"/>
      <c r="I59" s="13"/>
      <c r="J59" s="13"/>
      <c r="K59" s="13"/>
    </row>
    <row r="60" spans="2:11" ht="17.25">
      <c r="B60" s="92" t="s">
        <v>43</v>
      </c>
      <c r="C60" s="140">
        <f>+C56+C58</f>
        <v>1</v>
      </c>
      <c r="D60" s="92" t="s">
        <v>0</v>
      </c>
      <c r="E60" s="92" t="s">
        <v>0</v>
      </c>
      <c r="F60" s="141" t="s">
        <v>0</v>
      </c>
      <c r="G60" s="136">
        <f>+G56+G58</f>
        <v>9.1689199999999998E-2</v>
      </c>
      <c r="H60" s="13"/>
      <c r="I60" s="13"/>
      <c r="J60" s="13"/>
      <c r="K60" s="13"/>
    </row>
    <row r="61" spans="2:11" ht="18" thickBot="1">
      <c r="B61" s="64"/>
      <c r="C61" s="64"/>
      <c r="D61" s="64"/>
      <c r="E61" s="64"/>
      <c r="F61" s="64"/>
      <c r="G61" s="142"/>
      <c r="H61" s="13"/>
      <c r="I61" s="13"/>
      <c r="J61" s="13"/>
      <c r="K61" s="13"/>
    </row>
    <row r="62" spans="2:11" ht="18" thickBot="1">
      <c r="B62" s="13"/>
      <c r="C62" s="13"/>
      <c r="D62" s="13"/>
      <c r="E62" s="13"/>
      <c r="F62" s="191" t="s">
        <v>108</v>
      </c>
      <c r="G62" s="175">
        <v>9.1700000000000004E-2</v>
      </c>
      <c r="H62" s="13"/>
      <c r="I62" s="13"/>
      <c r="J62" s="13"/>
      <c r="K62" s="13"/>
    </row>
    <row r="63" spans="2:11" ht="15.75" thickBot="1"/>
    <row r="64" spans="2:11" ht="18" thickBot="1">
      <c r="F64" s="191" t="s">
        <v>257</v>
      </c>
      <c r="G64" s="220">
        <f>1/G62</f>
        <v>10.905125408942203</v>
      </c>
    </row>
  </sheetData>
  <pageMargins left="0.25" right="0.25" top="0.75" bottom="0.75" header="0.3" footer="0.3"/>
  <pageSetup scale="72" fitToHeight="0" orientation="landscape" r:id="rId1"/>
  <rowBreaks count="1" manualBreakCount="1">
    <brk id="3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88"/>
  <sheetViews>
    <sheetView view="pageBreakPreview" topLeftCell="A23" zoomScale="60" zoomScaleNormal="80" zoomScalePageLayoutView="70" workbookViewId="0">
      <pane xSplit="1" topLeftCell="B1" activePane="topRight" state="frozen"/>
      <selection activeCell="N13" sqref="N13"/>
      <selection pane="topRight" activeCell="E72" sqref="E72"/>
    </sheetView>
  </sheetViews>
  <sheetFormatPr defaultRowHeight="15"/>
  <cols>
    <col min="1" max="1" width="63" customWidth="1"/>
    <col min="2" max="2" width="11.5703125" bestFit="1" customWidth="1"/>
    <col min="3" max="3" width="26.42578125" customWidth="1"/>
    <col min="4" max="4" width="25.5703125" bestFit="1" customWidth="1"/>
    <col min="5" max="5" width="28" customWidth="1"/>
    <col min="6" max="7" width="29.140625" customWidth="1"/>
    <col min="8" max="8" width="31.85546875" customWidth="1"/>
    <col min="9" max="9" width="31.5703125" customWidth="1"/>
    <col min="10" max="10" width="30.85546875" customWidth="1"/>
    <col min="11" max="11" width="12.85546875" customWidth="1"/>
    <col min="12" max="12" width="25.85546875" bestFit="1" customWidth="1"/>
    <col min="13" max="13" width="30.140625" bestFit="1" customWidth="1"/>
    <col min="14" max="14" width="9.140625" customWidth="1"/>
  </cols>
  <sheetData>
    <row r="1" spans="1:12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16.5">
      <c r="A3" s="27" t="s">
        <v>435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6.5">
      <c r="A4" s="27"/>
      <c r="B4" s="13"/>
      <c r="C4" s="13"/>
      <c r="D4" s="13"/>
      <c r="E4" s="13"/>
      <c r="F4" s="188" t="s">
        <v>0</v>
      </c>
      <c r="G4" s="13"/>
      <c r="H4" s="13"/>
      <c r="I4" s="13"/>
      <c r="J4" s="13"/>
      <c r="K4" s="13"/>
    </row>
    <row r="5" spans="1:12" ht="16.5">
      <c r="B5" s="13"/>
      <c r="C5" s="13"/>
      <c r="D5" s="13"/>
      <c r="E5" s="28"/>
      <c r="F5" s="188" t="s">
        <v>0</v>
      </c>
      <c r="G5" s="13"/>
      <c r="H5" s="13"/>
      <c r="I5" s="13"/>
      <c r="J5" s="13"/>
      <c r="K5" s="13" t="s">
        <v>0</v>
      </c>
    </row>
    <row r="6" spans="1:12" ht="16.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2" ht="16.5">
      <c r="A7" s="13"/>
      <c r="B7" s="36"/>
      <c r="C7" s="36"/>
      <c r="D7" s="36"/>
      <c r="E7" s="36"/>
      <c r="F7" s="36"/>
      <c r="G7" s="15"/>
      <c r="H7" s="45"/>
      <c r="I7" s="45"/>
      <c r="J7" s="87"/>
      <c r="K7" s="87"/>
      <c r="L7" s="3"/>
    </row>
    <row r="8" spans="1:12" ht="16.5">
      <c r="A8" s="88"/>
      <c r="B8" s="36"/>
      <c r="C8" s="36"/>
      <c r="D8" s="36"/>
      <c r="E8" s="36"/>
      <c r="F8" s="36"/>
      <c r="G8" s="15"/>
      <c r="H8" s="45"/>
      <c r="I8" s="45"/>
      <c r="J8" s="87"/>
      <c r="K8" s="87"/>
      <c r="L8" s="3"/>
    </row>
    <row r="9" spans="1:12" ht="16.5">
      <c r="A9" s="88"/>
      <c r="B9" s="36"/>
      <c r="C9" s="36"/>
      <c r="D9" s="36"/>
      <c r="E9" s="36"/>
      <c r="F9" s="36"/>
      <c r="G9" s="15"/>
      <c r="H9" s="45"/>
      <c r="I9" s="45"/>
      <c r="J9" s="87"/>
      <c r="K9" s="87"/>
      <c r="L9" s="3"/>
    </row>
    <row r="10" spans="1:12" ht="16.5">
      <c r="A10" s="45"/>
      <c r="D10" s="45"/>
      <c r="E10" s="45"/>
      <c r="F10" s="45"/>
      <c r="G10" s="45"/>
      <c r="H10" s="45"/>
      <c r="I10" s="45"/>
      <c r="J10" s="45"/>
      <c r="K10" s="45"/>
      <c r="L10" s="2"/>
    </row>
    <row r="11" spans="1:12" ht="17.25" thickBot="1">
      <c r="A11" s="45"/>
      <c r="D11" s="45"/>
      <c r="E11" s="89"/>
      <c r="F11" s="30"/>
      <c r="G11" s="89"/>
      <c r="H11" s="45"/>
      <c r="I11" s="45"/>
      <c r="J11" s="45"/>
      <c r="K11" s="45"/>
      <c r="L11" s="2"/>
    </row>
    <row r="12" spans="1:12" ht="27" thickBot="1">
      <c r="A12" s="29" t="s">
        <v>406</v>
      </c>
      <c r="D12" s="45"/>
      <c r="E12" s="45"/>
      <c r="F12" s="33" t="s">
        <v>109</v>
      </c>
      <c r="G12" s="45"/>
      <c r="H12" s="45"/>
      <c r="I12" s="45"/>
      <c r="J12" s="45"/>
      <c r="K12" s="13"/>
    </row>
    <row r="13" spans="1:12" ht="21" thickBot="1">
      <c r="A13" s="32"/>
      <c r="D13" s="45"/>
      <c r="E13" s="89"/>
      <c r="F13" s="34" t="s">
        <v>436</v>
      </c>
      <c r="G13" s="89"/>
      <c r="H13" s="45"/>
      <c r="I13" s="45"/>
      <c r="J13" s="45" t="s">
        <v>0</v>
      </c>
      <c r="K13" s="13"/>
    </row>
    <row r="14" spans="1:12" ht="20.25">
      <c r="A14" s="32"/>
      <c r="B14" s="45"/>
      <c r="C14" s="45"/>
      <c r="D14" s="45"/>
      <c r="E14" s="45"/>
      <c r="F14" s="14" t="s">
        <v>0</v>
      </c>
      <c r="G14" s="45"/>
      <c r="H14" s="45"/>
      <c r="I14" s="45"/>
      <c r="J14" s="45"/>
      <c r="K14" s="13"/>
    </row>
    <row r="15" spans="1:12" ht="17.25" thickBot="1">
      <c r="A15" s="43" t="s">
        <v>0</v>
      </c>
      <c r="B15" s="43" t="s">
        <v>0</v>
      </c>
      <c r="C15" s="43" t="s">
        <v>0</v>
      </c>
      <c r="D15" s="43"/>
      <c r="E15" s="43"/>
      <c r="F15" s="43"/>
      <c r="G15" s="43" t="s">
        <v>0</v>
      </c>
      <c r="H15" s="89"/>
      <c r="I15" s="89"/>
      <c r="J15" s="89"/>
      <c r="K15" s="13"/>
    </row>
    <row r="16" spans="1:12" ht="17.25">
      <c r="A16" s="90"/>
      <c r="B16" s="91"/>
      <c r="C16" s="236"/>
      <c r="D16" s="93" t="s">
        <v>13</v>
      </c>
      <c r="E16" s="94" t="s">
        <v>13</v>
      </c>
      <c r="F16" s="93" t="s">
        <v>13</v>
      </c>
      <c r="G16" s="92" t="s">
        <v>266</v>
      </c>
      <c r="H16" s="364" t="s">
        <v>438</v>
      </c>
      <c r="I16" s="95" t="s">
        <v>438</v>
      </c>
      <c r="J16" s="364" t="s">
        <v>438</v>
      </c>
      <c r="K16" s="13"/>
    </row>
    <row r="17" spans="1:13" ht="17.25">
      <c r="A17" s="90" t="s">
        <v>0</v>
      </c>
      <c r="B17" s="91" t="s">
        <v>3</v>
      </c>
      <c r="C17" s="91" t="s">
        <v>5</v>
      </c>
      <c r="D17" s="93" t="s">
        <v>10</v>
      </c>
      <c r="E17" s="94" t="s">
        <v>10</v>
      </c>
      <c r="F17" s="93" t="s">
        <v>19</v>
      </c>
      <c r="G17" s="95" t="s">
        <v>438</v>
      </c>
      <c r="H17" s="91" t="s">
        <v>12</v>
      </c>
      <c r="I17" s="241" t="s">
        <v>11</v>
      </c>
      <c r="J17" s="96" t="s">
        <v>177</v>
      </c>
      <c r="K17" s="13"/>
    </row>
    <row r="18" spans="1:13" ht="17.25">
      <c r="A18" s="90" t="s">
        <v>2</v>
      </c>
      <c r="B18" s="91" t="s">
        <v>4</v>
      </c>
      <c r="C18" s="91" t="s">
        <v>6</v>
      </c>
      <c r="D18" s="93" t="s">
        <v>65</v>
      </c>
      <c r="E18" s="94" t="s">
        <v>66</v>
      </c>
      <c r="F18" s="93" t="s">
        <v>10</v>
      </c>
      <c r="G18" s="95" t="s">
        <v>10</v>
      </c>
      <c r="H18" s="91" t="s">
        <v>107</v>
      </c>
      <c r="I18" s="189"/>
      <c r="J18" s="96" t="s">
        <v>267</v>
      </c>
      <c r="K18" s="13" t="s">
        <v>0</v>
      </c>
    </row>
    <row r="19" spans="1:13" ht="18" thickBot="1">
      <c r="A19" s="97" t="s">
        <v>0</v>
      </c>
      <c r="B19" s="98" t="s">
        <v>0</v>
      </c>
      <c r="C19" s="98" t="s">
        <v>0</v>
      </c>
      <c r="D19" s="98" t="s">
        <v>0</v>
      </c>
      <c r="E19" s="99" t="s">
        <v>0</v>
      </c>
      <c r="F19" s="98" t="s">
        <v>0</v>
      </c>
      <c r="G19" s="99" t="s">
        <v>0</v>
      </c>
      <c r="H19" s="100" t="s">
        <v>96</v>
      </c>
      <c r="I19" s="101" t="s">
        <v>95</v>
      </c>
      <c r="J19" s="100" t="s">
        <v>95</v>
      </c>
      <c r="K19" s="13"/>
    </row>
    <row r="20" spans="1:13" ht="16.5">
      <c r="A20" s="102" t="s">
        <v>7</v>
      </c>
      <c r="B20" s="103" t="s">
        <v>7</v>
      </c>
      <c r="C20" s="103" t="s">
        <v>7</v>
      </c>
      <c r="D20" s="103" t="s">
        <v>7</v>
      </c>
      <c r="E20" s="44" t="s">
        <v>7</v>
      </c>
      <c r="F20" s="103" t="s">
        <v>15</v>
      </c>
      <c r="G20" s="44" t="s">
        <v>7</v>
      </c>
      <c r="H20" s="103" t="s">
        <v>8</v>
      </c>
      <c r="I20" s="44" t="s">
        <v>8</v>
      </c>
      <c r="J20" s="103" t="s">
        <v>8</v>
      </c>
      <c r="K20" s="13"/>
    </row>
    <row r="21" spans="1:13" ht="17.25">
      <c r="A21" s="90"/>
      <c r="B21" s="91"/>
      <c r="C21" s="91"/>
      <c r="D21" s="91"/>
      <c r="E21" s="92"/>
      <c r="F21" s="91"/>
      <c r="G21" s="92"/>
      <c r="H21" s="91"/>
      <c r="I21" s="64"/>
      <c r="J21" s="104"/>
      <c r="K21" s="13"/>
    </row>
    <row r="22" spans="1:13" ht="17.25">
      <c r="A22" s="105" t="s">
        <v>283</v>
      </c>
      <c r="B22" s="81" t="s">
        <v>53</v>
      </c>
      <c r="C22" s="81" t="s">
        <v>396</v>
      </c>
      <c r="D22" s="107">
        <v>65.67</v>
      </c>
      <c r="E22" s="61">
        <v>63.8</v>
      </c>
      <c r="F22" s="107">
        <f>AVERAGE(D22,E22)</f>
        <v>64.734999999999999</v>
      </c>
      <c r="G22" s="61">
        <v>64.8</v>
      </c>
      <c r="H22" s="287">
        <v>57900000</v>
      </c>
      <c r="I22" s="292">
        <v>0</v>
      </c>
      <c r="J22" s="287">
        <v>1704700000</v>
      </c>
      <c r="K22" s="13"/>
    </row>
    <row r="23" spans="1:13" ht="17.25">
      <c r="A23" s="105" t="s">
        <v>44</v>
      </c>
      <c r="B23" s="81" t="s">
        <v>54</v>
      </c>
      <c r="C23" s="81" t="s">
        <v>396</v>
      </c>
      <c r="D23" s="107">
        <v>64.19</v>
      </c>
      <c r="E23" s="61">
        <v>56.08</v>
      </c>
      <c r="F23" s="107">
        <f t="shared" ref="F23:F37" si="0">AVERAGE(D23,E23)</f>
        <v>60.134999999999998</v>
      </c>
      <c r="G23" s="61">
        <v>59.14</v>
      </c>
      <c r="H23" s="287">
        <v>256690222</v>
      </c>
      <c r="I23" s="292">
        <v>0</v>
      </c>
      <c r="J23" s="287">
        <v>9925000000</v>
      </c>
      <c r="K23" s="13"/>
    </row>
    <row r="24" spans="1:13" ht="17.25">
      <c r="A24" s="105" t="s">
        <v>387</v>
      </c>
      <c r="B24" s="81" t="s">
        <v>58</v>
      </c>
      <c r="C24" s="81" t="s">
        <v>396</v>
      </c>
      <c r="D24" s="107">
        <v>95.69</v>
      </c>
      <c r="E24" s="61">
        <v>85.27</v>
      </c>
      <c r="F24" s="107">
        <f t="shared" si="0"/>
        <v>90.47999999999999</v>
      </c>
      <c r="G24" s="61">
        <v>89.14</v>
      </c>
      <c r="H24" s="287">
        <v>269900000</v>
      </c>
      <c r="I24" s="292">
        <v>0</v>
      </c>
      <c r="J24" s="287">
        <v>17262000000</v>
      </c>
      <c r="K24" s="13"/>
    </row>
    <row r="25" spans="1:13" ht="17.25">
      <c r="A25" s="105" t="s">
        <v>46</v>
      </c>
      <c r="B25" s="81" t="s">
        <v>59</v>
      </c>
      <c r="C25" s="81" t="s">
        <v>396</v>
      </c>
      <c r="D25" s="107">
        <v>102.9</v>
      </c>
      <c r="E25" s="61">
        <v>90.42</v>
      </c>
      <c r="F25" s="107">
        <f t="shared" si="0"/>
        <v>96.66</v>
      </c>
      <c r="G25" s="61">
        <v>92.23</v>
      </c>
      <c r="H25" s="287">
        <f>534094530-1186815</f>
        <v>532907715</v>
      </c>
      <c r="I25" s="292">
        <v>37800000</v>
      </c>
      <c r="J25" s="287">
        <v>42642800000</v>
      </c>
      <c r="K25" s="13"/>
    </row>
    <row r="26" spans="1:13" ht="17.25">
      <c r="A26" s="108" t="s">
        <v>47</v>
      </c>
      <c r="B26" s="81" t="s">
        <v>60</v>
      </c>
      <c r="C26" s="81" t="s">
        <v>396</v>
      </c>
      <c r="D26" s="107">
        <v>32.86</v>
      </c>
      <c r="E26" s="61">
        <v>28.57</v>
      </c>
      <c r="F26" s="107">
        <f t="shared" si="0"/>
        <v>30.715</v>
      </c>
      <c r="G26" s="61">
        <v>31.73</v>
      </c>
      <c r="H26" s="287">
        <v>651727276</v>
      </c>
      <c r="I26" s="292">
        <v>0</v>
      </c>
      <c r="J26" s="287">
        <f>20397000000+13000000+51000000</f>
        <v>20461000000</v>
      </c>
      <c r="K26" s="13"/>
    </row>
    <row r="27" spans="1:13" ht="17.25">
      <c r="A27" s="105" t="s">
        <v>48</v>
      </c>
      <c r="B27" s="81" t="s">
        <v>55</v>
      </c>
      <c r="C27" s="81" t="s">
        <v>396</v>
      </c>
      <c r="D27" s="107">
        <v>72.400000000000006</v>
      </c>
      <c r="E27" s="61">
        <v>65.09</v>
      </c>
      <c r="F27" s="107">
        <f t="shared" si="0"/>
        <v>68.745000000000005</v>
      </c>
      <c r="G27" s="61">
        <v>66.650000000000006</v>
      </c>
      <c r="H27" s="287">
        <v>298800000</v>
      </c>
      <c r="I27" s="292">
        <v>224000000</v>
      </c>
      <c r="J27" s="287">
        <f>15194000000+112000000+1195000000</f>
        <v>16501000000</v>
      </c>
      <c r="K27" s="13"/>
      <c r="M27" s="10" t="s">
        <v>0</v>
      </c>
    </row>
    <row r="28" spans="1:13" ht="17.25">
      <c r="A28" s="105" t="s">
        <v>49</v>
      </c>
      <c r="B28" s="81" t="s">
        <v>56</v>
      </c>
      <c r="C28" s="81" t="s">
        <v>396</v>
      </c>
      <c r="D28" s="107">
        <v>131.66999999999999</v>
      </c>
      <c r="E28" s="61">
        <v>115.59</v>
      </c>
      <c r="F28" s="107">
        <f t="shared" si="0"/>
        <v>123.63</v>
      </c>
      <c r="G28" s="61">
        <v>120.75</v>
      </c>
      <c r="H28" s="287">
        <v>207171582</v>
      </c>
      <c r="I28" s="292"/>
      <c r="J28" s="287">
        <f>20690000000+1296000000</f>
        <v>21986000000</v>
      </c>
      <c r="K28" s="13"/>
    </row>
    <row r="29" spans="1:13" ht="17.25">
      <c r="A29" s="105" t="s">
        <v>74</v>
      </c>
      <c r="B29" s="81" t="s">
        <v>67</v>
      </c>
      <c r="C29" s="81" t="s">
        <v>395</v>
      </c>
      <c r="D29" s="107">
        <v>121.25</v>
      </c>
      <c r="E29" s="61">
        <v>105.63</v>
      </c>
      <c r="F29" s="107">
        <f t="shared" si="0"/>
        <v>113.44</v>
      </c>
      <c r="G29" s="61">
        <v>107.74</v>
      </c>
      <c r="H29" s="287">
        <v>776000000</v>
      </c>
      <c r="I29" s="292">
        <v>973000000</v>
      </c>
      <c r="J29" s="287">
        <f>76340000000+4349000000</f>
        <v>80689000000</v>
      </c>
      <c r="K29" s="13"/>
    </row>
    <row r="30" spans="1:13" ht="17.25">
      <c r="A30" s="105" t="s">
        <v>68</v>
      </c>
      <c r="B30" s="81" t="s">
        <v>69</v>
      </c>
      <c r="C30" s="81" t="s">
        <v>396</v>
      </c>
      <c r="D30" s="107">
        <v>79.040000000000006</v>
      </c>
      <c r="E30" s="61">
        <v>64.38</v>
      </c>
      <c r="F30" s="107">
        <f t="shared" si="0"/>
        <v>71.710000000000008</v>
      </c>
      <c r="G30" s="61">
        <v>75.819999999999993</v>
      </c>
      <c r="H30" s="287">
        <f>561950696-132370280</f>
        <v>429580416</v>
      </c>
      <c r="I30" s="292"/>
      <c r="J30" s="287">
        <f>26613505000+1378090000</f>
        <v>27991595000</v>
      </c>
      <c r="K30" s="13"/>
    </row>
    <row r="31" spans="1:13" ht="17.25">
      <c r="A31" s="105" t="s">
        <v>284</v>
      </c>
      <c r="B31" s="81" t="s">
        <v>285</v>
      </c>
      <c r="C31" s="81" t="s">
        <v>396</v>
      </c>
      <c r="D31" s="107">
        <v>65.47</v>
      </c>
      <c r="E31" s="61">
        <v>59</v>
      </c>
      <c r="F31" s="107">
        <f t="shared" si="0"/>
        <v>62.234999999999999</v>
      </c>
      <c r="G31" s="61">
        <v>61.55</v>
      </c>
      <c r="H31" s="287">
        <v>229983615</v>
      </c>
      <c r="I31" s="292"/>
      <c r="J31" s="287">
        <f>11809200000+651700000</f>
        <v>12460900000</v>
      </c>
      <c r="K31" s="13"/>
    </row>
    <row r="32" spans="1:13" ht="17.25">
      <c r="A32" s="105" t="s">
        <v>78</v>
      </c>
      <c r="B32" s="81" t="s">
        <v>79</v>
      </c>
      <c r="C32" s="81" t="s">
        <v>395</v>
      </c>
      <c r="D32" s="107">
        <v>44.58</v>
      </c>
      <c r="E32" s="61">
        <v>38.81</v>
      </c>
      <c r="F32" s="107">
        <f t="shared" si="0"/>
        <v>41.695</v>
      </c>
      <c r="G32" s="61">
        <v>39.78</v>
      </c>
      <c r="H32" s="287">
        <v>576612245</v>
      </c>
      <c r="I32" s="292"/>
      <c r="J32" s="287">
        <f>22496000000+977000000</f>
        <v>23473000000</v>
      </c>
      <c r="K32" s="13"/>
    </row>
    <row r="33" spans="1:12" ht="17.25">
      <c r="A33" s="105" t="s">
        <v>50</v>
      </c>
      <c r="B33" s="81" t="s">
        <v>57</v>
      </c>
      <c r="C33" s="81" t="s">
        <v>396</v>
      </c>
      <c r="D33" s="107">
        <v>44.41</v>
      </c>
      <c r="E33" s="61">
        <v>39.1</v>
      </c>
      <c r="F33" s="107">
        <f t="shared" si="0"/>
        <v>41.754999999999995</v>
      </c>
      <c r="G33" s="61">
        <v>41.25</v>
      </c>
      <c r="H33" s="287">
        <v>201000000</v>
      </c>
      <c r="I33" s="292"/>
      <c r="J33" s="287">
        <f>5020900000+32400000</f>
        <v>5053300000</v>
      </c>
      <c r="K33" s="13"/>
    </row>
    <row r="34" spans="1:12" ht="17.25">
      <c r="A34" s="105" t="s">
        <v>51</v>
      </c>
      <c r="B34" s="81" t="s">
        <v>61</v>
      </c>
      <c r="C34" s="81" t="s">
        <v>396</v>
      </c>
      <c r="D34" s="107">
        <v>88.36</v>
      </c>
      <c r="E34" s="61">
        <v>73.260000000000005</v>
      </c>
      <c r="F34" s="107">
        <f t="shared" si="0"/>
        <v>80.81</v>
      </c>
      <c r="G34" s="61">
        <v>73.84</v>
      </c>
      <c r="H34" s="287">
        <v>209140000</v>
      </c>
      <c r="I34" s="292"/>
      <c r="J34" s="287">
        <v>943734000</v>
      </c>
      <c r="K34" s="13"/>
    </row>
    <row r="35" spans="1:12" ht="17.25">
      <c r="A35" s="105" t="s">
        <v>75</v>
      </c>
      <c r="B35" s="81" t="s">
        <v>71</v>
      </c>
      <c r="C35" s="81" t="s">
        <v>395</v>
      </c>
      <c r="D35" s="107">
        <v>35.15</v>
      </c>
      <c r="E35" s="61">
        <v>31.39</v>
      </c>
      <c r="F35" s="107">
        <f t="shared" si="0"/>
        <v>33.269999999999996</v>
      </c>
      <c r="G35" s="61">
        <v>32.46</v>
      </c>
      <c r="H35" s="287">
        <v>738033000</v>
      </c>
      <c r="I35" s="292"/>
      <c r="J35" s="287">
        <f>15952000000+551000000</f>
        <v>16503000000</v>
      </c>
      <c r="K35" s="13"/>
    </row>
    <row r="36" spans="1:12" ht="17.25">
      <c r="A36" s="105" t="s">
        <v>432</v>
      </c>
      <c r="B36" s="81" t="s">
        <v>73</v>
      </c>
      <c r="C36" s="81" t="s">
        <v>395</v>
      </c>
      <c r="D36" s="107">
        <v>94.45</v>
      </c>
      <c r="E36" s="61">
        <v>81.38</v>
      </c>
      <c r="F36" s="107">
        <f t="shared" si="0"/>
        <v>87.914999999999992</v>
      </c>
      <c r="G36" s="61">
        <v>82.32</v>
      </c>
      <c r="H36" s="287">
        <f>1100000000-1000000</f>
        <v>1099000000</v>
      </c>
      <c r="I36" s="292"/>
      <c r="J36" s="287">
        <v>58768000000</v>
      </c>
      <c r="K36" s="13"/>
    </row>
    <row r="37" spans="1:12" ht="18" thickBot="1">
      <c r="A37" s="109" t="s">
        <v>52</v>
      </c>
      <c r="B37" s="82" t="s">
        <v>62</v>
      </c>
      <c r="C37" s="82" t="s">
        <v>396</v>
      </c>
      <c r="D37" s="110">
        <v>101.68</v>
      </c>
      <c r="E37" s="286">
        <v>92.52</v>
      </c>
      <c r="F37" s="110">
        <f t="shared" si="0"/>
        <v>97.1</v>
      </c>
      <c r="G37" s="286">
        <v>94.04</v>
      </c>
      <c r="H37" s="290">
        <v>315434531</v>
      </c>
      <c r="I37" s="111">
        <v>30400000</v>
      </c>
      <c r="J37" s="290">
        <f>1729000000+17178100000+303300000</f>
        <v>19210400000</v>
      </c>
      <c r="K37" s="13"/>
    </row>
    <row r="38" spans="1:12" ht="17.25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3"/>
    </row>
    <row r="39" spans="1:12" ht="17.25">
      <c r="A39" s="112"/>
      <c r="B39" s="112"/>
      <c r="C39" s="112"/>
      <c r="D39" s="112"/>
      <c r="E39" s="112"/>
      <c r="F39" s="112"/>
      <c r="G39" s="112"/>
      <c r="H39" s="112"/>
      <c r="I39" s="112"/>
      <c r="J39" s="112" t="s">
        <v>0</v>
      </c>
      <c r="K39" s="13"/>
    </row>
    <row r="40" spans="1:12" ht="18" thickBot="1">
      <c r="A40" s="113" t="s">
        <v>0</v>
      </c>
      <c r="B40" s="114"/>
      <c r="C40" s="114"/>
      <c r="D40" s="114"/>
      <c r="E40" s="114"/>
      <c r="F40" s="30"/>
      <c r="G40" s="114"/>
      <c r="H40" s="114"/>
      <c r="I40" s="114"/>
      <c r="J40" s="112"/>
      <c r="K40" s="112"/>
      <c r="L40" s="4"/>
    </row>
    <row r="41" spans="1:12" ht="17.25">
      <c r="A41" s="115"/>
      <c r="B41" s="116"/>
      <c r="C41" s="360"/>
      <c r="D41" s="360"/>
      <c r="E41" s="364" t="s">
        <v>0</v>
      </c>
      <c r="F41" s="364" t="s">
        <v>0</v>
      </c>
      <c r="G41" s="201"/>
      <c r="H41" s="360"/>
      <c r="I41" s="360"/>
      <c r="J41" s="360"/>
      <c r="K41" s="112"/>
      <c r="L41" s="4"/>
    </row>
    <row r="42" spans="1:12" ht="17.25">
      <c r="A42" s="90"/>
      <c r="B42" s="92"/>
      <c r="C42" s="91"/>
      <c r="D42" s="361" t="s">
        <v>438</v>
      </c>
      <c r="E42" s="361" t="s">
        <v>438</v>
      </c>
      <c r="F42" s="361" t="s">
        <v>438</v>
      </c>
      <c r="G42" s="361" t="s">
        <v>438</v>
      </c>
      <c r="H42" s="361" t="s">
        <v>438</v>
      </c>
      <c r="I42" s="361" t="s">
        <v>438</v>
      </c>
      <c r="J42" s="361" t="s">
        <v>438</v>
      </c>
      <c r="K42" s="13"/>
      <c r="L42" s="5"/>
    </row>
    <row r="43" spans="1:12" ht="17.25">
      <c r="A43" s="90" t="s">
        <v>0</v>
      </c>
      <c r="B43" s="92" t="s">
        <v>3</v>
      </c>
      <c r="C43" s="91" t="s">
        <v>5</v>
      </c>
      <c r="D43" s="91" t="s">
        <v>12</v>
      </c>
      <c r="E43" s="96" t="s">
        <v>176</v>
      </c>
      <c r="F43" s="96" t="s">
        <v>307</v>
      </c>
      <c r="G43" s="91" t="s">
        <v>234</v>
      </c>
      <c r="H43" s="96" t="s">
        <v>16</v>
      </c>
      <c r="I43" s="96" t="s">
        <v>17</v>
      </c>
      <c r="J43" s="96" t="s">
        <v>83</v>
      </c>
      <c r="K43" s="13"/>
      <c r="L43" s="5"/>
    </row>
    <row r="44" spans="1:12" ht="18" thickBot="1">
      <c r="A44" s="97" t="s">
        <v>2</v>
      </c>
      <c r="B44" s="99" t="s">
        <v>4</v>
      </c>
      <c r="C44" s="98" t="s">
        <v>6</v>
      </c>
      <c r="D44" s="98" t="s">
        <v>14</v>
      </c>
      <c r="E44" s="98" t="s">
        <v>14</v>
      </c>
      <c r="F44" s="98" t="s">
        <v>320</v>
      </c>
      <c r="G44" s="98" t="s">
        <v>14</v>
      </c>
      <c r="H44" s="98" t="s">
        <v>373</v>
      </c>
      <c r="I44" s="98" t="s">
        <v>0</v>
      </c>
      <c r="J44" s="98" t="s">
        <v>372</v>
      </c>
      <c r="K44" s="13"/>
      <c r="L44" s="1"/>
    </row>
    <row r="45" spans="1:12" ht="16.5">
      <c r="A45" s="102" t="s">
        <v>7</v>
      </c>
      <c r="B45" s="44" t="s">
        <v>7</v>
      </c>
      <c r="C45" s="103" t="s">
        <v>7</v>
      </c>
      <c r="D45" s="103" t="s">
        <v>15</v>
      </c>
      <c r="E45" s="103" t="s">
        <v>8</v>
      </c>
      <c r="F45" s="103" t="s">
        <v>8</v>
      </c>
      <c r="G45" s="103" t="s">
        <v>8</v>
      </c>
      <c r="H45" s="103" t="s">
        <v>15</v>
      </c>
      <c r="I45" s="103" t="s">
        <v>15</v>
      </c>
      <c r="J45" s="103" t="s">
        <v>15</v>
      </c>
      <c r="K45" s="13"/>
      <c r="L45" s="5"/>
    </row>
    <row r="46" spans="1:12" ht="17.25">
      <c r="A46" s="90"/>
      <c r="B46" s="92"/>
      <c r="C46" s="91"/>
      <c r="D46" s="365"/>
      <c r="E46" s="365"/>
      <c r="F46" s="365"/>
      <c r="G46" s="365"/>
      <c r="H46" s="104"/>
      <c r="I46" s="104"/>
      <c r="J46" s="104"/>
      <c r="K46" s="13"/>
      <c r="L46" s="4"/>
    </row>
    <row r="47" spans="1:12" ht="17.25">
      <c r="A47" s="105" t="str">
        <f t="shared" ref="A47:C57" si="1">+A22</f>
        <v>ALLETE Inc</v>
      </c>
      <c r="B47" s="92" t="str">
        <f t="shared" si="1"/>
        <v>ALE</v>
      </c>
      <c r="C47" s="91" t="str">
        <f t="shared" si="1"/>
        <v>Electric Utility - Cent</v>
      </c>
      <c r="D47" s="366">
        <f>(+H22)*G22</f>
        <v>3751920000</v>
      </c>
      <c r="E47" s="368">
        <f>(1/1)*I22</f>
        <v>0</v>
      </c>
      <c r="F47" s="366">
        <v>10900000</v>
      </c>
      <c r="G47" s="366">
        <f>J22*(1670.6/1799.4)</f>
        <v>1582678570.6346557</v>
      </c>
      <c r="H47" s="287">
        <f>+D47+E47+F47+G47</f>
        <v>5345498570.634656</v>
      </c>
      <c r="I47" s="362">
        <f t="shared" ref="I47:I62" si="2">(+D47)/H47</f>
        <v>0.70188401519945498</v>
      </c>
      <c r="J47" s="362">
        <f>(+E47+F47+G47)/H47</f>
        <v>0.29811598480054491</v>
      </c>
      <c r="K47" s="13"/>
      <c r="L47" s="4"/>
    </row>
    <row r="48" spans="1:12" ht="17.25">
      <c r="A48" s="105" t="str">
        <f t="shared" si="1"/>
        <v>Alliant Energy</v>
      </c>
      <c r="B48" s="92" t="str">
        <f t="shared" si="1"/>
        <v>LNT</v>
      </c>
      <c r="C48" s="91" t="str">
        <f t="shared" si="1"/>
        <v>Electric Utility - Cent</v>
      </c>
      <c r="D48" s="366">
        <f t="shared" ref="D48:D57" si="3">(+H23)*G23</f>
        <v>15180659729.08</v>
      </c>
      <c r="E48" s="366">
        <f>(194.8/200)*I23</f>
        <v>0</v>
      </c>
      <c r="F48" s="366">
        <v>22000000</v>
      </c>
      <c r="G48" s="366">
        <f>J23*(9577/9848)</f>
        <v>9651881092.6076374</v>
      </c>
      <c r="H48" s="287">
        <f>+D48+E48+F48+G48</f>
        <v>24854540821.687637</v>
      </c>
      <c r="I48" s="362">
        <f t="shared" si="2"/>
        <v>0.61078013220962912</v>
      </c>
      <c r="J48" s="362">
        <f>(+E48+F48+G48)/H48</f>
        <v>0.38921986779037082</v>
      </c>
      <c r="K48" s="13"/>
      <c r="L48" s="4"/>
    </row>
    <row r="49" spans="1:12" ht="17.25">
      <c r="A49" s="105" t="str">
        <f t="shared" si="1"/>
        <v>AMEREN Corporation</v>
      </c>
      <c r="B49" s="92" t="str">
        <f t="shared" si="1"/>
        <v>AEE</v>
      </c>
      <c r="C49" s="91" t="str">
        <f t="shared" si="1"/>
        <v>Electric Utility - Cent</v>
      </c>
      <c r="D49" s="366">
        <f t="shared" si="3"/>
        <v>24058886000</v>
      </c>
      <c r="E49" s="366">
        <f t="shared" ref="E49:E57" si="4">(1/1)*I24</f>
        <v>0</v>
      </c>
      <c r="F49" s="366"/>
      <c r="G49" s="366">
        <f>J24*(14833/15970)</f>
        <v>16033014777.708202</v>
      </c>
      <c r="H49" s="287">
        <f t="shared" ref="H49:H62" si="5">+D49+E49+F49+G49</f>
        <v>40091900777.708206</v>
      </c>
      <c r="I49" s="362">
        <f t="shared" si="2"/>
        <v>0.60009342369162899</v>
      </c>
      <c r="J49" s="362">
        <f t="shared" ref="J49:J62" si="6">(+E49+F49+G49)/H49</f>
        <v>0.3999065763083709</v>
      </c>
      <c r="K49" s="13"/>
      <c r="L49" s="4"/>
    </row>
    <row r="50" spans="1:12" ht="17.25">
      <c r="A50" s="105" t="str">
        <f t="shared" si="1"/>
        <v>American Electric Power</v>
      </c>
      <c r="B50" s="92" t="str">
        <f t="shared" si="1"/>
        <v>AEP</v>
      </c>
      <c r="C50" s="91" t="str">
        <f t="shared" si="1"/>
        <v>Electric Utility - Cent</v>
      </c>
      <c r="D50" s="366">
        <f t="shared" si="3"/>
        <v>49150078554.450005</v>
      </c>
      <c r="E50" s="366">
        <f t="shared" si="4"/>
        <v>37800000</v>
      </c>
      <c r="F50" s="366">
        <v>596200000</v>
      </c>
      <c r="G50" s="366">
        <f>J25*(38964.7/42642.8)</f>
        <v>38964699999.999992</v>
      </c>
      <c r="H50" s="287">
        <f t="shared" si="5"/>
        <v>88748778554.449997</v>
      </c>
      <c r="I50" s="362">
        <f t="shared" si="2"/>
        <v>0.55381132399805344</v>
      </c>
      <c r="J50" s="362">
        <f t="shared" si="6"/>
        <v>0.44618867600194656</v>
      </c>
      <c r="K50" s="13"/>
      <c r="L50" s="4"/>
    </row>
    <row r="51" spans="1:12" ht="17.25">
      <c r="A51" s="105" t="str">
        <f t="shared" si="1"/>
        <v>Centerpoint Energy</v>
      </c>
      <c r="B51" s="92" t="str">
        <f t="shared" si="1"/>
        <v>CNP</v>
      </c>
      <c r="C51" s="91" t="str">
        <f t="shared" si="1"/>
        <v>Electric Utility - Cent</v>
      </c>
      <c r="D51" s="366">
        <f t="shared" si="3"/>
        <v>20679306467.48</v>
      </c>
      <c r="E51" s="366">
        <f t="shared" si="4"/>
        <v>0</v>
      </c>
      <c r="F51" s="366">
        <v>28000000</v>
      </c>
      <c r="G51" s="287">
        <f>J26*(19597/20961)</f>
        <v>19129536615.619484</v>
      </c>
      <c r="H51" s="287">
        <f t="shared" si="5"/>
        <v>39836843083.099487</v>
      </c>
      <c r="I51" s="362">
        <f t="shared" si="2"/>
        <v>0.51910003070130462</v>
      </c>
      <c r="J51" s="362">
        <f t="shared" si="6"/>
        <v>0.48089996929869527</v>
      </c>
      <c r="K51" s="13"/>
      <c r="L51" s="4"/>
    </row>
    <row r="52" spans="1:12" ht="17.25">
      <c r="A52" s="105" t="str">
        <f t="shared" si="1"/>
        <v>CMS Energy</v>
      </c>
      <c r="B52" s="92" t="str">
        <f t="shared" si="1"/>
        <v>CMS</v>
      </c>
      <c r="C52" s="91" t="str">
        <f t="shared" si="1"/>
        <v>Electric Utility - Cent</v>
      </c>
      <c r="D52" s="366">
        <f t="shared" si="3"/>
        <v>19915020000</v>
      </c>
      <c r="E52" s="366">
        <f t="shared" si="4"/>
        <v>224000000</v>
      </c>
      <c r="F52" s="366">
        <f>21000000+3000000</f>
        <v>24000000</v>
      </c>
      <c r="G52" s="287">
        <f>J27*(14876/16386)</f>
        <v>14980402538.752594</v>
      </c>
      <c r="H52" s="287">
        <f t="shared" si="5"/>
        <v>35143422538.752594</v>
      </c>
      <c r="I52" s="362">
        <f t="shared" si="2"/>
        <v>0.56667844396884626</v>
      </c>
      <c r="J52" s="362">
        <f t="shared" si="6"/>
        <v>0.43332155603115374</v>
      </c>
      <c r="K52" s="13"/>
      <c r="L52" s="4"/>
    </row>
    <row r="53" spans="1:12" ht="17.25">
      <c r="A53" s="105" t="str">
        <f t="shared" si="1"/>
        <v>DTE Energy</v>
      </c>
      <c r="B53" s="92" t="str">
        <f t="shared" si="1"/>
        <v>DTE</v>
      </c>
      <c r="C53" s="91" t="str">
        <f t="shared" si="1"/>
        <v>Electric Utility - Cent</v>
      </c>
      <c r="D53" s="366">
        <f t="shared" si="3"/>
        <v>25015968526.5</v>
      </c>
      <c r="E53" s="366">
        <f t="shared" si="4"/>
        <v>0</v>
      </c>
      <c r="F53" s="366">
        <v>188000000</v>
      </c>
      <c r="G53" s="366">
        <f>J28*((725+18283+1128)/21963)</f>
        <v>20157086736.784592</v>
      </c>
      <c r="H53" s="287">
        <f t="shared" si="5"/>
        <v>45361055263.284592</v>
      </c>
      <c r="I53" s="362">
        <f t="shared" si="2"/>
        <v>0.55148559444444889</v>
      </c>
      <c r="J53" s="362">
        <f t="shared" si="6"/>
        <v>0.44851440555555111</v>
      </c>
      <c r="K53" s="13"/>
      <c r="L53" s="4"/>
    </row>
    <row r="54" spans="1:12" ht="17.25">
      <c r="A54" s="105" t="str">
        <f t="shared" si="1"/>
        <v>Duke Energy</v>
      </c>
      <c r="B54" s="92" t="str">
        <f t="shared" si="1"/>
        <v>DUK</v>
      </c>
      <c r="C54" s="91" t="str">
        <f t="shared" si="1"/>
        <v>Electric Utility - East</v>
      </c>
      <c r="D54" s="366">
        <f t="shared" si="3"/>
        <v>83606240000</v>
      </c>
      <c r="E54" s="366">
        <f t="shared" si="4"/>
        <v>973000000</v>
      </c>
      <c r="F54" s="366">
        <v>1165000000</v>
      </c>
      <c r="G54" s="366">
        <f>J29*(73440/80689)</f>
        <v>73440000000</v>
      </c>
      <c r="H54" s="287">
        <f t="shared" si="5"/>
        <v>159184240000</v>
      </c>
      <c r="I54" s="362">
        <f t="shared" si="2"/>
        <v>0.52521681794629915</v>
      </c>
      <c r="J54" s="362">
        <f t="shared" si="6"/>
        <v>0.47478318205370079</v>
      </c>
      <c r="K54" s="13"/>
      <c r="L54" s="4"/>
    </row>
    <row r="55" spans="1:12" ht="17.25">
      <c r="A55" s="105" t="str">
        <f t="shared" si="1"/>
        <v>Entergy Corp</v>
      </c>
      <c r="B55" s="92" t="str">
        <f t="shared" si="1"/>
        <v>ETR</v>
      </c>
      <c r="C55" s="91" t="str">
        <f t="shared" si="1"/>
        <v>Electric Utility - Cent</v>
      </c>
      <c r="D55" s="366">
        <f t="shared" si="3"/>
        <v>32570787141.119999</v>
      </c>
      <c r="E55" s="366">
        <f t="shared" si="4"/>
        <v>0</v>
      </c>
      <c r="F55" s="366">
        <v>277197000</v>
      </c>
      <c r="G55" s="366">
        <f>J30*(25181802/26613505)</f>
        <v>26485756120.969032</v>
      </c>
      <c r="H55" s="287">
        <f t="shared" si="5"/>
        <v>59333740262.089035</v>
      </c>
      <c r="I55" s="362">
        <f t="shared" si="2"/>
        <v>0.54894208585618065</v>
      </c>
      <c r="J55" s="362">
        <f t="shared" si="6"/>
        <v>0.45105791414381935</v>
      </c>
      <c r="K55" s="13"/>
      <c r="L55" s="4"/>
    </row>
    <row r="56" spans="1:12" ht="17.25">
      <c r="A56" s="105" t="str">
        <f t="shared" si="1"/>
        <v>Evergy Inc</v>
      </c>
      <c r="B56" s="92" t="str">
        <f t="shared" si="1"/>
        <v>EVRG</v>
      </c>
      <c r="C56" s="91" t="str">
        <f t="shared" si="1"/>
        <v>Electric Utility - Cent</v>
      </c>
      <c r="D56" s="366">
        <f t="shared" si="3"/>
        <v>14155491503.25</v>
      </c>
      <c r="E56" s="366">
        <f t="shared" si="4"/>
        <v>0</v>
      </c>
      <c r="F56" s="366">
        <v>577000000</v>
      </c>
      <c r="G56" s="366">
        <f>J31*(11044.9/11853.3)</f>
        <v>11611061426.775665</v>
      </c>
      <c r="H56" s="287">
        <f t="shared" si="5"/>
        <v>26343552930.025665</v>
      </c>
      <c r="I56" s="362">
        <f t="shared" si="2"/>
        <v>0.53734177545641371</v>
      </c>
      <c r="J56" s="362">
        <f t="shared" si="6"/>
        <v>0.46265822454358629</v>
      </c>
      <c r="K56" s="13"/>
      <c r="L56" s="4"/>
    </row>
    <row r="57" spans="1:12" ht="17.25">
      <c r="A57" s="105" t="str">
        <f t="shared" si="1"/>
        <v>FirstEnergy Corp</v>
      </c>
      <c r="B57" s="92" t="str">
        <f t="shared" si="1"/>
        <v>FE</v>
      </c>
      <c r="C57" s="91" t="str">
        <f t="shared" si="1"/>
        <v>Electric Utility - East</v>
      </c>
      <c r="D57" s="366">
        <f t="shared" si="3"/>
        <v>22937635106.100002</v>
      </c>
      <c r="E57" s="366">
        <f t="shared" si="4"/>
        <v>0</v>
      </c>
      <c r="F57" s="366">
        <v>243000000</v>
      </c>
      <c r="G57" s="366">
        <f>J32*(23003/24254)</f>
        <v>22262283293.477364</v>
      </c>
      <c r="H57" s="287">
        <f t="shared" si="5"/>
        <v>45442918399.577362</v>
      </c>
      <c r="I57" s="362">
        <f t="shared" si="2"/>
        <v>0.50475708677885733</v>
      </c>
      <c r="J57" s="362">
        <f t="shared" si="6"/>
        <v>0.49524291322114278</v>
      </c>
      <c r="K57" s="13"/>
      <c r="L57" s="4"/>
    </row>
    <row r="58" spans="1:12" ht="17.25">
      <c r="A58" s="105" t="str">
        <f t="shared" ref="A58:C62" si="7">+A33</f>
        <v>OGE Energy Corp.</v>
      </c>
      <c r="B58" s="92" t="str">
        <f t="shared" si="7"/>
        <v>OGE</v>
      </c>
      <c r="C58" s="91" t="str">
        <f t="shared" si="7"/>
        <v>Electric Utility - Cent</v>
      </c>
      <c r="D58" s="366">
        <f t="shared" ref="D58:D62" si="8">(+H33)*G33</f>
        <v>8291250000</v>
      </c>
      <c r="E58" s="366">
        <f t="shared" ref="E58:E60" si="9">(1/1)*I33</f>
        <v>0</v>
      </c>
      <c r="F58" s="366">
        <v>32700000</v>
      </c>
      <c r="G58" s="366">
        <f>(355.7+60+4174.9+135.4+9)*1000000</f>
        <v>4734999999.999999</v>
      </c>
      <c r="H58" s="287">
        <f t="shared" si="5"/>
        <v>13058950000</v>
      </c>
      <c r="I58" s="362">
        <f t="shared" si="2"/>
        <v>0.63490939164327909</v>
      </c>
      <c r="J58" s="362">
        <f t="shared" si="6"/>
        <v>0.3650906083567208</v>
      </c>
      <c r="K58" s="13"/>
      <c r="L58" s="4"/>
    </row>
    <row r="59" spans="1:12" ht="17.25">
      <c r="A59" s="105" t="str">
        <f t="shared" si="7"/>
        <v>Otter Tail Corp</v>
      </c>
      <c r="B59" s="92" t="str">
        <f t="shared" si="7"/>
        <v>OTTR</v>
      </c>
      <c r="C59" s="91" t="str">
        <f t="shared" si="7"/>
        <v>Electric Utility - Cent</v>
      </c>
      <c r="D59" s="366">
        <f t="shared" si="8"/>
        <v>15442897600</v>
      </c>
      <c r="E59" s="366">
        <f t="shared" si="9"/>
        <v>0</v>
      </c>
      <c r="F59" s="366">
        <v>28179000</v>
      </c>
      <c r="G59" s="366">
        <f>J34*(806826/943734)</f>
        <v>806826000</v>
      </c>
      <c r="H59" s="287">
        <f t="shared" si="5"/>
        <v>16277902600</v>
      </c>
      <c r="I59" s="362">
        <f t="shared" si="2"/>
        <v>0.94870315786261061</v>
      </c>
      <c r="J59" s="362">
        <f>(+E59+F59+G59)/H59</f>
        <v>5.1296842137389373E-2</v>
      </c>
      <c r="K59" s="13"/>
      <c r="L59" s="4"/>
    </row>
    <row r="60" spans="1:12" ht="17.25">
      <c r="A60" s="105" t="str">
        <f t="shared" si="7"/>
        <v>PPL Corporation</v>
      </c>
      <c r="B60" s="92" t="str">
        <f t="shared" si="7"/>
        <v>PPL</v>
      </c>
      <c r="C60" s="91" t="str">
        <f t="shared" si="7"/>
        <v>Electric Utility - East</v>
      </c>
      <c r="D60" s="366">
        <f t="shared" si="8"/>
        <v>23956551180</v>
      </c>
      <c r="E60" s="366">
        <f t="shared" si="9"/>
        <v>0</v>
      </c>
      <c r="F60" s="366">
        <v>102000000</v>
      </c>
      <c r="G60" s="366">
        <f>J35*(15562/16503)</f>
        <v>15562000000</v>
      </c>
      <c r="H60" s="287">
        <f t="shared" si="5"/>
        <v>39620551180</v>
      </c>
      <c r="I60" s="362">
        <f t="shared" si="2"/>
        <v>0.60464961911213877</v>
      </c>
      <c r="J60" s="362">
        <f t="shared" si="6"/>
        <v>0.39535038088786123</v>
      </c>
      <c r="K60" s="13"/>
      <c r="L60" s="4"/>
    </row>
    <row r="61" spans="1:12" ht="17.25">
      <c r="A61" s="105" t="str">
        <f t="shared" si="7"/>
        <v>The Southern Company</v>
      </c>
      <c r="B61" s="92" t="str">
        <f t="shared" si="7"/>
        <v>SO</v>
      </c>
      <c r="C61" s="91" t="str">
        <f>+C36</f>
        <v>Electric Utility - East</v>
      </c>
      <c r="D61" s="366">
        <f t="shared" si="8"/>
        <v>90469680000</v>
      </c>
      <c r="E61" s="366">
        <f>(1.028554553)*I36</f>
        <v>0</v>
      </c>
      <c r="F61" s="366">
        <v>1386000000</v>
      </c>
      <c r="G61" s="366">
        <f>J36*(57.7/63.2)</f>
        <v>53653696202.531647</v>
      </c>
      <c r="H61" s="287">
        <f t="shared" si="5"/>
        <v>145509376202.53165</v>
      </c>
      <c r="I61" s="362">
        <f t="shared" si="2"/>
        <v>0.62174467626111618</v>
      </c>
      <c r="J61" s="362">
        <f t="shared" si="6"/>
        <v>0.37825532373888382</v>
      </c>
      <c r="K61" s="13"/>
      <c r="L61" s="4"/>
    </row>
    <row r="62" spans="1:12" ht="18" thickBot="1">
      <c r="A62" s="109" t="str">
        <f t="shared" si="7"/>
        <v>WEC Energy Group</v>
      </c>
      <c r="B62" s="99" t="str">
        <f t="shared" si="7"/>
        <v>WEC</v>
      </c>
      <c r="C62" s="98" t="str">
        <f t="shared" si="7"/>
        <v>Electric Utility - Cent</v>
      </c>
      <c r="D62" s="367">
        <f t="shared" si="8"/>
        <v>29663463295.240002</v>
      </c>
      <c r="E62" s="367">
        <f>(1/1)*I37</f>
        <v>30400000</v>
      </c>
      <c r="F62" s="367">
        <v>18300000</v>
      </c>
      <c r="G62" s="367">
        <f>(17840800000/18907100000)*J37</f>
        <v>18126994849.553871</v>
      </c>
      <c r="H62" s="290">
        <f t="shared" si="5"/>
        <v>47839158144.793869</v>
      </c>
      <c r="I62" s="363">
        <f t="shared" si="2"/>
        <v>0.62006658238964329</v>
      </c>
      <c r="J62" s="363">
        <f t="shared" si="6"/>
        <v>0.37993341761035682</v>
      </c>
      <c r="K62" s="13"/>
    </row>
    <row r="63" spans="1:12" ht="17.25">
      <c r="A63" s="13"/>
      <c r="B63" s="13"/>
      <c r="C63" s="13"/>
      <c r="D63" s="13"/>
      <c r="E63" s="13"/>
      <c r="F63" s="13"/>
      <c r="G63" s="13"/>
      <c r="H63" s="120" t="s">
        <v>65</v>
      </c>
      <c r="I63" s="124">
        <f>MAX(I47:I62)</f>
        <v>0.94870315786261061</v>
      </c>
      <c r="J63" s="124">
        <f>MAX(J47:J62)</f>
        <v>0.49524291322114278</v>
      </c>
      <c r="K63" s="13"/>
    </row>
    <row r="64" spans="1:12" ht="17.25">
      <c r="G64" s="13"/>
      <c r="H64" s="295" t="s">
        <v>66</v>
      </c>
      <c r="I64" s="296">
        <f>MIN(I47:I62)</f>
        <v>0.50475708677885733</v>
      </c>
      <c r="J64" s="296">
        <f>MIN(J47:J62)</f>
        <v>5.1296842137389373E-2</v>
      </c>
      <c r="K64" s="13"/>
    </row>
    <row r="65" spans="1:11" ht="17.25">
      <c r="G65" s="13" t="s">
        <v>0</v>
      </c>
      <c r="H65" s="15" t="s">
        <v>18</v>
      </c>
      <c r="I65" s="122">
        <f>MEDIAN(I47:I62)</f>
        <v>0.58338593383023762</v>
      </c>
      <c r="J65" s="123">
        <f>MEDIAN(J47:J62)</f>
        <v>0.41661406616976232</v>
      </c>
      <c r="K65" s="13"/>
    </row>
    <row r="66" spans="1:11" ht="17.25">
      <c r="G66" s="13" t="s">
        <v>0</v>
      </c>
      <c r="H66" s="15" t="s">
        <v>403</v>
      </c>
      <c r="I66" s="122">
        <f>AVERAGE(I47:I62)</f>
        <v>0.60313525984499416</v>
      </c>
      <c r="J66" s="123">
        <f>AVERAGE(J47:J62)</f>
        <v>0.39686474015500595</v>
      </c>
      <c r="K66" s="13"/>
    </row>
    <row r="67" spans="1:11" ht="18" thickBot="1">
      <c r="D67" t="s">
        <v>0</v>
      </c>
      <c r="G67" s="13"/>
      <c r="H67" s="13"/>
      <c r="I67" s="64"/>
      <c r="J67" s="64"/>
      <c r="K67" s="13"/>
    </row>
    <row r="68" spans="1:11" ht="27" thickBot="1">
      <c r="G68" s="13"/>
      <c r="H68" s="190" t="s">
        <v>236</v>
      </c>
      <c r="I68" s="353">
        <v>0.6</v>
      </c>
      <c r="J68" s="354">
        <v>0.4</v>
      </c>
      <c r="K68" s="13"/>
    </row>
    <row r="69" spans="1:11" ht="17.25">
      <c r="E69" s="121"/>
      <c r="F69" s="13"/>
      <c r="G69" s="13"/>
      <c r="H69" s="13"/>
      <c r="I69" s="64"/>
      <c r="J69" s="64" t="s">
        <v>0</v>
      </c>
      <c r="K69" s="13"/>
    </row>
    <row r="70" spans="1:11" ht="16.5">
      <c r="E70" s="121"/>
      <c r="F70" s="13"/>
      <c r="G70" s="13"/>
      <c r="H70" s="13"/>
      <c r="I70" s="13"/>
      <c r="J70" s="13"/>
      <c r="K70" s="13"/>
    </row>
    <row r="71" spans="1:11" ht="16.5">
      <c r="E71" s="121"/>
      <c r="F71" s="13"/>
      <c r="G71" s="13"/>
      <c r="H71" s="13"/>
      <c r="I71" s="13"/>
      <c r="J71" s="13"/>
      <c r="K71" s="13"/>
    </row>
    <row r="72" spans="1:11" ht="26.25">
      <c r="A72" s="24" t="s">
        <v>106</v>
      </c>
      <c r="B72" s="13"/>
      <c r="C72" s="76"/>
      <c r="D72" s="125"/>
      <c r="E72" s="121"/>
      <c r="F72" s="13"/>
      <c r="G72" s="13"/>
      <c r="H72" s="13"/>
      <c r="I72" s="13"/>
      <c r="J72" s="13"/>
      <c r="K72" s="13"/>
    </row>
    <row r="73" spans="1:11" ht="17.25">
      <c r="A73" s="143" t="s">
        <v>88</v>
      </c>
      <c r="B73" s="13"/>
      <c r="C73" s="76"/>
      <c r="D73" s="125"/>
      <c r="E73" s="121"/>
      <c r="F73" s="13"/>
      <c r="G73" s="13"/>
      <c r="H73" s="13"/>
      <c r="I73" s="13"/>
      <c r="J73" s="13"/>
      <c r="K73" s="13"/>
    </row>
    <row r="74" spans="1:11" ht="17.25">
      <c r="A74" s="64" t="s">
        <v>390</v>
      </c>
      <c r="B74" s="13"/>
      <c r="C74" s="76"/>
      <c r="D74" s="125"/>
      <c r="E74" s="121"/>
      <c r="F74" s="13"/>
      <c r="G74" s="13"/>
      <c r="H74" s="13"/>
      <c r="I74" s="13"/>
      <c r="J74" s="13"/>
      <c r="K74" s="13"/>
    </row>
    <row r="75" spans="1:11" ht="17.25">
      <c r="A75" s="112" t="s">
        <v>180</v>
      </c>
      <c r="E75" s="76" t="s">
        <v>0</v>
      </c>
    </row>
    <row r="76" spans="1:11" ht="17.25">
      <c r="A76" s="112" t="s">
        <v>178</v>
      </c>
    </row>
    <row r="77" spans="1:11" ht="17.25">
      <c r="A77" s="112" t="s">
        <v>179</v>
      </c>
    </row>
    <row r="78" spans="1:11" ht="17.25">
      <c r="A78" s="112" t="s">
        <v>325</v>
      </c>
    </row>
    <row r="81" spans="1:1" ht="26.25">
      <c r="A81" s="249" t="s">
        <v>326</v>
      </c>
    </row>
    <row r="82" spans="1:1" ht="17.25">
      <c r="A82" s="293" t="s">
        <v>385</v>
      </c>
    </row>
    <row r="83" spans="1:1" ht="17.25">
      <c r="A83" s="142" t="s">
        <v>0</v>
      </c>
    </row>
    <row r="84" spans="1:1" ht="26.25">
      <c r="A84" s="249" t="s">
        <v>327</v>
      </c>
    </row>
    <row r="85" spans="1:1" ht="17.25">
      <c r="A85" s="142" t="s">
        <v>382</v>
      </c>
    </row>
    <row r="86" spans="1:1" ht="17.25">
      <c r="A86" s="142" t="s">
        <v>0</v>
      </c>
    </row>
    <row r="87" spans="1:1" ht="26.25">
      <c r="A87" s="249" t="s">
        <v>383</v>
      </c>
    </row>
    <row r="88" spans="1:1" ht="17.25">
      <c r="A88" s="142" t="s">
        <v>384</v>
      </c>
    </row>
  </sheetData>
  <pageMargins left="0.25" right="0.25" top="0.75" bottom="0.75" header="0.3" footer="0.3"/>
  <pageSetup scale="32" orientation="landscape" r:id="rId1"/>
  <rowBreaks count="1" manualBreakCount="1">
    <brk id="68" max="11" man="1"/>
  </rowBreaks>
  <colBreaks count="1" manualBreakCount="1">
    <brk id="11" max="96" man="1"/>
  </colBreaks>
  <ignoredErrors>
    <ignoredError sqref="E48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FF50-7DB7-41D1-AD2F-655311479817}">
  <sheetPr>
    <tabColor rgb="FF92D050"/>
    <pageSetUpPr fitToPage="1"/>
  </sheetPr>
  <dimension ref="A1:J78"/>
  <sheetViews>
    <sheetView view="pageBreakPreview" topLeftCell="A33" zoomScale="60" zoomScaleNormal="80" zoomScalePageLayoutView="70" workbookViewId="0">
      <pane xSplit="1" topLeftCell="B1" activePane="topRight" state="frozen"/>
      <selection activeCell="N13" sqref="N13"/>
      <selection pane="topRight" activeCell="E73" sqref="E73"/>
    </sheetView>
  </sheetViews>
  <sheetFormatPr defaultRowHeight="15"/>
  <cols>
    <col min="1" max="1" width="62.42578125" customWidth="1"/>
    <col min="2" max="2" width="11.5703125" bestFit="1" customWidth="1"/>
    <col min="3" max="3" width="24.140625" customWidth="1"/>
    <col min="4" max="4" width="30.140625" customWidth="1"/>
    <col min="5" max="5" width="28" customWidth="1"/>
    <col min="6" max="6" width="29.140625" customWidth="1"/>
    <col min="7" max="7" width="23.42578125" customWidth="1"/>
    <col min="8" max="8" width="12.85546875" customWidth="1"/>
    <col min="9" max="9" width="25.85546875" bestFit="1" customWidth="1"/>
    <col min="10" max="10" width="30.140625" bestFit="1" customWidth="1"/>
    <col min="11" max="11" width="9.140625" customWidth="1"/>
  </cols>
  <sheetData>
    <row r="1" spans="1:9" ht="26.25">
      <c r="A1" s="25" t="s">
        <v>1</v>
      </c>
      <c r="B1" s="13"/>
      <c r="C1" s="13"/>
      <c r="D1" s="13"/>
      <c r="E1" s="13"/>
      <c r="F1" s="13"/>
      <c r="G1" s="13"/>
      <c r="H1" s="13"/>
    </row>
    <row r="2" spans="1:9" ht="17.25">
      <c r="A2" s="26" t="s">
        <v>9</v>
      </c>
      <c r="B2" s="13"/>
      <c r="C2" s="13"/>
      <c r="D2" s="13"/>
      <c r="E2" s="13"/>
      <c r="F2" s="13"/>
      <c r="G2" s="13"/>
      <c r="H2" s="13"/>
    </row>
    <row r="3" spans="1:9" ht="16.5">
      <c r="A3" s="27" t="s">
        <v>435</v>
      </c>
      <c r="B3" s="13"/>
      <c r="C3" s="13"/>
      <c r="D3" s="13"/>
      <c r="E3" s="13"/>
      <c r="F3" s="13"/>
      <c r="G3" s="13"/>
      <c r="H3" s="13"/>
    </row>
    <row r="4" spans="1:9" ht="16.5">
      <c r="A4" s="27"/>
      <c r="B4" s="13"/>
      <c r="C4" s="13"/>
      <c r="D4" s="13"/>
      <c r="E4" s="13"/>
      <c r="F4" s="188" t="s">
        <v>0</v>
      </c>
      <c r="G4" s="13"/>
      <c r="H4" s="13"/>
    </row>
    <row r="5" spans="1:9" ht="16.5">
      <c r="B5" s="13"/>
      <c r="C5" s="13"/>
      <c r="D5" s="13"/>
      <c r="E5" s="28"/>
      <c r="F5" s="188" t="s">
        <v>0</v>
      </c>
      <c r="G5" s="13"/>
      <c r="H5" s="13" t="s">
        <v>0</v>
      </c>
    </row>
    <row r="6" spans="1:9" ht="16.5">
      <c r="A6" s="88"/>
      <c r="B6" s="36"/>
      <c r="C6" s="36"/>
      <c r="D6" s="36"/>
      <c r="E6" s="36"/>
      <c r="F6" s="36"/>
      <c r="G6" s="15"/>
      <c r="H6" s="87"/>
      <c r="I6" s="3"/>
    </row>
    <row r="7" spans="1:9" ht="16.5">
      <c r="A7" s="45"/>
      <c r="B7" s="45"/>
      <c r="C7" s="45"/>
      <c r="D7" s="45"/>
      <c r="E7" s="45"/>
      <c r="F7" s="45"/>
      <c r="G7" s="45"/>
      <c r="H7" s="45"/>
      <c r="I7" s="2"/>
    </row>
    <row r="8" spans="1:9" ht="17.25" thickBot="1">
      <c r="A8" s="45"/>
      <c r="B8" s="45"/>
      <c r="C8" s="45"/>
      <c r="D8" s="89"/>
      <c r="E8" s="30"/>
      <c r="F8" s="89"/>
      <c r="H8" s="45"/>
      <c r="I8" s="2"/>
    </row>
    <row r="9" spans="1:9" ht="27" thickBot="1">
      <c r="A9" s="29" t="str">
        <f>+'S&amp;D'!A12</f>
        <v>Electric Utilities</v>
      </c>
      <c r="B9" s="45"/>
      <c r="C9" s="45"/>
      <c r="D9" s="45"/>
      <c r="E9" s="33" t="s">
        <v>318</v>
      </c>
      <c r="F9" s="45"/>
      <c r="H9" s="13"/>
    </row>
    <row r="10" spans="1:9" ht="21" thickBot="1">
      <c r="A10" s="32"/>
      <c r="B10" s="45"/>
      <c r="C10" s="45"/>
      <c r="D10" s="89"/>
      <c r="E10" s="34" t="s">
        <v>436</v>
      </c>
      <c r="F10" s="89"/>
      <c r="H10" s="13"/>
    </row>
    <row r="11" spans="1:9" ht="20.25">
      <c r="A11" s="32"/>
      <c r="B11" s="45"/>
      <c r="C11" s="45"/>
      <c r="D11" s="45"/>
      <c r="E11" s="36"/>
      <c r="F11" s="45"/>
      <c r="H11" s="13"/>
    </row>
    <row r="12" spans="1:9" ht="20.25">
      <c r="A12" s="32"/>
      <c r="B12" s="45"/>
      <c r="C12" s="45"/>
      <c r="D12" s="45"/>
      <c r="E12" s="36"/>
      <c r="F12" s="45"/>
      <c r="H12" s="13"/>
    </row>
    <row r="13" spans="1:9" ht="20.25">
      <c r="A13" s="32"/>
      <c r="B13" s="45"/>
      <c r="C13" s="45"/>
      <c r="D13" s="45"/>
      <c r="E13" s="36"/>
      <c r="F13" s="45"/>
      <c r="H13" s="13"/>
    </row>
    <row r="14" spans="1:9" ht="20.25">
      <c r="A14" s="32"/>
      <c r="B14" s="45"/>
      <c r="C14" s="45"/>
      <c r="D14" s="45"/>
      <c r="E14" s="14" t="s">
        <v>0</v>
      </c>
      <c r="F14" s="45"/>
      <c r="H14" s="13"/>
    </row>
    <row r="15" spans="1:9" ht="17.25" thickBot="1">
      <c r="A15" s="43" t="s">
        <v>0</v>
      </c>
      <c r="B15" s="43" t="s">
        <v>0</v>
      </c>
      <c r="C15" s="43" t="s">
        <v>0</v>
      </c>
      <c r="D15" s="43"/>
      <c r="E15" s="43"/>
      <c r="F15" s="43"/>
      <c r="H15" s="13"/>
    </row>
    <row r="16" spans="1:9" ht="17.25">
      <c r="A16" s="90"/>
      <c r="B16" s="91"/>
      <c r="C16" s="92"/>
      <c r="D16" s="221" t="s">
        <v>0</v>
      </c>
      <c r="E16" s="222" t="s">
        <v>0</v>
      </c>
      <c r="F16" s="221" t="s">
        <v>0</v>
      </c>
      <c r="H16" s="13"/>
    </row>
    <row r="17" spans="1:10" ht="17.25">
      <c r="A17" s="90" t="s">
        <v>0</v>
      </c>
      <c r="B17" s="91" t="s">
        <v>3</v>
      </c>
      <c r="C17" s="92" t="s">
        <v>5</v>
      </c>
      <c r="D17" s="93" t="s">
        <v>308</v>
      </c>
      <c r="E17" s="223" t="s">
        <v>95</v>
      </c>
      <c r="F17" s="93" t="s">
        <v>310</v>
      </c>
      <c r="H17" s="13"/>
    </row>
    <row r="18" spans="1:10" ht="17.25">
      <c r="A18" s="90"/>
      <c r="B18" s="91" t="s">
        <v>4</v>
      </c>
      <c r="C18" s="92" t="s">
        <v>6</v>
      </c>
      <c r="D18" s="93" t="s">
        <v>319</v>
      </c>
      <c r="E18" s="223" t="s">
        <v>319</v>
      </c>
      <c r="F18" s="93" t="s">
        <v>158</v>
      </c>
      <c r="H18" s="13"/>
    </row>
    <row r="19" spans="1:10" ht="18" thickBot="1">
      <c r="A19" s="97" t="s">
        <v>2</v>
      </c>
      <c r="B19" s="98" t="s">
        <v>0</v>
      </c>
      <c r="C19" s="99" t="s">
        <v>0</v>
      </c>
      <c r="D19" s="98" t="s">
        <v>0</v>
      </c>
      <c r="E19" s="118" t="s">
        <v>0</v>
      </c>
      <c r="F19" s="98" t="s">
        <v>0</v>
      </c>
      <c r="H19" s="13"/>
    </row>
    <row r="20" spans="1:10" ht="16.5">
      <c r="A20" s="254" t="s">
        <v>7</v>
      </c>
      <c r="B20" s="255" t="s">
        <v>7</v>
      </c>
      <c r="C20" s="256" t="s">
        <v>7</v>
      </c>
      <c r="D20" s="103" t="s">
        <v>7</v>
      </c>
      <c r="E20" s="119" t="s">
        <v>309</v>
      </c>
      <c r="F20" s="103"/>
      <c r="H20" s="13"/>
    </row>
    <row r="21" spans="1:10" ht="17.25">
      <c r="A21" s="90"/>
      <c r="B21" s="91"/>
      <c r="C21" s="224"/>
      <c r="D21" s="91"/>
      <c r="E21" s="224"/>
      <c r="F21" s="91"/>
      <c r="H21" s="13"/>
    </row>
    <row r="22" spans="1:10" ht="17.25">
      <c r="A22" s="105" t="str">
        <f>+'S&amp;D'!A22</f>
        <v>ALLETE Inc</v>
      </c>
      <c r="B22" s="90" t="str">
        <f>+'S&amp;D'!B22</f>
        <v>ALE</v>
      </c>
      <c r="C22" s="91" t="str">
        <f>+'S&amp;D'!C22</f>
        <v>Electric Utility - Cent</v>
      </c>
      <c r="D22" s="238">
        <f>+'S&amp;D'!D47</f>
        <v>3751920000</v>
      </c>
      <c r="E22" s="240">
        <v>2848000000</v>
      </c>
      <c r="F22" s="107">
        <f>+D22/E22</f>
        <v>1.3173876404494382</v>
      </c>
      <c r="H22" s="13"/>
    </row>
    <row r="23" spans="1:10" ht="17.25">
      <c r="A23" s="105" t="str">
        <f>+'S&amp;D'!A23</f>
        <v>Alliant Energy</v>
      </c>
      <c r="B23" s="90" t="str">
        <f>+'S&amp;D'!B23</f>
        <v>LNT</v>
      </c>
      <c r="C23" s="91" t="str">
        <f>+'S&amp;D'!C23</f>
        <v>Electric Utility - Cent</v>
      </c>
      <c r="D23" s="238">
        <f>+'S&amp;D'!D48</f>
        <v>15180659729.08</v>
      </c>
      <c r="E23" s="240">
        <v>7004000000</v>
      </c>
      <c r="F23" s="107">
        <f t="shared" ref="F23:F37" si="0">+D23/E23</f>
        <v>2.1674271457852656</v>
      </c>
      <c r="H23" s="13"/>
    </row>
    <row r="24" spans="1:10" ht="17.25">
      <c r="A24" s="105" t="str">
        <f>+'S&amp;D'!A24</f>
        <v>AMEREN Corporation</v>
      </c>
      <c r="B24" s="90" t="str">
        <f>+'S&amp;D'!B24</f>
        <v>AEE</v>
      </c>
      <c r="C24" s="91" t="str">
        <f>+'S&amp;D'!C24</f>
        <v>Electric Utility - Cent</v>
      </c>
      <c r="D24" s="238">
        <f>+'S&amp;D'!D49</f>
        <v>24058886000</v>
      </c>
      <c r="E24" s="240">
        <v>12114000000</v>
      </c>
      <c r="F24" s="107">
        <f t="shared" si="0"/>
        <v>1.9860397886742611</v>
      </c>
      <c r="H24" s="13"/>
    </row>
    <row r="25" spans="1:10" ht="17.25">
      <c r="A25" s="105" t="str">
        <f>+'S&amp;D'!A25</f>
        <v>American Electric Power</v>
      </c>
      <c r="B25" s="90" t="str">
        <f>+'S&amp;D'!B25</f>
        <v>AEP</v>
      </c>
      <c r="C25" s="91" t="str">
        <f>+'S&amp;D'!C25</f>
        <v>Electric Utility - Cent</v>
      </c>
      <c r="D25" s="238">
        <f>+'S&amp;D'!D50</f>
        <v>49150078554.450005</v>
      </c>
      <c r="E25" s="240">
        <v>6950900000</v>
      </c>
      <c r="F25" s="107">
        <f t="shared" si="0"/>
        <v>7.071038074846423</v>
      </c>
      <c r="H25" s="13"/>
    </row>
    <row r="26" spans="1:10" ht="17.25">
      <c r="A26" s="105" t="str">
        <f>+'S&amp;D'!A26</f>
        <v>Centerpoint Energy</v>
      </c>
      <c r="B26" s="90" t="str">
        <f>+'S&amp;D'!B26</f>
        <v>CNP</v>
      </c>
      <c r="C26" s="91" t="str">
        <f>+'S&amp;D'!C26</f>
        <v>Electric Utility - Cent</v>
      </c>
      <c r="D26" s="238">
        <f>+'S&amp;D'!D51</f>
        <v>20679306467.48</v>
      </c>
      <c r="E26" s="240">
        <v>10666000000</v>
      </c>
      <c r="F26" s="107">
        <f t="shared" si="0"/>
        <v>1.9388061567110444</v>
      </c>
      <c r="H26" s="13"/>
    </row>
    <row r="27" spans="1:10" ht="17.25">
      <c r="A27" s="105" t="str">
        <f>+'S&amp;D'!A27</f>
        <v>CMS Energy</v>
      </c>
      <c r="B27" s="90" t="str">
        <f>+'S&amp;D'!B27</f>
        <v>CMS</v>
      </c>
      <c r="C27" s="91" t="str">
        <f>+'S&amp;D'!C27</f>
        <v>Electric Utility - Cent</v>
      </c>
      <c r="D27" s="238">
        <f>+'S&amp;D'!D52</f>
        <v>19915020000</v>
      </c>
      <c r="E27" s="240">
        <v>11394000000</v>
      </c>
      <c r="F27" s="107">
        <f t="shared" si="0"/>
        <v>1.7478515007898894</v>
      </c>
      <c r="H27" s="13"/>
      <c r="J27" s="10" t="s">
        <v>0</v>
      </c>
    </row>
    <row r="28" spans="1:10" ht="17.25">
      <c r="A28" s="105" t="str">
        <f>+'S&amp;D'!A28</f>
        <v>DTE Energy</v>
      </c>
      <c r="B28" s="90" t="str">
        <f>+'S&amp;D'!B28</f>
        <v>DTE</v>
      </c>
      <c r="C28" s="91" t="str">
        <f>+'S&amp;D'!C28</f>
        <v>Electric Utility - Cent</v>
      </c>
      <c r="D28" s="238">
        <f>+'S&amp;D'!D53</f>
        <v>25015968526.5</v>
      </c>
      <c r="E28" s="240">
        <v>11699000000</v>
      </c>
      <c r="F28" s="107">
        <f t="shared" si="0"/>
        <v>2.1382997287374987</v>
      </c>
      <c r="H28" s="13"/>
    </row>
    <row r="29" spans="1:10" ht="17.25">
      <c r="A29" s="105" t="str">
        <f>+'S&amp;D'!A29</f>
        <v>Duke Energy</v>
      </c>
      <c r="B29" s="90" t="str">
        <f>+'S&amp;D'!B29</f>
        <v>DUK</v>
      </c>
      <c r="C29" s="91" t="str">
        <f>+'S&amp;D'!C29</f>
        <v>Electric Utility - East</v>
      </c>
      <c r="D29" s="238">
        <f>+'S&amp;D'!D54</f>
        <v>83606240000</v>
      </c>
      <c r="E29" s="240">
        <v>50127000000</v>
      </c>
      <c r="F29" s="107">
        <f t="shared" si="0"/>
        <v>1.6678883635565662</v>
      </c>
      <c r="H29" s="13"/>
    </row>
    <row r="30" spans="1:10" ht="17.25">
      <c r="A30" s="105" t="str">
        <f>+'S&amp;D'!A30</f>
        <v>Entergy Corp</v>
      </c>
      <c r="B30" s="90" t="str">
        <f>+'S&amp;D'!B30</f>
        <v>ETR</v>
      </c>
      <c r="C30" s="91" t="str">
        <f>+'S&amp;D'!C30</f>
        <v>Electric Utility - Cent</v>
      </c>
      <c r="D30" s="238">
        <f>+'S&amp;D'!D55</f>
        <v>32570787141.119999</v>
      </c>
      <c r="E30" s="240">
        <v>15083908000</v>
      </c>
      <c r="F30" s="107">
        <f t="shared" si="0"/>
        <v>2.1593069343249773</v>
      </c>
      <c r="H30" s="13"/>
    </row>
    <row r="31" spans="1:10" ht="17.25">
      <c r="A31" s="105" t="str">
        <f>+'S&amp;D'!A31</f>
        <v>Evergy Inc</v>
      </c>
      <c r="B31" s="90" t="str">
        <f>+'S&amp;D'!B31</f>
        <v>EVRG</v>
      </c>
      <c r="C31" s="91" t="str">
        <f>+'S&amp;D'!C31</f>
        <v>Electric Utility - Cent</v>
      </c>
      <c r="D31" s="238">
        <f>+'S&amp;D'!D56</f>
        <v>14155491503.25</v>
      </c>
      <c r="E31" s="240">
        <v>9955000000</v>
      </c>
      <c r="F31" s="107">
        <f t="shared" si="0"/>
        <v>1.4219479159467605</v>
      </c>
      <c r="H31" s="13"/>
    </row>
    <row r="32" spans="1:10" ht="17.25">
      <c r="A32" s="105" t="str">
        <f>+'S&amp;D'!A32</f>
        <v>FirstEnergy Corp</v>
      </c>
      <c r="B32" s="90" t="str">
        <f>+'S&amp;D'!B32</f>
        <v>FE</v>
      </c>
      <c r="C32" s="91" t="str">
        <f>+'S&amp;D'!C32</f>
        <v>Electric Utility - East</v>
      </c>
      <c r="D32" s="238">
        <f>+'S&amp;D'!D57</f>
        <v>22937635106.100002</v>
      </c>
      <c r="E32" s="240">
        <v>12455000000</v>
      </c>
      <c r="F32" s="107">
        <f t="shared" si="0"/>
        <v>1.8416407150622243</v>
      </c>
      <c r="H32" s="13"/>
    </row>
    <row r="33" spans="1:8" ht="17.25">
      <c r="A33" s="105" t="str">
        <f>+'S&amp;D'!A33</f>
        <v>OGE Energy Corp.</v>
      </c>
      <c r="B33" s="90" t="str">
        <f>+'S&amp;D'!B33</f>
        <v>OGE</v>
      </c>
      <c r="C33" s="91" t="str">
        <f>+'S&amp;D'!C33</f>
        <v>Electric Utility - Cent</v>
      </c>
      <c r="D33" s="238">
        <f>+'S&amp;D'!D58</f>
        <v>8291250000</v>
      </c>
      <c r="E33" s="240">
        <v>4640900000</v>
      </c>
      <c r="F33" s="107">
        <f t="shared" si="0"/>
        <v>1.7865607963972505</v>
      </c>
      <c r="H33" s="13"/>
    </row>
    <row r="34" spans="1:8" ht="17.25">
      <c r="A34" s="105" t="str">
        <f>+'S&amp;D'!A34</f>
        <v>Otter Tail Corp</v>
      </c>
      <c r="B34" s="90" t="str">
        <f>+'S&amp;D'!B34</f>
        <v>OTTR</v>
      </c>
      <c r="C34" s="91" t="str">
        <f>+'S&amp;D'!C34</f>
        <v>Electric Utility - Cent</v>
      </c>
      <c r="D34" s="238">
        <f>+'S&amp;D'!D59</f>
        <v>15442897600</v>
      </c>
      <c r="E34" s="240">
        <v>1668499000</v>
      </c>
      <c r="F34" s="107">
        <f t="shared" si="0"/>
        <v>9.2555629940443485</v>
      </c>
      <c r="H34" s="13"/>
    </row>
    <row r="35" spans="1:8" ht="17.25">
      <c r="A35" s="105" t="str">
        <f>+'S&amp;D'!A35</f>
        <v>PPL Corporation</v>
      </c>
      <c r="B35" s="90" t="str">
        <f>+'S&amp;D'!B35</f>
        <v>PPL</v>
      </c>
      <c r="C35" s="91" t="str">
        <f>+'S&amp;D'!C35</f>
        <v>Electric Utility - East</v>
      </c>
      <c r="D35" s="238">
        <f>+'S&amp;D'!D60</f>
        <v>23956551180</v>
      </c>
      <c r="E35" s="240">
        <v>14077000000</v>
      </c>
      <c r="F35" s="107">
        <f t="shared" si="0"/>
        <v>1.7018222050152731</v>
      </c>
      <c r="H35" s="13"/>
    </row>
    <row r="36" spans="1:8" ht="17.25">
      <c r="A36" s="105" t="str">
        <f>+'S&amp;D'!A36</f>
        <v>The Southern Company</v>
      </c>
      <c r="B36" s="90" t="str">
        <f>+'S&amp;D'!B36</f>
        <v>SO</v>
      </c>
      <c r="C36" s="91" t="str">
        <f>+'S&amp;D'!C36</f>
        <v>Electric Utility - East</v>
      </c>
      <c r="D36" s="238">
        <f>+'S&amp;D'!D61</f>
        <v>90469680000</v>
      </c>
      <c r="E36" s="240">
        <v>33208000000</v>
      </c>
      <c r="F36" s="107">
        <f t="shared" si="0"/>
        <v>2.7243338954468803</v>
      </c>
      <c r="H36" s="13"/>
    </row>
    <row r="37" spans="1:8" ht="18" thickBot="1">
      <c r="A37" s="109" t="str">
        <f>+'S&amp;D'!A37</f>
        <v>WEC Energy Group</v>
      </c>
      <c r="B37" s="97" t="str">
        <f>+'S&amp;D'!B37</f>
        <v>WEC</v>
      </c>
      <c r="C37" s="98" t="str">
        <f>+'S&amp;D'!C37</f>
        <v>Electric Utility - Cent</v>
      </c>
      <c r="D37" s="239">
        <f>+'S&amp;D'!D62</f>
        <v>29663463295.240002</v>
      </c>
      <c r="E37" s="289">
        <v>12395000000</v>
      </c>
      <c r="F37" s="110">
        <f t="shared" si="0"/>
        <v>2.393179773718435</v>
      </c>
      <c r="H37" s="13"/>
    </row>
    <row r="38" spans="1:8" ht="27" customHeight="1" thickBot="1">
      <c r="A38" s="112"/>
      <c r="B38" s="112"/>
      <c r="C38" s="112"/>
      <c r="D38" s="112"/>
      <c r="E38" s="251" t="s">
        <v>317</v>
      </c>
      <c r="F38" s="252">
        <f>AVERAGE(F22:F37)</f>
        <v>2.7074433518441587</v>
      </c>
      <c r="H38" s="13"/>
    </row>
    <row r="39" spans="1:8" ht="17.25">
      <c r="A39" s="112"/>
      <c r="B39" s="112"/>
      <c r="C39" s="112"/>
      <c r="D39" s="112"/>
      <c r="E39" s="233"/>
      <c r="F39" s="234"/>
      <c r="H39" s="13"/>
    </row>
    <row r="40" spans="1:8" ht="17.25">
      <c r="A40" s="112"/>
      <c r="B40" s="112"/>
      <c r="C40" s="112"/>
      <c r="D40" s="112"/>
      <c r="E40" s="233"/>
      <c r="F40" s="234"/>
      <c r="H40" s="13"/>
    </row>
    <row r="41" spans="1:8" ht="17.25">
      <c r="A41" s="112"/>
      <c r="B41" s="112"/>
      <c r="C41" s="112"/>
      <c r="D41" s="112"/>
      <c r="E41" s="233"/>
      <c r="F41" s="234"/>
      <c r="H41" s="13"/>
    </row>
    <row r="42" spans="1:8" ht="18" thickBot="1">
      <c r="A42" s="112"/>
      <c r="B42" s="112"/>
      <c r="C42" s="112"/>
      <c r="D42" s="112"/>
      <c r="E42" s="112"/>
      <c r="F42" s="112"/>
      <c r="H42" s="13"/>
    </row>
    <row r="43" spans="1:8" ht="17.25">
      <c r="A43" s="235"/>
      <c r="B43" s="236"/>
      <c r="C43" s="237"/>
      <c r="D43" s="221" t="s">
        <v>0</v>
      </c>
      <c r="E43" s="222" t="s">
        <v>0</v>
      </c>
      <c r="F43" s="221" t="s">
        <v>0</v>
      </c>
      <c r="H43" s="13"/>
    </row>
    <row r="44" spans="1:8" ht="17.25">
      <c r="A44" s="90" t="s">
        <v>0</v>
      </c>
      <c r="B44" s="91" t="s">
        <v>3</v>
      </c>
      <c r="C44" s="92" t="s">
        <v>5</v>
      </c>
      <c r="D44" s="93" t="s">
        <v>308</v>
      </c>
      <c r="E44" s="223" t="s">
        <v>95</v>
      </c>
      <c r="F44" s="93" t="s">
        <v>310</v>
      </c>
      <c r="H44" s="13"/>
    </row>
    <row r="45" spans="1:8" ht="17.25">
      <c r="A45" s="90"/>
      <c r="B45" s="91" t="s">
        <v>4</v>
      </c>
      <c r="C45" s="92" t="s">
        <v>6</v>
      </c>
      <c r="D45" s="93" t="s">
        <v>311</v>
      </c>
      <c r="E45" s="223" t="s">
        <v>311</v>
      </c>
      <c r="F45" s="93" t="s">
        <v>158</v>
      </c>
    </row>
    <row r="46" spans="1:8" ht="18" thickBot="1">
      <c r="A46" s="97" t="s">
        <v>2</v>
      </c>
      <c r="B46" s="98" t="s">
        <v>0</v>
      </c>
      <c r="C46" s="99" t="s">
        <v>0</v>
      </c>
      <c r="D46" s="98" t="s">
        <v>0</v>
      </c>
      <c r="E46" s="118" t="s">
        <v>0</v>
      </c>
      <c r="F46" s="98" t="s">
        <v>0</v>
      </c>
    </row>
    <row r="47" spans="1:8">
      <c r="A47" s="102" t="s">
        <v>7</v>
      </c>
      <c r="B47" s="103" t="s">
        <v>7</v>
      </c>
      <c r="C47" s="44" t="s">
        <v>7</v>
      </c>
      <c r="D47" s="255" t="s">
        <v>309</v>
      </c>
      <c r="E47" s="119" t="s">
        <v>309</v>
      </c>
      <c r="F47" s="103"/>
    </row>
    <row r="48" spans="1:8" ht="17.25">
      <c r="A48" s="90"/>
      <c r="B48" s="91"/>
      <c r="C48" s="92"/>
      <c r="D48" s="91"/>
      <c r="E48" s="224"/>
      <c r="F48" s="91"/>
    </row>
    <row r="49" spans="1:6" ht="17.25">
      <c r="A49" s="105" t="str">
        <f>+'S&amp;D'!A22</f>
        <v>ALLETE Inc</v>
      </c>
      <c r="B49" s="90" t="str">
        <f>+'S&amp;D'!B22</f>
        <v>ALE</v>
      </c>
      <c r="C49" s="90" t="str">
        <f>+'S&amp;D'!C22</f>
        <v>Electric Utility - Cent</v>
      </c>
      <c r="D49" s="238">
        <f>+'S&amp;D'!G47</f>
        <v>1582678570.6346557</v>
      </c>
      <c r="E49" s="240">
        <f>+'S&amp;D'!J22</f>
        <v>1704700000</v>
      </c>
      <c r="F49" s="107">
        <f>+D49/E49</f>
        <v>0.92842058463932409</v>
      </c>
    </row>
    <row r="50" spans="1:6" ht="17.25">
      <c r="A50" s="105" t="str">
        <f>+'S&amp;D'!A23</f>
        <v>Alliant Energy</v>
      </c>
      <c r="B50" s="90" t="str">
        <f>+'S&amp;D'!B23</f>
        <v>LNT</v>
      </c>
      <c r="C50" s="90" t="str">
        <f>+'S&amp;D'!C23</f>
        <v>Electric Utility - Cent</v>
      </c>
      <c r="D50" s="238">
        <f>+'S&amp;D'!G48</f>
        <v>9651881092.6076374</v>
      </c>
      <c r="E50" s="240">
        <f>+'S&amp;D'!J23</f>
        <v>9925000000</v>
      </c>
      <c r="F50" s="107">
        <f t="shared" ref="F50:F64" si="1">+D50/E50</f>
        <v>0.97248172217709195</v>
      </c>
    </row>
    <row r="51" spans="1:6" ht="17.25">
      <c r="A51" s="105" t="str">
        <f>+'S&amp;D'!A24</f>
        <v>AMEREN Corporation</v>
      </c>
      <c r="B51" s="90" t="str">
        <f>+'S&amp;D'!B24</f>
        <v>AEE</v>
      </c>
      <c r="C51" s="90" t="str">
        <f>+'S&amp;D'!C24</f>
        <v>Electric Utility - Cent</v>
      </c>
      <c r="D51" s="238">
        <f>+'S&amp;D'!G49</f>
        <v>16033014777.708202</v>
      </c>
      <c r="E51" s="240">
        <f>+'S&amp;D'!J24</f>
        <v>17262000000</v>
      </c>
      <c r="F51" s="107">
        <f t="shared" si="1"/>
        <v>0.92880400751408887</v>
      </c>
    </row>
    <row r="52" spans="1:6" ht="17.25">
      <c r="A52" s="105" t="str">
        <f>+'S&amp;D'!A25</f>
        <v>American Electric Power</v>
      </c>
      <c r="B52" s="90" t="str">
        <f>+'S&amp;D'!B25</f>
        <v>AEP</v>
      </c>
      <c r="C52" s="90" t="str">
        <f>+'S&amp;D'!C25</f>
        <v>Electric Utility - Cent</v>
      </c>
      <c r="D52" s="238">
        <f>+'S&amp;D'!G50</f>
        <v>38964699999.999992</v>
      </c>
      <c r="E52" s="240">
        <f>+'S&amp;D'!J25</f>
        <v>42642800000</v>
      </c>
      <c r="F52" s="107">
        <f t="shared" si="1"/>
        <v>0.91374628307709604</v>
      </c>
    </row>
    <row r="53" spans="1:6" ht="17.25">
      <c r="A53" s="105" t="str">
        <f>+'S&amp;D'!A26</f>
        <v>Centerpoint Energy</v>
      </c>
      <c r="B53" s="90" t="str">
        <f>+'S&amp;D'!B26</f>
        <v>CNP</v>
      </c>
      <c r="C53" s="90" t="str">
        <f>+'S&amp;D'!C26</f>
        <v>Electric Utility - Cent</v>
      </c>
      <c r="D53" s="238">
        <f>+'S&amp;D'!G51</f>
        <v>19129536615.619484</v>
      </c>
      <c r="E53" s="240">
        <f>+'S&amp;D'!J26</f>
        <v>20461000000</v>
      </c>
      <c r="F53" s="107">
        <f t="shared" si="1"/>
        <v>0.93492676876103242</v>
      </c>
    </row>
    <row r="54" spans="1:6" ht="17.25">
      <c r="A54" s="105" t="str">
        <f>+'S&amp;D'!A27</f>
        <v>CMS Energy</v>
      </c>
      <c r="B54" s="90" t="str">
        <f>+'S&amp;D'!B27</f>
        <v>CMS</v>
      </c>
      <c r="C54" s="90" t="str">
        <f>+'S&amp;D'!C27</f>
        <v>Electric Utility - Cent</v>
      </c>
      <c r="D54" s="238">
        <f>+'S&amp;D'!G52</f>
        <v>14980402538.752594</v>
      </c>
      <c r="E54" s="240">
        <f>+'S&amp;D'!J27</f>
        <v>16501000000</v>
      </c>
      <c r="F54" s="107">
        <f t="shared" si="1"/>
        <v>0.907848163066032</v>
      </c>
    </row>
    <row r="55" spans="1:6" ht="17.25">
      <c r="A55" s="105" t="str">
        <f>+'S&amp;D'!A28</f>
        <v>DTE Energy</v>
      </c>
      <c r="B55" s="90" t="str">
        <f>+'S&amp;D'!B28</f>
        <v>DTE</v>
      </c>
      <c r="C55" s="90" t="str">
        <f>+'S&amp;D'!C28</f>
        <v>Electric Utility - Cent</v>
      </c>
      <c r="D55" s="238">
        <f>+'S&amp;D'!G53</f>
        <v>20157086736.784592</v>
      </c>
      <c r="E55" s="240">
        <f>+'S&amp;D'!J28</f>
        <v>21986000000</v>
      </c>
      <c r="F55" s="107">
        <f t="shared" si="1"/>
        <v>0.91681464280835945</v>
      </c>
    </row>
    <row r="56" spans="1:6" ht="17.25">
      <c r="A56" s="105" t="str">
        <f>+'S&amp;D'!A29</f>
        <v>Duke Energy</v>
      </c>
      <c r="B56" s="90" t="str">
        <f>+'S&amp;D'!B29</f>
        <v>DUK</v>
      </c>
      <c r="C56" s="90" t="str">
        <f>+'S&amp;D'!C29</f>
        <v>Electric Utility - East</v>
      </c>
      <c r="D56" s="238">
        <f>+'S&amp;D'!G54</f>
        <v>73440000000</v>
      </c>
      <c r="E56" s="240">
        <f>+'S&amp;D'!J29</f>
        <v>80689000000</v>
      </c>
      <c r="F56" s="107">
        <f t="shared" si="1"/>
        <v>0.91016123635191915</v>
      </c>
    </row>
    <row r="57" spans="1:6" ht="17.25">
      <c r="A57" s="105" t="str">
        <f>+'S&amp;D'!A30</f>
        <v>Entergy Corp</v>
      </c>
      <c r="B57" s="90" t="str">
        <f>+'S&amp;D'!B30</f>
        <v>ETR</v>
      </c>
      <c r="C57" s="90" t="str">
        <f>+'S&amp;D'!C30</f>
        <v>Electric Utility - Cent</v>
      </c>
      <c r="D57" s="238">
        <f>+'S&amp;D'!G55</f>
        <v>26485756120.969032</v>
      </c>
      <c r="E57" s="240">
        <f>+'S&amp;D'!J30</f>
        <v>27991595000</v>
      </c>
      <c r="F57" s="107">
        <f t="shared" si="1"/>
        <v>0.94620389159563911</v>
      </c>
    </row>
    <row r="58" spans="1:6" ht="17.25">
      <c r="A58" s="105" t="str">
        <f>+'S&amp;D'!A31</f>
        <v>Evergy Inc</v>
      </c>
      <c r="B58" s="90" t="str">
        <f>+'S&amp;D'!B31</f>
        <v>EVRG</v>
      </c>
      <c r="C58" s="90" t="str">
        <f>+'S&amp;D'!C31</f>
        <v>Electric Utility - Cent</v>
      </c>
      <c r="D58" s="238">
        <f>+'S&amp;D'!G56</f>
        <v>11611061426.775665</v>
      </c>
      <c r="E58" s="240">
        <f>+'S&amp;D'!J31</f>
        <v>12460900000</v>
      </c>
      <c r="F58" s="107">
        <f t="shared" si="1"/>
        <v>0.93179958323842305</v>
      </c>
    </row>
    <row r="59" spans="1:6" ht="17.25">
      <c r="A59" s="105" t="str">
        <f>+'S&amp;D'!A32</f>
        <v>FirstEnergy Corp</v>
      </c>
      <c r="B59" s="90" t="str">
        <f>+'S&amp;D'!B32</f>
        <v>FE</v>
      </c>
      <c r="C59" s="90" t="str">
        <f>+'S&amp;D'!C32</f>
        <v>Electric Utility - East</v>
      </c>
      <c r="D59" s="238">
        <f>+'S&amp;D'!G57</f>
        <v>22262283293.477364</v>
      </c>
      <c r="E59" s="240">
        <f>+'S&amp;D'!J32</f>
        <v>23473000000</v>
      </c>
      <c r="F59" s="107">
        <f t="shared" si="1"/>
        <v>0.94842087903026295</v>
      </c>
    </row>
    <row r="60" spans="1:6" ht="17.25">
      <c r="A60" s="105" t="str">
        <f>+'S&amp;D'!A33</f>
        <v>OGE Energy Corp.</v>
      </c>
      <c r="B60" s="90" t="str">
        <f>+'S&amp;D'!B33</f>
        <v>OGE</v>
      </c>
      <c r="C60" s="90" t="str">
        <f>+'S&amp;D'!C33</f>
        <v>Electric Utility - Cent</v>
      </c>
      <c r="D60" s="238">
        <f>+'S&amp;D'!G58</f>
        <v>4734999999.999999</v>
      </c>
      <c r="E60" s="240">
        <f>+'S&amp;D'!J33</f>
        <v>5053300000</v>
      </c>
      <c r="F60" s="107">
        <f t="shared" si="1"/>
        <v>0.93701145785922046</v>
      </c>
    </row>
    <row r="61" spans="1:6" ht="17.25">
      <c r="A61" s="105" t="str">
        <f>+'S&amp;D'!A34</f>
        <v>Otter Tail Corp</v>
      </c>
      <c r="B61" s="90" t="str">
        <f>+'S&amp;D'!B34</f>
        <v>OTTR</v>
      </c>
      <c r="C61" s="90" t="str">
        <f>+'S&amp;D'!C34</f>
        <v>Electric Utility - Cent</v>
      </c>
      <c r="D61" s="238">
        <f>+'S&amp;D'!G59</f>
        <v>806826000</v>
      </c>
      <c r="E61" s="240">
        <f>+'S&amp;D'!J34</f>
        <v>943734000</v>
      </c>
      <c r="F61" s="107">
        <f t="shared" si="1"/>
        <v>0.85492946105576362</v>
      </c>
    </row>
    <row r="62" spans="1:6" ht="17.25">
      <c r="A62" s="105" t="str">
        <f>+'S&amp;D'!A35</f>
        <v>PPL Corporation</v>
      </c>
      <c r="B62" s="90" t="str">
        <f>+'S&amp;D'!B35</f>
        <v>PPL</v>
      </c>
      <c r="C62" s="90" t="str">
        <f>+'S&amp;D'!C35</f>
        <v>Electric Utility - East</v>
      </c>
      <c r="D62" s="238">
        <f>+'S&amp;D'!G60</f>
        <v>15562000000</v>
      </c>
      <c r="E62" s="240">
        <f>+'S&amp;D'!J35</f>
        <v>16503000000</v>
      </c>
      <c r="F62" s="107">
        <f t="shared" si="1"/>
        <v>0.94298006423074587</v>
      </c>
    </row>
    <row r="63" spans="1:6" ht="17.25">
      <c r="A63" s="105" t="str">
        <f>+'S&amp;D'!A36</f>
        <v>The Southern Company</v>
      </c>
      <c r="B63" s="90" t="str">
        <f>+'S&amp;D'!B36</f>
        <v>SO</v>
      </c>
      <c r="C63" s="90" t="str">
        <f>+'S&amp;D'!C36</f>
        <v>Electric Utility - East</v>
      </c>
      <c r="D63" s="238">
        <f>+'S&amp;D'!G61</f>
        <v>53653696202.531647</v>
      </c>
      <c r="E63" s="240">
        <f>+'S&amp;D'!J36</f>
        <v>58768000000</v>
      </c>
      <c r="F63" s="107">
        <f t="shared" si="1"/>
        <v>0.91297468354430378</v>
      </c>
    </row>
    <row r="64" spans="1:6" ht="18" thickBot="1">
      <c r="A64" s="109" t="str">
        <f>+'S&amp;D'!A37</f>
        <v>WEC Energy Group</v>
      </c>
      <c r="B64" s="97" t="str">
        <f>+'S&amp;D'!B37</f>
        <v>WEC</v>
      </c>
      <c r="C64" s="97" t="str">
        <f>+'S&amp;D'!C37</f>
        <v>Electric Utility - Cent</v>
      </c>
      <c r="D64" s="239">
        <f>+'S&amp;D'!G62</f>
        <v>18126994849.553871</v>
      </c>
      <c r="E64" s="240">
        <f>+'S&amp;D'!J37</f>
        <v>19210400000</v>
      </c>
      <c r="F64" s="110">
        <f t="shared" si="1"/>
        <v>0.94360319668272763</v>
      </c>
    </row>
    <row r="65" spans="1:6" ht="27.75" customHeight="1" thickBot="1">
      <c r="E65" s="251" t="s">
        <v>317</v>
      </c>
      <c r="F65" s="252">
        <f>AVERAGE(F49:F64)</f>
        <v>0.92694541410200193</v>
      </c>
    </row>
    <row r="70" spans="1:6">
      <c r="C70" s="225" t="s">
        <v>312</v>
      </c>
      <c r="D70" s="225" t="s">
        <v>313</v>
      </c>
      <c r="E70" s="225"/>
    </row>
    <row r="71" spans="1:6">
      <c r="A71" s="227"/>
      <c r="B71" s="227"/>
      <c r="C71" s="226" t="s">
        <v>36</v>
      </c>
      <c r="D71" s="226" t="s">
        <v>314</v>
      </c>
      <c r="E71" s="226" t="s">
        <v>315</v>
      </c>
    </row>
    <row r="72" spans="1:6" ht="17.25">
      <c r="A72" s="92" t="s">
        <v>40</v>
      </c>
      <c r="B72" s="135" t="s">
        <v>0</v>
      </c>
      <c r="C72" s="135">
        <f>+'Yield CapRate'!C23</f>
        <v>0.6</v>
      </c>
      <c r="D72" s="231">
        <f>+F38</f>
        <v>2.7074433518441587</v>
      </c>
      <c r="E72" s="232">
        <f>+C72*D72</f>
        <v>1.6244660111064952</v>
      </c>
      <c r="F72" s="136" t="s">
        <v>0</v>
      </c>
    </row>
    <row r="73" spans="1:6" ht="17.25">
      <c r="A73" s="228" t="s">
        <v>42</v>
      </c>
      <c r="B73" s="229" t="str">
        <f>'S&amp;D'!I44</f>
        <v xml:space="preserve"> </v>
      </c>
      <c r="C73" s="229">
        <f>+'Yield CapRate'!C25</f>
        <v>0.4</v>
      </c>
      <c r="D73" s="230">
        <f>+F65</f>
        <v>0.92694541410200193</v>
      </c>
      <c r="E73" s="230">
        <f>+C73*D73</f>
        <v>0.37077816564080079</v>
      </c>
      <c r="F73" s="136" t="s">
        <v>0</v>
      </c>
    </row>
    <row r="74" spans="1:6" ht="17.25">
      <c r="D74" s="120" t="s">
        <v>316</v>
      </c>
      <c r="E74" s="253">
        <f>+E72+E73</f>
        <v>1.9952441767472959</v>
      </c>
    </row>
    <row r="77" spans="1:6" ht="20.25">
      <c r="A77" s="32" t="s">
        <v>404</v>
      </c>
    </row>
    <row r="78" spans="1:6" ht="20.25">
      <c r="A78" s="32" t="s">
        <v>388</v>
      </c>
    </row>
  </sheetData>
  <pageMargins left="0.25" right="0.25" top="0.75" bottom="0.75" header="0.3" footer="0.3"/>
  <pageSetup scale="37" orientation="landscape" r:id="rId1"/>
  <rowBreaks count="1" manualBreakCount="1">
    <brk id="42" max="6" man="1"/>
  </rowBreaks>
  <colBreaks count="1" manualBreakCount="1">
    <brk id="8" max="7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145E-BF36-4A2C-868C-9B0DC0104C72}">
  <sheetPr>
    <tabColor rgb="FF92D050"/>
  </sheetPr>
  <dimension ref="A1:L85"/>
  <sheetViews>
    <sheetView view="pageBreakPreview" topLeftCell="A8" zoomScale="70" zoomScaleNormal="80" zoomScaleSheetLayoutView="70" workbookViewId="0">
      <selection activeCell="K41" sqref="K41"/>
    </sheetView>
  </sheetViews>
  <sheetFormatPr defaultRowHeight="15"/>
  <cols>
    <col min="1" max="1" width="45.140625" customWidth="1"/>
    <col min="2" max="2" width="15.5703125" customWidth="1"/>
    <col min="3" max="3" width="10.5703125" customWidth="1"/>
    <col min="4" max="4" width="21.5703125" customWidth="1"/>
    <col min="5" max="5" width="22.42578125" customWidth="1"/>
    <col min="6" max="6" width="26.5703125" customWidth="1"/>
    <col min="7" max="7" width="26.42578125" customWidth="1"/>
    <col min="8" max="8" width="23.85546875" customWidth="1"/>
    <col min="9" max="9" width="15" customWidth="1"/>
    <col min="10" max="10" width="14.140625" bestFit="1" customWidth="1"/>
    <col min="11" max="11" width="17.5703125" bestFit="1" customWidth="1"/>
    <col min="12" max="12" width="23.140625" customWidth="1"/>
  </cols>
  <sheetData>
    <row r="1" spans="1:12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6.5">
      <c r="A3" s="27" t="s">
        <v>435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6.5">
      <c r="A4" s="2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6.5">
      <c r="A5" s="2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6.5">
      <c r="A6" s="2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17.25" thickBot="1">
      <c r="A7" s="13"/>
      <c r="B7" s="13"/>
      <c r="C7" s="13"/>
      <c r="D7" s="13"/>
      <c r="E7" s="13"/>
      <c r="F7" s="30"/>
      <c r="G7" s="30"/>
      <c r="H7" s="31" t="s">
        <v>0</v>
      </c>
      <c r="I7" s="13"/>
      <c r="J7" s="13"/>
      <c r="K7" s="13"/>
      <c r="L7" s="13"/>
    </row>
    <row r="8" spans="1:12" ht="27" thickBot="1">
      <c r="A8" s="245" t="str">
        <f>+'S&amp;D'!A12</f>
        <v>Electric Utilities</v>
      </c>
      <c r="B8" s="246"/>
      <c r="C8" s="181"/>
      <c r="D8" s="13"/>
      <c r="E8" s="13"/>
      <c r="F8" s="13"/>
      <c r="G8" s="33" t="s">
        <v>110</v>
      </c>
      <c r="H8" s="13"/>
      <c r="I8" s="13"/>
      <c r="J8" s="13"/>
      <c r="K8" s="13"/>
      <c r="L8" s="13"/>
    </row>
    <row r="9" spans="1:12" ht="20.25">
      <c r="A9" s="32"/>
      <c r="B9" s="13"/>
      <c r="C9" s="13"/>
      <c r="D9" s="13"/>
      <c r="E9" s="13"/>
      <c r="F9" s="13"/>
      <c r="G9" s="92" t="s">
        <v>111</v>
      </c>
      <c r="H9" s="13"/>
      <c r="I9" s="13"/>
      <c r="J9" s="13"/>
      <c r="K9" s="13"/>
      <c r="L9" s="13"/>
    </row>
    <row r="10" spans="1:12" ht="18" customHeight="1" thickBot="1">
      <c r="A10" s="42" t="s">
        <v>0</v>
      </c>
      <c r="B10" s="42" t="s">
        <v>0</v>
      </c>
      <c r="C10" s="42" t="s">
        <v>0</v>
      </c>
      <c r="D10" s="13"/>
      <c r="E10" s="13"/>
      <c r="F10" s="35" t="s">
        <v>0</v>
      </c>
      <c r="G10" s="34" t="s">
        <v>436</v>
      </c>
      <c r="H10" s="35" t="s">
        <v>0</v>
      </c>
      <c r="I10" s="42" t="s">
        <v>0</v>
      </c>
      <c r="J10" s="13"/>
      <c r="K10" s="13"/>
      <c r="L10" s="13"/>
    </row>
    <row r="11" spans="1:12" ht="18" customHeight="1">
      <c r="A11" s="42"/>
      <c r="B11" s="42"/>
      <c r="C11" s="42"/>
      <c r="D11" s="13"/>
      <c r="E11" s="13"/>
      <c r="J11" s="13"/>
      <c r="K11" s="13"/>
      <c r="L11" s="13"/>
    </row>
    <row r="12" spans="1:12" ht="18" customHeight="1">
      <c r="A12" s="42"/>
      <c r="B12" s="42"/>
      <c r="C12" s="42"/>
      <c r="D12" s="13"/>
      <c r="E12" s="13"/>
      <c r="G12" s="14" t="s">
        <v>0</v>
      </c>
      <c r="J12" s="13"/>
      <c r="K12" s="13"/>
      <c r="L12" s="13"/>
    </row>
    <row r="13" spans="1:12" ht="17.25" thickBot="1">
      <c r="A13" s="35"/>
      <c r="B13" s="35"/>
      <c r="C13" s="35"/>
      <c r="D13" s="35"/>
      <c r="E13" s="38"/>
      <c r="F13" s="35"/>
      <c r="G13" s="35"/>
      <c r="H13" s="35"/>
      <c r="I13" s="35"/>
      <c r="J13" s="30"/>
      <c r="K13" s="30"/>
      <c r="L13" s="30"/>
    </row>
    <row r="14" spans="1:12" ht="15" customHeight="1" thickBot="1">
      <c r="A14" s="35" t="s">
        <v>24</v>
      </c>
      <c r="B14" s="35" t="s">
        <v>123</v>
      </c>
      <c r="C14" s="35" t="s">
        <v>124</v>
      </c>
      <c r="D14" s="43" t="s">
        <v>125</v>
      </c>
      <c r="E14" s="35" t="s">
        <v>126</v>
      </c>
      <c r="F14" s="35" t="s">
        <v>127</v>
      </c>
      <c r="G14" s="35" t="s">
        <v>128</v>
      </c>
      <c r="H14" s="35" t="s">
        <v>129</v>
      </c>
      <c r="I14" s="35" t="s">
        <v>130</v>
      </c>
      <c r="J14" s="35" t="s">
        <v>131</v>
      </c>
      <c r="K14" s="35" t="s">
        <v>132</v>
      </c>
      <c r="L14" s="35" t="s">
        <v>140</v>
      </c>
    </row>
    <row r="15" spans="1:12" ht="16.5">
      <c r="A15" s="36" t="s">
        <v>0</v>
      </c>
      <c r="B15" s="36" t="s">
        <v>3</v>
      </c>
      <c r="C15" s="36" t="s">
        <v>112</v>
      </c>
      <c r="D15" s="36" t="s">
        <v>115</v>
      </c>
      <c r="E15" s="36" t="s">
        <v>115</v>
      </c>
      <c r="F15" s="36" t="s">
        <v>116</v>
      </c>
      <c r="G15" s="36" t="s">
        <v>119</v>
      </c>
      <c r="H15" s="36" t="s">
        <v>121</v>
      </c>
      <c r="I15" s="36" t="s">
        <v>143</v>
      </c>
      <c r="J15" s="36" t="s">
        <v>143</v>
      </c>
      <c r="K15" s="36" t="s">
        <v>136</v>
      </c>
      <c r="L15" s="36" t="s">
        <v>138</v>
      </c>
    </row>
    <row r="16" spans="1:12" ht="17.25" thickBot="1">
      <c r="A16" s="38" t="s">
        <v>2</v>
      </c>
      <c r="B16" s="38" t="s">
        <v>4</v>
      </c>
      <c r="C16" s="38" t="s">
        <v>113</v>
      </c>
      <c r="D16" s="38" t="s">
        <v>118</v>
      </c>
      <c r="E16" s="38" t="s">
        <v>117</v>
      </c>
      <c r="F16" s="38" t="s">
        <v>19</v>
      </c>
      <c r="G16" s="38" t="s">
        <v>120</v>
      </c>
      <c r="H16" s="38" t="s">
        <v>122</v>
      </c>
      <c r="I16" s="38" t="s">
        <v>0</v>
      </c>
      <c r="J16" s="38" t="s">
        <v>0</v>
      </c>
      <c r="K16" s="38" t="s">
        <v>137</v>
      </c>
      <c r="L16" s="38" t="s">
        <v>119</v>
      </c>
    </row>
    <row r="17" spans="1:12">
      <c r="A17" s="44" t="s">
        <v>7</v>
      </c>
      <c r="B17" s="44" t="s">
        <v>7</v>
      </c>
      <c r="C17" s="44" t="s">
        <v>114</v>
      </c>
      <c r="D17" s="44" t="s">
        <v>269</v>
      </c>
      <c r="E17" s="44" t="s">
        <v>269</v>
      </c>
      <c r="F17" s="44" t="s">
        <v>141</v>
      </c>
      <c r="G17" s="44" t="s">
        <v>268</v>
      </c>
      <c r="H17" s="44" t="s">
        <v>133</v>
      </c>
      <c r="I17" s="44" t="s">
        <v>134</v>
      </c>
      <c r="J17" s="44" t="s">
        <v>135</v>
      </c>
      <c r="K17" s="44" t="s">
        <v>142</v>
      </c>
      <c r="L17" s="44" t="s">
        <v>139</v>
      </c>
    </row>
    <row r="18" spans="1:12" ht="16.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ht="16.5">
      <c r="A19" s="13"/>
      <c r="B19" s="13"/>
      <c r="C19" s="13"/>
      <c r="D19" s="13" t="s">
        <v>0</v>
      </c>
      <c r="E19" s="13" t="s">
        <v>0</v>
      </c>
      <c r="F19" s="13" t="s">
        <v>0</v>
      </c>
      <c r="G19" s="13" t="s">
        <v>0</v>
      </c>
      <c r="H19" s="13"/>
      <c r="I19" s="13"/>
      <c r="J19" s="13"/>
      <c r="K19" s="13"/>
      <c r="L19" s="13"/>
    </row>
    <row r="20" spans="1:12" ht="22.5" customHeight="1">
      <c r="A20" s="64" t="str">
        <f>+'S&amp;D'!A22</f>
        <v>ALLETE Inc</v>
      </c>
      <c r="B20" s="92" t="str">
        <f>+'S&amp;D'!B22</f>
        <v>ALE</v>
      </c>
      <c r="C20" s="67">
        <f>+'Growth &amp; Inflation Rates'!$D$57</f>
        <v>2.3E-2</v>
      </c>
      <c r="D20" s="288">
        <f>5387800000+197500000</f>
        <v>5585300000</v>
      </c>
      <c r="E20" s="288">
        <v>5167200000</v>
      </c>
      <c r="F20" s="131">
        <f>(D20+E20)/2</f>
        <v>5376250000</v>
      </c>
      <c r="G20" s="131">
        <v>271500000</v>
      </c>
      <c r="H20" s="19">
        <f>+F20/G20</f>
        <v>19.802025782688766</v>
      </c>
      <c r="I20" s="46">
        <f>+C20*H20</f>
        <v>0.45544659300184159</v>
      </c>
      <c r="J20" s="47">
        <f>1/(1+C20)^H20</f>
        <v>0.6374446002751154</v>
      </c>
      <c r="K20" s="301">
        <f>(G20*I20)/(1-J20)</f>
        <v>341061669.73056066</v>
      </c>
      <c r="L20" s="133">
        <f>+K20/G20</f>
        <v>1.2562124115306101</v>
      </c>
    </row>
    <row r="21" spans="1:12" ht="22.5" customHeight="1">
      <c r="A21" s="64" t="str">
        <f>+'S&amp;D'!A23</f>
        <v>Alliant Energy</v>
      </c>
      <c r="B21" s="92" t="str">
        <f>+'S&amp;D'!B23</f>
        <v>LNT</v>
      </c>
      <c r="C21" s="67">
        <f>+'Growth &amp; Inflation Rates'!$D$57</f>
        <v>2.3E-2</v>
      </c>
      <c r="D21" s="288">
        <f>16714000000+6229000000</f>
        <v>22943000000</v>
      </c>
      <c r="E21" s="288">
        <f>17157000000+5924000000</f>
        <v>23081000000</v>
      </c>
      <c r="F21" s="131">
        <f t="shared" ref="F21:F35" si="0">(D21+E21)/2</f>
        <v>23012000000</v>
      </c>
      <c r="G21" s="131">
        <v>772000000</v>
      </c>
      <c r="H21" s="19">
        <f>+F21/G21</f>
        <v>29.808290155440414</v>
      </c>
      <c r="I21" s="46">
        <f t="shared" ref="I21:I35" si="1">+C21*H21</f>
        <v>0.68559067357512948</v>
      </c>
      <c r="J21" s="47">
        <f t="shared" ref="J21:J35" si="2">1/(1+C21)^H21</f>
        <v>0.50771996897311289</v>
      </c>
      <c r="K21" s="132">
        <f t="shared" ref="K21:K35" si="3">(G21*I21)/(1-J21)</f>
        <v>1075152284.5562918</v>
      </c>
      <c r="L21" s="133">
        <f t="shared" ref="L21:L35" si="4">+K21/G21</f>
        <v>1.3926843064200671</v>
      </c>
    </row>
    <row r="22" spans="1:12" ht="22.5" customHeight="1">
      <c r="A22" s="64" t="str">
        <f>+'S&amp;D'!A24</f>
        <v>AMEREN Corporation</v>
      </c>
      <c r="B22" s="92" t="str">
        <f>+'S&amp;D'!B24</f>
        <v>AEE</v>
      </c>
      <c r="C22" s="67">
        <f>+'Growth &amp; Inflation Rates'!$D$57</f>
        <v>2.3E-2</v>
      </c>
      <c r="D22" s="288">
        <f>28404000000+268000000+991000000</f>
        <v>29663000000</v>
      </c>
      <c r="E22" s="288">
        <f>33776000000+15426000000</f>
        <v>49202000000</v>
      </c>
      <c r="F22" s="131">
        <f t="shared" si="0"/>
        <v>39432500000</v>
      </c>
      <c r="G22" s="131">
        <v>1590000000</v>
      </c>
      <c r="H22" s="19">
        <f>+F22/G22</f>
        <v>24.800314465408807</v>
      </c>
      <c r="I22" s="46">
        <f t="shared" si="1"/>
        <v>0.57040723270440252</v>
      </c>
      <c r="J22" s="47">
        <f t="shared" si="2"/>
        <v>0.56895927086186993</v>
      </c>
      <c r="K22" s="132">
        <f t="shared" si="3"/>
        <v>2104087708.4015932</v>
      </c>
      <c r="L22" s="133">
        <f t="shared" si="4"/>
        <v>1.3233256027682976</v>
      </c>
    </row>
    <row r="23" spans="1:12" ht="22.5" customHeight="1">
      <c r="A23" s="64" t="str">
        <f>+'S&amp;D'!A25</f>
        <v>American Electric Power</v>
      </c>
      <c r="B23" s="92" t="str">
        <f>+'S&amp;D'!B25</f>
        <v>AEP</v>
      </c>
      <c r="C23" s="67">
        <f>+'Growth &amp; Inflation Rates'!$D$57</f>
        <v>2.3E-2</v>
      </c>
      <c r="D23" s="288">
        <v>10860200000</v>
      </c>
      <c r="E23" s="288">
        <v>101246400000</v>
      </c>
      <c r="F23" s="131">
        <f>(D23+E23)/2</f>
        <v>56053300000</v>
      </c>
      <c r="G23" s="131">
        <v>3289900000</v>
      </c>
      <c r="H23" s="19">
        <f t="shared" ref="H23:H35" si="5">+F23/G23</f>
        <v>17.037995075838172</v>
      </c>
      <c r="I23" s="46">
        <f t="shared" si="1"/>
        <v>0.39187388674427792</v>
      </c>
      <c r="J23" s="47">
        <f t="shared" si="2"/>
        <v>0.67879557329410123</v>
      </c>
      <c r="K23" s="132">
        <f>(G23*I23)/(1-J23)</f>
        <v>4013723949.0178046</v>
      </c>
      <c r="L23" s="133">
        <f>+K23/G23</f>
        <v>1.2200139666913294</v>
      </c>
    </row>
    <row r="24" spans="1:12" ht="22.5" customHeight="1">
      <c r="A24" s="64" t="str">
        <f>+'S&amp;D'!A26</f>
        <v>Centerpoint Energy</v>
      </c>
      <c r="B24" s="92" t="str">
        <f>+'S&amp;D'!B26</f>
        <v>CNP</v>
      </c>
      <c r="C24" s="67">
        <f>+'Growth &amp; Inflation Rates'!$D$57</f>
        <v>2.3E-2</v>
      </c>
      <c r="D24" s="288">
        <v>42667000000</v>
      </c>
      <c r="E24" s="288">
        <v>40396000000</v>
      </c>
      <c r="F24" s="131">
        <f t="shared" si="0"/>
        <v>41531500000</v>
      </c>
      <c r="G24" s="131">
        <v>1439000000</v>
      </c>
      <c r="H24" s="19">
        <f t="shared" si="5"/>
        <v>28.861362056984017</v>
      </c>
      <c r="I24" s="46">
        <f t="shared" si="1"/>
        <v>0.66381132731063242</v>
      </c>
      <c r="J24" s="47">
        <f t="shared" si="2"/>
        <v>0.51877108295791563</v>
      </c>
      <c r="K24" s="132">
        <f t="shared" si="3"/>
        <v>1984969036.92191</v>
      </c>
      <c r="L24" s="133">
        <f t="shared" si="4"/>
        <v>1.3794086427532384</v>
      </c>
    </row>
    <row r="25" spans="1:12" ht="22.5" customHeight="1">
      <c r="A25" s="64" t="str">
        <f>+'S&amp;D'!A27</f>
        <v>CMS Energy</v>
      </c>
      <c r="B25" s="92" t="str">
        <f>+'S&amp;D'!B27</f>
        <v>CMS</v>
      </c>
      <c r="C25" s="67">
        <f>+'Growth &amp; Inflation Rates'!$D$57</f>
        <v>2.3E-2</v>
      </c>
      <c r="D25" s="288">
        <f>33434000000+1766000000</f>
        <v>35200000000</v>
      </c>
      <c r="E25" s="288">
        <f>33135000000+944000000</f>
        <v>34079000000</v>
      </c>
      <c r="F25" s="131">
        <f t="shared" si="0"/>
        <v>34639500000</v>
      </c>
      <c r="G25" s="131">
        <v>1191000000</v>
      </c>
      <c r="H25" s="19">
        <f t="shared" si="5"/>
        <v>29.084382871536523</v>
      </c>
      <c r="I25" s="46">
        <f t="shared" si="1"/>
        <v>0.66894080604534001</v>
      </c>
      <c r="J25" s="47">
        <f t="shared" si="2"/>
        <v>0.51614685807423366</v>
      </c>
      <c r="K25" s="132">
        <f t="shared" si="3"/>
        <v>1646591560.466156</v>
      </c>
      <c r="L25" s="133">
        <f t="shared" si="4"/>
        <v>1.3825285982083593</v>
      </c>
    </row>
    <row r="26" spans="1:12" ht="22.5" customHeight="1">
      <c r="A26" s="64" t="str">
        <f>+'S&amp;D'!A28</f>
        <v>DTE Energy</v>
      </c>
      <c r="B26" s="92" t="str">
        <f>+'S&amp;D'!B28</f>
        <v>DTE</v>
      </c>
      <c r="C26" s="67">
        <f>+'Growth &amp; Inflation Rates'!$D$57</f>
        <v>2.3E-2</v>
      </c>
      <c r="D26" s="288">
        <v>40840000000</v>
      </c>
      <c r="E26" s="288">
        <v>37274000000</v>
      </c>
      <c r="F26" s="131">
        <f t="shared" si="0"/>
        <v>39057000000</v>
      </c>
      <c r="G26" s="131">
        <v>1732000000</v>
      </c>
      <c r="H26" s="19">
        <f t="shared" si="5"/>
        <v>22.550230946882216</v>
      </c>
      <c r="I26" s="46">
        <f t="shared" si="1"/>
        <v>0.51865531177829094</v>
      </c>
      <c r="J26" s="47">
        <f t="shared" si="2"/>
        <v>0.59882811052404328</v>
      </c>
      <c r="K26" s="132">
        <f t="shared" si="3"/>
        <v>2239217212.2863507</v>
      </c>
      <c r="L26" s="133">
        <f t="shared" si="4"/>
        <v>1.2928505844609415</v>
      </c>
    </row>
    <row r="27" spans="1:12" ht="22.5" customHeight="1">
      <c r="A27" s="64" t="str">
        <f>+'S&amp;D'!A29</f>
        <v>Duke Energy</v>
      </c>
      <c r="B27" s="92" t="str">
        <f>+'S&amp;D'!B29</f>
        <v>DUK</v>
      </c>
      <c r="C27" s="67">
        <f>+'Growth &amp; Inflation Rates'!$D$57</f>
        <v>2.3E-2</v>
      </c>
      <c r="D27" s="288">
        <v>180806000000</v>
      </c>
      <c r="E27" s="288">
        <v>171351000000</v>
      </c>
      <c r="F27" s="131">
        <f t="shared" si="0"/>
        <v>176078500000</v>
      </c>
      <c r="G27" s="131">
        <v>5793000000</v>
      </c>
      <c r="H27" s="19">
        <f t="shared" si="5"/>
        <v>30.395045744864493</v>
      </c>
      <c r="I27" s="46">
        <f t="shared" si="1"/>
        <v>0.69908605213188335</v>
      </c>
      <c r="J27" s="47">
        <f t="shared" si="2"/>
        <v>0.50099069714006328</v>
      </c>
      <c r="K27" s="132">
        <f t="shared" si="3"/>
        <v>8115691384.4884987</v>
      </c>
      <c r="L27" s="133">
        <f t="shared" si="4"/>
        <v>1.4009479344879163</v>
      </c>
    </row>
    <row r="28" spans="1:12" ht="22.5" customHeight="1">
      <c r="A28" s="64" t="str">
        <f>+'S&amp;D'!A30</f>
        <v>Entergy Corp</v>
      </c>
      <c r="B28" s="92" t="str">
        <f>+'S&amp;D'!B30</f>
        <v>ETR</v>
      </c>
      <c r="C28" s="67">
        <f>+'Growth &amp; Inflation Rates'!$D$57</f>
        <v>2.3E-2</v>
      </c>
      <c r="D28" s="288">
        <v>74867690000</v>
      </c>
      <c r="E28" s="288">
        <v>70385532000</v>
      </c>
      <c r="F28" s="131">
        <f t="shared" si="0"/>
        <v>72626611000</v>
      </c>
      <c r="G28" s="131">
        <v>2013168000</v>
      </c>
      <c r="H28" s="19">
        <f t="shared" si="5"/>
        <v>36.075782547705906</v>
      </c>
      <c r="I28" s="46">
        <f t="shared" si="1"/>
        <v>0.82974299859723577</v>
      </c>
      <c r="J28" s="47">
        <f t="shared" si="2"/>
        <v>0.44027982550353495</v>
      </c>
      <c r="K28" s="132">
        <f t="shared" si="3"/>
        <v>2984369921.0998325</v>
      </c>
      <c r="L28" s="133">
        <f t="shared" si="4"/>
        <v>1.4824246764799722</v>
      </c>
    </row>
    <row r="29" spans="1:12" ht="22.5" customHeight="1">
      <c r="A29" s="64" t="str">
        <f>+'S&amp;D'!A31</f>
        <v>Evergy Inc</v>
      </c>
      <c r="B29" s="92" t="str">
        <f>+'S&amp;D'!B31</f>
        <v>EVRG</v>
      </c>
      <c r="C29" s="67">
        <f>+'Growth &amp; Inflation Rates'!$D$57</f>
        <v>2.3E-2</v>
      </c>
      <c r="D29" s="288">
        <f>36444900000+742900000+700000</f>
        <v>37188500000</v>
      </c>
      <c r="E29" s="288">
        <f>23595100000+13043100000</f>
        <v>36638200000</v>
      </c>
      <c r="F29" s="131">
        <f t="shared" ref="F29" si="6">(D29+E29)/2</f>
        <v>36913350000</v>
      </c>
      <c r="G29" s="131">
        <v>1114000000</v>
      </c>
      <c r="H29" s="19">
        <f t="shared" ref="H29" si="7">+F29/G29</f>
        <v>33.135861759425495</v>
      </c>
      <c r="I29" s="46">
        <f t="shared" ref="I29" si="8">+C29*H29</f>
        <v>0.76212482046678642</v>
      </c>
      <c r="J29" s="47">
        <f t="shared" ref="J29" si="9">1/(1+C29)^H29</f>
        <v>0.47071969161627564</v>
      </c>
      <c r="K29" s="132">
        <f t="shared" ref="K29" si="10">(G29*I29)/(1-J29)</f>
        <v>1604078286.2159238</v>
      </c>
      <c r="L29" s="133">
        <f t="shared" ref="L29" si="11">+K29/G29</f>
        <v>1.4399266483087287</v>
      </c>
    </row>
    <row r="30" spans="1:12" ht="22.5" customHeight="1">
      <c r="A30" s="64" t="str">
        <f>+'S&amp;D'!A32</f>
        <v>FirstEnergy Corp</v>
      </c>
      <c r="B30" s="92" t="str">
        <f>+'S&amp;D'!B32</f>
        <v>FE</v>
      </c>
      <c r="C30" s="67">
        <f>+'Growth &amp; Inflation Rates'!$D$57</f>
        <v>2.3E-2</v>
      </c>
      <c r="D30" s="288">
        <f>52896000000+2754000000</f>
        <v>55650000000</v>
      </c>
      <c r="E30" s="288">
        <f>50107000000+2116000000</f>
        <v>52223000000</v>
      </c>
      <c r="F30" s="131">
        <f t="shared" si="0"/>
        <v>53936500000</v>
      </c>
      <c r="G30" s="131">
        <v>1588000000</v>
      </c>
      <c r="H30" s="19">
        <f t="shared" si="5"/>
        <v>33.965050377833755</v>
      </c>
      <c r="I30" s="46">
        <f t="shared" si="1"/>
        <v>0.78119615869017633</v>
      </c>
      <c r="J30" s="47">
        <f t="shared" si="2"/>
        <v>0.46192727187104538</v>
      </c>
      <c r="K30" s="132">
        <f t="shared" si="3"/>
        <v>2305523835.6230021</v>
      </c>
      <c r="L30" s="133">
        <f t="shared" si="4"/>
        <v>1.4518412063117141</v>
      </c>
    </row>
    <row r="31" spans="1:12" ht="22.5" customHeight="1">
      <c r="A31" s="64" t="str">
        <f>+'S&amp;D'!A33</f>
        <v>OGE Energy Corp.</v>
      </c>
      <c r="B31" s="92" t="str">
        <f>+'S&amp;D'!B33</f>
        <v>OGE</v>
      </c>
      <c r="C31" s="67">
        <f>+'Growth &amp; Inflation Rates'!$D$57</f>
        <v>2.3E-2</v>
      </c>
      <c r="D31" s="288">
        <v>17068800000</v>
      </c>
      <c r="E31" s="288">
        <v>16110400000</v>
      </c>
      <c r="F31" s="131">
        <f t="shared" si="0"/>
        <v>16589600000</v>
      </c>
      <c r="G31" s="131">
        <v>539500000</v>
      </c>
      <c r="H31" s="19">
        <f t="shared" si="5"/>
        <v>30.749953660797033</v>
      </c>
      <c r="I31" s="46">
        <f t="shared" si="1"/>
        <v>0.70724893419833179</v>
      </c>
      <c r="J31" s="47">
        <f t="shared" si="2"/>
        <v>0.49696376122603636</v>
      </c>
      <c r="K31" s="132">
        <f t="shared" si="3"/>
        <v>758515531.46542215</v>
      </c>
      <c r="L31" s="133">
        <f t="shared" si="4"/>
        <v>1.4059602066087529</v>
      </c>
    </row>
    <row r="32" spans="1:12" ht="22.5" customHeight="1">
      <c r="A32" s="64" t="str">
        <f>+'S&amp;D'!A34</f>
        <v>Otter Tail Corp</v>
      </c>
      <c r="B32" s="92" t="str">
        <f>+'S&amp;D'!B34</f>
        <v>OTTR</v>
      </c>
      <c r="C32" s="67">
        <f>+'Growth &amp; Inflation Rates'!$D$57</f>
        <v>2.3E-2</v>
      </c>
      <c r="D32" s="288">
        <f>3412833000+403101000</f>
        <v>3815934000</v>
      </c>
      <c r="E32" s="288">
        <f>3127093000+349986000</f>
        <v>3477079000</v>
      </c>
      <c r="F32" s="131">
        <f t="shared" si="0"/>
        <v>3646506500</v>
      </c>
      <c r="G32" s="131">
        <v>107121000</v>
      </c>
      <c r="H32" s="19">
        <f t="shared" si="5"/>
        <v>34.041005031693132</v>
      </c>
      <c r="I32" s="46">
        <f t="shared" si="1"/>
        <v>0.78294311572894204</v>
      </c>
      <c r="J32" s="47">
        <f t="shared" si="2"/>
        <v>0.46113013360352767</v>
      </c>
      <c r="K32" s="132">
        <f t="shared" si="3"/>
        <v>155639895.13990206</v>
      </c>
      <c r="L32" s="133">
        <f t="shared" si="4"/>
        <v>1.4529354201314593</v>
      </c>
    </row>
    <row r="33" spans="1:12" ht="22.5" customHeight="1">
      <c r="A33" s="64" t="str">
        <f>+'S&amp;D'!A35</f>
        <v>PPL Corporation</v>
      </c>
      <c r="B33" s="92" t="str">
        <f>+'S&amp;D'!B35</f>
        <v>PPL</v>
      </c>
      <c r="C33" s="67">
        <f>+'Growth &amp; Inflation Rates'!$D$57</f>
        <v>2.3E-2</v>
      </c>
      <c r="D33" s="288">
        <f>40391000000+79000000</f>
        <v>40470000000</v>
      </c>
      <c r="E33" s="288">
        <f>38608000000+72000000+1917000000</f>
        <v>40597000000</v>
      </c>
      <c r="F33" s="131">
        <f t="shared" si="0"/>
        <v>40533500000</v>
      </c>
      <c r="G33" s="131">
        <v>1279000000</v>
      </c>
      <c r="H33" s="19">
        <f t="shared" si="5"/>
        <v>31.691555903049256</v>
      </c>
      <c r="I33" s="46">
        <f t="shared" si="1"/>
        <v>0.72890578577013287</v>
      </c>
      <c r="J33" s="47">
        <f t="shared" si="2"/>
        <v>0.48643610478362403</v>
      </c>
      <c r="K33" s="132">
        <f t="shared" si="3"/>
        <v>1815296029.7320232</v>
      </c>
      <c r="L33" s="133">
        <f t="shared" si="4"/>
        <v>1.4193088582736695</v>
      </c>
    </row>
    <row r="34" spans="1:12" ht="22.5" customHeight="1">
      <c r="A34" s="64" t="str">
        <f>+'S&amp;D'!A36</f>
        <v>The Southern Company</v>
      </c>
      <c r="B34" s="92" t="str">
        <f>+'S&amp;D'!B36</f>
        <v>SO</v>
      </c>
      <c r="C34" s="67">
        <f>+'Growth &amp; Inflation Rates'!$D$57</f>
        <v>2.3E-2</v>
      </c>
      <c r="D34" s="288">
        <f>137143000000+6389000000</f>
        <v>143532000000</v>
      </c>
      <c r="E34" s="288">
        <f>128428000000+7784000000</f>
        <v>136212000000</v>
      </c>
      <c r="F34" s="131">
        <f t="shared" si="0"/>
        <v>139872000000</v>
      </c>
      <c r="G34" s="131">
        <v>4755000000</v>
      </c>
      <c r="H34" s="19">
        <f t="shared" si="5"/>
        <v>29.415772870662462</v>
      </c>
      <c r="I34" s="46">
        <f t="shared" si="1"/>
        <v>0.67656277602523662</v>
      </c>
      <c r="J34" s="47">
        <f t="shared" si="2"/>
        <v>0.51227198008084962</v>
      </c>
      <c r="K34" s="132">
        <f t="shared" si="3"/>
        <v>6596004060.8970642</v>
      </c>
      <c r="L34" s="133">
        <f t="shared" si="4"/>
        <v>1.3871722525545875</v>
      </c>
    </row>
    <row r="35" spans="1:12" ht="22.5" customHeight="1">
      <c r="A35" s="64" t="str">
        <f>+'S&amp;D'!A37</f>
        <v>WEC Energy Group</v>
      </c>
      <c r="B35" s="92" t="str">
        <f>+'S&amp;D'!B37</f>
        <v>WEC</v>
      </c>
      <c r="C35" s="67">
        <f>+'Growth &amp; Inflation Rates'!$D$57</f>
        <v>2.3E-2</v>
      </c>
      <c r="D35" s="288">
        <f>34645400000+11611900000+11073100000</f>
        <v>57330400000</v>
      </c>
      <c r="E35" s="288">
        <f>31581500000+11073100000</f>
        <v>42654600000</v>
      </c>
      <c r="F35" s="131">
        <f t="shared" si="0"/>
        <v>49992500000</v>
      </c>
      <c r="G35" s="131">
        <v>1354500000</v>
      </c>
      <c r="H35" s="19">
        <f t="shared" si="5"/>
        <v>36.908453303802141</v>
      </c>
      <c r="I35" s="46">
        <f t="shared" si="1"/>
        <v>0.84889442598744924</v>
      </c>
      <c r="J35" s="47">
        <f t="shared" si="2"/>
        <v>0.43202177238623096</v>
      </c>
      <c r="K35" s="132">
        <f t="shared" si="3"/>
        <v>2024421789.6005239</v>
      </c>
      <c r="L35" s="133">
        <f t="shared" si="4"/>
        <v>1.4945897302329449</v>
      </c>
    </row>
    <row r="36" spans="1:12" ht="22.5" customHeight="1" thickBot="1">
      <c r="A36" s="13"/>
      <c r="B36" s="13"/>
      <c r="D36" s="48"/>
      <c r="E36" s="48"/>
      <c r="F36" s="48"/>
      <c r="G36" s="48"/>
      <c r="H36" s="48"/>
      <c r="I36" s="48" t="s">
        <v>64</v>
      </c>
      <c r="J36" s="48"/>
      <c r="K36" s="48"/>
      <c r="L36" s="48"/>
    </row>
    <row r="37" spans="1:12" ht="22.5" customHeight="1" thickTop="1">
      <c r="A37" s="13"/>
      <c r="B37" s="13"/>
      <c r="D37" s="49" t="s">
        <v>0</v>
      </c>
      <c r="E37" s="36" t="s">
        <v>0</v>
      </c>
      <c r="F37" s="36"/>
      <c r="G37" s="49" t="s">
        <v>0</v>
      </c>
      <c r="H37" s="36"/>
      <c r="I37" s="49" t="s">
        <v>0</v>
      </c>
      <c r="J37" s="49" t="s">
        <v>0</v>
      </c>
      <c r="K37" s="15" t="s">
        <v>65</v>
      </c>
      <c r="L37" s="281">
        <f>MAX(L20:L35)</f>
        <v>1.4945897302329449</v>
      </c>
    </row>
    <row r="38" spans="1:12" ht="22.5" customHeight="1">
      <c r="B38" s="13"/>
      <c r="D38" s="36" t="s">
        <v>0</v>
      </c>
      <c r="E38" s="36" t="s">
        <v>0</v>
      </c>
      <c r="F38" s="36"/>
      <c r="G38" s="49"/>
      <c r="H38" s="36"/>
      <c r="I38" s="49"/>
      <c r="J38" s="49"/>
      <c r="K38" s="15" t="s">
        <v>66</v>
      </c>
      <c r="L38" s="282">
        <f>MIN(L20:L35)</f>
        <v>1.2200139666913294</v>
      </c>
    </row>
    <row r="39" spans="1:12" ht="22.5" customHeight="1">
      <c r="B39" s="13"/>
      <c r="C39" s="13"/>
      <c r="D39" s="291" t="s">
        <v>0</v>
      </c>
      <c r="E39" s="13"/>
      <c r="F39" s="13"/>
      <c r="G39" s="13"/>
      <c r="H39" s="13"/>
      <c r="I39" s="13"/>
      <c r="J39" s="13"/>
      <c r="K39" s="15" t="s">
        <v>18</v>
      </c>
      <c r="L39" s="56">
        <f>MEDIAN(L20:L35)</f>
        <v>1.3968161204539917</v>
      </c>
    </row>
    <row r="40" spans="1:12" ht="22.5" customHeight="1">
      <c r="A40" s="13"/>
      <c r="B40" s="13"/>
      <c r="C40" s="13"/>
      <c r="D40" s="13" t="s">
        <v>0</v>
      </c>
      <c r="E40" s="13"/>
      <c r="F40" s="13"/>
      <c r="G40" s="13"/>
      <c r="H40" s="13"/>
      <c r="I40" s="13"/>
      <c r="J40" s="13"/>
      <c r="K40" s="15" t="s">
        <v>403</v>
      </c>
      <c r="L40" s="56">
        <f>AVERAGE(L20:L35)</f>
        <v>1.3863831903889121</v>
      </c>
    </row>
    <row r="41" spans="1:12" ht="22.5" customHeight="1" thickBot="1">
      <c r="A41" s="13"/>
      <c r="B41" s="13"/>
      <c r="C41" s="13"/>
      <c r="D41" s="13"/>
      <c r="E41" s="13"/>
      <c r="F41" s="13"/>
      <c r="G41" s="13" t="s">
        <v>0</v>
      </c>
      <c r="H41" s="13"/>
      <c r="I41" s="13"/>
      <c r="J41" s="13"/>
      <c r="K41" s="13"/>
      <c r="L41" s="13"/>
    </row>
    <row r="42" spans="1:12" ht="22.5" customHeight="1" thickBo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87" t="s">
        <v>236</v>
      </c>
      <c r="L42" s="338">
        <v>1.3864000000000001</v>
      </c>
    </row>
    <row r="43" spans="1:12" ht="16.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ht="16.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ht="20.25">
      <c r="A45" s="32" t="s">
        <v>106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ht="16.5">
      <c r="A46" s="13" t="s">
        <v>281</v>
      </c>
    </row>
    <row r="47" spans="1:12" ht="16.5">
      <c r="A47" s="13"/>
    </row>
    <row r="48" spans="1:12" ht="16.5">
      <c r="A48" s="13" t="s">
        <v>389</v>
      </c>
    </row>
    <row r="49" spans="1:12" ht="20.25">
      <c r="A49" s="218"/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</row>
    <row r="50" spans="1:12" ht="26.25">
      <c r="A50" s="25" t="s">
        <v>1</v>
      </c>
      <c r="B50" s="13"/>
      <c r="C50" s="13"/>
      <c r="D50" s="13"/>
      <c r="E50" s="13"/>
      <c r="F50" s="13"/>
      <c r="G50" s="13"/>
      <c r="H50" s="13"/>
      <c r="I50" s="13"/>
      <c r="J50" s="13"/>
      <c r="K50" s="218"/>
      <c r="L50" s="218"/>
    </row>
    <row r="51" spans="1:12" ht="20.25">
      <c r="A51" s="26" t="s">
        <v>9</v>
      </c>
      <c r="B51" s="13"/>
      <c r="C51" s="13"/>
      <c r="D51" s="13"/>
      <c r="E51" s="13"/>
      <c r="F51" s="13"/>
      <c r="G51" s="13"/>
      <c r="H51" s="13"/>
      <c r="I51" s="13"/>
      <c r="J51" s="13"/>
      <c r="K51" s="218"/>
      <c r="L51" s="218"/>
    </row>
    <row r="52" spans="1:12" ht="20.25">
      <c r="A52" s="27" t="s">
        <v>435</v>
      </c>
      <c r="B52" s="13"/>
      <c r="C52" s="13"/>
      <c r="D52" s="13"/>
      <c r="E52" s="13"/>
      <c r="F52" s="13"/>
      <c r="G52" s="13"/>
      <c r="H52" s="13"/>
      <c r="I52" s="13"/>
      <c r="J52" s="13"/>
      <c r="K52" s="218"/>
      <c r="L52" s="218"/>
    </row>
    <row r="53" spans="1:12" ht="20.25">
      <c r="A53" s="27"/>
      <c r="B53" s="13"/>
      <c r="C53" s="13"/>
      <c r="D53" s="13"/>
      <c r="E53" s="13"/>
      <c r="F53" s="13"/>
      <c r="G53" s="13"/>
      <c r="H53" s="13"/>
      <c r="I53" s="13"/>
      <c r="J53" s="13"/>
      <c r="K53" s="218"/>
      <c r="L53" s="218"/>
    </row>
    <row r="54" spans="1:12" ht="20.25">
      <c r="A54" s="27"/>
      <c r="B54" s="13"/>
      <c r="C54" s="13"/>
      <c r="D54" s="13"/>
      <c r="E54" s="13"/>
      <c r="F54" s="13"/>
      <c r="G54" s="13"/>
      <c r="H54" s="13"/>
      <c r="I54" s="13"/>
      <c r="J54" s="13"/>
      <c r="K54" s="218"/>
      <c r="L54" s="218"/>
    </row>
    <row r="55" spans="1:12" ht="20.25">
      <c r="A55" s="27"/>
      <c r="B55" s="13"/>
      <c r="C55" s="13"/>
      <c r="D55" s="13"/>
      <c r="E55" s="13"/>
      <c r="F55" s="13"/>
      <c r="G55" s="13"/>
      <c r="H55" s="13"/>
      <c r="I55" s="13"/>
      <c r="J55" s="13"/>
      <c r="K55" s="218"/>
      <c r="L55" s="218"/>
    </row>
    <row r="56" spans="1:12" ht="21" thickBot="1">
      <c r="B56" s="13"/>
      <c r="C56" s="13"/>
      <c r="D56" s="13"/>
      <c r="E56" s="13"/>
      <c r="F56" s="30"/>
      <c r="G56" s="30"/>
      <c r="H56" s="31" t="s">
        <v>0</v>
      </c>
      <c r="I56" s="13"/>
      <c r="J56" s="13"/>
      <c r="K56" s="218"/>
      <c r="L56" s="218"/>
    </row>
    <row r="57" spans="1:12" ht="26.25">
      <c r="B57" s="13"/>
      <c r="C57" s="13"/>
      <c r="D57" s="13"/>
      <c r="E57" s="13"/>
      <c r="F57" s="13"/>
      <c r="G57" s="33" t="s">
        <v>306</v>
      </c>
      <c r="H57" s="13"/>
      <c r="I57" s="13"/>
      <c r="J57" s="13"/>
      <c r="K57" s="218"/>
      <c r="L57" s="218"/>
    </row>
    <row r="58" spans="1:12" ht="21" thickBot="1">
      <c r="B58" s="42" t="s">
        <v>0</v>
      </c>
      <c r="C58" s="42" t="s">
        <v>0</v>
      </c>
      <c r="D58" s="13"/>
      <c r="E58" s="13"/>
      <c r="F58" s="35" t="s">
        <v>0</v>
      </c>
      <c r="G58" s="34" t="s">
        <v>436</v>
      </c>
      <c r="H58" s="35" t="s">
        <v>0</v>
      </c>
      <c r="I58" s="42" t="s">
        <v>0</v>
      </c>
      <c r="J58" s="13"/>
      <c r="K58" s="218"/>
      <c r="L58" s="218"/>
    </row>
    <row r="59" spans="1:12" ht="20.25">
      <c r="A59" s="218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</row>
    <row r="60" spans="1:12" ht="20.25">
      <c r="A60" s="218"/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</row>
    <row r="61" spans="1:12" ht="20.25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</row>
    <row r="62" spans="1:12" ht="16.5">
      <c r="A62" s="42"/>
      <c r="B62" s="42"/>
      <c r="C62" s="42"/>
      <c r="D62" s="13"/>
      <c r="E62" s="13"/>
      <c r="J62" s="13"/>
      <c r="K62" s="13"/>
      <c r="L62" s="13"/>
    </row>
    <row r="63" spans="1:12" ht="31.5">
      <c r="A63" s="212" t="s">
        <v>295</v>
      </c>
      <c r="B63" s="42"/>
      <c r="C63" s="214" t="s">
        <v>300</v>
      </c>
      <c r="D63" s="13"/>
      <c r="E63" s="13"/>
      <c r="J63" s="13"/>
      <c r="K63" s="13"/>
      <c r="L63" s="13"/>
    </row>
    <row r="64" spans="1:12" ht="31.5">
      <c r="A64" s="212" t="s">
        <v>299</v>
      </c>
      <c r="B64" s="42"/>
      <c r="C64" s="214" t="s">
        <v>305</v>
      </c>
      <c r="D64" s="13"/>
      <c r="E64" s="13"/>
      <c r="J64" s="13"/>
      <c r="K64" s="13"/>
      <c r="L64" s="13"/>
    </row>
    <row r="65" spans="1:12" ht="18.75" customHeight="1">
      <c r="A65" s="212"/>
      <c r="B65" s="42"/>
      <c r="C65" s="214"/>
      <c r="D65" s="13"/>
      <c r="E65" s="13"/>
      <c r="J65" s="13"/>
      <c r="K65" s="13"/>
      <c r="L65" s="13"/>
    </row>
    <row r="66" spans="1:12" ht="17.25">
      <c r="A66" s="213" t="s">
        <v>296</v>
      </c>
      <c r="B66" s="42"/>
      <c r="C66" s="42"/>
      <c r="D66" s="13"/>
      <c r="E66" s="13"/>
      <c r="J66" s="13"/>
      <c r="K66" s="13"/>
      <c r="L66" s="13"/>
    </row>
    <row r="67" spans="1:12" ht="17.25">
      <c r="A67" s="213" t="s">
        <v>297</v>
      </c>
      <c r="B67" s="42"/>
      <c r="C67" s="42"/>
      <c r="D67" s="13"/>
      <c r="E67" s="13"/>
      <c r="J67" s="13"/>
      <c r="K67" s="13"/>
      <c r="L67" s="13"/>
    </row>
    <row r="68" spans="1:12" ht="17.25">
      <c r="A68" s="213" t="s">
        <v>298</v>
      </c>
      <c r="B68" s="42"/>
      <c r="C68" s="42"/>
      <c r="D68" s="13"/>
      <c r="E68" s="13"/>
      <c r="J68" s="13"/>
      <c r="K68" s="13"/>
      <c r="L68" s="13"/>
    </row>
    <row r="74" spans="1:12" ht="31.5">
      <c r="A74" s="215" t="s">
        <v>304</v>
      </c>
      <c r="B74" s="112"/>
      <c r="C74" s="112"/>
      <c r="D74" s="112"/>
      <c r="E74" s="112"/>
      <c r="F74" s="112"/>
      <c r="G74" s="13"/>
      <c r="H74" s="13"/>
      <c r="I74" s="13"/>
    </row>
    <row r="75" spans="1:12" ht="17.25">
      <c r="A75" s="112"/>
      <c r="B75" s="112"/>
      <c r="C75" s="112"/>
      <c r="D75" s="112"/>
      <c r="E75" s="112"/>
      <c r="F75" s="112"/>
      <c r="G75" s="13"/>
      <c r="H75" s="13"/>
      <c r="I75" s="13"/>
    </row>
    <row r="76" spans="1:12" ht="18" thickBot="1">
      <c r="A76" s="216" t="s">
        <v>301</v>
      </c>
      <c r="B76" s="114"/>
      <c r="C76" s="114"/>
      <c r="D76" s="217" t="s">
        <v>303</v>
      </c>
      <c r="E76" s="114"/>
      <c r="F76" s="112"/>
      <c r="G76" s="13"/>
      <c r="H76" s="13"/>
      <c r="I76" s="13"/>
    </row>
    <row r="77" spans="1:12" ht="17.25">
      <c r="A77" s="112"/>
      <c r="B77" s="112"/>
      <c r="C77" s="112"/>
      <c r="D77" s="112" t="s">
        <v>302</v>
      </c>
      <c r="E77" s="112"/>
      <c r="F77" s="112"/>
      <c r="G77" s="13"/>
      <c r="H77" s="13"/>
      <c r="I77" s="13"/>
    </row>
    <row r="78" spans="1:12" ht="17.25">
      <c r="A78" s="112"/>
      <c r="B78" s="112"/>
      <c r="C78" s="112"/>
      <c r="D78" s="112"/>
      <c r="E78" s="112"/>
      <c r="F78" s="112"/>
      <c r="G78" s="13"/>
      <c r="H78" s="13"/>
      <c r="I78" s="13"/>
    </row>
    <row r="79" spans="1:12" ht="16.5">
      <c r="A79" s="13"/>
      <c r="B79" s="13"/>
      <c r="C79" s="13"/>
      <c r="D79" s="13"/>
      <c r="E79" s="13"/>
      <c r="F79" s="13"/>
      <c r="G79" s="13"/>
      <c r="H79" s="13"/>
      <c r="I79" s="13"/>
    </row>
    <row r="80" spans="1:12" ht="16.5">
      <c r="A80" s="13"/>
      <c r="B80" s="13"/>
      <c r="C80" s="13"/>
      <c r="D80" s="13"/>
      <c r="E80" s="13"/>
      <c r="F80" s="13"/>
      <c r="G80" s="13"/>
      <c r="H80" s="13"/>
      <c r="I80" s="13"/>
    </row>
    <row r="81" spans="1:9" ht="16.5">
      <c r="A81" s="13"/>
      <c r="B81" s="13"/>
      <c r="C81" s="13"/>
      <c r="D81" s="13"/>
      <c r="E81" s="13"/>
      <c r="F81" s="13"/>
      <c r="G81" s="13"/>
      <c r="H81" s="13"/>
      <c r="I81" s="13"/>
    </row>
    <row r="82" spans="1:9" ht="16.5">
      <c r="A82" s="13"/>
      <c r="B82" s="13"/>
      <c r="C82" s="13"/>
      <c r="D82" s="13"/>
      <c r="E82" s="13"/>
      <c r="F82" s="13"/>
      <c r="G82" s="13"/>
      <c r="H82" s="13"/>
      <c r="I82" s="13"/>
    </row>
    <row r="83" spans="1:9" ht="16.5">
      <c r="A83" s="13"/>
      <c r="B83" s="13"/>
      <c r="C83" s="13"/>
      <c r="D83" s="13"/>
      <c r="E83" s="13"/>
      <c r="F83" s="13"/>
      <c r="G83" s="13"/>
      <c r="H83" s="13"/>
      <c r="I83" s="13"/>
    </row>
    <row r="84" spans="1:9" ht="16.5">
      <c r="A84" s="13" t="s">
        <v>0</v>
      </c>
      <c r="B84" s="13"/>
      <c r="C84" s="13"/>
      <c r="D84" s="13"/>
      <c r="E84" s="13"/>
      <c r="F84" s="13"/>
      <c r="G84" s="13"/>
      <c r="H84" s="13"/>
      <c r="I84" s="13"/>
    </row>
    <row r="85" spans="1:9" ht="16.5">
      <c r="A85" s="13"/>
      <c r="B85" s="13"/>
      <c r="C85" s="13"/>
      <c r="D85" s="13"/>
      <c r="E85" s="13"/>
      <c r="F85" s="13"/>
      <c r="G85" s="13"/>
      <c r="H85" s="13"/>
      <c r="I85" s="13"/>
    </row>
  </sheetData>
  <pageMargins left="0.25" right="0.25" top="0.75" bottom="0.75" header="0.3" footer="0.3"/>
  <pageSetup scale="51" orientation="landscape" r:id="rId1"/>
  <rowBreaks count="1" manualBreakCount="1">
    <brk id="48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DCF-8362-451B-93E3-8D44BC877730}">
  <sheetPr>
    <tabColor rgb="FF92D050"/>
  </sheetPr>
  <dimension ref="A1:I43"/>
  <sheetViews>
    <sheetView view="pageBreakPreview" zoomScale="60" zoomScaleNormal="80" workbookViewId="0">
      <selection activeCell="H12" sqref="H12"/>
    </sheetView>
  </sheetViews>
  <sheetFormatPr defaultRowHeight="15"/>
  <cols>
    <col min="1" max="1" width="45.140625" customWidth="1"/>
    <col min="2" max="2" width="17" customWidth="1"/>
    <col min="3" max="3" width="28.85546875" customWidth="1"/>
    <col min="4" max="4" width="16.85546875" customWidth="1"/>
    <col min="5" max="5" width="25.42578125" customWidth="1"/>
    <col min="6" max="6" width="25.28515625" customWidth="1"/>
    <col min="7" max="7" width="26" customWidth="1"/>
    <col min="8" max="8" width="35.28515625" customWidth="1"/>
    <col min="9" max="9" width="14.140625" bestFit="1" customWidth="1"/>
    <col min="11" max="11" width="10.5703125" customWidth="1"/>
  </cols>
  <sheetData>
    <row r="1" spans="1:8" ht="26.25">
      <c r="A1" s="25" t="s">
        <v>1</v>
      </c>
      <c r="B1" s="13"/>
      <c r="C1" s="13"/>
      <c r="D1" s="13"/>
      <c r="E1" s="13"/>
      <c r="F1" s="13"/>
      <c r="G1" s="13"/>
      <c r="H1" s="13"/>
    </row>
    <row r="2" spans="1:8" ht="17.25">
      <c r="A2" s="26" t="s">
        <v>9</v>
      </c>
      <c r="B2" s="13"/>
      <c r="C2" s="13"/>
      <c r="D2" s="13"/>
      <c r="E2" s="13"/>
      <c r="F2" s="13"/>
      <c r="G2" s="13"/>
      <c r="H2" s="13"/>
    </row>
    <row r="3" spans="1:8" ht="16.5">
      <c r="A3" s="27" t="s">
        <v>435</v>
      </c>
      <c r="B3" s="13"/>
      <c r="C3" s="13"/>
      <c r="D3" s="13"/>
      <c r="E3" s="13"/>
      <c r="F3" s="13"/>
      <c r="G3" s="13"/>
      <c r="H3" s="13"/>
    </row>
    <row r="4" spans="1:8" ht="16.5">
      <c r="A4" s="27"/>
      <c r="B4" s="13"/>
      <c r="C4" s="13"/>
      <c r="D4" s="13"/>
      <c r="E4" s="13"/>
      <c r="F4" s="13"/>
      <c r="G4" s="13"/>
      <c r="H4" s="13"/>
    </row>
    <row r="5" spans="1:8" ht="16.5">
      <c r="A5" s="27"/>
      <c r="B5" s="13"/>
      <c r="C5" s="13"/>
      <c r="D5" s="13"/>
      <c r="E5" s="13"/>
      <c r="F5" s="13"/>
      <c r="G5" s="13"/>
      <c r="H5" s="13"/>
    </row>
    <row r="6" spans="1:8" ht="16.5">
      <c r="A6" s="27"/>
      <c r="B6" s="13"/>
      <c r="C6" s="13"/>
      <c r="D6" s="13"/>
      <c r="E6" s="13"/>
      <c r="F6" s="13"/>
      <c r="G6" s="13"/>
      <c r="H6" s="13"/>
    </row>
    <row r="7" spans="1:8" ht="17.25" thickBot="1">
      <c r="A7" s="13"/>
      <c r="B7" s="13"/>
      <c r="C7" s="13"/>
      <c r="H7" s="13"/>
    </row>
    <row r="8" spans="1:8" ht="21" thickBot="1">
      <c r="A8" s="245" t="str">
        <f>+'S&amp;D'!A12</f>
        <v>Electric Utilities</v>
      </c>
      <c r="B8" s="181"/>
      <c r="C8" s="13"/>
      <c r="D8" s="30"/>
      <c r="E8" s="30"/>
      <c r="F8" s="30"/>
      <c r="H8" s="13"/>
    </row>
    <row r="9" spans="1:8" ht="26.25">
      <c r="A9" s="32"/>
      <c r="B9" s="13"/>
      <c r="C9" s="13"/>
      <c r="D9" s="13"/>
      <c r="E9" s="33" t="s">
        <v>152</v>
      </c>
      <c r="F9" s="33"/>
      <c r="H9" s="13"/>
    </row>
    <row r="10" spans="1:8" ht="21" thickBot="1">
      <c r="A10" s="32"/>
      <c r="B10" s="13"/>
      <c r="C10" s="13"/>
      <c r="D10" s="30"/>
      <c r="E10" s="34" t="s">
        <v>436</v>
      </c>
      <c r="F10" s="38"/>
      <c r="H10" s="13"/>
    </row>
    <row r="11" spans="1:8" ht="20.25">
      <c r="A11" s="32"/>
      <c r="B11" s="13"/>
      <c r="H11" s="13"/>
    </row>
    <row r="12" spans="1:8" ht="17.25" thickBot="1">
      <c r="A12" s="35" t="s">
        <v>0</v>
      </c>
      <c r="B12" s="35" t="s">
        <v>0</v>
      </c>
      <c r="C12" s="35" t="s">
        <v>0</v>
      </c>
      <c r="D12" s="35" t="s">
        <v>0</v>
      </c>
      <c r="E12" s="35" t="s">
        <v>0</v>
      </c>
      <c r="F12" s="35"/>
      <c r="G12" s="35"/>
      <c r="H12" s="30"/>
    </row>
    <row r="13" spans="1:8" ht="17.25">
      <c r="A13" s="92" t="s">
        <v>0</v>
      </c>
      <c r="B13" s="92" t="s">
        <v>3</v>
      </c>
      <c r="C13" s="92" t="s">
        <v>5</v>
      </c>
      <c r="D13" s="92" t="s">
        <v>21</v>
      </c>
      <c r="E13" s="170" t="s">
        <v>255</v>
      </c>
      <c r="F13" s="170" t="s">
        <v>346</v>
      </c>
      <c r="G13" s="92" t="s">
        <v>20</v>
      </c>
      <c r="H13" s="92" t="s">
        <v>173</v>
      </c>
    </row>
    <row r="14" spans="1:8" ht="18" thickBot="1">
      <c r="A14" s="99" t="s">
        <v>2</v>
      </c>
      <c r="B14" s="99" t="s">
        <v>4</v>
      </c>
      <c r="C14" s="99" t="s">
        <v>6</v>
      </c>
      <c r="D14" s="99" t="s">
        <v>23</v>
      </c>
      <c r="E14" s="99" t="s">
        <v>347</v>
      </c>
      <c r="F14" s="99" t="s">
        <v>217</v>
      </c>
      <c r="G14" s="99" t="s">
        <v>22</v>
      </c>
      <c r="H14" s="99" t="s">
        <v>150</v>
      </c>
    </row>
    <row r="15" spans="1:8">
      <c r="A15" s="40" t="s">
        <v>7</v>
      </c>
      <c r="B15" s="40" t="s">
        <v>7</v>
      </c>
      <c r="C15" s="40" t="s">
        <v>7</v>
      </c>
      <c r="D15" s="40" t="s">
        <v>7</v>
      </c>
      <c r="E15" s="208" t="s">
        <v>439</v>
      </c>
      <c r="F15" s="208" t="s">
        <v>439</v>
      </c>
      <c r="G15" s="40" t="s">
        <v>7</v>
      </c>
      <c r="H15" s="208" t="s">
        <v>439</v>
      </c>
    </row>
    <row r="16" spans="1:8" ht="16.5">
      <c r="A16" s="36"/>
      <c r="B16" s="36"/>
      <c r="C16" s="36"/>
      <c r="D16" s="36"/>
      <c r="G16" s="36"/>
      <c r="H16" s="36"/>
    </row>
    <row r="17" spans="1:9" ht="16.5">
      <c r="A17" s="13"/>
      <c r="B17" s="13"/>
      <c r="C17" s="13"/>
      <c r="D17" s="13"/>
      <c r="G17" s="13"/>
      <c r="H17" s="13"/>
    </row>
    <row r="18" spans="1:9" ht="20.25" customHeight="1">
      <c r="A18" s="64" t="str">
        <f>+'S&amp;D'!A22</f>
        <v>ALLETE Inc</v>
      </c>
      <c r="B18" s="92" t="str">
        <f>+'S&amp;D'!B22</f>
        <v>ALE</v>
      </c>
      <c r="C18" s="92" t="str">
        <f>+'S&amp;D'!C22</f>
        <v>Electric Utility - Cent</v>
      </c>
      <c r="D18" s="278" t="s">
        <v>500</v>
      </c>
      <c r="E18" s="135">
        <v>0.08</v>
      </c>
      <c r="F18" s="135">
        <v>2.5000000000000001E-2</v>
      </c>
      <c r="G18" s="92" t="s">
        <v>63</v>
      </c>
      <c r="H18" s="61">
        <v>0.95</v>
      </c>
    </row>
    <row r="19" spans="1:9" ht="20.25" customHeight="1">
      <c r="A19" s="64" t="str">
        <f>+'S&amp;D'!A23</f>
        <v>Alliant Energy</v>
      </c>
      <c r="B19" s="92" t="str">
        <f>+'S&amp;D'!B23</f>
        <v>LNT</v>
      </c>
      <c r="C19" s="92" t="str">
        <f>+'S&amp;D'!C23</f>
        <v>Electric Utility - Cent</v>
      </c>
      <c r="D19" s="136">
        <v>0.02</v>
      </c>
      <c r="E19" s="135">
        <v>0.115</v>
      </c>
      <c r="F19" s="135">
        <v>0.04</v>
      </c>
      <c r="G19" s="92" t="s">
        <v>63</v>
      </c>
      <c r="H19" s="61">
        <v>0.95</v>
      </c>
    </row>
    <row r="20" spans="1:9" ht="20.25" customHeight="1">
      <c r="A20" s="64" t="str">
        <f>+'S&amp;D'!A24</f>
        <v>AMEREN Corporation</v>
      </c>
      <c r="B20" s="92" t="str">
        <f>+'S&amp;D'!B24</f>
        <v>AEE</v>
      </c>
      <c r="C20" s="92" t="str">
        <f>+'S&amp;D'!C24</f>
        <v>Electric Utility - Cent</v>
      </c>
      <c r="D20" s="136">
        <v>0.12</v>
      </c>
      <c r="E20" s="135">
        <v>0.11</v>
      </c>
      <c r="F20" s="135">
        <v>0.05</v>
      </c>
      <c r="G20" s="92" t="s">
        <v>63</v>
      </c>
      <c r="H20" s="61">
        <v>0.9</v>
      </c>
    </row>
    <row r="21" spans="1:9" ht="20.25" customHeight="1">
      <c r="A21" s="64" t="str">
        <f>+'S&amp;D'!A25</f>
        <v>American Electric Power</v>
      </c>
      <c r="B21" s="92" t="str">
        <f>+'S&amp;D'!B25</f>
        <v>AEP</v>
      </c>
      <c r="C21" s="92" t="str">
        <f>+'S&amp;D'!C25</f>
        <v>Electric Utility - Cent</v>
      </c>
      <c r="D21" s="136">
        <v>0.21</v>
      </c>
      <c r="E21" s="135">
        <v>0.1</v>
      </c>
      <c r="F21" s="135">
        <v>0.04</v>
      </c>
      <c r="G21" s="92" t="s">
        <v>24</v>
      </c>
      <c r="H21" s="61">
        <v>0.85</v>
      </c>
    </row>
    <row r="22" spans="1:9" ht="20.25" customHeight="1">
      <c r="A22" s="64" t="str">
        <f>+'S&amp;D'!A26</f>
        <v>Centerpoint Energy</v>
      </c>
      <c r="B22" s="92" t="str">
        <f>+'S&amp;D'!B26</f>
        <v>CNP</v>
      </c>
      <c r="C22" s="92" t="str">
        <f>+'S&amp;D'!C26</f>
        <v>Electric Utility - Cent</v>
      </c>
      <c r="D22" s="136">
        <v>0.16</v>
      </c>
      <c r="E22" s="135">
        <v>0.1</v>
      </c>
      <c r="F22" s="135">
        <v>0.05</v>
      </c>
      <c r="G22" s="92" t="s">
        <v>24</v>
      </c>
      <c r="H22" s="61">
        <v>1.1000000000000001</v>
      </c>
    </row>
    <row r="23" spans="1:9" ht="20.25" customHeight="1">
      <c r="A23" s="64" t="str">
        <f>+'S&amp;D'!A27</f>
        <v>CMS Energy</v>
      </c>
      <c r="B23" s="92" t="str">
        <f>+'S&amp;D'!B27</f>
        <v>CMS</v>
      </c>
      <c r="C23" s="92" t="str">
        <f>+'S&amp;D'!C27</f>
        <v>Electric Utility - Cent</v>
      </c>
      <c r="D23" s="136">
        <v>0.155</v>
      </c>
      <c r="E23" s="135">
        <v>0.13</v>
      </c>
      <c r="F23" s="135">
        <v>0.05</v>
      </c>
      <c r="G23" s="92" t="s">
        <v>26</v>
      </c>
      <c r="H23" s="61">
        <v>0.9</v>
      </c>
    </row>
    <row r="24" spans="1:9" ht="20.25" customHeight="1">
      <c r="A24" s="64" t="str">
        <f>+'S&amp;D'!A28</f>
        <v>DTE Energy</v>
      </c>
      <c r="B24" s="92" t="str">
        <f>+'S&amp;D'!B28</f>
        <v>DTE</v>
      </c>
      <c r="C24" s="92" t="str">
        <f>+'S&amp;D'!C28</f>
        <v>Electric Utility - Cent</v>
      </c>
      <c r="D24" s="136">
        <v>0.05</v>
      </c>
      <c r="E24" s="135">
        <v>0.115</v>
      </c>
      <c r="F24" s="135">
        <v>4.4999999999999998E-2</v>
      </c>
      <c r="G24" s="92" t="s">
        <v>26</v>
      </c>
      <c r="H24" s="61">
        <v>1</v>
      </c>
    </row>
    <row r="25" spans="1:9" ht="20.25" customHeight="1">
      <c r="A25" s="64" t="str">
        <f>+'S&amp;D'!A29</f>
        <v>Duke Energy</v>
      </c>
      <c r="B25" s="92" t="str">
        <f>+'S&amp;D'!B29</f>
        <v>DUK</v>
      </c>
      <c r="C25" s="92" t="str">
        <f>+'S&amp;D'!C29</f>
        <v>Electric Utility - East</v>
      </c>
      <c r="D25" s="136">
        <v>0.11</v>
      </c>
      <c r="E25" s="135">
        <v>0.1</v>
      </c>
      <c r="F25" s="135">
        <v>3.5000000000000003E-2</v>
      </c>
      <c r="G25" s="92" t="s">
        <v>24</v>
      </c>
      <c r="H25" s="61">
        <v>0.7</v>
      </c>
      <c r="I25" s="11" t="s">
        <v>0</v>
      </c>
    </row>
    <row r="26" spans="1:9" ht="20.25" customHeight="1">
      <c r="A26" s="64" t="str">
        <f>+'S&amp;D'!A30</f>
        <v>Entergy Corp</v>
      </c>
      <c r="B26" s="92" t="str">
        <f>+'S&amp;D'!B30</f>
        <v>ETR</v>
      </c>
      <c r="C26" s="92" t="str">
        <f>+'S&amp;D'!C30</f>
        <v>Electric Utility - Cent</v>
      </c>
      <c r="D26" s="136">
        <v>0.2</v>
      </c>
      <c r="E26" s="135">
        <v>9.5000000000000001E-2</v>
      </c>
      <c r="F26" s="135">
        <v>2.5000000000000001E-2</v>
      </c>
      <c r="G26" s="92" t="s">
        <v>63</v>
      </c>
      <c r="H26" s="61">
        <v>1</v>
      </c>
      <c r="I26" s="11"/>
    </row>
    <row r="27" spans="1:9" ht="20.25" customHeight="1">
      <c r="A27" s="64" t="str">
        <f>+'S&amp;D'!A31</f>
        <v>Evergy Inc</v>
      </c>
      <c r="B27" s="92" t="str">
        <f>+'S&amp;D'!B31</f>
        <v>EVRG</v>
      </c>
      <c r="C27" s="92" t="str">
        <f>+'S&amp;D'!C31</f>
        <v>Electric Utility - Cent</v>
      </c>
      <c r="D27" s="136">
        <v>6.5000000000000002E-2</v>
      </c>
      <c r="E27" s="135">
        <v>0.09</v>
      </c>
      <c r="F27" s="135">
        <v>0.03</v>
      </c>
      <c r="G27" s="92" t="s">
        <v>26</v>
      </c>
      <c r="H27" s="61">
        <v>0.95</v>
      </c>
      <c r="I27" s="11"/>
    </row>
    <row r="28" spans="1:9" ht="20.25" customHeight="1">
      <c r="A28" s="64" t="str">
        <f>+'S&amp;D'!A32</f>
        <v>FirstEnergy Corp</v>
      </c>
      <c r="B28" s="92" t="str">
        <f>+'S&amp;D'!B32</f>
        <v>FE</v>
      </c>
      <c r="C28" s="92" t="str">
        <f>+'S&amp;D'!C32</f>
        <v>Electric Utility - East</v>
      </c>
      <c r="D28" s="136">
        <v>0.21</v>
      </c>
      <c r="E28" s="135">
        <v>0.115</v>
      </c>
      <c r="F28" s="135">
        <v>3.5000000000000003E-2</v>
      </c>
      <c r="G28" s="92" t="s">
        <v>26</v>
      </c>
      <c r="H28" s="61">
        <v>0.75</v>
      </c>
      <c r="I28" s="11" t="s">
        <v>0</v>
      </c>
    </row>
    <row r="29" spans="1:9" ht="20.25" customHeight="1">
      <c r="A29" s="64" t="str">
        <f>+'S&amp;D'!A33</f>
        <v>OGE Energy Corp.</v>
      </c>
      <c r="B29" s="92" t="str">
        <f>+'S&amp;D'!B33</f>
        <v>OGE</v>
      </c>
      <c r="C29" s="92" t="str">
        <f>+'S&amp;D'!C33</f>
        <v>Electric Utility - Cent</v>
      </c>
      <c r="D29" s="136">
        <v>0.12</v>
      </c>
      <c r="E29" s="135">
        <v>0.125</v>
      </c>
      <c r="F29" s="135">
        <v>4.4999999999999998E-2</v>
      </c>
      <c r="G29" s="92" t="s">
        <v>26</v>
      </c>
      <c r="H29" s="61">
        <v>1.05</v>
      </c>
      <c r="I29" s="11"/>
    </row>
    <row r="30" spans="1:9" ht="20.25" customHeight="1">
      <c r="A30" s="64" t="str">
        <f>+'S&amp;D'!A34</f>
        <v>Otter Tail Corp</v>
      </c>
      <c r="B30" s="92" t="str">
        <f>+'S&amp;D'!B34</f>
        <v>OTTR</v>
      </c>
      <c r="C30" s="92" t="str">
        <f>+'S&amp;D'!C34</f>
        <v>Electric Utility - Cent</v>
      </c>
      <c r="D30" s="136">
        <v>0.2</v>
      </c>
      <c r="E30" s="135">
        <v>0.125</v>
      </c>
      <c r="F30" s="135">
        <v>7.0000000000000007E-2</v>
      </c>
      <c r="G30" s="92" t="s">
        <v>24</v>
      </c>
      <c r="H30" s="61">
        <v>0.95</v>
      </c>
      <c r="I30" s="11"/>
    </row>
    <row r="31" spans="1:9" ht="20.25" customHeight="1">
      <c r="A31" s="64" t="str">
        <f>+'S&amp;D'!A35</f>
        <v>PPL Corporation</v>
      </c>
      <c r="B31" s="92" t="str">
        <f>+'S&amp;D'!B35</f>
        <v>PPL</v>
      </c>
      <c r="C31" s="92" t="str">
        <f>+'S&amp;D'!C35</f>
        <v>Electric Utility - East</v>
      </c>
      <c r="D31" s="136">
        <v>0.21</v>
      </c>
      <c r="E31" s="242">
        <v>8.5000000000000006E-2</v>
      </c>
      <c r="F31" s="242">
        <v>3.5000000000000003E-2</v>
      </c>
      <c r="G31" s="92" t="s">
        <v>63</v>
      </c>
      <c r="H31" s="61">
        <v>0.9</v>
      </c>
      <c r="I31" s="11" t="s">
        <v>0</v>
      </c>
    </row>
    <row r="32" spans="1:9" ht="20.25" customHeight="1">
      <c r="A32" s="64" t="str">
        <f>+'S&amp;D'!A36</f>
        <v>The Southern Company</v>
      </c>
      <c r="B32" s="92" t="str">
        <f>+'S&amp;D'!B36</f>
        <v>SO</v>
      </c>
      <c r="C32" s="92" t="str">
        <f>+'S&amp;D'!C36</f>
        <v>Electric Utility - East</v>
      </c>
      <c r="D32" s="136">
        <v>0.15</v>
      </c>
      <c r="E32" s="242">
        <v>0.13</v>
      </c>
      <c r="F32" s="242">
        <v>3.5000000000000003E-2</v>
      </c>
      <c r="G32" s="92" t="s">
        <v>24</v>
      </c>
      <c r="H32" s="61">
        <v>0.75</v>
      </c>
      <c r="I32" s="11" t="s">
        <v>0</v>
      </c>
    </row>
    <row r="33" spans="1:8" ht="20.25" customHeight="1" thickBot="1">
      <c r="A33" s="64" t="str">
        <f>+'S&amp;D'!A37</f>
        <v>WEC Energy Group</v>
      </c>
      <c r="B33" s="92" t="str">
        <f>+'S&amp;D'!B37</f>
        <v>WEC</v>
      </c>
      <c r="C33" s="92" t="str">
        <f>+'S&amp;D'!C37</f>
        <v>Electric Utility - Cent</v>
      </c>
      <c r="D33" s="276">
        <v>0.19</v>
      </c>
      <c r="E33" s="277">
        <v>0.125</v>
      </c>
      <c r="F33" s="277">
        <v>0.04</v>
      </c>
      <c r="G33" s="275" t="s">
        <v>63</v>
      </c>
      <c r="H33" s="66">
        <v>0.9</v>
      </c>
    </row>
    <row r="34" spans="1:8" ht="20.25" customHeight="1" thickTop="1">
      <c r="A34" s="112"/>
      <c r="B34" s="112"/>
      <c r="C34" s="4"/>
      <c r="D34" s="166" t="s">
        <v>0</v>
      </c>
      <c r="E34" s="4"/>
      <c r="F34" s="4"/>
      <c r="G34" s="120" t="s">
        <v>65</v>
      </c>
      <c r="H34" s="279">
        <f>MAX(H18:H33)</f>
        <v>1.1000000000000001</v>
      </c>
    </row>
    <row r="35" spans="1:8" ht="20.25" customHeight="1">
      <c r="A35" s="112"/>
      <c r="B35" s="112"/>
      <c r="C35" s="4"/>
      <c r="D35" s="166" t="s">
        <v>0</v>
      </c>
      <c r="E35" s="4"/>
      <c r="F35" s="4"/>
      <c r="G35" s="120" t="s">
        <v>66</v>
      </c>
      <c r="H35" s="326">
        <f>MIN(H18:H33)</f>
        <v>0.7</v>
      </c>
    </row>
    <row r="36" spans="1:8" ht="20.25" customHeight="1">
      <c r="A36" s="112"/>
      <c r="B36" s="112"/>
      <c r="C36" s="4"/>
      <c r="D36" s="167" t="s">
        <v>0</v>
      </c>
      <c r="E36" s="4"/>
      <c r="F36" s="4"/>
      <c r="G36" s="120" t="s">
        <v>18</v>
      </c>
      <c r="H36" s="168">
        <f>MEDIAN(H18:H33)</f>
        <v>0.92500000000000004</v>
      </c>
    </row>
    <row r="37" spans="1:8" ht="20.25" customHeight="1">
      <c r="A37" s="112"/>
      <c r="B37" s="112"/>
      <c r="C37" s="4"/>
      <c r="D37" s="123" t="s">
        <v>0</v>
      </c>
      <c r="E37" s="4"/>
      <c r="F37" s="4"/>
      <c r="G37" s="120" t="s">
        <v>403</v>
      </c>
      <c r="H37" s="169">
        <f>AVERAGE(H18:H33)</f>
        <v>0.91250000000000009</v>
      </c>
    </row>
    <row r="38" spans="1:8" ht="20.25" customHeight="1" thickBot="1">
      <c r="A38" s="13"/>
      <c r="B38" s="13"/>
      <c r="C38" s="13"/>
      <c r="D38" s="13"/>
      <c r="G38" s="13"/>
      <c r="H38" s="13"/>
    </row>
    <row r="39" spans="1:8" ht="20.25" customHeight="1" thickBot="1">
      <c r="A39" s="13"/>
      <c r="B39" s="13"/>
      <c r="C39" s="13"/>
      <c r="D39" s="13"/>
      <c r="G39" s="187" t="s">
        <v>108</v>
      </c>
      <c r="H39" s="284">
        <v>0.91</v>
      </c>
    </row>
    <row r="42" spans="1:8" ht="17.25">
      <c r="A42" s="112" t="s">
        <v>348</v>
      </c>
    </row>
    <row r="43" spans="1:8" ht="17.25">
      <c r="A43" s="112" t="s">
        <v>349</v>
      </c>
    </row>
  </sheetData>
  <pageMargins left="0.25" right="0.25" top="0.75" bottom="0.75" header="0.3" footer="0.3"/>
  <pageSetup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0854-9225-4685-BC0B-402957CF1047}">
  <sheetPr>
    <tabColor rgb="FF92D050"/>
  </sheetPr>
  <dimension ref="A1:K39"/>
  <sheetViews>
    <sheetView view="pageBreakPreview" zoomScale="60" zoomScaleNormal="80" workbookViewId="0">
      <selection activeCell="I17" sqref="I17"/>
    </sheetView>
  </sheetViews>
  <sheetFormatPr defaultRowHeight="15"/>
  <cols>
    <col min="1" max="1" width="50.42578125" customWidth="1"/>
    <col min="2" max="2" width="10.85546875" bestFit="1" customWidth="1"/>
    <col min="3" max="3" width="23.5703125" customWidth="1"/>
    <col min="4" max="4" width="15.425781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5703125" customWidth="1"/>
    <col min="12" max="12" width="23.5703125" customWidth="1"/>
  </cols>
  <sheetData>
    <row r="1" spans="1:11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16.5">
      <c r="A3" s="27" t="s">
        <v>435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16.5">
      <c r="A4" s="27"/>
      <c r="B4" s="13"/>
      <c r="C4" s="13"/>
      <c r="D4" s="13"/>
      <c r="E4" s="13"/>
      <c r="F4" s="13"/>
      <c r="G4" s="13"/>
      <c r="H4" s="13"/>
      <c r="I4" s="13"/>
      <c r="J4" s="13"/>
    </row>
    <row r="5" spans="1:11" ht="17.25" thickBot="1">
      <c r="A5" s="13"/>
      <c r="B5" s="13"/>
      <c r="C5" s="13"/>
      <c r="D5" s="13"/>
      <c r="E5" s="13"/>
      <c r="F5" s="13"/>
      <c r="G5" s="28"/>
      <c r="H5" s="13"/>
      <c r="I5" s="13"/>
      <c r="J5" s="13"/>
    </row>
    <row r="6" spans="1:11" ht="21" thickBot="1">
      <c r="A6" s="245" t="str">
        <f>+'S&amp;D'!A12</f>
        <v>Electric Utilities</v>
      </c>
      <c r="B6" s="181"/>
      <c r="C6" s="13"/>
      <c r="D6" s="30"/>
      <c r="E6" s="30"/>
      <c r="F6" s="31" t="s">
        <v>0</v>
      </c>
      <c r="G6" s="13"/>
      <c r="H6" s="13"/>
      <c r="I6" s="13"/>
      <c r="J6" s="13"/>
    </row>
    <row r="7" spans="1:11" ht="26.25">
      <c r="A7" s="32"/>
      <c r="B7" s="13"/>
      <c r="C7" s="13"/>
      <c r="D7" s="13"/>
      <c r="E7" s="33" t="s">
        <v>196</v>
      </c>
      <c r="F7" s="13"/>
      <c r="G7" s="13"/>
      <c r="H7" s="13"/>
      <c r="I7" s="13"/>
      <c r="J7" s="13"/>
    </row>
    <row r="8" spans="1:11" ht="21" thickBot="1">
      <c r="A8" s="32"/>
      <c r="B8" s="13"/>
      <c r="C8" s="13"/>
      <c r="D8" s="30"/>
      <c r="E8" s="34" t="s">
        <v>436</v>
      </c>
      <c r="F8" s="30"/>
      <c r="G8" s="13"/>
      <c r="H8" s="13"/>
      <c r="I8" s="13"/>
      <c r="J8" s="13"/>
    </row>
    <row r="9" spans="1:11" ht="17.25" thickBot="1">
      <c r="A9" s="35" t="s">
        <v>0</v>
      </c>
      <c r="B9" s="35" t="s">
        <v>0</v>
      </c>
      <c r="C9" s="35" t="s">
        <v>0</v>
      </c>
      <c r="D9" s="35" t="s">
        <v>0</v>
      </c>
      <c r="E9" s="35" t="s">
        <v>0</v>
      </c>
      <c r="F9" s="35"/>
      <c r="G9" s="30"/>
      <c r="H9" s="30"/>
      <c r="I9" s="30"/>
      <c r="J9" s="30"/>
      <c r="K9" s="148"/>
    </row>
    <row r="10" spans="1:11" ht="16.5">
      <c r="A10" s="36" t="s">
        <v>0</v>
      </c>
      <c r="B10" s="36" t="s">
        <v>3</v>
      </c>
      <c r="C10" s="36" t="s">
        <v>5</v>
      </c>
      <c r="D10" s="36" t="s">
        <v>191</v>
      </c>
      <c r="E10" s="36" t="s">
        <v>192</v>
      </c>
      <c r="F10" s="36" t="s">
        <v>194</v>
      </c>
      <c r="G10" s="36" t="s">
        <v>192</v>
      </c>
      <c r="H10" s="36" t="s">
        <v>194</v>
      </c>
      <c r="I10" s="36" t="s">
        <v>192</v>
      </c>
      <c r="J10" s="36" t="s">
        <v>194</v>
      </c>
      <c r="K10" s="36" t="s">
        <v>289</v>
      </c>
    </row>
    <row r="11" spans="1:11" ht="16.5">
      <c r="A11" s="36"/>
      <c r="B11" s="36" t="s">
        <v>4</v>
      </c>
      <c r="C11" s="36" t="s">
        <v>6</v>
      </c>
      <c r="D11" s="36" t="s">
        <v>28</v>
      </c>
      <c r="E11" s="36" t="s">
        <v>193</v>
      </c>
      <c r="F11" s="36" t="s">
        <v>151</v>
      </c>
      <c r="G11" s="36" t="s">
        <v>193</v>
      </c>
      <c r="H11" s="36" t="s">
        <v>151</v>
      </c>
      <c r="I11" s="36" t="s">
        <v>193</v>
      </c>
      <c r="J11" s="36" t="s">
        <v>151</v>
      </c>
      <c r="K11" s="36" t="s">
        <v>209</v>
      </c>
    </row>
    <row r="12" spans="1:11" ht="17.25" thickBot="1">
      <c r="A12" s="38" t="s">
        <v>2</v>
      </c>
      <c r="B12" s="38" t="s">
        <v>0</v>
      </c>
      <c r="C12" s="38" t="s">
        <v>0</v>
      </c>
      <c r="D12" s="38" t="s">
        <v>0</v>
      </c>
      <c r="E12" s="38" t="s">
        <v>195</v>
      </c>
      <c r="F12" s="38" t="s">
        <v>195</v>
      </c>
      <c r="G12" s="38" t="s">
        <v>287</v>
      </c>
      <c r="H12" s="38" t="s">
        <v>287</v>
      </c>
      <c r="I12" s="38" t="s">
        <v>288</v>
      </c>
      <c r="J12" s="38" t="s">
        <v>288</v>
      </c>
      <c r="K12" s="210" t="s">
        <v>290</v>
      </c>
    </row>
    <row r="13" spans="1:11">
      <c r="A13" s="40" t="s">
        <v>7</v>
      </c>
      <c r="B13" s="40" t="s">
        <v>7</v>
      </c>
      <c r="C13" s="40" t="s">
        <v>7</v>
      </c>
      <c r="D13" s="41" t="s">
        <v>147</v>
      </c>
      <c r="E13" s="40" t="s">
        <v>7</v>
      </c>
      <c r="F13" s="40" t="s">
        <v>0</v>
      </c>
      <c r="G13" s="40" t="s">
        <v>7</v>
      </c>
      <c r="H13" s="40" t="s">
        <v>0</v>
      </c>
      <c r="I13" s="40" t="s">
        <v>7</v>
      </c>
      <c r="J13" s="40" t="s">
        <v>0</v>
      </c>
      <c r="K13" s="40" t="s">
        <v>0</v>
      </c>
    </row>
    <row r="14" spans="1:11" ht="16.5">
      <c r="A14" s="36"/>
      <c r="B14" s="36"/>
      <c r="C14" s="36"/>
      <c r="D14" s="36"/>
      <c r="E14" s="36"/>
      <c r="F14" s="36"/>
      <c r="G14" s="13"/>
      <c r="H14" s="13"/>
      <c r="I14" s="13"/>
      <c r="J14" s="13"/>
      <c r="K14" s="13"/>
    </row>
    <row r="15" spans="1:11" ht="16.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7.25">
      <c r="A16" s="64" t="str">
        <f>+'S&amp;D'!A22</f>
        <v>ALLETE Inc</v>
      </c>
      <c r="B16" s="92" t="str">
        <f>+'S&amp;D'!B22</f>
        <v>ALE</v>
      </c>
      <c r="C16" s="92" t="str">
        <f>+'S&amp;D'!C22</f>
        <v>Electric Utility - Cent</v>
      </c>
      <c r="D16" s="61">
        <f>+'S&amp;D'!G22</f>
        <v>64.8</v>
      </c>
      <c r="E16" s="63">
        <v>2.94</v>
      </c>
      <c r="F16" s="67">
        <f>+E16/D16</f>
        <v>4.5370370370370373E-2</v>
      </c>
      <c r="G16" s="63">
        <v>3.08</v>
      </c>
      <c r="H16" s="67">
        <f>+G16/D16</f>
        <v>4.7530864197530866E-2</v>
      </c>
      <c r="I16" s="63">
        <v>3.26</v>
      </c>
      <c r="J16" s="67">
        <f>+I16/D16</f>
        <v>5.0308641975308641E-2</v>
      </c>
      <c r="K16" s="209">
        <f>RATE(3,,-G16,I16)</f>
        <v>1.9112889602469634E-2</v>
      </c>
    </row>
    <row r="17" spans="1:11" ht="17.25">
      <c r="A17" s="64" t="str">
        <f>+'S&amp;D'!A23</f>
        <v>Alliant Energy</v>
      </c>
      <c r="B17" s="92" t="str">
        <f>+'S&amp;D'!B23</f>
        <v>LNT</v>
      </c>
      <c r="C17" s="92" t="str">
        <f>+'S&amp;D'!C23</f>
        <v>Electric Utility - Cent</v>
      </c>
      <c r="D17" s="61">
        <f>+'S&amp;D'!G23</f>
        <v>59.14</v>
      </c>
      <c r="E17" s="63">
        <v>2.04</v>
      </c>
      <c r="F17" s="67">
        <f t="shared" ref="F17:F31" si="0">+E17/D17</f>
        <v>3.4494420020290836E-2</v>
      </c>
      <c r="G17" s="63">
        <v>2.16</v>
      </c>
      <c r="H17" s="67">
        <f t="shared" ref="H17:H31" si="1">+G17/D17</f>
        <v>3.6523503550896182E-2</v>
      </c>
      <c r="I17" s="63">
        <v>2.4300000000000002</v>
      </c>
      <c r="J17" s="67">
        <f t="shared" ref="J17:J31" si="2">+I17/D17</f>
        <v>4.1088941494758204E-2</v>
      </c>
      <c r="K17" s="209">
        <f>RATE(3,,-G17,I17)</f>
        <v>4.0041911525952101E-2</v>
      </c>
    </row>
    <row r="18" spans="1:11" ht="17.25">
      <c r="A18" s="64" t="str">
        <f>+'S&amp;D'!A24</f>
        <v>AMEREN Corporation</v>
      </c>
      <c r="B18" s="92" t="str">
        <f>+'S&amp;D'!B24</f>
        <v>AEE</v>
      </c>
      <c r="C18" s="92" t="str">
        <f>+'S&amp;D'!C24</f>
        <v>Electric Utility - Cent</v>
      </c>
      <c r="D18" s="61">
        <f>+'S&amp;D'!G24</f>
        <v>89.14</v>
      </c>
      <c r="E18" s="63">
        <v>2.85</v>
      </c>
      <c r="F18" s="67">
        <f t="shared" si="0"/>
        <v>3.1972178595467804E-2</v>
      </c>
      <c r="G18" s="63">
        <v>3.03</v>
      </c>
      <c r="H18" s="67">
        <f t="shared" si="1"/>
        <v>3.3991474085707872E-2</v>
      </c>
      <c r="I18" s="63">
        <v>3.57</v>
      </c>
      <c r="J18" s="67">
        <f t="shared" si="2"/>
        <v>4.004936055642809E-2</v>
      </c>
      <c r="K18" s="283">
        <f t="shared" ref="K18:K31" si="3">RATE(3,,-G18,I18)</f>
        <v>5.6189540995439054E-2</v>
      </c>
    </row>
    <row r="19" spans="1:11" ht="17.25">
      <c r="A19" s="64" t="str">
        <f>+'S&amp;D'!A25</f>
        <v>American Electric Power</v>
      </c>
      <c r="B19" s="92" t="str">
        <f>+'S&amp;D'!B25</f>
        <v>AEP</v>
      </c>
      <c r="C19" s="92" t="str">
        <f>+'S&amp;D'!C25</f>
        <v>Electric Utility - Cent</v>
      </c>
      <c r="D19" s="61">
        <f>+'S&amp;D'!G25</f>
        <v>92.23</v>
      </c>
      <c r="E19" s="63">
        <v>3.8</v>
      </c>
      <c r="F19" s="67">
        <f t="shared" si="0"/>
        <v>4.1201344464924641E-2</v>
      </c>
      <c r="G19" s="63">
        <v>3.98</v>
      </c>
      <c r="H19" s="67">
        <f t="shared" si="1"/>
        <v>4.3152987097473706E-2</v>
      </c>
      <c r="I19" s="63">
        <v>4.3099999999999996</v>
      </c>
      <c r="J19" s="67">
        <f t="shared" si="2"/>
        <v>4.6730998590480313E-2</v>
      </c>
      <c r="K19" s="283">
        <f t="shared" si="3"/>
        <v>2.6907674104737826E-2</v>
      </c>
    </row>
    <row r="20" spans="1:11" ht="17.25">
      <c r="A20" s="64" t="str">
        <f>+'S&amp;D'!A26</f>
        <v>Centerpoint Energy</v>
      </c>
      <c r="B20" s="92" t="str">
        <f>+'S&amp;D'!B26</f>
        <v>CNP</v>
      </c>
      <c r="C20" s="92" t="str">
        <f>+'S&amp;D'!C26</f>
        <v>Electric Utility - Cent</v>
      </c>
      <c r="D20" s="61">
        <f>+'S&amp;D'!G26</f>
        <v>31.73</v>
      </c>
      <c r="E20" s="63">
        <v>0.89</v>
      </c>
      <c r="F20" s="67">
        <f t="shared" si="0"/>
        <v>2.8049164828238261E-2</v>
      </c>
      <c r="G20" s="63">
        <v>0.95</v>
      </c>
      <c r="H20" s="67">
        <f t="shared" si="1"/>
        <v>2.9940119760479039E-2</v>
      </c>
      <c r="I20" s="63">
        <v>1.01</v>
      </c>
      <c r="J20" s="67">
        <f t="shared" si="2"/>
        <v>3.1831074692719827E-2</v>
      </c>
      <c r="K20" s="283">
        <f t="shared" si="3"/>
        <v>2.0624343742740782E-2</v>
      </c>
    </row>
    <row r="21" spans="1:11" ht="17.25">
      <c r="A21" s="64" t="str">
        <f>+'S&amp;D'!A27</f>
        <v>CMS Energy</v>
      </c>
      <c r="B21" s="92" t="str">
        <f>+'S&amp;D'!B27</f>
        <v>CMS</v>
      </c>
      <c r="C21" s="92" t="str">
        <f>+'S&amp;D'!C27</f>
        <v>Electric Utility - Cent</v>
      </c>
      <c r="D21" s="61">
        <f>+'S&amp;D'!G27</f>
        <v>66.650000000000006</v>
      </c>
      <c r="E21" s="63">
        <v>2.2000000000000002</v>
      </c>
      <c r="F21" s="67">
        <f t="shared" si="0"/>
        <v>3.3008252063015754E-2</v>
      </c>
      <c r="G21" s="63">
        <v>2.2999999999999998</v>
      </c>
      <c r="H21" s="67">
        <f t="shared" si="1"/>
        <v>3.4508627156789193E-2</v>
      </c>
      <c r="I21" s="63">
        <v>2.5</v>
      </c>
      <c r="J21" s="67">
        <f t="shared" si="2"/>
        <v>3.7509377344336084E-2</v>
      </c>
      <c r="K21" s="283">
        <f t="shared" si="3"/>
        <v>2.8183722701926761E-2</v>
      </c>
    </row>
    <row r="22" spans="1:11" ht="17.25">
      <c r="A22" s="64" t="str">
        <f>+'S&amp;D'!A28</f>
        <v>DTE Energy</v>
      </c>
      <c r="B22" s="92" t="str">
        <f>+'S&amp;D'!B28</f>
        <v>DTE</v>
      </c>
      <c r="C22" s="92" t="str">
        <f>+'S&amp;D'!C28</f>
        <v>Electric Utility - Cent</v>
      </c>
      <c r="D22" s="61">
        <f>+'S&amp;D'!G28</f>
        <v>120.75</v>
      </c>
      <c r="E22" s="63">
        <v>4.41</v>
      </c>
      <c r="F22" s="67">
        <f t="shared" si="0"/>
        <v>3.6521739130434785E-2</v>
      </c>
      <c r="G22" s="63">
        <v>4.71</v>
      </c>
      <c r="H22" s="67">
        <f t="shared" si="1"/>
        <v>3.900621118012422E-2</v>
      </c>
      <c r="I22" s="63">
        <v>5.15</v>
      </c>
      <c r="J22" s="67">
        <f t="shared" si="2"/>
        <v>4.265010351966874E-2</v>
      </c>
      <c r="K22" s="283">
        <f t="shared" si="3"/>
        <v>3.0217146859927831E-2</v>
      </c>
    </row>
    <row r="23" spans="1:11" ht="17.25">
      <c r="A23" s="64" t="str">
        <f>+'S&amp;D'!A29</f>
        <v>Duke Energy</v>
      </c>
      <c r="B23" s="92" t="str">
        <f>+'S&amp;D'!B29</f>
        <v>DUK</v>
      </c>
      <c r="C23" s="92" t="str">
        <f>+'S&amp;D'!C29</f>
        <v>Electric Utility - East</v>
      </c>
      <c r="D23" s="61">
        <f>+'S&amp;D'!G29</f>
        <v>107.74</v>
      </c>
      <c r="E23" s="63">
        <v>4.22</v>
      </c>
      <c r="F23" s="67">
        <f t="shared" si="0"/>
        <v>3.916836829404121E-2</v>
      </c>
      <c r="G23" s="63">
        <v>4.3</v>
      </c>
      <c r="H23" s="67">
        <f t="shared" si="1"/>
        <v>3.991089660293299E-2</v>
      </c>
      <c r="I23" s="63">
        <v>5</v>
      </c>
      <c r="J23" s="67">
        <f t="shared" si="2"/>
        <v>4.6408019305736035E-2</v>
      </c>
      <c r="K23" s="283">
        <f t="shared" si="3"/>
        <v>5.1559495992220462E-2</v>
      </c>
    </row>
    <row r="24" spans="1:11" ht="17.25">
      <c r="A24" s="64" t="str">
        <f>+'S&amp;D'!A30</f>
        <v>Entergy Corp</v>
      </c>
      <c r="B24" s="92" t="str">
        <f>+'S&amp;D'!B30</f>
        <v>ETR</v>
      </c>
      <c r="C24" s="92" t="str">
        <f>+'S&amp;D'!C30</f>
        <v>Electric Utility - Cent</v>
      </c>
      <c r="D24" s="61">
        <f>+'S&amp;D'!G30</f>
        <v>75.819999999999993</v>
      </c>
      <c r="E24" s="63">
        <v>2.4300000000000002</v>
      </c>
      <c r="F24" s="67">
        <f t="shared" si="0"/>
        <v>3.2049591136903199E-2</v>
      </c>
      <c r="G24" s="63">
        <v>2.5499999999999998</v>
      </c>
      <c r="H24" s="67">
        <f t="shared" si="1"/>
        <v>3.3632286995515695E-2</v>
      </c>
      <c r="I24" s="63">
        <v>3</v>
      </c>
      <c r="J24" s="67">
        <f t="shared" si="2"/>
        <v>3.9567396465312585E-2</v>
      </c>
      <c r="K24" s="283">
        <f t="shared" si="3"/>
        <v>5.5667191978000775E-2</v>
      </c>
    </row>
    <row r="25" spans="1:11" ht="17.25">
      <c r="A25" s="64" t="str">
        <f>+'S&amp;D'!A31</f>
        <v>Evergy Inc</v>
      </c>
      <c r="B25" s="92" t="str">
        <f>+'S&amp;D'!B31</f>
        <v>EVRG</v>
      </c>
      <c r="C25" s="92" t="str">
        <f>+'S&amp;D'!C31</f>
        <v>Electric Utility - Cent</v>
      </c>
      <c r="D25" s="61">
        <f>+'S&amp;D'!G31</f>
        <v>61.55</v>
      </c>
      <c r="E25" s="63">
        <v>2.71</v>
      </c>
      <c r="F25" s="67">
        <f t="shared" si="0"/>
        <v>4.4029244516653132E-2</v>
      </c>
      <c r="G25" s="63">
        <v>2.84</v>
      </c>
      <c r="H25" s="67">
        <f t="shared" si="1"/>
        <v>4.614134849715678E-2</v>
      </c>
      <c r="I25" s="63">
        <v>3.25</v>
      </c>
      <c r="J25" s="67">
        <f t="shared" si="2"/>
        <v>5.2802599512591392E-2</v>
      </c>
      <c r="K25" s="283">
        <f t="shared" si="3"/>
        <v>4.5975889015689171E-2</v>
      </c>
    </row>
    <row r="26" spans="1:11" ht="17.25">
      <c r="A26" s="64" t="str">
        <f>+'S&amp;D'!A32</f>
        <v>FirstEnergy Corp</v>
      </c>
      <c r="B26" s="92" t="str">
        <f>+'S&amp;D'!B32</f>
        <v>FE</v>
      </c>
      <c r="C26" s="92" t="str">
        <f>+'S&amp;D'!C32</f>
        <v>Electric Utility - East</v>
      </c>
      <c r="D26" s="61">
        <f>+'S&amp;D'!G32</f>
        <v>39.78</v>
      </c>
      <c r="E26" s="63">
        <v>1.78</v>
      </c>
      <c r="F26" s="67">
        <f t="shared" si="0"/>
        <v>4.4746103569632982E-2</v>
      </c>
      <c r="G26" s="63">
        <v>1.86</v>
      </c>
      <c r="H26" s="67">
        <f t="shared" si="1"/>
        <v>4.6757164404223228E-2</v>
      </c>
      <c r="I26" s="63">
        <v>2.1</v>
      </c>
      <c r="J26" s="67">
        <f t="shared" si="2"/>
        <v>5.2790346907993967E-2</v>
      </c>
      <c r="K26" s="283">
        <f t="shared" si="3"/>
        <v>4.1283012836560447E-2</v>
      </c>
    </row>
    <row r="27" spans="1:11" ht="17.25">
      <c r="A27" s="64" t="str">
        <f>+'S&amp;D'!A33</f>
        <v>OGE Energy Corp.</v>
      </c>
      <c r="B27" s="92" t="str">
        <f>+'S&amp;D'!B33</f>
        <v>OGE</v>
      </c>
      <c r="C27" s="92" t="str">
        <f>+'S&amp;D'!C33</f>
        <v>Electric Utility - Cent</v>
      </c>
      <c r="D27" s="61">
        <f>+'S&amp;D'!G33</f>
        <v>41.25</v>
      </c>
      <c r="E27" s="63">
        <v>1.71</v>
      </c>
      <c r="F27" s="67">
        <f t="shared" si="0"/>
        <v>4.1454545454545452E-2</v>
      </c>
      <c r="G27" s="63">
        <v>1.73</v>
      </c>
      <c r="H27" s="67">
        <f t="shared" si="1"/>
        <v>4.1939393939393936E-2</v>
      </c>
      <c r="I27" s="63">
        <v>1.79</v>
      </c>
      <c r="J27" s="67">
        <f t="shared" si="2"/>
        <v>4.3393939393939394E-2</v>
      </c>
      <c r="K27" s="283">
        <f t="shared" si="3"/>
        <v>1.1429561075520853E-2</v>
      </c>
    </row>
    <row r="28" spans="1:11" ht="17.25">
      <c r="A28" s="64" t="str">
        <f>+'S&amp;D'!A34</f>
        <v>Otter Tail Corp</v>
      </c>
      <c r="B28" s="92" t="str">
        <f>+'S&amp;D'!B34</f>
        <v>OTTR</v>
      </c>
      <c r="C28" s="92" t="str">
        <f>+'S&amp;D'!C34</f>
        <v>Electric Utility - Cent</v>
      </c>
      <c r="D28" s="61">
        <f>+'S&amp;D'!G34</f>
        <v>73.84</v>
      </c>
      <c r="E28" s="63">
        <v>2.1</v>
      </c>
      <c r="F28" s="67">
        <f t="shared" si="0"/>
        <v>2.8439869989165763E-2</v>
      </c>
      <c r="G28" s="63">
        <v>2.1800000000000002</v>
      </c>
      <c r="H28" s="67">
        <f t="shared" si="1"/>
        <v>2.9523293607800649E-2</v>
      </c>
      <c r="I28" s="63">
        <v>2.36</v>
      </c>
      <c r="J28" s="67">
        <f t="shared" si="2"/>
        <v>3.1960996749729138E-2</v>
      </c>
      <c r="K28" s="283">
        <f t="shared" si="3"/>
        <v>2.6798368139537725E-2</v>
      </c>
    </row>
    <row r="29" spans="1:11" ht="17.25">
      <c r="A29" s="64" t="str">
        <f>+'S&amp;D'!A35</f>
        <v>PPL Corporation</v>
      </c>
      <c r="B29" s="92" t="str">
        <f>+'S&amp;D'!B35</f>
        <v>PPL</v>
      </c>
      <c r="C29" s="92" t="str">
        <f>+'S&amp;D'!C35</f>
        <v>Electric Utility - East</v>
      </c>
      <c r="D29" s="61">
        <f>+'S&amp;D'!G35</f>
        <v>32.46</v>
      </c>
      <c r="E29" s="63">
        <v>1.0900000000000001</v>
      </c>
      <c r="F29" s="67">
        <f t="shared" si="0"/>
        <v>3.3579790511398644E-2</v>
      </c>
      <c r="G29" s="63">
        <v>1.17</v>
      </c>
      <c r="H29" s="67">
        <f t="shared" si="1"/>
        <v>3.6044362292051754E-2</v>
      </c>
      <c r="I29" s="63">
        <v>1.4</v>
      </c>
      <c r="J29" s="67">
        <f t="shared" si="2"/>
        <v>4.3130006161429445E-2</v>
      </c>
      <c r="K29" s="283">
        <f t="shared" si="3"/>
        <v>6.1648436856954376E-2</v>
      </c>
    </row>
    <row r="30" spans="1:11" ht="17.25">
      <c r="A30" s="64" t="str">
        <f>+'S&amp;D'!A36</f>
        <v>The Southern Company</v>
      </c>
      <c r="B30" s="92" t="str">
        <f>+'S&amp;D'!B36</f>
        <v>SO</v>
      </c>
      <c r="C30" s="92" t="str">
        <f>+'S&amp;D'!C36</f>
        <v>Electric Utility - East</v>
      </c>
      <c r="D30" s="61">
        <f>+'S&amp;D'!G36</f>
        <v>82.32</v>
      </c>
      <c r="E30" s="63">
        <v>2.96</v>
      </c>
      <c r="F30" s="67">
        <f t="shared" si="0"/>
        <v>3.5957240038872691E-2</v>
      </c>
      <c r="G30" s="63">
        <v>3.05</v>
      </c>
      <c r="H30" s="67">
        <f t="shared" si="1"/>
        <v>3.7050534499514093E-2</v>
      </c>
      <c r="I30" s="63">
        <v>3.1</v>
      </c>
      <c r="J30" s="67">
        <f t="shared" si="2"/>
        <v>3.7657920310981537E-2</v>
      </c>
      <c r="K30" s="209">
        <f t="shared" si="3"/>
        <v>5.4348893402377798E-3</v>
      </c>
    </row>
    <row r="31" spans="1:11" ht="17.25">
      <c r="A31" s="64" t="str">
        <f>+'S&amp;D'!A37</f>
        <v>WEC Energy Group</v>
      </c>
      <c r="B31" s="92" t="str">
        <f>+'S&amp;D'!B37</f>
        <v>WEC</v>
      </c>
      <c r="C31" s="92" t="str">
        <f>+'S&amp;D'!C37</f>
        <v>Electric Utility - Cent</v>
      </c>
      <c r="D31" s="61">
        <f>+'S&amp;D'!G37</f>
        <v>94.04</v>
      </c>
      <c r="E31" s="63">
        <v>3.57</v>
      </c>
      <c r="F31" s="67">
        <f t="shared" si="0"/>
        <v>3.7962569119523601E-2</v>
      </c>
      <c r="G31" s="63">
        <v>3.81</v>
      </c>
      <c r="H31" s="67">
        <f t="shared" si="1"/>
        <v>4.0514674606550401E-2</v>
      </c>
      <c r="I31" s="63">
        <v>4.59</v>
      </c>
      <c r="J31" s="67">
        <f t="shared" si="2"/>
        <v>4.8809017439387488E-2</v>
      </c>
      <c r="K31" s="209">
        <f t="shared" si="3"/>
        <v>6.405130809034483E-2</v>
      </c>
    </row>
    <row r="32" spans="1:11" ht="17.25" thickBot="1">
      <c r="A32" s="13"/>
      <c r="B32" s="13"/>
      <c r="C32" s="45"/>
      <c r="D32" s="48"/>
      <c r="E32" s="48"/>
      <c r="F32" s="48"/>
      <c r="G32" s="48"/>
      <c r="H32" s="48"/>
      <c r="I32" s="48"/>
      <c r="J32" s="48"/>
      <c r="K32" s="48"/>
    </row>
    <row r="33" spans="1:11" ht="17.25" thickTop="1">
      <c r="A33" s="13"/>
      <c r="B33" s="13"/>
      <c r="D33" s="15" t="s">
        <v>65</v>
      </c>
      <c r="E33" s="17">
        <f>MAX(E16:E31)</f>
        <v>4.41</v>
      </c>
      <c r="F33" s="281">
        <f t="shared" ref="F33:K33" si="4">MAX(F16:F31)</f>
        <v>4.5370370370370373E-2</v>
      </c>
      <c r="G33" s="17">
        <f t="shared" si="4"/>
        <v>4.71</v>
      </c>
      <c r="H33" s="281">
        <f t="shared" si="4"/>
        <v>4.7530864197530866E-2</v>
      </c>
      <c r="I33" s="17">
        <f t="shared" si="4"/>
        <v>5.15</v>
      </c>
      <c r="J33" s="281">
        <f t="shared" si="4"/>
        <v>5.2802599512591392E-2</v>
      </c>
      <c r="K33" s="281">
        <f t="shared" si="4"/>
        <v>6.405130809034483E-2</v>
      </c>
    </row>
    <row r="34" spans="1:11" ht="16.5">
      <c r="A34" s="13"/>
      <c r="B34" s="13"/>
      <c r="D34" s="15" t="s">
        <v>66</v>
      </c>
      <c r="E34" s="285">
        <f>MIN(E16:E31)</f>
        <v>0.89</v>
      </c>
      <c r="F34" s="282">
        <f t="shared" ref="F34:K34" si="5">MIN(F16:F31)</f>
        <v>2.8049164828238261E-2</v>
      </c>
      <c r="G34" s="285">
        <f t="shared" si="5"/>
        <v>0.95</v>
      </c>
      <c r="H34" s="282">
        <f t="shared" si="5"/>
        <v>2.9523293607800649E-2</v>
      </c>
      <c r="I34" s="285">
        <f t="shared" si="5"/>
        <v>1.01</v>
      </c>
      <c r="J34" s="282">
        <f t="shared" si="5"/>
        <v>3.1831074692719827E-2</v>
      </c>
      <c r="K34" s="282">
        <f t="shared" si="5"/>
        <v>5.4348893402377798E-3</v>
      </c>
    </row>
    <row r="35" spans="1:11" ht="16.5">
      <c r="A35" s="13"/>
      <c r="B35" s="13"/>
      <c r="D35" s="15" t="s">
        <v>18</v>
      </c>
      <c r="E35" s="18">
        <f t="shared" ref="E35:K35" si="6">MEDIAN(E16:E31)</f>
        <v>2.5700000000000003</v>
      </c>
      <c r="F35" s="56">
        <f t="shared" si="6"/>
        <v>3.6239489584653742E-2</v>
      </c>
      <c r="G35" s="18">
        <f t="shared" si="6"/>
        <v>2.6949999999999998</v>
      </c>
      <c r="H35" s="56">
        <f t="shared" si="6"/>
        <v>3.8028372839819156E-2</v>
      </c>
      <c r="I35" s="18">
        <f t="shared" si="6"/>
        <v>3.05</v>
      </c>
      <c r="J35" s="56">
        <f t="shared" si="6"/>
        <v>4.2890054840549093E-2</v>
      </c>
      <c r="K35" s="56">
        <f t="shared" si="6"/>
        <v>3.5129529192939962E-2</v>
      </c>
    </row>
    <row r="36" spans="1:11" ht="16.5">
      <c r="A36" s="13"/>
      <c r="B36" s="13"/>
      <c r="D36" s="15" t="s">
        <v>403</v>
      </c>
      <c r="E36" s="22">
        <f t="shared" ref="E36:K36" si="7">AVERAGE(E16:E31)</f>
        <v>2.6062500000000002</v>
      </c>
      <c r="F36" s="58">
        <f t="shared" si="7"/>
        <v>3.6750299506467445E-2</v>
      </c>
      <c r="G36" s="22">
        <f t="shared" si="7"/>
        <v>2.7312500000000002</v>
      </c>
      <c r="H36" s="58">
        <f t="shared" si="7"/>
        <v>3.851048390463379E-2</v>
      </c>
      <c r="I36" s="22">
        <f t="shared" si="7"/>
        <v>3.0512499999999996</v>
      </c>
      <c r="J36" s="58">
        <f t="shared" si="7"/>
        <v>4.2918046276300061E-2</v>
      </c>
      <c r="K36" s="58">
        <f t="shared" si="7"/>
        <v>3.6570336428641277E-2</v>
      </c>
    </row>
    <row r="37" spans="1:11" ht="16.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26.25">
      <c r="A38" s="13"/>
      <c r="B38" s="13"/>
      <c r="C38" s="13"/>
      <c r="D38" s="13"/>
      <c r="E38" s="13"/>
      <c r="F38" s="50" t="s">
        <v>0</v>
      </c>
      <c r="G38" s="65" t="s">
        <v>0</v>
      </c>
      <c r="H38" s="13"/>
      <c r="I38" s="13"/>
      <c r="J38" s="13"/>
      <c r="K38" s="13"/>
    </row>
    <row r="39" spans="1:11" ht="18.75">
      <c r="A39" s="211" t="s">
        <v>291</v>
      </c>
    </row>
  </sheetData>
  <pageMargins left="0.25" right="0.25" top="0.75" bottom="0.75" header="0.3" footer="0.3"/>
  <pageSetup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6C7-3CA4-4A86-9548-2C135C060B79}">
  <sheetPr>
    <tabColor rgb="FF92D050"/>
  </sheetPr>
  <dimension ref="A1:K39"/>
  <sheetViews>
    <sheetView view="pageBreakPreview" zoomScale="60" zoomScaleNormal="80" workbookViewId="0">
      <selection activeCell="K28" sqref="K28"/>
    </sheetView>
  </sheetViews>
  <sheetFormatPr defaultRowHeight="15"/>
  <cols>
    <col min="1" max="1" width="51.5703125" customWidth="1"/>
    <col min="2" max="2" width="10.85546875" bestFit="1" customWidth="1"/>
    <col min="3" max="3" width="23.5703125" customWidth="1"/>
    <col min="4" max="4" width="15.425781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5703125" customWidth="1"/>
    <col min="12" max="12" width="23.5703125" customWidth="1"/>
  </cols>
  <sheetData>
    <row r="1" spans="1:11" ht="26.25">
      <c r="A1" s="25" t="s">
        <v>1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17.25">
      <c r="A2" s="26" t="s">
        <v>9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16.5">
      <c r="A3" s="27" t="s">
        <v>435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16.5">
      <c r="A4" s="27"/>
      <c r="B4" s="13"/>
      <c r="C4" s="13"/>
      <c r="D4" s="13"/>
      <c r="E4" s="13"/>
      <c r="F4" s="13"/>
      <c r="G4" s="13"/>
      <c r="H4" s="13"/>
      <c r="I4" s="13"/>
      <c r="J4" s="13"/>
    </row>
    <row r="5" spans="1:11" ht="17.25" thickBot="1">
      <c r="A5" s="13"/>
      <c r="B5" s="13"/>
      <c r="C5" s="13"/>
      <c r="D5" s="13"/>
      <c r="E5" s="13"/>
      <c r="F5" s="13"/>
      <c r="G5" s="28"/>
      <c r="H5" s="13"/>
      <c r="I5" s="13"/>
      <c r="J5" s="13"/>
    </row>
    <row r="6" spans="1:11" ht="21" thickBot="1">
      <c r="A6" s="245" t="str">
        <f>+'S&amp;D'!A12</f>
        <v>Electric Utilities</v>
      </c>
      <c r="B6" s="181"/>
      <c r="C6" s="13"/>
      <c r="D6" s="30"/>
      <c r="E6" s="30"/>
      <c r="F6" s="31" t="s">
        <v>0</v>
      </c>
      <c r="G6" s="13"/>
      <c r="H6" s="13"/>
      <c r="I6" s="13"/>
      <c r="J6" s="13"/>
    </row>
    <row r="7" spans="1:11" ht="26.25">
      <c r="A7" s="32"/>
      <c r="B7" s="13"/>
      <c r="C7" s="13"/>
      <c r="D7" s="13"/>
      <c r="E7" s="33" t="s">
        <v>292</v>
      </c>
      <c r="F7" s="13"/>
      <c r="G7" s="13"/>
      <c r="H7" s="13"/>
      <c r="I7" s="13"/>
      <c r="J7" s="13"/>
    </row>
    <row r="8" spans="1:11" ht="21" thickBot="1">
      <c r="A8" s="32"/>
      <c r="B8" s="13"/>
      <c r="C8" s="13"/>
      <c r="D8" s="30"/>
      <c r="E8" s="34" t="s">
        <v>436</v>
      </c>
      <c r="F8" s="30"/>
      <c r="G8" s="13"/>
      <c r="H8" s="13"/>
      <c r="I8" s="13"/>
      <c r="J8" s="13"/>
    </row>
    <row r="9" spans="1:11" ht="17.25" thickBot="1">
      <c r="A9" s="35" t="s">
        <v>0</v>
      </c>
      <c r="B9" s="35" t="s">
        <v>0</v>
      </c>
      <c r="C9" s="35" t="s">
        <v>0</v>
      </c>
      <c r="D9" s="35" t="s">
        <v>0</v>
      </c>
      <c r="E9" s="35" t="s">
        <v>0</v>
      </c>
      <c r="F9" s="35"/>
      <c r="G9" s="30"/>
      <c r="H9" s="30"/>
      <c r="I9" s="30"/>
      <c r="J9" s="30"/>
      <c r="K9" s="148"/>
    </row>
    <row r="10" spans="1:11" ht="16.5">
      <c r="A10" s="36" t="s">
        <v>0</v>
      </c>
      <c r="B10" s="36" t="s">
        <v>3</v>
      </c>
      <c r="C10" s="36" t="s">
        <v>5</v>
      </c>
      <c r="D10" s="36" t="s">
        <v>191</v>
      </c>
      <c r="E10" s="36" t="s">
        <v>198</v>
      </c>
      <c r="F10" s="36" t="s">
        <v>198</v>
      </c>
      <c r="G10" s="36" t="s">
        <v>198</v>
      </c>
      <c r="H10" s="36" t="s">
        <v>198</v>
      </c>
      <c r="I10" s="36" t="s">
        <v>198</v>
      </c>
      <c r="J10" s="36" t="s">
        <v>198</v>
      </c>
      <c r="K10" s="36" t="s">
        <v>289</v>
      </c>
    </row>
    <row r="11" spans="1:11" ht="16.5">
      <c r="A11" s="36"/>
      <c r="B11" s="36" t="s">
        <v>4</v>
      </c>
      <c r="C11" s="36" t="s">
        <v>6</v>
      </c>
      <c r="D11" s="36" t="s">
        <v>28</v>
      </c>
      <c r="E11" s="36" t="s">
        <v>193</v>
      </c>
      <c r="F11" s="36" t="s">
        <v>151</v>
      </c>
      <c r="G11" s="36" t="s">
        <v>193</v>
      </c>
      <c r="H11" s="36" t="s">
        <v>151</v>
      </c>
      <c r="I11" s="36" t="s">
        <v>193</v>
      </c>
      <c r="J11" s="36" t="s">
        <v>151</v>
      </c>
      <c r="K11" s="36" t="s">
        <v>209</v>
      </c>
    </row>
    <row r="12" spans="1:11" ht="17.25" thickBot="1">
      <c r="A12" s="38" t="s">
        <v>2</v>
      </c>
      <c r="B12" s="38" t="s">
        <v>0</v>
      </c>
      <c r="C12" s="38" t="s">
        <v>0</v>
      </c>
      <c r="D12" s="38" t="s">
        <v>0</v>
      </c>
      <c r="E12" s="38" t="s">
        <v>195</v>
      </c>
      <c r="F12" s="38" t="s">
        <v>195</v>
      </c>
      <c r="G12" s="38" t="s">
        <v>287</v>
      </c>
      <c r="H12" s="38" t="s">
        <v>287</v>
      </c>
      <c r="I12" s="38" t="s">
        <v>288</v>
      </c>
      <c r="J12" s="38" t="s">
        <v>288</v>
      </c>
      <c r="K12" s="210" t="s">
        <v>290</v>
      </c>
    </row>
    <row r="13" spans="1:11">
      <c r="A13" s="40" t="s">
        <v>7</v>
      </c>
      <c r="B13" s="40" t="s">
        <v>7</v>
      </c>
      <c r="C13" s="40" t="s">
        <v>7</v>
      </c>
      <c r="D13" s="41" t="s">
        <v>147</v>
      </c>
      <c r="E13" s="40" t="s">
        <v>7</v>
      </c>
      <c r="F13" s="40" t="s">
        <v>0</v>
      </c>
      <c r="G13" s="40" t="s">
        <v>7</v>
      </c>
      <c r="H13" s="40" t="s">
        <v>0</v>
      </c>
      <c r="I13" s="40" t="s">
        <v>7</v>
      </c>
      <c r="J13" s="40" t="s">
        <v>0</v>
      </c>
      <c r="K13" s="40" t="s">
        <v>0</v>
      </c>
    </row>
    <row r="14" spans="1:11" ht="16.5">
      <c r="A14" s="36"/>
      <c r="B14" s="36"/>
      <c r="C14" s="36"/>
      <c r="D14" s="36"/>
      <c r="E14" s="36"/>
      <c r="F14" s="36"/>
      <c r="G14" s="13"/>
      <c r="H14" s="13"/>
      <c r="I14" s="13"/>
      <c r="J14" s="13"/>
      <c r="K14" s="13"/>
    </row>
    <row r="15" spans="1:11" ht="16.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7.25">
      <c r="A16" s="64" t="str">
        <f>+'S&amp;D'!A22</f>
        <v>ALLETE Inc</v>
      </c>
      <c r="B16" s="92" t="str">
        <f>+'S&amp;D'!B22</f>
        <v>ALE</v>
      </c>
      <c r="C16" s="92" t="str">
        <f>+'S&amp;D'!C22</f>
        <v>Electric Utility - Cent</v>
      </c>
      <c r="D16" s="61">
        <f>+'S&amp;D'!G22</f>
        <v>64.8</v>
      </c>
      <c r="E16" s="63">
        <v>3.7</v>
      </c>
      <c r="F16" s="67">
        <f>+E16/D16</f>
        <v>5.7098765432098769E-2</v>
      </c>
      <c r="G16" s="63">
        <v>4.3499999999999996</v>
      </c>
      <c r="H16" s="67">
        <f>+G16/D16</f>
        <v>6.7129629629629622E-2</v>
      </c>
      <c r="I16" s="63">
        <v>5.5</v>
      </c>
      <c r="J16" s="67">
        <f>+I16/D16</f>
        <v>8.4876543209876545E-2</v>
      </c>
      <c r="K16" s="283">
        <f t="shared" ref="K16:K31" si="0">RATE(3,,-G16,I16)</f>
        <v>8.1328901455465133E-2</v>
      </c>
    </row>
    <row r="17" spans="1:11" ht="17.25">
      <c r="A17" s="64" t="str">
        <f>+'S&amp;D'!A23</f>
        <v>Alliant Energy</v>
      </c>
      <c r="B17" s="92" t="str">
        <f>+'S&amp;D'!B23</f>
        <v>LNT</v>
      </c>
      <c r="C17" s="92" t="str">
        <f>+'S&amp;D'!C23</f>
        <v>Electric Utility - Cent</v>
      </c>
      <c r="D17" s="61">
        <f>+'S&amp;D'!G23</f>
        <v>59.14</v>
      </c>
      <c r="E17" s="63">
        <v>3.25</v>
      </c>
      <c r="F17" s="67">
        <f>+E17/D17</f>
        <v>5.4954345620561382E-2</v>
      </c>
      <c r="G17" s="63">
        <v>3.45</v>
      </c>
      <c r="H17" s="67">
        <f t="shared" ref="H17:H31" si="1">+G17/D17</f>
        <v>5.8336151504903622E-2</v>
      </c>
      <c r="I17" s="63">
        <v>4.25</v>
      </c>
      <c r="J17" s="67">
        <f t="shared" ref="J17:J31" si="2">+I17/D17</f>
        <v>7.1863375042272568E-2</v>
      </c>
      <c r="K17" s="283">
        <f t="shared" si="0"/>
        <v>7.1988052250630832E-2</v>
      </c>
    </row>
    <row r="18" spans="1:11" ht="17.25">
      <c r="A18" s="64" t="str">
        <f>+'S&amp;D'!A24</f>
        <v>AMEREN Corporation</v>
      </c>
      <c r="B18" s="92" t="str">
        <f>+'S&amp;D'!B24</f>
        <v>AEE</v>
      </c>
      <c r="C18" s="92" t="str">
        <f>+'S&amp;D'!C24</f>
        <v>Electric Utility - Cent</v>
      </c>
      <c r="D18" s="61">
        <f>+'S&amp;D'!G24</f>
        <v>89.14</v>
      </c>
      <c r="E18" s="63">
        <v>4.95</v>
      </c>
      <c r="F18" s="67">
        <f t="shared" ref="F18:F31" si="3">+E18/D18</f>
        <v>5.5530625981601973E-2</v>
      </c>
      <c r="G18" s="63">
        <v>5.3</v>
      </c>
      <c r="H18" s="67">
        <f t="shared" si="1"/>
        <v>5.9457033879291001E-2</v>
      </c>
      <c r="I18" s="63">
        <v>6.5</v>
      </c>
      <c r="J18" s="67">
        <f t="shared" si="2"/>
        <v>7.2919003814224809E-2</v>
      </c>
      <c r="K18" s="283">
        <f t="shared" si="0"/>
        <v>7.0399331060535725E-2</v>
      </c>
    </row>
    <row r="19" spans="1:11" ht="17.25">
      <c r="A19" s="64" t="str">
        <f>+'S&amp;D'!A25</f>
        <v>American Electric Power</v>
      </c>
      <c r="B19" s="92" t="str">
        <f>+'S&amp;D'!B25</f>
        <v>AEP</v>
      </c>
      <c r="C19" s="92" t="str">
        <f>+'S&amp;D'!C25</f>
        <v>Electric Utility - Cent</v>
      </c>
      <c r="D19" s="61">
        <f>+'S&amp;D'!G25</f>
        <v>92.23</v>
      </c>
      <c r="E19" s="63">
        <v>5.85</v>
      </c>
      <c r="F19" s="67">
        <f t="shared" si="3"/>
        <v>6.342838555784451E-2</v>
      </c>
      <c r="G19" s="63">
        <v>6.3</v>
      </c>
      <c r="H19" s="67">
        <f t="shared" si="1"/>
        <v>6.8307492139217163E-2</v>
      </c>
      <c r="I19" s="63">
        <v>7.5</v>
      </c>
      <c r="J19" s="67">
        <f t="shared" si="2"/>
        <v>8.1318443022877579E-2</v>
      </c>
      <c r="K19" s="283">
        <f t="shared" si="0"/>
        <v>5.9839832952479147E-2</v>
      </c>
    </row>
    <row r="20" spans="1:11" ht="17.25">
      <c r="A20" s="64" t="str">
        <f>+'S&amp;D'!A26</f>
        <v>Centerpoint Energy</v>
      </c>
      <c r="B20" s="92" t="str">
        <f>+'S&amp;D'!B26</f>
        <v>CNP</v>
      </c>
      <c r="C20" s="92" t="str">
        <f>+'S&amp;D'!C26</f>
        <v>Electric Utility - Cent</v>
      </c>
      <c r="D20" s="61">
        <f>+'S&amp;D'!G26</f>
        <v>31.73</v>
      </c>
      <c r="E20" s="63">
        <v>1.7</v>
      </c>
      <c r="F20" s="67">
        <f t="shared" si="3"/>
        <v>5.3577056413488811E-2</v>
      </c>
      <c r="G20" s="63">
        <v>1.8</v>
      </c>
      <c r="H20" s="67">
        <f t="shared" si="1"/>
        <v>5.6728647967223447E-2</v>
      </c>
      <c r="I20" s="63">
        <v>2</v>
      </c>
      <c r="J20" s="67">
        <f t="shared" si="2"/>
        <v>6.3031831074692721E-2</v>
      </c>
      <c r="K20" s="283">
        <f t="shared" si="0"/>
        <v>3.5744168651286462E-2</v>
      </c>
    </row>
    <row r="21" spans="1:11" ht="17.25">
      <c r="A21" s="64" t="str">
        <f>+'S&amp;D'!A27</f>
        <v>CMS Energy</v>
      </c>
      <c r="B21" s="92" t="str">
        <f>+'S&amp;D'!B27</f>
        <v>CMS</v>
      </c>
      <c r="C21" s="92" t="str">
        <f>+'S&amp;D'!C27</f>
        <v>Electric Utility - Cent</v>
      </c>
      <c r="D21" s="61">
        <f>+'S&amp;D'!G27</f>
        <v>66.650000000000006</v>
      </c>
      <c r="E21" s="63">
        <v>3.6</v>
      </c>
      <c r="F21" s="67">
        <f t="shared" si="3"/>
        <v>5.4013503375843958E-2</v>
      </c>
      <c r="G21" s="63">
        <v>3.8</v>
      </c>
      <c r="H21" s="67">
        <f t="shared" si="1"/>
        <v>5.7014253563390842E-2</v>
      </c>
      <c r="I21" s="63">
        <v>4.2</v>
      </c>
      <c r="J21" s="67">
        <f t="shared" si="2"/>
        <v>6.3015753938484617E-2</v>
      </c>
      <c r="K21" s="283">
        <f t="shared" si="0"/>
        <v>3.3923876378405458E-2</v>
      </c>
    </row>
    <row r="22" spans="1:11" ht="17.25">
      <c r="A22" s="64" t="str">
        <f>+'S&amp;D'!A28</f>
        <v>DTE Energy</v>
      </c>
      <c r="B22" s="92" t="str">
        <f>+'S&amp;D'!B28</f>
        <v>DTE</v>
      </c>
      <c r="C22" s="92" t="str">
        <f>+'S&amp;D'!C28</f>
        <v>Electric Utility - Cent</v>
      </c>
      <c r="D22" s="61">
        <f>+'S&amp;D'!G28</f>
        <v>120.75</v>
      </c>
      <c r="E22" s="63">
        <v>7.2</v>
      </c>
      <c r="F22" s="67">
        <f t="shared" si="3"/>
        <v>5.9627329192546583E-2</v>
      </c>
      <c r="G22" s="63">
        <v>7.75</v>
      </c>
      <c r="H22" s="67">
        <f t="shared" si="1"/>
        <v>6.4182194616977231E-2</v>
      </c>
      <c r="I22" s="63">
        <v>9.6</v>
      </c>
      <c r="J22" s="67">
        <f t="shared" si="2"/>
        <v>7.9503105590062115E-2</v>
      </c>
      <c r="K22" s="283">
        <f t="shared" si="0"/>
        <v>7.3964296125384368E-2</v>
      </c>
    </row>
    <row r="23" spans="1:11" ht="17.25">
      <c r="A23" s="64" t="str">
        <f>+'S&amp;D'!A29</f>
        <v>Duke Energy</v>
      </c>
      <c r="B23" s="92" t="str">
        <f>+'S&amp;D'!B29</f>
        <v>DUK</v>
      </c>
      <c r="C23" s="92" t="str">
        <f>+'S&amp;D'!C29</f>
        <v>Electric Utility - East</v>
      </c>
      <c r="D23" s="61">
        <f>+'S&amp;D'!G29</f>
        <v>107.74</v>
      </c>
      <c r="E23" s="63">
        <v>6.35</v>
      </c>
      <c r="F23" s="67">
        <f t="shared" si="3"/>
        <v>5.893818451828476E-2</v>
      </c>
      <c r="G23" s="63">
        <v>6.7</v>
      </c>
      <c r="H23" s="67">
        <f t="shared" si="1"/>
        <v>6.2186745869686283E-2</v>
      </c>
      <c r="I23" s="63">
        <v>8</v>
      </c>
      <c r="J23" s="67">
        <f>+I23/D23</f>
        <v>7.4252830889177654E-2</v>
      </c>
      <c r="K23" s="283">
        <f t="shared" si="0"/>
        <v>6.0893352365963209E-2</v>
      </c>
    </row>
    <row r="24" spans="1:11" ht="17.25">
      <c r="A24" s="64" t="str">
        <f>+'S&amp;D'!A30</f>
        <v>Entergy Corp</v>
      </c>
      <c r="B24" s="92" t="str">
        <f>+'S&amp;D'!B30</f>
        <v>ETR</v>
      </c>
      <c r="C24" s="92" t="str">
        <f>+'S&amp;D'!C30</f>
        <v>Electric Utility - Cent</v>
      </c>
      <c r="D24" s="61">
        <f>+'S&amp;D'!G30</f>
        <v>75.819999999999993</v>
      </c>
      <c r="E24" s="63">
        <v>3.35</v>
      </c>
      <c r="F24" s="67">
        <f t="shared" si="3"/>
        <v>4.4183592719599055E-2</v>
      </c>
      <c r="G24" s="63">
        <v>3.6</v>
      </c>
      <c r="H24" s="67">
        <f t="shared" si="1"/>
        <v>4.7480875758375105E-2</v>
      </c>
      <c r="I24" s="63">
        <v>4.2</v>
      </c>
      <c r="J24" s="67">
        <f t="shared" si="2"/>
        <v>5.5394355051437624E-2</v>
      </c>
      <c r="K24" s="283">
        <f t="shared" si="0"/>
        <v>5.2726599609396595E-2</v>
      </c>
    </row>
    <row r="25" spans="1:11" ht="17.25">
      <c r="A25" s="64" t="str">
        <f>+'S&amp;D'!A31</f>
        <v>Evergy Inc</v>
      </c>
      <c r="B25" s="92" t="str">
        <f>+'S&amp;D'!B31</f>
        <v>EVRG</v>
      </c>
      <c r="C25" s="92" t="str">
        <f>+'S&amp;D'!C31</f>
        <v>Electric Utility - Cent</v>
      </c>
      <c r="D25" s="61">
        <f>+'S&amp;D'!G31</f>
        <v>61.55</v>
      </c>
      <c r="E25" s="63">
        <v>4.05</v>
      </c>
      <c r="F25" s="67">
        <f t="shared" si="3"/>
        <v>6.580016246953696E-2</v>
      </c>
      <c r="G25" s="63">
        <v>4.25</v>
      </c>
      <c r="H25" s="67">
        <f t="shared" si="1"/>
        <v>6.9049553208773359E-2</v>
      </c>
      <c r="I25" s="63">
        <v>5</v>
      </c>
      <c r="J25" s="67">
        <f t="shared" si="2"/>
        <v>8.1234768480909839E-2</v>
      </c>
      <c r="K25" s="283">
        <f t="shared" si="0"/>
        <v>5.56671919780009E-2</v>
      </c>
    </row>
    <row r="26" spans="1:11" ht="17.25">
      <c r="A26" s="64" t="str">
        <f>+'S&amp;D'!A32</f>
        <v>FirstEnergy Corp</v>
      </c>
      <c r="B26" s="92" t="str">
        <f>+'S&amp;D'!B32</f>
        <v>FE</v>
      </c>
      <c r="C26" s="92" t="str">
        <f>+'S&amp;D'!C32</f>
        <v>Electric Utility - East</v>
      </c>
      <c r="D26" s="61">
        <f>+'S&amp;D'!G32</f>
        <v>39.78</v>
      </c>
      <c r="E26" s="63">
        <v>2.5499999999999998</v>
      </c>
      <c r="F26" s="67">
        <f t="shared" si="3"/>
        <v>6.4102564102564097E-2</v>
      </c>
      <c r="G26" s="63">
        <v>2.7</v>
      </c>
      <c r="H26" s="67">
        <f t="shared" si="1"/>
        <v>6.7873303167420823E-2</v>
      </c>
      <c r="I26" s="63">
        <v>3.3</v>
      </c>
      <c r="J26" s="67">
        <f t="shared" si="2"/>
        <v>8.2956259426847659E-2</v>
      </c>
      <c r="K26" s="283">
        <f t="shared" si="0"/>
        <v>6.9178109999120357E-2</v>
      </c>
    </row>
    <row r="27" spans="1:11" ht="17.25">
      <c r="A27" s="64" t="str">
        <f>+'S&amp;D'!A33</f>
        <v>OGE Energy Corp.</v>
      </c>
      <c r="B27" s="92" t="str">
        <f>+'S&amp;D'!B33</f>
        <v>OGE</v>
      </c>
      <c r="C27" s="92" t="str">
        <f>+'S&amp;D'!C33</f>
        <v>Electric Utility - Cent</v>
      </c>
      <c r="D27" s="61">
        <f>+'S&amp;D'!G33</f>
        <v>41.25</v>
      </c>
      <c r="E27" s="63">
        <v>2.2999999999999998</v>
      </c>
      <c r="F27" s="67">
        <f t="shared" si="3"/>
        <v>5.5757575757575756E-2</v>
      </c>
      <c r="G27" s="63">
        <v>2.4500000000000002</v>
      </c>
      <c r="H27" s="67">
        <f t="shared" si="1"/>
        <v>5.9393939393939402E-2</v>
      </c>
      <c r="I27" s="63">
        <v>2.95</v>
      </c>
      <c r="J27" s="67">
        <f t="shared" si="2"/>
        <v>7.1515151515151518E-2</v>
      </c>
      <c r="K27" s="283">
        <f t="shared" si="0"/>
        <v>6.3862034051100178E-2</v>
      </c>
    </row>
    <row r="28" spans="1:11" ht="17.25">
      <c r="A28" s="64" t="str">
        <f>+'S&amp;D'!A34</f>
        <v>Otter Tail Corp</v>
      </c>
      <c r="B28" s="92" t="str">
        <f>+'S&amp;D'!B34</f>
        <v>OTTR</v>
      </c>
      <c r="C28" s="92" t="str">
        <f>+'S&amp;D'!C34</f>
        <v>Electric Utility - Cent</v>
      </c>
      <c r="D28" s="61">
        <f>+'S&amp;D'!G34</f>
        <v>73.84</v>
      </c>
      <c r="E28" s="63">
        <v>6.2</v>
      </c>
      <c r="F28" s="67">
        <f t="shared" si="3"/>
        <v>8.3965330444203679E-2</v>
      </c>
      <c r="G28" s="63">
        <v>5</v>
      </c>
      <c r="H28" s="67">
        <f t="shared" si="1"/>
        <v>6.7713976164680389E-2</v>
      </c>
      <c r="I28" s="63">
        <v>4.2</v>
      </c>
      <c r="J28" s="67">
        <f t="shared" si="2"/>
        <v>5.6879739978331526E-2</v>
      </c>
      <c r="K28" s="283">
        <f>RATE(3,,-G28,I28)</f>
        <v>-5.6461203936693266E-2</v>
      </c>
    </row>
    <row r="29" spans="1:11" ht="17.25">
      <c r="A29" s="64" t="str">
        <f>+'S&amp;D'!A35</f>
        <v>PPL Corporation</v>
      </c>
      <c r="B29" s="92" t="str">
        <f>+'S&amp;D'!B35</f>
        <v>PPL</v>
      </c>
      <c r="C29" s="92" t="str">
        <f>+'S&amp;D'!C35</f>
        <v>Electric Utility - East</v>
      </c>
      <c r="D29" s="61">
        <f>+'S&amp;D'!G35</f>
        <v>32.46</v>
      </c>
      <c r="E29" s="63">
        <v>1.85</v>
      </c>
      <c r="F29" s="67">
        <f t="shared" si="3"/>
        <v>5.6993222427603206E-2</v>
      </c>
      <c r="G29" s="63">
        <v>1.95</v>
      </c>
      <c r="H29" s="67">
        <f t="shared" si="1"/>
        <v>6.007393715341959E-2</v>
      </c>
      <c r="I29" s="63">
        <v>2.4</v>
      </c>
      <c r="J29" s="67">
        <f t="shared" si="2"/>
        <v>7.3937153419593338E-2</v>
      </c>
      <c r="K29" s="283">
        <f t="shared" si="0"/>
        <v>7.1664579674512327E-2</v>
      </c>
    </row>
    <row r="30" spans="1:11" ht="17.25">
      <c r="A30" s="64" t="str">
        <f>+'S&amp;D'!A36</f>
        <v>The Southern Company</v>
      </c>
      <c r="B30" s="92" t="str">
        <f>+'S&amp;D'!B36</f>
        <v>SO</v>
      </c>
      <c r="C30" s="92" t="str">
        <f>+'S&amp;D'!C36</f>
        <v>Electric Utility - East</v>
      </c>
      <c r="D30" s="61">
        <f>+'S&amp;D'!G36</f>
        <v>82.32</v>
      </c>
      <c r="E30" s="63">
        <v>4.5999999999999996</v>
      </c>
      <c r="F30" s="67">
        <f t="shared" si="3"/>
        <v>5.5879494655004858E-2</v>
      </c>
      <c r="G30" s="63">
        <v>4.5999999999999996</v>
      </c>
      <c r="H30" s="67">
        <f t="shared" si="1"/>
        <v>5.5879494655004858E-2</v>
      </c>
      <c r="I30" s="63">
        <v>5.6</v>
      </c>
      <c r="J30" s="67">
        <f t="shared" si="2"/>
        <v>6.8027210884353748E-2</v>
      </c>
      <c r="K30" s="283">
        <f>RATE(3,,-G30,I30)</f>
        <v>6.7767583150540878E-2</v>
      </c>
    </row>
    <row r="31" spans="1:11" ht="17.25">
      <c r="A31" s="64" t="str">
        <f>+'S&amp;D'!A37</f>
        <v>WEC Energy Group</v>
      </c>
      <c r="B31" s="92" t="str">
        <f>+'S&amp;D'!B37</f>
        <v>WEC</v>
      </c>
      <c r="C31" s="92" t="str">
        <f>+'S&amp;D'!C37</f>
        <v>Electric Utility - Cent</v>
      </c>
      <c r="D31" s="61">
        <f>+'S&amp;D'!G37</f>
        <v>94.04</v>
      </c>
      <c r="E31" s="63">
        <v>5.25</v>
      </c>
      <c r="F31" s="67">
        <f t="shared" si="3"/>
        <v>5.5827307528711186E-2</v>
      </c>
      <c r="G31" s="63">
        <v>5.6</v>
      </c>
      <c r="H31" s="67">
        <f t="shared" si="1"/>
        <v>5.9549128030625259E-2</v>
      </c>
      <c r="I31" s="63">
        <v>6.9</v>
      </c>
      <c r="J31" s="67">
        <f t="shared" si="2"/>
        <v>7.3373032752020409E-2</v>
      </c>
      <c r="K31" s="283">
        <f t="shared" si="0"/>
        <v>7.2063116185627135E-2</v>
      </c>
    </row>
    <row r="32" spans="1:11" ht="17.25" thickBot="1">
      <c r="A32" s="13"/>
      <c r="B32" s="13"/>
      <c r="C32" s="45"/>
      <c r="D32" s="48"/>
      <c r="E32" s="48"/>
      <c r="F32" s="48"/>
      <c r="G32" s="48"/>
      <c r="H32" s="48"/>
      <c r="I32" s="48"/>
      <c r="J32" s="48"/>
      <c r="K32" s="48"/>
    </row>
    <row r="33" spans="1:11" ht="17.25" thickTop="1">
      <c r="A33" s="13"/>
      <c r="B33" s="13"/>
      <c r="D33" s="15" t="s">
        <v>65</v>
      </c>
      <c r="E33" s="17">
        <f>+MAX(E16:E31)</f>
        <v>7.2</v>
      </c>
      <c r="F33" s="281">
        <f t="shared" ref="F33:K33" si="4">+MAX(F16:F31)</f>
        <v>8.3965330444203679E-2</v>
      </c>
      <c r="G33" s="17">
        <f t="shared" si="4"/>
        <v>7.75</v>
      </c>
      <c r="H33" s="281">
        <f t="shared" si="4"/>
        <v>6.9049553208773359E-2</v>
      </c>
      <c r="I33" s="17">
        <f t="shared" si="4"/>
        <v>9.6</v>
      </c>
      <c r="J33" s="281">
        <f t="shared" si="4"/>
        <v>8.4876543209876545E-2</v>
      </c>
      <c r="K33" s="281">
        <f t="shared" si="4"/>
        <v>8.1328901455465133E-2</v>
      </c>
    </row>
    <row r="34" spans="1:11" ht="16.5">
      <c r="A34" s="13"/>
      <c r="B34" s="13"/>
      <c r="D34" s="15" t="s">
        <v>66</v>
      </c>
      <c r="E34" s="285">
        <f>MIN(E16:E31)</f>
        <v>1.7</v>
      </c>
      <c r="F34" s="282">
        <f t="shared" ref="F34:K34" si="5">MIN(F16:F31)</f>
        <v>4.4183592719599055E-2</v>
      </c>
      <c r="G34" s="285">
        <f t="shared" si="5"/>
        <v>1.8</v>
      </c>
      <c r="H34" s="282">
        <f t="shared" si="5"/>
        <v>4.7480875758375105E-2</v>
      </c>
      <c r="I34" s="285">
        <f t="shared" si="5"/>
        <v>2</v>
      </c>
      <c r="J34" s="282">
        <f t="shared" si="5"/>
        <v>5.5394355051437624E-2</v>
      </c>
      <c r="K34" s="282">
        <f t="shared" si="5"/>
        <v>-5.6461203936693266E-2</v>
      </c>
    </row>
    <row r="35" spans="1:11" ht="16.5">
      <c r="A35" s="13"/>
      <c r="B35" s="13"/>
      <c r="D35" s="15" t="s">
        <v>18</v>
      </c>
      <c r="E35" s="18">
        <f t="shared" ref="E35:K35" si="6">MEDIAN(E16:E31)</f>
        <v>3.875</v>
      </c>
      <c r="F35" s="56">
        <f t="shared" si="6"/>
        <v>5.6436358541304035E-2</v>
      </c>
      <c r="G35" s="18">
        <f t="shared" si="6"/>
        <v>4.3</v>
      </c>
      <c r="H35" s="56">
        <f t="shared" si="6"/>
        <v>5.9811532592022425E-2</v>
      </c>
      <c r="I35" s="18">
        <f t="shared" si="6"/>
        <v>4.625</v>
      </c>
      <c r="J35" s="56">
        <f t="shared" si="6"/>
        <v>7.3146018283122616E-2</v>
      </c>
      <c r="K35" s="56">
        <f t="shared" si="6"/>
        <v>6.5814808600820535E-2</v>
      </c>
    </row>
    <row r="36" spans="1:11" ht="16.5">
      <c r="A36" s="13"/>
      <c r="B36" s="13"/>
      <c r="D36" s="15" t="s">
        <v>403</v>
      </c>
      <c r="E36" s="22">
        <f t="shared" ref="E36:K36" si="7">AVERAGE(E16:E31)</f>
        <v>4.171875</v>
      </c>
      <c r="F36" s="58">
        <f t="shared" si="7"/>
        <v>5.8729840387316851E-2</v>
      </c>
      <c r="G36" s="22">
        <f t="shared" si="7"/>
        <v>4.3500000000000005</v>
      </c>
      <c r="H36" s="58">
        <f t="shared" si="7"/>
        <v>6.1272272293909878E-2</v>
      </c>
      <c r="I36" s="22">
        <f t="shared" si="7"/>
        <v>5.1312500000000005</v>
      </c>
      <c r="J36" s="58">
        <f t="shared" si="7"/>
        <v>7.2131159880644641E-2</v>
      </c>
      <c r="K36" s="58">
        <f t="shared" si="7"/>
        <v>5.5284363871984703E-2</v>
      </c>
    </row>
    <row r="37" spans="1:11" ht="16.5">
      <c r="A37" s="13"/>
      <c r="B37" s="13"/>
      <c r="D37" s="13"/>
      <c r="E37" s="13"/>
      <c r="F37" s="13"/>
      <c r="G37" s="13"/>
      <c r="H37" s="13"/>
      <c r="I37" s="13"/>
      <c r="J37" s="13"/>
      <c r="K37" s="13"/>
    </row>
    <row r="38" spans="1:11" ht="26.25">
      <c r="A38" s="13"/>
      <c r="B38" s="13"/>
      <c r="C38" s="13"/>
      <c r="D38" s="13"/>
      <c r="E38" s="13"/>
      <c r="F38" s="50" t="s">
        <v>0</v>
      </c>
      <c r="G38" s="65" t="s">
        <v>0</v>
      </c>
      <c r="H38" s="13"/>
      <c r="I38" s="13"/>
      <c r="J38" s="13"/>
      <c r="K38" s="13"/>
    </row>
    <row r="39" spans="1:11" ht="18.75">
      <c r="A39" s="211" t="s">
        <v>291</v>
      </c>
    </row>
  </sheetData>
  <pageMargins left="0.25" right="0.25" top="0.75" bottom="0.75" header="0.3" footer="0.3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FB36B36E7EE46B860E7832FBC9DDB" ma:contentTypeVersion="2" ma:contentTypeDescription="Create a new document." ma:contentTypeScope="" ma:versionID="2e3b4bac0c97e1a68d6ab173eaee7b3d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93ea9a64a9ab47897a537ad3dd05bc89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36D2E1-B10C-4CF9-9334-AC851339C860}"/>
</file>

<file path=customXml/itemProps2.xml><?xml version="1.0" encoding="utf-8"?>
<ds:datastoreItem xmlns:ds="http://schemas.openxmlformats.org/officeDocument/2006/customXml" ds:itemID="{A441E762-20DD-4F49-9088-92FA4EE647FF}"/>
</file>

<file path=customXml/itemProps3.xml><?xml version="1.0" encoding="utf-8"?>
<ds:datastoreItem xmlns:ds="http://schemas.openxmlformats.org/officeDocument/2006/customXml" ds:itemID="{33F9D46E-58F0-43C9-A647-82BE5BB895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Cover Sheet</vt:lpstr>
      <vt:lpstr>Yield CapRate</vt:lpstr>
      <vt:lpstr>Direct CapRates</vt:lpstr>
      <vt:lpstr>S&amp;D</vt:lpstr>
      <vt:lpstr>Market to Book Ratios</vt:lpstr>
      <vt:lpstr>Maintenance CapEx</vt:lpstr>
      <vt:lpstr>Beta for CAPM</vt:lpstr>
      <vt:lpstr>Dividends </vt:lpstr>
      <vt:lpstr>Earnings</vt:lpstr>
      <vt:lpstr>Debt</vt:lpstr>
      <vt:lpstr>Direct GCF</vt:lpstr>
      <vt:lpstr>Direct NOPAT</vt:lpstr>
      <vt:lpstr>CAPM</vt:lpstr>
      <vt:lpstr>Growth &amp; Inflation Rates</vt:lpstr>
      <vt:lpstr>Indicated Yield Equity Rate </vt:lpstr>
      <vt:lpstr>Single Stage Div Growth Model</vt:lpstr>
      <vt:lpstr>Two-Stage Dividend Growth Model</vt:lpstr>
      <vt:lpstr>Multiples</vt:lpstr>
      <vt:lpstr>Info</vt:lpstr>
      <vt:lpstr>'Beta for CAPM'!Print_Area</vt:lpstr>
      <vt:lpstr>CAPM!Print_Area</vt:lpstr>
      <vt:lpstr>'Cover Sheet'!Print_Area</vt:lpstr>
      <vt:lpstr>Debt!Print_Area</vt:lpstr>
      <vt:lpstr>'Direct CapRates'!Print_Area</vt:lpstr>
      <vt:lpstr>'Direct GCF'!Print_Area</vt:lpstr>
      <vt:lpstr>'Direct NOPAT'!Print_Area</vt:lpstr>
      <vt:lpstr>'Dividends '!Print_Area</vt:lpstr>
      <vt:lpstr>Earnings!Print_Area</vt:lpstr>
      <vt:lpstr>'Growth &amp; Inflation Rates'!Print_Area</vt:lpstr>
      <vt:lpstr>'Indicated Yield Equity Rate '!Print_Area</vt:lpstr>
      <vt:lpstr>'Maintenance CapEx'!Print_Area</vt:lpstr>
      <vt:lpstr>'Market to Book Ratios'!Print_Area</vt:lpstr>
      <vt:lpstr>Multiples!Print_Area</vt:lpstr>
      <vt:lpstr>'S&amp;D'!Print_Area</vt:lpstr>
      <vt:lpstr>'Single Stage Div Growth Model'!Print_Area</vt:lpstr>
      <vt:lpstr>'Two-Stage Dividend Growth Model'!Print_Area</vt:lpstr>
      <vt:lpstr>'Yield CapRate'!Print_Area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Cap Rate Study - Electric Utility</dc:title>
  <dc:creator>%USERNAME%</dc:creator>
  <cp:lastModifiedBy>Sheeks, Ashley (DOR)</cp:lastModifiedBy>
  <cp:lastPrinted>2023-05-30T14:17:04Z</cp:lastPrinted>
  <dcterms:created xsi:type="dcterms:W3CDTF">2016-02-12T19:29:24Z</dcterms:created>
  <dcterms:modified xsi:type="dcterms:W3CDTF">2025-10-01T15:50:15Z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0x01010019CFB36B36E7EE46B860E7832FBC9DDB</vt:lpwstr>
  </property>
</Properties>
</file>