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5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as.ds.ky.gov\dfs\COTShared\REVOAD\APPS\Public Service Branch\CAP Rate Studies\CAP RATE STUDY 2025\2025 CAP Rate Study - All Industries - Worksheets\publish to website\"/>
    </mc:Choice>
  </mc:AlternateContent>
  <xr:revisionPtr revIDLastSave="0" documentId="13_ncr:8001_{AA32191F-5012-4953-87F9-752F300A60F7}" xr6:coauthVersionLast="47" xr6:coauthVersionMax="47" xr10:uidLastSave="{00000000-0000-0000-0000-000000000000}"/>
  <bookViews>
    <workbookView xWindow="-120" yWindow="-120" windowWidth="29040" windowHeight="15720" tabRatio="694" xr2:uid="{00000000-000D-0000-FFFF-FFFF00000000}"/>
  </bookViews>
  <sheets>
    <sheet name="Cover Sheet" sheetId="6" r:id="rId1"/>
    <sheet name="Yield CapRate" sheetId="7" r:id="rId2"/>
    <sheet name="Direct CapRates" sheetId="10" r:id="rId3"/>
    <sheet name="S&amp;D" sheetId="3" r:id="rId4"/>
    <sheet name="Market to Book Ratios" sheetId="29" r:id="rId5"/>
    <sheet name="Maintenance CapEx" sheetId="11" r:id="rId6"/>
    <sheet name="Beta for CAPM" sheetId="14" r:id="rId7"/>
    <sheet name="Earnings" sheetId="27" r:id="rId8"/>
    <sheet name="Dividends " sheetId="17" r:id="rId9"/>
    <sheet name="Debt" sheetId="8" r:id="rId10"/>
    <sheet name="Direct GCF" sheetId="5" r:id="rId11"/>
    <sheet name="Direct NOPAT" sheetId="12" r:id="rId12"/>
    <sheet name="CAPM" sheetId="35" r:id="rId13"/>
    <sheet name="Growth &amp; Inflation Rates" sheetId="40" r:id="rId14"/>
    <sheet name="Indicated Yield Equity Rate " sheetId="36" r:id="rId15"/>
    <sheet name="Single Stage Div Growth Model" sheetId="19" r:id="rId16"/>
    <sheet name="Two-Stage Dividend Growth Model" sheetId="20" r:id="rId17"/>
    <sheet name="Multiples" sheetId="31" r:id="rId18"/>
    <sheet name="Info" sheetId="9" r:id="rId19"/>
  </sheets>
  <definedNames>
    <definedName name="_xlnm.Print_Area" localSheetId="6">'Beta for CAPM'!$A$1:$H$37</definedName>
    <definedName name="_xlnm.Print_Area" localSheetId="12">CAPM!$A$1:$H$85</definedName>
    <definedName name="_xlnm.Print_Area" localSheetId="0">'Cover Sheet'!$A$1:$I$37</definedName>
    <definedName name="_xlnm.Print_Area" localSheetId="9">Debt!$A$1:$M$64</definedName>
    <definedName name="_xlnm.Print_Area" localSheetId="2">'Direct CapRates'!$A$1:$H$66</definedName>
    <definedName name="_xlnm.Print_Area" localSheetId="10">'Direct GCF'!$A$1:$N$34</definedName>
    <definedName name="_xlnm.Print_Area" localSheetId="11">'Direct NOPAT'!$A$1:$N$60</definedName>
    <definedName name="_xlnm.Print_Area" localSheetId="8">'Dividends '!$A$1:$K$31</definedName>
    <definedName name="_xlnm.Print_Area" localSheetId="7">Earnings!$A$1:$K$31</definedName>
    <definedName name="_xlnm.Print_Area" localSheetId="13">'Growth &amp; Inflation Rates'!$A$1:$I$109</definedName>
    <definedName name="_xlnm.Print_Area" localSheetId="14">'Indicated Yield Equity Rate '!$A$1:$F$61</definedName>
    <definedName name="_xlnm.Print_Area" localSheetId="5">'Maintenance CapEx'!$A$1:$L$77</definedName>
    <definedName name="_xlnm.Print_Area" localSheetId="4">'Market to Book Ratios'!$A$1:$G$60</definedName>
    <definedName name="_xlnm.Print_Area" localSheetId="17">Multiples!$A$1:$I$38</definedName>
    <definedName name="_xlnm.Print_Area" localSheetId="3">'S&amp;D'!$A$1:$L$90</definedName>
    <definedName name="_xlnm.Print_Area" localSheetId="15">'Single Stage Div Growth Model'!$A$1:$K$45</definedName>
    <definedName name="_xlnm.Print_Area" localSheetId="16">'Two-Stage Dividend Growth Model'!$A$1:$I$43</definedName>
    <definedName name="_xlnm.Print_Area" localSheetId="1">'Yield CapRate'!$A$1:$H$35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8" l="1"/>
  <c r="J17" i="8"/>
  <c r="J18" i="8"/>
  <c r="J19" i="8"/>
  <c r="J20" i="8"/>
  <c r="J21" i="8"/>
  <c r="J15" i="8"/>
  <c r="G24" i="8" l="1"/>
  <c r="G23" i="8"/>
  <c r="I24" i="8"/>
  <c r="I23" i="8"/>
  <c r="K17" i="17"/>
  <c r="D56" i="10" l="1"/>
  <c r="M32" i="5"/>
  <c r="L32" i="5"/>
  <c r="F22" i="20"/>
  <c r="F23" i="20"/>
  <c r="F24" i="20"/>
  <c r="F25" i="20"/>
  <c r="F26" i="20"/>
  <c r="F27" i="20"/>
  <c r="F21" i="20"/>
  <c r="E47" i="12"/>
  <c r="E48" i="12"/>
  <c r="E49" i="12"/>
  <c r="E50" i="12"/>
  <c r="E51" i="12"/>
  <c r="E52" i="12"/>
  <c r="K17" i="12"/>
  <c r="K18" i="12"/>
  <c r="K19" i="12"/>
  <c r="K20" i="12"/>
  <c r="K21" i="12"/>
  <c r="K22" i="12"/>
  <c r="E17" i="12"/>
  <c r="E18" i="12"/>
  <c r="E19" i="12"/>
  <c r="E20" i="12"/>
  <c r="E21" i="12"/>
  <c r="E22" i="12"/>
  <c r="D25" i="10" l="1"/>
  <c r="D58" i="10"/>
  <c r="E46" i="12"/>
  <c r="K16" i="12"/>
  <c r="E16" i="12"/>
  <c r="G16" i="40"/>
  <c r="G15" i="40"/>
  <c r="A7" i="40"/>
  <c r="J22" i="19"/>
  <c r="I23" i="19"/>
  <c r="I18" i="19"/>
  <c r="J18" i="19"/>
  <c r="I19" i="19"/>
  <c r="J19" i="19"/>
  <c r="I16" i="8" l="1"/>
  <c r="I17" i="8"/>
  <c r="I18" i="8"/>
  <c r="I19" i="8"/>
  <c r="I20" i="8"/>
  <c r="I21" i="8"/>
  <c r="I15" i="8"/>
  <c r="D26" i="11" l="1"/>
  <c r="H44" i="3"/>
  <c r="J28" i="3"/>
  <c r="H43" i="3"/>
  <c r="J27" i="3"/>
  <c r="H27" i="3"/>
  <c r="H42" i="3"/>
  <c r="J26" i="3"/>
  <c r="C26" i="11" l="1"/>
  <c r="C25" i="11"/>
  <c r="C24" i="11"/>
  <c r="C23" i="11"/>
  <c r="C22" i="11"/>
  <c r="C21" i="11"/>
  <c r="C20" i="11"/>
  <c r="F59" i="35"/>
  <c r="F58" i="35"/>
  <c r="F57" i="35"/>
  <c r="F55" i="35"/>
  <c r="F54" i="35"/>
  <c r="F52" i="35"/>
  <c r="F50" i="35"/>
  <c r="F48" i="35"/>
  <c r="F47" i="35"/>
  <c r="F46" i="35"/>
  <c r="F45" i="35"/>
  <c r="F43" i="35"/>
  <c r="F42" i="35"/>
  <c r="E33" i="35"/>
  <c r="E32" i="35"/>
  <c r="E31" i="35"/>
  <c r="E29" i="35"/>
  <c r="E28" i="35"/>
  <c r="E26" i="35"/>
  <c r="E24" i="35"/>
  <c r="E22" i="35"/>
  <c r="E21" i="35"/>
  <c r="E20" i="35"/>
  <c r="E19" i="35"/>
  <c r="E17" i="35"/>
  <c r="E16" i="35"/>
  <c r="F57" i="40"/>
  <c r="F54" i="40"/>
  <c r="E54" i="40"/>
  <c r="D54" i="40"/>
  <c r="E53" i="40"/>
  <c r="D53" i="40"/>
  <c r="F53" i="40" s="1"/>
  <c r="E52" i="40"/>
  <c r="D52" i="40"/>
  <c r="E51" i="40"/>
  <c r="D51" i="40"/>
  <c r="F50" i="40"/>
  <c r="F48" i="40"/>
  <c r="F47" i="40"/>
  <c r="F46" i="40"/>
  <c r="F45" i="40"/>
  <c r="F52" i="40" s="1"/>
  <c r="F44" i="40"/>
  <c r="F43" i="40"/>
  <c r="F42" i="40"/>
  <c r="F51" i="40" s="1"/>
  <c r="A15" i="40"/>
  <c r="D23" i="11"/>
  <c r="H41" i="3"/>
  <c r="J25" i="3"/>
  <c r="D22" i="11"/>
  <c r="H40" i="3"/>
  <c r="J24" i="3"/>
  <c r="H39" i="3"/>
  <c r="E22" i="29" l="1"/>
  <c r="D20" i="11" l="1"/>
  <c r="H38" i="3"/>
  <c r="J22" i="3"/>
  <c r="E26" i="11" l="1"/>
  <c r="E25" i="11"/>
  <c r="E20" i="11"/>
  <c r="E55" i="12" l="1"/>
  <c r="E54" i="12"/>
  <c r="K25" i="12"/>
  <c r="K24" i="12"/>
  <c r="E25" i="12"/>
  <c r="E24" i="12"/>
  <c r="J24" i="8"/>
  <c r="J23" i="8"/>
  <c r="G25" i="31"/>
  <c r="G24" i="31"/>
  <c r="E25" i="31"/>
  <c r="E24" i="31"/>
  <c r="H25" i="19"/>
  <c r="G25" i="19"/>
  <c r="H24" i="19"/>
  <c r="G24" i="19"/>
  <c r="J26" i="5"/>
  <c r="J25" i="5"/>
  <c r="D26" i="5"/>
  <c r="D25" i="5"/>
  <c r="I25" i="17" l="1"/>
  <c r="G25" i="17"/>
  <c r="I24" i="17"/>
  <c r="G24" i="17"/>
  <c r="E25" i="17"/>
  <c r="E24" i="17"/>
  <c r="I25" i="27"/>
  <c r="G25" i="27"/>
  <c r="I24" i="27"/>
  <c r="G24" i="27"/>
  <c r="E25" i="27"/>
  <c r="E24" i="27"/>
  <c r="H26" i="14"/>
  <c r="H25" i="14"/>
  <c r="F23" i="3" l="1"/>
  <c r="C43" i="3"/>
  <c r="E44" i="3"/>
  <c r="B46" i="35" l="1"/>
  <c r="E46" i="35" s="1"/>
  <c r="D15" i="10"/>
  <c r="A6" i="35" l="1"/>
  <c r="A48" i="35"/>
  <c r="A47" i="35"/>
  <c r="A45" i="35"/>
  <c r="B59" i="35"/>
  <c r="E59" i="35" s="1"/>
  <c r="B58" i="35"/>
  <c r="E58" i="35" s="1"/>
  <c r="B48" i="35"/>
  <c r="B47" i="35"/>
  <c r="E47" i="35" s="1"/>
  <c r="A6" i="31"/>
  <c r="A6" i="20"/>
  <c r="A6" i="19"/>
  <c r="A6" i="36"/>
  <c r="A6" i="12"/>
  <c r="A6" i="5"/>
  <c r="A6" i="8"/>
  <c r="A6" i="17"/>
  <c r="A6" i="27"/>
  <c r="A8" i="14"/>
  <c r="A8" i="11"/>
  <c r="A9" i="29"/>
  <c r="D16" i="7"/>
  <c r="D48" i="10"/>
  <c r="A16" i="6"/>
  <c r="C16" i="35"/>
  <c r="B57" i="35"/>
  <c r="E57" i="35" s="1"/>
  <c r="B55" i="35"/>
  <c r="E55" i="35" s="1"/>
  <c r="B54" i="35"/>
  <c r="E54" i="35" s="1"/>
  <c r="B52" i="35"/>
  <c r="E52" i="35" s="1"/>
  <c r="B50" i="35"/>
  <c r="E50" i="35" s="1"/>
  <c r="B45" i="35"/>
  <c r="E45" i="35" s="1"/>
  <c r="B43" i="35"/>
  <c r="E43" i="35" s="1"/>
  <c r="B42" i="35"/>
  <c r="E42" i="35" s="1"/>
  <c r="C20" i="35" l="1"/>
  <c r="C21" i="35"/>
  <c r="C22" i="35"/>
  <c r="C29" i="35"/>
  <c r="D29" i="35" s="1"/>
  <c r="E48" i="35"/>
  <c r="C19" i="35"/>
  <c r="C45" i="35" s="1"/>
  <c r="D45" i="35" s="1"/>
  <c r="C42" i="35"/>
  <c r="D42" i="35" s="1"/>
  <c r="C31" i="35"/>
  <c r="C57" i="35" s="1"/>
  <c r="D57" i="35" s="1"/>
  <c r="C28" i="35"/>
  <c r="C54" i="35" s="1"/>
  <c r="D54" i="35" s="1"/>
  <c r="C17" i="35"/>
  <c r="C26" i="35"/>
  <c r="C33" i="35"/>
  <c r="C59" i="35" s="1"/>
  <c r="D59" i="35" s="1"/>
  <c r="G59" i="35" s="1"/>
  <c r="D40" i="36" s="1"/>
  <c r="D16" i="35"/>
  <c r="F16" i="35" s="1"/>
  <c r="C24" i="35"/>
  <c r="C46" i="35" l="1"/>
  <c r="D46" i="35" s="1"/>
  <c r="D20" i="35"/>
  <c r="F20" i="35" s="1"/>
  <c r="D18" i="36" s="1"/>
  <c r="F29" i="35"/>
  <c r="G54" i="35"/>
  <c r="D36" i="36" s="1"/>
  <c r="C43" i="35"/>
  <c r="D43" i="35" s="1"/>
  <c r="C32" i="35"/>
  <c r="G42" i="35"/>
  <c r="D28" i="36" s="1"/>
  <c r="D19" i="35"/>
  <c r="F19" i="35" s="1"/>
  <c r="C55" i="35"/>
  <c r="D55" i="35" s="1"/>
  <c r="G55" i="35" s="1"/>
  <c r="D37" i="36" s="1"/>
  <c r="G57" i="35"/>
  <c r="D38" i="36" s="1"/>
  <c r="D22" i="35"/>
  <c r="F22" i="35" s="1"/>
  <c r="D20" i="36" s="1"/>
  <c r="C48" i="35"/>
  <c r="D48" i="35" s="1"/>
  <c r="G48" i="35" s="1"/>
  <c r="D33" i="36" s="1"/>
  <c r="D28" i="35"/>
  <c r="F28" i="35" s="1"/>
  <c r="D31" i="35"/>
  <c r="F31" i="35" s="1"/>
  <c r="D25" i="36" s="1"/>
  <c r="C47" i="35"/>
  <c r="D47" i="35" s="1"/>
  <c r="G47" i="35" s="1"/>
  <c r="D32" i="36" s="1"/>
  <c r="D21" i="35"/>
  <c r="F21" i="35" s="1"/>
  <c r="D19" i="36" s="1"/>
  <c r="G45" i="35"/>
  <c r="D30" i="36" s="1"/>
  <c r="D17" i="35"/>
  <c r="F17" i="35" s="1"/>
  <c r="C50" i="35"/>
  <c r="D50" i="35" s="1"/>
  <c r="G50" i="35" s="1"/>
  <c r="D34" i="36" s="1"/>
  <c r="D24" i="35"/>
  <c r="F24" i="35" s="1"/>
  <c r="D26" i="35"/>
  <c r="F26" i="35" s="1"/>
  <c r="C52" i="35"/>
  <c r="D52" i="35" s="1"/>
  <c r="G52" i="35" s="1"/>
  <c r="D35" i="36" s="1"/>
  <c r="D33" i="35"/>
  <c r="F33" i="35" s="1"/>
  <c r="D27" i="36" s="1"/>
  <c r="G43" i="35" l="1"/>
  <c r="D29" i="36" s="1"/>
  <c r="G46" i="35"/>
  <c r="D31" i="36" s="1"/>
  <c r="D32" i="35"/>
  <c r="F32" i="35" s="1"/>
  <c r="D26" i="36" s="1"/>
  <c r="C58" i="35"/>
  <c r="D58" i="35" s="1"/>
  <c r="G58" i="35" s="1"/>
  <c r="D39" i="36" s="1"/>
  <c r="D23" i="7"/>
  <c r="D44" i="36"/>
  <c r="D43" i="36"/>
  <c r="D42" i="36"/>
  <c r="D41" i="36"/>
  <c r="D19" i="31" l="1"/>
  <c r="F19" i="31" s="1"/>
  <c r="C19" i="31"/>
  <c r="B19" i="31"/>
  <c r="E24" i="20"/>
  <c r="C24" i="20"/>
  <c r="B24" i="20"/>
  <c r="A24" i="20"/>
  <c r="D20" i="19"/>
  <c r="C20" i="19"/>
  <c r="B20" i="19"/>
  <c r="A20" i="19"/>
  <c r="D49" i="12"/>
  <c r="F49" i="12" s="1"/>
  <c r="G49" i="12" s="1"/>
  <c r="C49" i="12"/>
  <c r="A49" i="12"/>
  <c r="D19" i="12"/>
  <c r="J19" i="12" s="1"/>
  <c r="L19" i="12" s="1"/>
  <c r="M19" i="12" s="1"/>
  <c r="C19" i="12"/>
  <c r="A19" i="12"/>
  <c r="C20" i="5"/>
  <c r="I20" i="5" s="1"/>
  <c r="L20" i="5" s="1"/>
  <c r="M20" i="5" s="1"/>
  <c r="B20" i="5"/>
  <c r="H20" i="5" s="1"/>
  <c r="A20" i="5"/>
  <c r="E18" i="8"/>
  <c r="D18" i="8"/>
  <c r="C18" i="8"/>
  <c r="B18" i="8"/>
  <c r="A18" i="8"/>
  <c r="K19" i="27"/>
  <c r="D19" i="27"/>
  <c r="H19" i="27" s="1"/>
  <c r="C19" i="27"/>
  <c r="B19" i="27"/>
  <c r="A19" i="27"/>
  <c r="K19" i="17"/>
  <c r="D19" i="17"/>
  <c r="J19" i="17" s="1"/>
  <c r="C19" i="17"/>
  <c r="B19" i="17"/>
  <c r="A19" i="17"/>
  <c r="C21" i="14"/>
  <c r="B21" i="14"/>
  <c r="A21" i="14"/>
  <c r="B23" i="11"/>
  <c r="A23" i="11"/>
  <c r="E43" i="29"/>
  <c r="D43" i="29"/>
  <c r="C43" i="29"/>
  <c r="B43" i="29"/>
  <c r="A43" i="29"/>
  <c r="C25" i="29"/>
  <c r="B25" i="29"/>
  <c r="A25" i="29"/>
  <c r="E41" i="3"/>
  <c r="D41" i="3"/>
  <c r="E20" i="19" s="1"/>
  <c r="C41" i="3"/>
  <c r="B41" i="3"/>
  <c r="A41" i="3"/>
  <c r="F25" i="3"/>
  <c r="D25" i="29" l="1"/>
  <c r="F25" i="29" s="1"/>
  <c r="F19" i="17"/>
  <c r="J19" i="27"/>
  <c r="F19" i="27"/>
  <c r="E20" i="5"/>
  <c r="F20" i="5" s="1"/>
  <c r="H19" i="17"/>
  <c r="F20" i="19" s="1"/>
  <c r="I20" i="19" s="1"/>
  <c r="H19" i="31"/>
  <c r="I41" i="3"/>
  <c r="J41" i="3" s="1"/>
  <c r="D15" i="36"/>
  <c r="F43" i="29"/>
  <c r="F23" i="11"/>
  <c r="H23" i="11" s="1"/>
  <c r="J23" i="11" s="1"/>
  <c r="F19" i="12"/>
  <c r="G19" i="12" s="1"/>
  <c r="J20" i="19" l="1"/>
  <c r="D24" i="20"/>
  <c r="K41" i="3"/>
  <c r="I23" i="11"/>
  <c r="K23" i="11" s="1"/>
  <c r="L23" i="11" s="1"/>
  <c r="D17" i="36"/>
  <c r="D23" i="36"/>
  <c r="D22" i="36"/>
  <c r="D21" i="36"/>
  <c r="D16" i="36"/>
  <c r="D24" i="36"/>
  <c r="F22" i="11"/>
  <c r="D49" i="36" l="1"/>
  <c r="D46" i="36"/>
  <c r="D47" i="36"/>
  <c r="D48" i="36"/>
  <c r="B23" i="5" l="1"/>
  <c r="B22" i="5"/>
  <c r="B21" i="5"/>
  <c r="B19" i="5"/>
  <c r="B18" i="5"/>
  <c r="B17" i="5"/>
  <c r="A23" i="5"/>
  <c r="A22" i="5"/>
  <c r="A21" i="5"/>
  <c r="A19" i="5"/>
  <c r="A18" i="5"/>
  <c r="A17" i="5"/>
  <c r="F28" i="3"/>
  <c r="F27" i="3"/>
  <c r="F26" i="3"/>
  <c r="F24" i="3"/>
  <c r="F22" i="3"/>
  <c r="G24" i="20" l="1"/>
  <c r="H24" i="20" s="1"/>
  <c r="E40" i="29" l="1"/>
  <c r="E27" i="20"/>
  <c r="E26" i="20"/>
  <c r="E25" i="20"/>
  <c r="E23" i="20"/>
  <c r="G23" i="20" s="1"/>
  <c r="E22" i="20"/>
  <c r="C27" i="20"/>
  <c r="B27" i="20"/>
  <c r="C26" i="20"/>
  <c r="B26" i="20"/>
  <c r="C25" i="20"/>
  <c r="B25" i="20"/>
  <c r="C23" i="20"/>
  <c r="B23" i="20"/>
  <c r="C22" i="20"/>
  <c r="B22" i="20"/>
  <c r="C21" i="20"/>
  <c r="B21" i="20"/>
  <c r="A27" i="20"/>
  <c r="A26" i="20"/>
  <c r="A25" i="20"/>
  <c r="A23" i="20"/>
  <c r="A22" i="20"/>
  <c r="A21" i="20"/>
  <c r="D23" i="19"/>
  <c r="D22" i="19"/>
  <c r="D21" i="19"/>
  <c r="D19" i="19"/>
  <c r="D18" i="19"/>
  <c r="C23" i="19"/>
  <c r="B23" i="19"/>
  <c r="A23" i="19"/>
  <c r="C22" i="19"/>
  <c r="B22" i="19"/>
  <c r="A22" i="19"/>
  <c r="C21" i="19"/>
  <c r="B21" i="19"/>
  <c r="A21" i="19"/>
  <c r="C19" i="19"/>
  <c r="B19" i="19"/>
  <c r="A19" i="19"/>
  <c r="C18" i="19"/>
  <c r="B18" i="19"/>
  <c r="A18" i="19"/>
  <c r="C17" i="19"/>
  <c r="B17" i="19"/>
  <c r="A17" i="19"/>
  <c r="E21" i="20"/>
  <c r="C22" i="12" l="1"/>
  <c r="A22" i="12"/>
  <c r="C21" i="12"/>
  <c r="A21" i="12"/>
  <c r="C20" i="12"/>
  <c r="A20" i="12"/>
  <c r="C18" i="12"/>
  <c r="A18" i="12"/>
  <c r="C17" i="12"/>
  <c r="A17" i="12"/>
  <c r="C16" i="12"/>
  <c r="A16" i="12"/>
  <c r="C52" i="12"/>
  <c r="A52" i="12"/>
  <c r="C51" i="12"/>
  <c r="A51" i="12"/>
  <c r="C50" i="12"/>
  <c r="A50" i="12"/>
  <c r="C48" i="12"/>
  <c r="A48" i="12"/>
  <c r="C47" i="12"/>
  <c r="A47" i="12"/>
  <c r="C46" i="12"/>
  <c r="A46" i="12"/>
  <c r="G26" i="8" l="1"/>
  <c r="G25" i="8"/>
  <c r="D52" i="12" l="1"/>
  <c r="F52" i="12" s="1"/>
  <c r="G52" i="12" s="1"/>
  <c r="D51" i="12"/>
  <c r="F51" i="12" s="1"/>
  <c r="G51" i="12" s="1"/>
  <c r="D50" i="12"/>
  <c r="F50" i="12" s="1"/>
  <c r="G50" i="12" s="1"/>
  <c r="D48" i="12"/>
  <c r="F48" i="12" s="1"/>
  <c r="G48" i="12" s="1"/>
  <c r="D47" i="12"/>
  <c r="D46" i="12"/>
  <c r="F46" i="12" s="1"/>
  <c r="E57" i="12"/>
  <c r="E56" i="12"/>
  <c r="G46" i="12" l="1"/>
  <c r="F47" i="12"/>
  <c r="G47" i="12" s="1"/>
  <c r="F54" i="12" l="1"/>
  <c r="F55" i="12"/>
  <c r="G56" i="12"/>
  <c r="G54" i="12"/>
  <c r="G55" i="12"/>
  <c r="F56" i="12"/>
  <c r="G57" i="12"/>
  <c r="F57" i="12"/>
  <c r="D22" i="31" l="1"/>
  <c r="C22" i="31"/>
  <c r="B22" i="31"/>
  <c r="D21" i="31"/>
  <c r="C21" i="31"/>
  <c r="B21" i="31"/>
  <c r="D20" i="31"/>
  <c r="C20" i="31"/>
  <c r="B20" i="31"/>
  <c r="D18" i="31"/>
  <c r="C18" i="31"/>
  <c r="B18" i="31"/>
  <c r="D17" i="31"/>
  <c r="C17" i="31"/>
  <c r="B17" i="31"/>
  <c r="D16" i="31"/>
  <c r="C16" i="31"/>
  <c r="B16" i="31"/>
  <c r="F16" i="31" l="1"/>
  <c r="H16" i="31"/>
  <c r="F21" i="31"/>
  <c r="H21" i="31"/>
  <c r="F20" i="31"/>
  <c r="H20" i="31"/>
  <c r="F18" i="31"/>
  <c r="H18" i="31"/>
  <c r="F17" i="31"/>
  <c r="H17" i="31"/>
  <c r="F22" i="31"/>
  <c r="H22" i="31"/>
  <c r="H25" i="31" l="1"/>
  <c r="H24" i="31"/>
  <c r="F25" i="31"/>
  <c r="F24" i="31"/>
  <c r="F27" i="31"/>
  <c r="F26" i="31"/>
  <c r="H26" i="31"/>
  <c r="H27" i="31"/>
  <c r="C21" i="8"/>
  <c r="B21" i="8"/>
  <c r="A21" i="8"/>
  <c r="C20" i="8"/>
  <c r="B20" i="8"/>
  <c r="A20" i="8"/>
  <c r="C19" i="8"/>
  <c r="B19" i="8"/>
  <c r="A19" i="8"/>
  <c r="C17" i="8"/>
  <c r="B17" i="8"/>
  <c r="A17" i="8"/>
  <c r="C16" i="8"/>
  <c r="B16" i="8"/>
  <c r="A16" i="8"/>
  <c r="C15" i="8"/>
  <c r="B15" i="8"/>
  <c r="A15" i="8"/>
  <c r="C22" i="27"/>
  <c r="B22" i="27"/>
  <c r="A22" i="27"/>
  <c r="C21" i="27"/>
  <c r="B21" i="27"/>
  <c r="A21" i="27"/>
  <c r="C20" i="27"/>
  <c r="B20" i="27"/>
  <c r="A20" i="27"/>
  <c r="C18" i="27"/>
  <c r="B18" i="27"/>
  <c r="A18" i="27"/>
  <c r="C17" i="27"/>
  <c r="B17" i="27"/>
  <c r="A17" i="27"/>
  <c r="C16" i="27"/>
  <c r="B16" i="27"/>
  <c r="A16" i="27"/>
  <c r="C22" i="17"/>
  <c r="B22" i="17"/>
  <c r="A22" i="17"/>
  <c r="C21" i="17"/>
  <c r="B21" i="17"/>
  <c r="A21" i="17"/>
  <c r="C20" i="17"/>
  <c r="B20" i="17"/>
  <c r="A20" i="17"/>
  <c r="C18" i="17"/>
  <c r="B18" i="17"/>
  <c r="A18" i="17"/>
  <c r="C17" i="17"/>
  <c r="B17" i="17"/>
  <c r="A17" i="17"/>
  <c r="C16" i="17"/>
  <c r="B16" i="17"/>
  <c r="A16" i="17"/>
  <c r="C24" i="14"/>
  <c r="B24" i="14"/>
  <c r="A24" i="14"/>
  <c r="C23" i="14"/>
  <c r="B23" i="14"/>
  <c r="A23" i="14"/>
  <c r="C22" i="14"/>
  <c r="B22" i="14"/>
  <c r="A22" i="14"/>
  <c r="C20" i="14"/>
  <c r="B20" i="14"/>
  <c r="A20" i="14"/>
  <c r="C19" i="14"/>
  <c r="B19" i="14"/>
  <c r="A19" i="14"/>
  <c r="C18" i="14"/>
  <c r="B18" i="14"/>
  <c r="A18" i="14"/>
  <c r="B26" i="11"/>
  <c r="A26" i="11"/>
  <c r="B25" i="11"/>
  <c r="A25" i="11"/>
  <c r="B24" i="11"/>
  <c r="A24" i="11"/>
  <c r="B22" i="11"/>
  <c r="A22" i="11"/>
  <c r="B21" i="11"/>
  <c r="A21" i="11"/>
  <c r="B20" i="11"/>
  <c r="A20" i="11"/>
  <c r="C28" i="29"/>
  <c r="B28" i="29"/>
  <c r="A28" i="29"/>
  <c r="C27" i="29"/>
  <c r="B27" i="29"/>
  <c r="A27" i="29"/>
  <c r="C26" i="29"/>
  <c r="B26" i="29"/>
  <c r="A26" i="29"/>
  <c r="C24" i="29"/>
  <c r="B24" i="29"/>
  <c r="A24" i="29"/>
  <c r="C23" i="29"/>
  <c r="B23" i="29"/>
  <c r="A23" i="29"/>
  <c r="C22" i="29"/>
  <c r="B22" i="29"/>
  <c r="A22" i="29"/>
  <c r="C46" i="29"/>
  <c r="B46" i="29"/>
  <c r="A46" i="29"/>
  <c r="C45" i="29"/>
  <c r="B45" i="29"/>
  <c r="A45" i="29"/>
  <c r="C44" i="29"/>
  <c r="B44" i="29"/>
  <c r="A44" i="29"/>
  <c r="C42" i="29"/>
  <c r="B42" i="29"/>
  <c r="A42" i="29"/>
  <c r="C41" i="29"/>
  <c r="B41" i="29"/>
  <c r="A41" i="29"/>
  <c r="C40" i="29"/>
  <c r="B40" i="29"/>
  <c r="A40" i="29"/>
  <c r="H23" i="5"/>
  <c r="H22" i="5"/>
  <c r="H21" i="5"/>
  <c r="H19" i="5"/>
  <c r="H18" i="5"/>
  <c r="H17" i="5"/>
  <c r="D21" i="8"/>
  <c r="D20" i="8"/>
  <c r="D19" i="8"/>
  <c r="D17" i="8"/>
  <c r="D16" i="8"/>
  <c r="D15" i="8"/>
  <c r="G64" i="10"/>
  <c r="K16" i="17"/>
  <c r="B55" i="29"/>
  <c r="I27" i="27"/>
  <c r="G27" i="27"/>
  <c r="E27" i="27"/>
  <c r="I26" i="27"/>
  <c r="G26" i="27"/>
  <c r="E26" i="27"/>
  <c r="K22" i="27"/>
  <c r="D22" i="27"/>
  <c r="H22" i="27" s="1"/>
  <c r="K21" i="27"/>
  <c r="D21" i="27"/>
  <c r="J21" i="27" s="1"/>
  <c r="K20" i="27"/>
  <c r="D20" i="27"/>
  <c r="H20" i="27" s="1"/>
  <c r="K18" i="27"/>
  <c r="D18" i="27"/>
  <c r="F18" i="27" s="1"/>
  <c r="K17" i="27"/>
  <c r="D17" i="27"/>
  <c r="H17" i="27" s="1"/>
  <c r="K16" i="27"/>
  <c r="D16" i="27"/>
  <c r="J16" i="27" s="1"/>
  <c r="K22" i="17"/>
  <c r="K21" i="17"/>
  <c r="K20" i="17"/>
  <c r="K18" i="17"/>
  <c r="K25" i="17" l="1"/>
  <c r="K24" i="17"/>
  <c r="K25" i="27"/>
  <c r="K24" i="27"/>
  <c r="G26" i="20"/>
  <c r="G25" i="20"/>
  <c r="G22" i="20"/>
  <c r="J17" i="27"/>
  <c r="F22" i="27"/>
  <c r="J22" i="27"/>
  <c r="F17" i="27"/>
  <c r="H21" i="27"/>
  <c r="F20" i="27"/>
  <c r="J20" i="27"/>
  <c r="K27" i="27"/>
  <c r="H18" i="27"/>
  <c r="K26" i="27"/>
  <c r="F16" i="27"/>
  <c r="J18" i="27"/>
  <c r="F21" i="27"/>
  <c r="H16" i="27"/>
  <c r="K26" i="17"/>
  <c r="F15" i="40" s="1"/>
  <c r="K27" i="17"/>
  <c r="F16" i="40" s="1"/>
  <c r="J25" i="27" l="1"/>
  <c r="J24" i="27"/>
  <c r="H24" i="27"/>
  <c r="H25" i="27"/>
  <c r="F25" i="27"/>
  <c r="F24" i="27"/>
  <c r="J27" i="27"/>
  <c r="J26" i="27"/>
  <c r="F27" i="27"/>
  <c r="F26" i="27"/>
  <c r="H27" i="27"/>
  <c r="H26" i="27"/>
  <c r="I27" i="17" l="1"/>
  <c r="I26" i="17"/>
  <c r="G31" i="10" l="1"/>
  <c r="G21" i="20" l="1"/>
  <c r="H27" i="19"/>
  <c r="G27" i="19"/>
  <c r="H26" i="19"/>
  <c r="G26" i="19"/>
  <c r="D17" i="19"/>
  <c r="G27" i="17"/>
  <c r="G26" i="17"/>
  <c r="D22" i="17"/>
  <c r="J22" i="17" s="1"/>
  <c r="D21" i="17"/>
  <c r="J21" i="17" s="1"/>
  <c r="D20" i="17"/>
  <c r="J20" i="17" s="1"/>
  <c r="D18" i="17"/>
  <c r="J18" i="17" s="1"/>
  <c r="D17" i="17"/>
  <c r="D16" i="17"/>
  <c r="J16" i="17" s="1"/>
  <c r="E27" i="17"/>
  <c r="E26" i="17"/>
  <c r="H28" i="14"/>
  <c r="H27" i="14"/>
  <c r="I26" i="8"/>
  <c r="I25" i="8"/>
  <c r="F26" i="11"/>
  <c r="H26" i="11" s="1"/>
  <c r="F25" i="11"/>
  <c r="H25" i="11" s="1"/>
  <c r="F24" i="11"/>
  <c r="H24" i="11" s="1"/>
  <c r="H22" i="11"/>
  <c r="F21" i="11"/>
  <c r="H21" i="11" s="1"/>
  <c r="F20" i="11"/>
  <c r="H20" i="11" s="1"/>
  <c r="E21" i="8"/>
  <c r="E20" i="8"/>
  <c r="E19" i="8"/>
  <c r="E17" i="8"/>
  <c r="E16" i="8"/>
  <c r="E15" i="8"/>
  <c r="C23" i="5"/>
  <c r="I23" i="5" s="1"/>
  <c r="L23" i="5" s="1"/>
  <c r="C22" i="5"/>
  <c r="I22" i="5" s="1"/>
  <c r="L22" i="5" s="1"/>
  <c r="C21" i="5"/>
  <c r="I21" i="5" s="1"/>
  <c r="L21" i="5" s="1"/>
  <c r="C19" i="5"/>
  <c r="I19" i="5" s="1"/>
  <c r="L19" i="5" s="1"/>
  <c r="C18" i="5"/>
  <c r="I18" i="5" s="1"/>
  <c r="L18" i="5" s="1"/>
  <c r="C17" i="5"/>
  <c r="I17" i="5" s="1"/>
  <c r="L17" i="5" s="1"/>
  <c r="J33" i="12"/>
  <c r="D23" i="10" s="1"/>
  <c r="I33" i="12"/>
  <c r="K27" i="12"/>
  <c r="E27" i="12"/>
  <c r="K26" i="12"/>
  <c r="E26" i="12"/>
  <c r="D22" i="12"/>
  <c r="J22" i="12" s="1"/>
  <c r="D21" i="12"/>
  <c r="D20" i="12"/>
  <c r="F20" i="12" s="1"/>
  <c r="G20" i="12" s="1"/>
  <c r="D18" i="12"/>
  <c r="F18" i="12" s="1"/>
  <c r="G18" i="12" s="1"/>
  <c r="D17" i="12"/>
  <c r="J17" i="12" s="1"/>
  <c r="D16" i="12"/>
  <c r="J16" i="12" s="1"/>
  <c r="J17" i="17" l="1"/>
  <c r="H17" i="17"/>
  <c r="L25" i="5"/>
  <c r="L26" i="5"/>
  <c r="J25" i="17"/>
  <c r="J24" i="17"/>
  <c r="J27" i="17"/>
  <c r="J26" i="17"/>
  <c r="J18" i="12"/>
  <c r="L22" i="12"/>
  <c r="M22" i="12" s="1"/>
  <c r="L16" i="12"/>
  <c r="F17" i="17"/>
  <c r="H20" i="17"/>
  <c r="F20" i="17"/>
  <c r="H22" i="17"/>
  <c r="F22" i="17"/>
  <c r="H18" i="17"/>
  <c r="F18" i="17"/>
  <c r="H16" i="17"/>
  <c r="F16" i="17"/>
  <c r="H21" i="17"/>
  <c r="F21" i="17"/>
  <c r="J20" i="12"/>
  <c r="L17" i="12"/>
  <c r="M17" i="12" s="1"/>
  <c r="J21" i="12"/>
  <c r="F16" i="12"/>
  <c r="F21" i="12"/>
  <c r="G21" i="12" s="1"/>
  <c r="F22" i="12"/>
  <c r="G22" i="12" s="1"/>
  <c r="F17" i="12"/>
  <c r="G17" i="12" s="1"/>
  <c r="G16" i="12" l="1"/>
  <c r="G26" i="12" s="1"/>
  <c r="F25" i="12"/>
  <c r="F24" i="12"/>
  <c r="D21" i="20"/>
  <c r="H21" i="20" s="1"/>
  <c r="H25" i="17"/>
  <c r="H24" i="17"/>
  <c r="F25" i="17"/>
  <c r="F24" i="17"/>
  <c r="F19" i="19"/>
  <c r="D23" i="20"/>
  <c r="H23" i="20" s="1"/>
  <c r="F21" i="19"/>
  <c r="D25" i="20"/>
  <c r="H25" i="20" s="1"/>
  <c r="F22" i="19"/>
  <c r="D26" i="20"/>
  <c r="H26" i="20" s="1"/>
  <c r="F23" i="19"/>
  <c r="D27" i="20"/>
  <c r="F18" i="19"/>
  <c r="D22" i="20"/>
  <c r="H22" i="20" s="1"/>
  <c r="L18" i="12"/>
  <c r="M18" i="12" s="1"/>
  <c r="F26" i="17"/>
  <c r="F27" i="17"/>
  <c r="L21" i="12"/>
  <c r="M21" i="12" s="1"/>
  <c r="L20" i="12"/>
  <c r="M20" i="12" s="1"/>
  <c r="F17" i="19"/>
  <c r="H26" i="17"/>
  <c r="H27" i="17"/>
  <c r="F27" i="12"/>
  <c r="F26" i="12"/>
  <c r="M16" i="12"/>
  <c r="G27" i="12" l="1"/>
  <c r="F25" i="19"/>
  <c r="F24" i="19"/>
  <c r="G25" i="12"/>
  <c r="G24" i="12"/>
  <c r="L25" i="12"/>
  <c r="M25" i="12"/>
  <c r="M24" i="12"/>
  <c r="L24" i="12"/>
  <c r="H29" i="20"/>
  <c r="H28" i="20"/>
  <c r="J21" i="19"/>
  <c r="I21" i="19"/>
  <c r="I17" i="19"/>
  <c r="J17" i="19"/>
  <c r="H31" i="20"/>
  <c r="I22" i="19"/>
  <c r="H30" i="20"/>
  <c r="L27" i="12"/>
  <c r="L26" i="12"/>
  <c r="F27" i="19"/>
  <c r="F26" i="19"/>
  <c r="M27" i="12"/>
  <c r="M26" i="12"/>
  <c r="J24" i="19" l="1"/>
  <c r="J25" i="19"/>
  <c r="I25" i="19"/>
  <c r="I24" i="19"/>
  <c r="J27" i="19"/>
  <c r="J26" i="19"/>
  <c r="I27" i="19"/>
  <c r="I26" i="19"/>
  <c r="J28" i="5"/>
  <c r="J27" i="5"/>
  <c r="J26" i="11"/>
  <c r="J25" i="11"/>
  <c r="J24" i="11"/>
  <c r="J22" i="11"/>
  <c r="J21" i="11"/>
  <c r="J20" i="11"/>
  <c r="I26" i="11"/>
  <c r="I25" i="11"/>
  <c r="I24" i="11"/>
  <c r="I22" i="11"/>
  <c r="I21" i="11"/>
  <c r="I20" i="11"/>
  <c r="F56" i="10"/>
  <c r="C58" i="10"/>
  <c r="C56" i="10"/>
  <c r="F58" i="10"/>
  <c r="F25" i="10"/>
  <c r="C25" i="10"/>
  <c r="F23" i="10"/>
  <c r="C23" i="10"/>
  <c r="K22" i="11" l="1"/>
  <c r="L22" i="11" s="1"/>
  <c r="K21" i="11"/>
  <c r="L21" i="11" s="1"/>
  <c r="K20" i="11"/>
  <c r="L20" i="11" s="1"/>
  <c r="K26" i="11"/>
  <c r="L26" i="11" s="1"/>
  <c r="K25" i="11"/>
  <c r="L25" i="11" s="1"/>
  <c r="K24" i="11"/>
  <c r="L24" i="11" s="1"/>
  <c r="G25" i="10"/>
  <c r="C27" i="10"/>
  <c r="C60" i="10"/>
  <c r="G23" i="10"/>
  <c r="G56" i="10"/>
  <c r="G58" i="10"/>
  <c r="E46" i="29"/>
  <c r="E45" i="29"/>
  <c r="E44" i="29"/>
  <c r="E42" i="29"/>
  <c r="E41" i="29"/>
  <c r="L29" i="11" l="1"/>
  <c r="L28" i="11"/>
  <c r="D42" i="29"/>
  <c r="D46" i="29"/>
  <c r="D40" i="29"/>
  <c r="D44" i="29"/>
  <c r="D41" i="29"/>
  <c r="D45" i="29"/>
  <c r="L30" i="11"/>
  <c r="L31" i="11"/>
  <c r="G27" i="10"/>
  <c r="G60" i="10"/>
  <c r="M18" i="5"/>
  <c r="M19" i="5"/>
  <c r="M21" i="5"/>
  <c r="M22" i="5"/>
  <c r="M23" i="5"/>
  <c r="F45" i="29" l="1"/>
  <c r="F44" i="29"/>
  <c r="F46" i="29"/>
  <c r="F41" i="29"/>
  <c r="F40" i="29"/>
  <c r="F42" i="29"/>
  <c r="M17" i="5"/>
  <c r="L27" i="5"/>
  <c r="L28" i="5"/>
  <c r="M25" i="5" l="1"/>
  <c r="M26" i="5"/>
  <c r="F47" i="29"/>
  <c r="D55" i="29" s="1"/>
  <c r="M28" i="5"/>
  <c r="M27" i="5"/>
  <c r="E43" i="3"/>
  <c r="E17" i="5" l="1"/>
  <c r="E40" i="3" l="1"/>
  <c r="A44" i="3" l="1"/>
  <c r="A43" i="3"/>
  <c r="A42" i="3"/>
  <c r="A40" i="3"/>
  <c r="A39" i="3"/>
  <c r="D44" i="3"/>
  <c r="D43" i="3"/>
  <c r="I43" i="3" s="1"/>
  <c r="K43" i="3" s="1"/>
  <c r="D42" i="3"/>
  <c r="D26" i="29" s="1"/>
  <c r="D40" i="3"/>
  <c r="I40" i="3" s="1"/>
  <c r="K40" i="3" s="1"/>
  <c r="D39" i="3"/>
  <c r="D28" i="29" l="1"/>
  <c r="F28" i="29" s="1"/>
  <c r="E23" i="19"/>
  <c r="D24" i="29"/>
  <c r="F24" i="29" s="1"/>
  <c r="E19" i="19"/>
  <c r="F26" i="29"/>
  <c r="E21" i="19"/>
  <c r="D27" i="29"/>
  <c r="F27" i="29" s="1"/>
  <c r="E22" i="19"/>
  <c r="D23" i="29"/>
  <c r="F23" i="29" s="1"/>
  <c r="E18" i="19"/>
  <c r="C23" i="7" l="1"/>
  <c r="C54" i="29" s="1"/>
  <c r="C25" i="7"/>
  <c r="C55" i="29" s="1"/>
  <c r="E55" i="29" s="1"/>
  <c r="D25" i="7" l="1"/>
  <c r="J25" i="8" l="1"/>
  <c r="J26" i="8" l="1"/>
  <c r="E42" i="3" l="1"/>
  <c r="D38" i="3"/>
  <c r="D22" i="29" l="1"/>
  <c r="F22" i="29" s="1"/>
  <c r="F29" i="29" s="1"/>
  <c r="D54" i="29" s="1"/>
  <c r="E54" i="29" s="1"/>
  <c r="E56" i="29" s="1"/>
  <c r="I42" i="3"/>
  <c r="K42" i="3" s="1"/>
  <c r="I44" i="3"/>
  <c r="K44" i="3" s="1"/>
  <c r="E17" i="19"/>
  <c r="J43" i="3"/>
  <c r="J44" i="3" l="1"/>
  <c r="J42" i="3"/>
  <c r="D28" i="5" l="1"/>
  <c r="D27" i="5"/>
  <c r="E39" i="3" l="1"/>
  <c r="E38" i="3"/>
  <c r="I38" i="3" s="1"/>
  <c r="K38" i="3" s="1"/>
  <c r="I39" i="3" l="1"/>
  <c r="J39" i="3" s="1"/>
  <c r="J40" i="3"/>
  <c r="K39" i="3" l="1"/>
  <c r="K48" i="3" s="1"/>
  <c r="J38" i="3"/>
  <c r="J47" i="3" s="1"/>
  <c r="B44" i="3" l="1"/>
  <c r="B43" i="3"/>
  <c r="B42" i="3"/>
  <c r="B40" i="3"/>
  <c r="B39" i="3"/>
  <c r="C44" i="3"/>
  <c r="C42" i="3"/>
  <c r="C40" i="3"/>
  <c r="C39" i="3"/>
  <c r="C38" i="3"/>
  <c r="B38" i="3" l="1"/>
  <c r="A38" i="3"/>
  <c r="E23" i="5"/>
  <c r="F23" i="5" s="1"/>
  <c r="E22" i="5"/>
  <c r="F22" i="5" s="1"/>
  <c r="E21" i="5"/>
  <c r="F21" i="5" s="1"/>
  <c r="E19" i="5"/>
  <c r="F19" i="5" s="1"/>
  <c r="E18" i="5"/>
  <c r="F18" i="5" l="1"/>
  <c r="E25" i="5"/>
  <c r="E26" i="5"/>
  <c r="E27" i="5"/>
  <c r="K47" i="3"/>
  <c r="E28" i="5"/>
  <c r="J48" i="3"/>
  <c r="F17" i="5"/>
  <c r="F27" i="5" l="1"/>
  <c r="F26" i="5"/>
  <c r="F25" i="5"/>
  <c r="F23" i="7"/>
  <c r="G23" i="7" s="1"/>
  <c r="F28" i="5"/>
  <c r="C27" i="7"/>
  <c r="F25" i="7"/>
  <c r="G25" i="7" s="1"/>
  <c r="G2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rev4175</author>
    <author>Moss, Brittney (DOR)</author>
    <author>rev4279</author>
    <author>rev3569</author>
    <author>Baker, Mike A (DOR)</author>
  </authors>
  <commentList>
    <comment ref="G22" authorId="0" shapeId="0" xr:uid="{86945B7C-C99A-4A15-9E8C-A6FE139EE70F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12/29 Close</t>
        </r>
      </text>
    </comment>
    <comment ref="H22" authorId="1" shapeId="0" xr:uid="{C94DBD6A-FF65-4291-9EAE-7A9646656CF6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120</t>
        </r>
      </text>
    </comment>
    <comment ref="I22" authorId="2" shapeId="0" xr:uid="{11B72FD0-DA07-440C-869C-B24F0DE979EF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120 ZERO THIS YEAR</t>
        </r>
      </text>
    </comment>
    <comment ref="J22" authorId="1" shapeId="0" xr:uid="{B6A3148C-8329-4631-827F-96846C86FC85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120
RECOURSE DEBT PLUS NON-RECOURSE DEBT
</t>
        </r>
      </text>
    </comment>
    <comment ref="G23" authorId="0" shapeId="0" xr:uid="{7BC3FCB5-E648-46FC-BF4F-2B5C8C115368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12/29 Close</t>
        </r>
      </text>
    </comment>
    <comment ref="H23" authorId="0" shapeId="0" xr:uid="{6EE3B430-1494-446C-8A48-4E6AC7EFABBB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page 93 of pdf</t>
        </r>
      </text>
    </comment>
    <comment ref="I23" authorId="2" shapeId="0" xr:uid="{61904471-3D71-48B6-A220-840E92E7C894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94</t>
        </r>
      </text>
    </comment>
    <comment ref="J23" authorId="0" shapeId="0" xr:uid="{6B703254-15ED-4C74-B8F9-44000F5D211D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page 93 of pdf</t>
        </r>
      </text>
    </comment>
    <comment ref="H24" authorId="0" shapeId="0" xr:uid="{449DBD42-3406-40E2-A939-DAB080633D04}">
      <text>
        <r>
          <rPr>
            <b/>
            <sz val="9"/>
            <color indexed="81"/>
            <rFont val="Tahoma"/>
            <family val="2"/>
          </rPr>
          <t>rev4175: 10k page 92 of pdf</t>
        </r>
      </text>
    </comment>
    <comment ref="J24" authorId="0" shapeId="0" xr:uid="{129AB744-2DEF-4909-AA8E-FD4AF36AC500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page 92 of pdf</t>
        </r>
      </text>
    </comment>
    <comment ref="G25" authorId="0" shapeId="0" xr:uid="{A81A537A-ADB6-43B0-BDF3-195BAF921789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12/29 Close</t>
        </r>
      </text>
    </comment>
    <comment ref="H25" authorId="0" shapeId="0" xr:uid="{4E76A1E7-F9C6-4D82-A6BC-903B571D60EE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page 63 of pdf</t>
        </r>
      </text>
    </comment>
    <comment ref="J25" authorId="0" shapeId="0" xr:uid="{E6217DEF-BDF9-4375-BBEA-2DF055F6D342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page 63 of pdf</t>
        </r>
      </text>
    </comment>
    <comment ref="G26" authorId="0" shapeId="0" xr:uid="{14A73217-8FE2-409C-AC8B-FCD4C0D36502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12/29 Close</t>
        </r>
      </text>
    </comment>
    <comment ref="H26" authorId="0" shapeId="0" xr:uid="{3663519F-FB46-45AE-8820-EF92F72BD37F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page 91 of pdf</t>
        </r>
      </text>
    </comment>
    <comment ref="I26" authorId="0" shapeId="0" xr:uid="{C90F2EAE-21D4-43AB-8C8F-468961715B12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page 91 of pdf</t>
        </r>
      </text>
    </comment>
    <comment ref="J26" authorId="0" shapeId="0" xr:uid="{785F1267-367F-4ECC-9A97-51A8FEE797FD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page 91 of pdf</t>
        </r>
      </text>
    </comment>
    <comment ref="G27" authorId="0" shapeId="0" xr:uid="{6A7C43C8-C8DF-49A6-812B-B749F6DEBB77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12/29 Close</t>
        </r>
      </text>
    </comment>
    <comment ref="H27" authorId="0" shapeId="0" xr:uid="{B519916D-1E65-4158-9265-60187032046F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page 124 of pdf</t>
        </r>
      </text>
    </comment>
    <comment ref="J27" authorId="0" shapeId="0" xr:uid="{AC512A53-CB53-4CBF-89E5-04065CA87D27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page 124 of pdf</t>
        </r>
      </text>
    </comment>
    <comment ref="G28" authorId="0" shapeId="0" xr:uid="{C78904E6-6611-4AC1-B119-CA5D82D78A1E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12/29 Close</t>
        </r>
      </text>
    </comment>
    <comment ref="H28" authorId="0" shapeId="0" xr:uid="{93E5F729-646C-47AE-91D2-EB1F75423EF0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89 of pdf</t>
        </r>
      </text>
    </comment>
    <comment ref="I28" authorId="2" shapeId="0" xr:uid="{E29AAE01-813D-40E1-B118-6EAB9B3605EC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89 of pdf</t>
        </r>
      </text>
    </comment>
    <comment ref="J28" authorId="0" shapeId="0" xr:uid="{0E422ACC-E88A-4FA6-91BA-06C4C341488B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88 of pdf</t>
        </r>
      </text>
    </comment>
    <comment ref="F34" authorId="3" shapeId="0" xr:uid="{CEF678F7-6580-4CF3-AC8E-A803AFF27478}">
      <text>
        <r>
          <rPr>
            <b/>
            <sz val="11"/>
            <color indexed="81"/>
            <rFont val="Tahoma"/>
            <family val="2"/>
          </rPr>
          <t>rev3569:</t>
        </r>
        <r>
          <rPr>
            <sz val="11"/>
            <color indexed="81"/>
            <rFont val="Tahoma"/>
            <family val="2"/>
          </rPr>
          <t xml:space="preserve">
identify present value in 10K</t>
        </r>
      </text>
    </comment>
    <comment ref="G34" authorId="3" shapeId="0" xr:uid="{83A88F76-25A8-49A4-A435-A96383B012AB}">
      <text>
        <r>
          <rPr>
            <b/>
            <sz val="11"/>
            <color indexed="81"/>
            <rFont val="Tahoma"/>
            <family val="2"/>
          </rPr>
          <t>rev3569:</t>
        </r>
        <r>
          <rPr>
            <sz val="11"/>
            <color indexed="81"/>
            <rFont val="Tahoma"/>
            <family val="2"/>
          </rPr>
          <t xml:space="preserve">
identify present value in 10K</t>
        </r>
      </text>
    </comment>
    <comment ref="F38" authorId="2" shapeId="0" xr:uid="{A0A58B6A-8069-4BD2-8DC1-030FEB278CF5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161 NOTE 15 LEASES</t>
        </r>
      </text>
    </comment>
    <comment ref="G38" authorId="2" shapeId="0" xr:uid="{630E6E88-2B36-4AD0-8BED-3611230A62C2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161 NOTE 15 LEASES</t>
        </r>
      </text>
    </comment>
    <comment ref="H38" authorId="2" shapeId="0" xr:uid="{86754C47-3101-4131-9C0B-5C087B715AAC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PG145 NOTE 5</t>
        </r>
      </text>
    </comment>
    <comment ref="F39" authorId="2" shapeId="0" xr:uid="{ED086EBB-24EA-4049-BBB0-398221571162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158 of pdf  NOTE 15</t>
        </r>
      </text>
    </comment>
    <comment ref="G39" authorId="2" shapeId="0" xr:uid="{8C149F89-ADD6-46C9-A283-C2B046D39678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16o of pdf</t>
        </r>
      </text>
    </comment>
    <comment ref="H39" authorId="2" shapeId="0" xr:uid="{C1669452-0A15-4114-AD6A-D24789240153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131 of pdf </t>
        </r>
      </text>
    </comment>
    <comment ref="F40" authorId="4" shapeId="0" xr:uid="{02834377-A790-48FC-985E-2DB7BC1573AD}">
      <text>
        <r>
          <rPr>
            <sz val="9"/>
            <color indexed="81"/>
            <rFont val="Tahoma"/>
            <family val="2"/>
          </rPr>
          <t xml:space="preserve">10k page 124 of pdf
</t>
        </r>
      </text>
    </comment>
    <comment ref="H40" authorId="2" shapeId="0" xr:uid="{0544FDE7-EF68-44F4-82C3-83A4E834BD2A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146 of pdf</t>
        </r>
      </text>
    </comment>
    <comment ref="F41" authorId="2" shapeId="0" xr:uid="{0314664D-C973-40D1-BBA6-98709FD2BC45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P99 of pdf</t>
        </r>
      </text>
    </comment>
    <comment ref="H41" authorId="2" shapeId="0" xr:uid="{337C0189-CC0F-401F-A87D-77C1F4E7A2B9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55 of pdf</t>
        </r>
      </text>
    </comment>
    <comment ref="F42" authorId="2" shapeId="0" xr:uid="{AB065C58-5B92-4AB1-B4C1-36D19465B7DD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 90 of pdf</t>
        </r>
      </text>
    </comment>
    <comment ref="H42" authorId="2" shapeId="0" xr:uid="{13B12C03-719A-489A-B726-E02CF126BC53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>10k page 111 of pdf</t>
        </r>
      </text>
    </comment>
    <comment ref="F43" authorId="2" shapeId="0" xr:uid="{20983348-3A1E-4A5E-90C4-D9D658FA6521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230 of pdf</t>
        </r>
      </text>
    </comment>
    <comment ref="G43" authorId="2" shapeId="0" xr:uid="{68A349C3-D202-4A4F-9D54-568FA5FDEA18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page 230 of pdf</t>
        </r>
      </text>
    </comment>
    <comment ref="H43" authorId="2" shapeId="0" xr:uid="{61DF26D8-90BD-4252-B162-E7FA8FC57176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II-239 NOTE 13</t>
        </r>
      </text>
    </comment>
    <comment ref="F44" authorId="2" shapeId="0" xr:uid="{FF9C5368-C3D3-46D6-A34C-50548D9BEEF2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1125 of pdf</t>
        </r>
      </text>
    </comment>
    <comment ref="G44" authorId="2" shapeId="0" xr:uid="{01CC6693-FDA0-4679-B17B-DA6C8F026BDB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118 NOTE 13</t>
        </r>
      </text>
    </comment>
    <comment ref="H44" authorId="2" shapeId="0" xr:uid="{F46C00DE-DAB2-4A34-B1CF-36CF020AC553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156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Baker, Mike A (DOR)</author>
    <author>rev4279</author>
  </authors>
  <commentList>
    <comment ref="E22" authorId="0" shapeId="0" xr:uid="{4FEA1386-2744-4761-93C5-D8F44E476027}">
      <text>
        <r>
          <rPr>
            <sz val="9"/>
            <color indexed="81"/>
            <rFont val="Tahoma"/>
            <family val="2"/>
          </rPr>
          <t>10K PG 120
TAKING NONCONTROLLING INTEREST OUT</t>
        </r>
      </text>
    </comment>
    <comment ref="E23" authorId="1" shapeId="0" xr:uid="{0D46C705-9BAF-489F-B27F-7819516472F0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93 of pdf</t>
        </r>
      </text>
    </comment>
    <comment ref="E24" authorId="1" shapeId="0" xr:uid="{137A35B5-8DCB-446E-952F-0AC8DB7BDA5C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97 of pdf
</t>
        </r>
      </text>
    </comment>
    <comment ref="E25" authorId="1" shapeId="0" xr:uid="{8842821F-9993-4239-9871-479BC0EC73AB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63 of pdf</t>
        </r>
      </text>
    </comment>
    <comment ref="E26" authorId="1" shapeId="0" xr:uid="{74C2F131-D730-4E88-93BD-AE11BE79B371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91 of pdf</t>
        </r>
      </text>
    </comment>
    <comment ref="E27" authorId="1" shapeId="0" xr:uid="{A283857F-A2A5-406B-B7A8-50ADAD1F29DB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124 of pdf</t>
        </r>
      </text>
    </comment>
    <comment ref="E28" authorId="1" shapeId="0" xr:uid="{2D761E34-1E29-477A-B1AE-B04F2A2C98A6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89 of pdf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Baker, Mike A (DOR)</author>
    <author>rev4279</author>
  </authors>
  <commentList>
    <comment ref="D20" authorId="0" shapeId="0" xr:uid="{F1710017-BD7D-49A8-98D5-3831B0BD4E4E}">
      <text>
        <r>
          <rPr>
            <sz val="9"/>
            <color indexed="81"/>
            <rFont val="Tahoma"/>
            <family val="2"/>
          </rPr>
          <t>10K PG 120</t>
        </r>
      </text>
    </comment>
    <comment ref="E20" authorId="0" shapeId="0" xr:uid="{B5EEF284-140D-4623-9E24-C3AAEC6F7F4F}">
      <text>
        <r>
          <rPr>
            <sz val="9"/>
            <color indexed="81"/>
            <rFont val="Tahoma"/>
            <family val="2"/>
          </rPr>
          <t>10K PG 119</t>
        </r>
      </text>
    </comment>
    <comment ref="G20" authorId="0" shapeId="0" xr:uid="{CA005A75-17FC-469D-96D3-C8263E5D8266}">
      <text>
        <r>
          <rPr>
            <sz val="9"/>
            <color indexed="81"/>
            <rFont val="Tahoma"/>
            <family val="2"/>
          </rPr>
          <t>10K PG 124</t>
        </r>
      </text>
    </comment>
    <comment ref="D21" authorId="1" shapeId="0" xr:uid="{3165D1E0-CCB6-46C3-9196-98651833074E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92 of pdf</t>
        </r>
      </text>
    </comment>
    <comment ref="E21" authorId="1" shapeId="0" xr:uid="{75F95922-16D7-4A8D-AEAD-790A2AA477E1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93</t>
        </r>
      </text>
    </comment>
    <comment ref="G21" authorId="1" shapeId="0" xr:uid="{97E18204-78DC-4AD0-952B-BD0310FE3FA4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90 of pdf</t>
        </r>
      </text>
    </comment>
    <comment ref="D22" authorId="1" shapeId="0" xr:uid="{9B23810C-6B68-4DAD-8F6F-E0456E3D3194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page 96 of pdf
</t>
        </r>
      </text>
    </comment>
    <comment ref="E22" authorId="1" shapeId="0" xr:uid="{1DEDA9D3-10EA-4DAE-9642-A554DDFB075B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117 NOTE 8
</t>
        </r>
      </text>
    </comment>
    <comment ref="G22" authorId="1" shapeId="0" xr:uid="{D4DD0B3B-0C8A-4EA1-9CD0-95BB70F4F69F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94 of pdf
</t>
        </r>
      </text>
    </comment>
    <comment ref="D23" authorId="1" shapeId="0" xr:uid="{7DFB3487-E08D-41E7-B203-0FCF0989A9F2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63 of pdf</t>
        </r>
      </text>
    </comment>
    <comment ref="E23" authorId="1" shapeId="0" xr:uid="{6A542E49-82D8-45E7-A68B-2B9D2AD52630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74 NOTE 7</t>
        </r>
      </text>
    </comment>
    <comment ref="G23" authorId="1" shapeId="0" xr:uid="{3BBB92C1-1266-4BDC-9E73-A37583084E8F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60</t>
        </r>
      </text>
    </comment>
    <comment ref="D24" authorId="1" shapeId="0" xr:uid="{DC8B10F2-3CD9-42F3-9537-1C086681576F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123 of pdf</t>
        </r>
      </text>
    </comment>
    <comment ref="E24" authorId="1" shapeId="0" xr:uid="{B84AFE68-1E81-4649-8500-9BDD3AFC6D9F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122 NOTE 9</t>
        </r>
      </text>
    </comment>
    <comment ref="G24" authorId="1" shapeId="0" xr:uid="{9CFD979F-4022-44A6-91D5-3132F359E651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D25" authorId="1" shapeId="0" xr:uid="{A33337EB-06C7-447C-8314-8716D1EF565B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123 of pdf</t>
        </r>
      </text>
    </comment>
    <comment ref="E25" authorId="1" shapeId="0" xr:uid="{A9B43949-F1B3-4008-865F-BAA026865306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II-78</t>
        </r>
      </text>
    </comment>
    <comment ref="G25" authorId="1" shapeId="0" xr:uid="{15B1A01F-9E9C-43EF-86A1-0406CAC3A9C0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PG119 of pdf</t>
        </r>
      </text>
    </comment>
    <comment ref="D26" authorId="1" shapeId="0" xr:uid="{0C1FCAD6-A524-49C9-8E37-AAA0E9831E7B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111 of pdf</t>
        </r>
      </text>
    </comment>
    <comment ref="E26" authorId="1" shapeId="0" xr:uid="{D6EC69A7-4E54-412F-A744-A5FF1FED8FA0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154 NOTE 22</t>
        </r>
      </text>
    </comment>
    <comment ref="G26" authorId="1" shapeId="0" xr:uid="{63ADB497-4128-43A1-8A01-4CBD0B0A988D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87 of pdf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Baker, Mike A (DOR)</author>
  </authors>
  <commentList>
    <comment ref="F16" authorId="0" shapeId="0" xr:uid="{E233C07A-5992-4A35-B33E-8DDF2DCAC6FF}">
      <text>
        <r>
          <rPr>
            <b/>
            <sz val="9"/>
            <color indexed="81"/>
            <rFont val="Tahoma"/>
            <family val="2"/>
          </rPr>
          <t>Baker, Mike A (DOR):</t>
        </r>
        <r>
          <rPr>
            <sz val="9"/>
            <color indexed="81"/>
            <rFont val="Tahoma"/>
            <family val="2"/>
          </rPr>
          <t xml:space="preserve">
See 10K page 79
</t>
        </r>
      </text>
    </comment>
    <comment ref="F17" authorId="0" shapeId="0" xr:uid="{8FC3B301-D0B6-4582-A8CB-035C8ADF0856}">
      <text>
        <r>
          <rPr>
            <b/>
            <sz val="9"/>
            <color indexed="81"/>
            <rFont val="Tahoma"/>
            <family val="2"/>
          </rPr>
          <t>Baker, Mike A (DOR):</t>
        </r>
        <r>
          <rPr>
            <sz val="9"/>
            <color indexed="81"/>
            <rFont val="Tahoma"/>
            <family val="2"/>
          </rPr>
          <t xml:space="preserve">
See page 73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Baker, Mike A (DOR)</author>
  </authors>
  <commentList>
    <comment ref="E16" authorId="0" shapeId="0" xr:uid="{CCBA3893-B5E0-458D-A1A8-B4865A96567B}">
      <text>
        <r>
          <rPr>
            <b/>
            <sz val="9"/>
            <color indexed="81"/>
            <rFont val="Tahoma"/>
            <family val="2"/>
          </rPr>
          <t>Baker, Mike A (DOR):</t>
        </r>
        <r>
          <rPr>
            <sz val="9"/>
            <color indexed="81"/>
            <rFont val="Tahoma"/>
            <family val="2"/>
          </rPr>
          <t xml:space="preserve">
d.82 reported by valueline
</t>
        </r>
      </text>
    </comment>
    <comment ref="E22" authorId="0" shapeId="0" xr:uid="{2F05794F-D7AC-491E-9BDF-5527273886C8}">
      <text>
        <r>
          <rPr>
            <b/>
            <sz val="9"/>
            <color indexed="81"/>
            <rFont val="Tahoma"/>
            <family val="2"/>
          </rPr>
          <t>Baker, Mike A (DOR):</t>
        </r>
        <r>
          <rPr>
            <sz val="9"/>
            <color indexed="81"/>
            <rFont val="Tahoma"/>
            <family val="2"/>
          </rPr>
          <t xml:space="preserve">
d.2.90 reported by valueline</t>
        </r>
      </text>
    </comment>
  </commentList>
</comments>
</file>

<file path=xl/sharedStrings.xml><?xml version="1.0" encoding="utf-8"?>
<sst xmlns="http://schemas.openxmlformats.org/spreadsheetml/2006/main" count="1512" uniqueCount="513">
  <si>
    <t xml:space="preserve"> </t>
  </si>
  <si>
    <t>KENTUCKY DEPARTMENT OF REVENUE</t>
  </si>
  <si>
    <t>Company</t>
  </si>
  <si>
    <t>Ticker</t>
  </si>
  <si>
    <t>Symbol</t>
  </si>
  <si>
    <t xml:space="preserve">Industry </t>
  </si>
  <si>
    <t>Group</t>
  </si>
  <si>
    <t>VL</t>
  </si>
  <si>
    <t>10K / SEC</t>
  </si>
  <si>
    <t>DIVISION OF STATE VALUATION, PUBLIC SERVICE BRANCH</t>
  </si>
  <si>
    <t>Stock Price</t>
  </si>
  <si>
    <t>Preferred Stock</t>
  </si>
  <si>
    <t>Common Stock</t>
  </si>
  <si>
    <t>4th Qtr</t>
  </si>
  <si>
    <t>FMV</t>
  </si>
  <si>
    <t>Calculated</t>
  </si>
  <si>
    <t>Total Market Value</t>
  </si>
  <si>
    <t>% Common Stock</t>
  </si>
  <si>
    <t>Median</t>
  </si>
  <si>
    <t>Average</t>
  </si>
  <si>
    <t xml:space="preserve">Financial </t>
  </si>
  <si>
    <t xml:space="preserve">Actual </t>
  </si>
  <si>
    <t>Strength</t>
  </si>
  <si>
    <t>Tax Rate</t>
  </si>
  <si>
    <t>A</t>
  </si>
  <si>
    <t>B+</t>
  </si>
  <si>
    <t>B++</t>
  </si>
  <si>
    <t>Computed</t>
  </si>
  <si>
    <t>Price</t>
  </si>
  <si>
    <t>Multiple</t>
  </si>
  <si>
    <t>Inverse</t>
  </si>
  <si>
    <t>KENTUCKY</t>
  </si>
  <si>
    <t xml:space="preserve">Source of </t>
  </si>
  <si>
    <t>Capital</t>
  </si>
  <si>
    <t>Cost of Capital</t>
  </si>
  <si>
    <t>Weighted</t>
  </si>
  <si>
    <t>Structure</t>
  </si>
  <si>
    <t>Rate</t>
  </si>
  <si>
    <t>After Tax</t>
  </si>
  <si>
    <t>Cost</t>
  </si>
  <si>
    <t>EQUITY</t>
  </si>
  <si>
    <t>-</t>
  </si>
  <si>
    <t>DEBT</t>
  </si>
  <si>
    <t>TOTAL</t>
  </si>
  <si>
    <t>Industry &gt; Electric Companies</t>
  </si>
  <si>
    <t>ALE</t>
  </si>
  <si>
    <t>LNT</t>
  </si>
  <si>
    <t>CMS</t>
  </si>
  <si>
    <t>AEE</t>
  </si>
  <si>
    <t>AEP</t>
  </si>
  <si>
    <t>CNP</t>
  </si>
  <si>
    <t>A+</t>
  </si>
  <si>
    <t xml:space="preserve">  </t>
  </si>
  <si>
    <t>High</t>
  </si>
  <si>
    <t>Low</t>
  </si>
  <si>
    <t>SO</t>
  </si>
  <si>
    <t>Mergent Bond</t>
  </si>
  <si>
    <t>Rating</t>
  </si>
  <si>
    <t>Debt Rate</t>
  </si>
  <si>
    <t>S&amp;P</t>
  </si>
  <si>
    <t>% LT Debt &amp; Pref Stock</t>
  </si>
  <si>
    <t>Baa1</t>
  </si>
  <si>
    <t>Baa2</t>
  </si>
  <si>
    <t>BBB+</t>
  </si>
  <si>
    <t>BBB</t>
  </si>
  <si>
    <t xml:space="preserve">Guideline companies were selected from Electric (East &amp; Central &amp; West) Value Line Industry groups. </t>
  </si>
  <si>
    <t>The capital structure of this industry is a representative or typical capital structure of the group, not that of the present owner.  The capital structure selected reflects the most likely arrangement of a prospective buyer.</t>
  </si>
  <si>
    <t>A1</t>
  </si>
  <si>
    <t>Ba1</t>
  </si>
  <si>
    <t>A3</t>
  </si>
  <si>
    <t>Baa3</t>
  </si>
  <si>
    <t>A-</t>
  </si>
  <si>
    <t>BBB-</t>
  </si>
  <si>
    <t>Book Value</t>
  </si>
  <si>
    <t>Shares Issued less Treasury</t>
  </si>
  <si>
    <t>DIRECT CAPITALIZATION RATE CONCLUSION</t>
  </si>
  <si>
    <t>YIELD CAPITALIZATION RATE CONCLUSION</t>
  </si>
  <si>
    <t>GCF After Tax</t>
  </si>
  <si>
    <t>Capitalization Rate</t>
  </si>
  <si>
    <t>Capitalization</t>
  </si>
  <si>
    <t>Marginal</t>
  </si>
  <si>
    <t>CAP RATE</t>
  </si>
  <si>
    <t>NOI After Tax  (NOPAT)</t>
  </si>
  <si>
    <t>WACC</t>
  </si>
  <si>
    <t>Notes:</t>
  </si>
  <si>
    <t>Shares Outstanding *</t>
  </si>
  <si>
    <t>Selected</t>
  </si>
  <si>
    <t>CAPITAL STRUCTURE</t>
  </si>
  <si>
    <t>Maintenance Capital Expenditures</t>
  </si>
  <si>
    <t>Estimate using Guideline Companies</t>
  </si>
  <si>
    <t>Inflation</t>
  </si>
  <si>
    <t>Rate %</t>
  </si>
  <si>
    <t>CPI</t>
  </si>
  <si>
    <t>PP&amp;E Gross</t>
  </si>
  <si>
    <t>PP&amp;E</t>
  </si>
  <si>
    <t>Previous Year</t>
  </si>
  <si>
    <t>Current Year</t>
  </si>
  <si>
    <t>Depreciation</t>
  </si>
  <si>
    <t>Expense</t>
  </si>
  <si>
    <t xml:space="preserve">Average Life of </t>
  </si>
  <si>
    <t>Assets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</si>
  <si>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</si>
  <si>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</si>
  <si>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</si>
  <si>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</si>
  <si>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</si>
  <si>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</si>
  <si>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</si>
  <si>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</si>
  <si>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</si>
  <si>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</si>
  <si>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F/G</t>
  </si>
  <si>
    <t>C*H</t>
  </si>
  <si>
    <t>1/(1=C)^H</t>
  </si>
  <si>
    <t>Replacement</t>
  </si>
  <si>
    <t xml:space="preserve">Cost </t>
  </si>
  <si>
    <t>RC as % of</t>
  </si>
  <si>
    <t>K/G</t>
  </si>
  <si>
    <t>L</t>
  </si>
  <si>
    <t>(D+E)/2</t>
  </si>
  <si>
    <t>(G*I) / (1-J)</t>
  </si>
  <si>
    <t>*</t>
  </si>
  <si>
    <t>Gross Cash Flow</t>
  </si>
  <si>
    <t>NOPAT</t>
  </si>
  <si>
    <t>VL Projected NOI</t>
  </si>
  <si>
    <t xml:space="preserve">Year End </t>
  </si>
  <si>
    <t>VL Historic</t>
  </si>
  <si>
    <t>VL Projected</t>
  </si>
  <si>
    <t>Current</t>
  </si>
  <si>
    <t>Yield</t>
  </si>
  <si>
    <t>BETA SELECTION for CAPM</t>
  </si>
  <si>
    <t>SELECTED AVERAGE &gt;</t>
  </si>
  <si>
    <t>Source</t>
  </si>
  <si>
    <t>GDP</t>
  </si>
  <si>
    <t>Nominal</t>
  </si>
  <si>
    <t>Growth</t>
  </si>
  <si>
    <t>Book Ratio</t>
  </si>
  <si>
    <t>Numeric</t>
  </si>
  <si>
    <t>Caa3</t>
  </si>
  <si>
    <t>Caa2</t>
  </si>
  <si>
    <t>Caa1</t>
  </si>
  <si>
    <t>B3</t>
  </si>
  <si>
    <t>B2</t>
  </si>
  <si>
    <t>B1</t>
  </si>
  <si>
    <t>Ba3</t>
  </si>
  <si>
    <t>Ba2</t>
  </si>
  <si>
    <t>A2</t>
  </si>
  <si>
    <t>Aa3</t>
  </si>
  <si>
    <t>Aa2</t>
  </si>
  <si>
    <t>Aa1</t>
  </si>
  <si>
    <t>Bond Rating Scale</t>
  </si>
  <si>
    <t>Levered Beta</t>
  </si>
  <si>
    <t>https://www.philadelphiafed.org/research-and-data/real-time-center/livingston-survey</t>
  </si>
  <si>
    <t>https://www.philadelphiafed.org/surveys-and-data/real-time-data-research/survey-of-professional-forecasters</t>
  </si>
  <si>
    <t>Preferred Stock ***</t>
  </si>
  <si>
    <t>Long Term Debt **</t>
  </si>
  <si>
    <t>*** Market value of preferred stock assumed to equal book value</t>
  </si>
  <si>
    <t>* Outstanding stock shares are generally already net of Treasury stock shares</t>
  </si>
  <si>
    <t>MODEL</t>
  </si>
  <si>
    <t>EQUITY RATES for YIELD APPROACH</t>
  </si>
  <si>
    <t>CAPM - The CFO Survey</t>
  </si>
  <si>
    <t>CAPM - Fernandez, Banuls, &amp; Acin</t>
  </si>
  <si>
    <t>CAPM - Ex Post (BVR Historical, Arithmeic)</t>
  </si>
  <si>
    <t>CAPM - Ex Post (BVR Historical, Geometric)</t>
  </si>
  <si>
    <t>Empirical CAPM - The CFO Survey</t>
  </si>
  <si>
    <t>Empirical CAPM - Fernandez, Banuls, &amp; Acin</t>
  </si>
  <si>
    <t>Empirical CAPM - Ex Post (BVR Historical, Arithmeic)</t>
  </si>
  <si>
    <t>Empirical CAPM - Ex Post (BVR Historical, Geometric)</t>
  </si>
  <si>
    <t>Stock</t>
  </si>
  <si>
    <t>Dividends</t>
  </si>
  <si>
    <t>Per Share</t>
  </si>
  <si>
    <t>Dividend</t>
  </si>
  <si>
    <t>Historic</t>
  </si>
  <si>
    <t>Dividend Data</t>
  </si>
  <si>
    <t>AA-</t>
  </si>
  <si>
    <t>Earnings</t>
  </si>
  <si>
    <t>Equity</t>
  </si>
  <si>
    <t>Equity Rate</t>
  </si>
  <si>
    <t>(F+G)</t>
  </si>
  <si>
    <t>(F+H)</t>
  </si>
  <si>
    <t>Dividend Yield</t>
  </si>
  <si>
    <t xml:space="preserve">Projected Short Term </t>
  </si>
  <si>
    <t>DGM - Earnings Growth Rate &gt;</t>
  </si>
  <si>
    <t>DGM - Dividend Growth Rate &gt;</t>
  </si>
  <si>
    <t>Yield Equity Rate - DGM (Two-Stage)</t>
  </si>
  <si>
    <t>Stable</t>
  </si>
  <si>
    <t>Growth Rate</t>
  </si>
  <si>
    <t>Earnings Per Share</t>
  </si>
  <si>
    <t>Cost of</t>
  </si>
  <si>
    <t>g</t>
  </si>
  <si>
    <t>DY</t>
  </si>
  <si>
    <t>G1</t>
  </si>
  <si>
    <t>(G1 + g)/2</t>
  </si>
  <si>
    <t>KE = (DY X (1 + .5(G))) + .67 (G1) + .33(g)</t>
  </si>
  <si>
    <t>Kentucky</t>
  </si>
  <si>
    <t>Common Equity</t>
  </si>
  <si>
    <t>.</t>
  </si>
  <si>
    <t xml:space="preserve">Obligations rated Ca are highly speculative and are likely in, or very near, default, with some prospect of recovery in principal and interest. </t>
  </si>
  <si>
    <t xml:space="preserve">Obligations rated C are the lowest-rated class of bonds and are typical­ly in default, with little prospect for recovery of principal and interest. </t>
  </si>
  <si>
    <t xml:space="preserve">Obligations rated Caa are judged to be of poor standing and are subject to very high credit risk . </t>
  </si>
  <si>
    <t>Obligations rated Aaa are judged to be of the highest quality, with minimal risk.</t>
  </si>
  <si>
    <t xml:space="preserve">Obligations rated A are considered upper-medium-grade and are sub­ject to low credit risk. </t>
  </si>
  <si>
    <t xml:space="preserve">Obligations rated B are considered speculative and are subject to high credit risk. </t>
  </si>
  <si>
    <t xml:space="preserve">Obligations rated Ba are judged to have speculative elements and are subject to substantial credit risk. </t>
  </si>
  <si>
    <t xml:space="preserve">Obligations rated Baa are subject to moderate credit risk. They are considered medium-grade and as such may possess speculative characteristics. </t>
  </si>
  <si>
    <t>D1 = Expected Dividends</t>
  </si>
  <si>
    <r>
      <t>K</t>
    </r>
    <r>
      <rPr>
        <b/>
        <sz val="10"/>
        <color theme="1"/>
        <rFont val="Microsoft GothicNeo"/>
        <family val="2"/>
        <charset val="129"/>
      </rPr>
      <t>E</t>
    </r>
    <r>
      <rPr>
        <b/>
        <sz val="16"/>
        <color theme="1"/>
        <rFont val="Microsoft GothicNeo"/>
        <family val="2"/>
        <charset val="129"/>
      </rPr>
      <t xml:space="preserve"> = (D</t>
    </r>
    <r>
      <rPr>
        <b/>
        <sz val="10"/>
        <color theme="1"/>
        <rFont val="Microsoft GothicNeo"/>
        <family val="2"/>
        <charset val="129"/>
      </rPr>
      <t>1</t>
    </r>
    <r>
      <rPr>
        <b/>
        <sz val="16"/>
        <color theme="1"/>
        <rFont val="Microsoft GothicNeo"/>
        <family val="2"/>
        <charset val="129"/>
      </rPr>
      <t xml:space="preserve"> / P</t>
    </r>
    <r>
      <rPr>
        <b/>
        <sz val="10"/>
        <color theme="1"/>
        <rFont val="Microsoft GothicNeo"/>
        <family val="2"/>
        <charset val="129"/>
      </rPr>
      <t>o</t>
    </r>
    <r>
      <rPr>
        <b/>
        <sz val="16"/>
        <color theme="1"/>
        <rFont val="Microsoft GothicNeo"/>
        <family val="2"/>
        <charset val="129"/>
      </rPr>
      <t>) + G</t>
    </r>
  </si>
  <si>
    <t>KE = Cost of Equity</t>
  </si>
  <si>
    <t>Po   = Current Price</t>
  </si>
  <si>
    <r>
      <t>Price (P</t>
    </r>
    <r>
      <rPr>
        <b/>
        <sz val="9"/>
        <color theme="1"/>
        <rFont val="Microsoft GothicNeo"/>
        <family val="2"/>
        <charset val="129"/>
      </rPr>
      <t>0</t>
    </r>
    <r>
      <rPr>
        <b/>
        <sz val="11"/>
        <color theme="1"/>
        <rFont val="Microsoft GothicNeo"/>
        <family val="2"/>
        <charset val="129"/>
      </rPr>
      <t>)</t>
    </r>
  </si>
  <si>
    <t xml:space="preserve">Dividend Growth Rate </t>
  </si>
  <si>
    <t xml:space="preserve">Earnings Per Share Growth Rate </t>
  </si>
  <si>
    <r>
      <t>Long Term Debt</t>
    </r>
    <r>
      <rPr>
        <b/>
        <sz val="10"/>
        <color theme="1"/>
        <rFont val="Microsoft GothicNeo"/>
        <family val="2"/>
        <charset val="129"/>
      </rPr>
      <t xml:space="preserve"> </t>
    </r>
  </si>
  <si>
    <t>CAPITAL ASSET PRICING MODEL (CAPM)</t>
  </si>
  <si>
    <t>Selected &gt;</t>
  </si>
  <si>
    <t>Inflation and Gross Domestic Product (GDP) Data</t>
  </si>
  <si>
    <t>SELECTED &gt;</t>
  </si>
  <si>
    <t>Equity Risk Premium (ERP)</t>
  </si>
  <si>
    <t>Indicated Equity Rate</t>
  </si>
  <si>
    <t>Industry Risk Premium</t>
  </si>
  <si>
    <t>Weighted Industry Risk Premium (75%)</t>
  </si>
  <si>
    <t>Weighted Equity Risk Premium (25%)</t>
  </si>
  <si>
    <t xml:space="preserve">The CFO Survey  (4) </t>
  </si>
  <si>
    <t>BVR - Historical, Arithmetic Mean  (6)</t>
  </si>
  <si>
    <t>BVR - Historical, Geometric Mean  (7)</t>
  </si>
  <si>
    <t>Empirical CAPM Models</t>
  </si>
  <si>
    <t>CAPM Models</t>
  </si>
  <si>
    <t>KE = Rf + (B  X  ERP X  75%) = (ERP  X  25%)</t>
  </si>
  <si>
    <t>KE = Rf + (B  X  ERP)</t>
  </si>
  <si>
    <t>Industry Beta (B)</t>
  </si>
  <si>
    <t>Value Line Earnings</t>
  </si>
  <si>
    <t>Value Line Dividends</t>
  </si>
  <si>
    <t>Yahoo Finance</t>
  </si>
  <si>
    <t>Return on</t>
  </si>
  <si>
    <t>Gross Revenue</t>
  </si>
  <si>
    <t>Multiplier</t>
  </si>
  <si>
    <t>NOPAT CASH FLOW MULTIPLE &amp; EQUITY RATE</t>
  </si>
  <si>
    <r>
      <t xml:space="preserve">NOPAT CASH FLOW MULTIPLE &amp; EQUITY RATE </t>
    </r>
    <r>
      <rPr>
        <b/>
        <sz val="12"/>
        <color theme="1"/>
        <rFont val="Microsoft GothicNeo"/>
        <family val="2"/>
        <charset val="129"/>
      </rPr>
      <t>(1 Yr Projected VL)</t>
    </r>
  </si>
  <si>
    <t>Two-Stage DGM Rate &gt;</t>
  </si>
  <si>
    <t>DGM - Single Stage - Earnings Growth</t>
  </si>
  <si>
    <t>DGM - Single Stage - Dividend Growth</t>
  </si>
  <si>
    <t>DGM - Two Stage - Dividend Growth</t>
  </si>
  <si>
    <t>VL LT Projected NOI</t>
  </si>
  <si>
    <t>Indicated Rate of Debt &gt;</t>
  </si>
  <si>
    <t>Year End</t>
  </si>
  <si>
    <t>10K Income Statement</t>
  </si>
  <si>
    <t>10K Balance Sheet</t>
  </si>
  <si>
    <t>Indicated Rate of Equity Selected &gt;</t>
  </si>
  <si>
    <t>SHORT-TERM GROWTH RATES (5 years)</t>
  </si>
  <si>
    <t>GROWTH &amp; INFLATION RATES</t>
  </si>
  <si>
    <t>Real LT Growth</t>
  </si>
  <si>
    <t>Federal Reserve Statistical Release  10 Yr Inflation protected Treasury securities (1)</t>
  </si>
  <si>
    <t xml:space="preserve">Federal Reserve Statistical Release  20 Yr Inflation protected Treasury securities (1) </t>
  </si>
  <si>
    <t xml:space="preserve">Federal Reserve Statistical Release  30 Yr Inflation protected Treasury securities (1) </t>
  </si>
  <si>
    <t>Federal Reserve Bank of Philadelphia / Livingston Survey Mean  (2)</t>
  </si>
  <si>
    <t>“Since no firm can grow forever at a rate higher than the growth rate of the economy in which it operates, the constant growth rate cannot be greater</t>
  </si>
  <si>
    <t>http://pages.stern.nyu.edu/~adamodar/New_Home_Page/valquestions/stablegrowthrate.htm</t>
  </si>
  <si>
    <t>*Cornell, B. &amp; Gerger, R. (2017) Estimating Terminal Values with Inflation : The Inputs Matter - It is Not a Formulaic Exercise.  Business Valuation Review, Vol.36, Number 4, 117-123.</t>
  </si>
  <si>
    <t>C1  C2  C3</t>
  </si>
  <si>
    <t>1 Yr Projected</t>
  </si>
  <si>
    <t>3-5 Yr Projected</t>
  </si>
  <si>
    <t>Short Term</t>
  </si>
  <si>
    <t>(1)</t>
  </si>
  <si>
    <t>(1)    4 Year compound annual growth rate (CAGR)  - 3 periods</t>
  </si>
  <si>
    <t>Earnings Data</t>
  </si>
  <si>
    <r>
      <t xml:space="preserve">KY DOR                    Earnings Growth Rate                 </t>
    </r>
    <r>
      <rPr>
        <b/>
        <sz val="9"/>
        <color theme="1"/>
        <rFont val="Microsoft GothicNeo"/>
        <family val="2"/>
        <charset val="129"/>
      </rPr>
      <t xml:space="preserve"> (Median / Average)</t>
    </r>
  </si>
  <si>
    <r>
      <t xml:space="preserve">KY DOR                Dividends Growth Rate </t>
    </r>
    <r>
      <rPr>
        <b/>
        <sz val="9"/>
        <color theme="1"/>
        <rFont val="Microsoft GothicNeo"/>
        <family val="2"/>
        <charset val="129"/>
      </rPr>
      <t xml:space="preserve"> (Median / Average)</t>
    </r>
  </si>
  <si>
    <t>YIELD EQUITY RATE</t>
  </si>
  <si>
    <t>g = b X ROE</t>
  </si>
  <si>
    <t>g = LT growth rate</t>
  </si>
  <si>
    <t>b = reinvestment rate</t>
  </si>
  <si>
    <t>ROE = Return on equity (or return on investment)</t>
  </si>
  <si>
    <t>b = g  / ROE</t>
  </si>
  <si>
    <t>The plowback ratio is multiplied by Net Cash Flow to estimate the amount of additional capital expenditures needed to achieve projected results.</t>
  </si>
  <si>
    <t>Reinvestment Rate =</t>
  </si>
  <si>
    <t>EBIT (1-Tax Rate)</t>
  </si>
  <si>
    <t>Capital Expenditures - Depreciation + Change in Working Capital</t>
  </si>
  <si>
    <t>Aswath Damodaran's model to determine the Reinvesment Rate &gt;</t>
  </si>
  <si>
    <t>It is assumed that the ROE is a fixed (unchanging) rate.</t>
  </si>
  <si>
    <t>Maintenance Capital Expenditures and Change in Working Capital</t>
  </si>
  <si>
    <t>Operating Leases ****</t>
  </si>
  <si>
    <t>Market Value</t>
  </si>
  <si>
    <t>10K</t>
  </si>
  <si>
    <t>Market to</t>
  </si>
  <si>
    <t>Long Term Debt</t>
  </si>
  <si>
    <t xml:space="preserve">Capital </t>
  </si>
  <si>
    <t>Market</t>
  </si>
  <si>
    <t>to Book</t>
  </si>
  <si>
    <t>Composite</t>
  </si>
  <si>
    <t>Total</t>
  </si>
  <si>
    <t>AVERAGE</t>
  </si>
  <si>
    <t>Market to Book Ratios - Obsolescence Measurement</t>
  </si>
  <si>
    <t>Common Total Equity</t>
  </si>
  <si>
    <t>FMV / PV</t>
  </si>
  <si>
    <t>GCF CASH FLOW MULTIPLE &amp; EQUITY RATE</t>
  </si>
  <si>
    <r>
      <t xml:space="preserve">GCF CASH FLOW MULTIPLE &amp; EQUITY RATE </t>
    </r>
    <r>
      <rPr>
        <b/>
        <sz val="12"/>
        <color theme="1"/>
        <rFont val="Microsoft GothicNeo"/>
        <family val="2"/>
        <charset val="129"/>
      </rPr>
      <t>(1 Yr Projected VL)</t>
    </r>
  </si>
  <si>
    <t>CFRA                                    S&amp;P Net Advantage</t>
  </si>
  <si>
    <t>Zacks Investment Research</t>
  </si>
  <si>
    <r>
      <t>K</t>
    </r>
    <r>
      <rPr>
        <b/>
        <sz val="10"/>
        <color theme="1"/>
        <rFont val="Microsoft GothicNeo"/>
        <family val="2"/>
        <charset val="129"/>
      </rPr>
      <t>E</t>
    </r>
    <r>
      <rPr>
        <b/>
        <sz val="16"/>
        <color theme="1"/>
        <rFont val="Microsoft GothicNeo"/>
        <family val="2"/>
        <charset val="129"/>
      </rPr>
      <t xml:space="preserve"> = (DY  X  (1+ .5(G)))  + .67(G1)  +  .33(g)</t>
    </r>
  </si>
  <si>
    <t>DY = Dividend Yield     See ValueLine</t>
  </si>
  <si>
    <t>G   = Average growth rate</t>
  </si>
  <si>
    <t>G1 = Short term growth estimate</t>
  </si>
  <si>
    <t>g   = Stable Growth - Nominal growth rate</t>
  </si>
  <si>
    <t>AAA</t>
  </si>
  <si>
    <t>AA+</t>
  </si>
  <si>
    <t>AA</t>
  </si>
  <si>
    <t>Obligations rated Aa are judged to be of high quality, with minimal risk.</t>
  </si>
  <si>
    <t>BB+</t>
  </si>
  <si>
    <t>BB</t>
  </si>
  <si>
    <t>BB-</t>
  </si>
  <si>
    <t>B-</t>
  </si>
  <si>
    <t>CCC+</t>
  </si>
  <si>
    <t>CCC</t>
  </si>
  <si>
    <t>CCC-</t>
  </si>
  <si>
    <t>CC</t>
  </si>
  <si>
    <t>Scale</t>
  </si>
  <si>
    <t>Retained to</t>
  </si>
  <si>
    <t>Shareholders Equity</t>
  </si>
  <si>
    <t>Return on Shareholders Equity -- Annual net profit divided by year-end shareholders equity, expressed as a percentage.</t>
  </si>
  <si>
    <t>Retained to Common Equity -- Net profit less all common and preferred dividends divided by common equity including intangible assets, expressed as a percentage.  Also known as the plowback ratio.</t>
  </si>
  <si>
    <t>Aaa1</t>
  </si>
  <si>
    <t>AAA+</t>
  </si>
  <si>
    <t>Aaa2</t>
  </si>
  <si>
    <t>Aaa3</t>
  </si>
  <si>
    <t>AAA-</t>
  </si>
  <si>
    <t>Ca1</t>
  </si>
  <si>
    <t>CC+</t>
  </si>
  <si>
    <t>Ca2</t>
  </si>
  <si>
    <t>Ca3</t>
  </si>
  <si>
    <t>CC-</t>
  </si>
  <si>
    <t>GROSS REVENUE &amp; GROSS BOOK (EQUITY) MULTIPLES</t>
  </si>
  <si>
    <t>Gross Revenues</t>
  </si>
  <si>
    <t>Gross Book Value Equity</t>
  </si>
  <si>
    <t>Multiple *</t>
  </si>
  <si>
    <t>* This multiple is applicable to service type companies, or those with few assets.  These companies sell at prices related to their revenues.</t>
  </si>
  <si>
    <t>The higher the return on revenue the higher the price to revenue will be.</t>
  </si>
  <si>
    <t>** The book value, or common equity, per share is total owners' equity minus preferred stock divided by the number of common shares outstanding.</t>
  </si>
  <si>
    <t>The purpose of this ratio is to test whether the market price is worth more (or less) than the cost of the assets.</t>
  </si>
  <si>
    <t>If the result is greater than one(1), it indicates the market value exceeds book value and can often be used as a sign of competent management.</t>
  </si>
  <si>
    <t>Share</t>
  </si>
  <si>
    <t>NOPAT Earnings</t>
  </si>
  <si>
    <t>P/E Ratio - Long Term Projection NOPAT</t>
  </si>
  <si>
    <t>Dividend Growth = DY + DG</t>
  </si>
  <si>
    <t>Earnings Growth = DY + EG</t>
  </si>
  <si>
    <t>DY = Dividend Yield</t>
  </si>
  <si>
    <t>DG = Dividend Growth</t>
  </si>
  <si>
    <t>EG = Earnings Growth</t>
  </si>
  <si>
    <t>G = Projected Growth (Div. 5 Yr Growth Rate)</t>
  </si>
  <si>
    <t>G = Projected Growth (Earnings Per Share 5 Yr Growth Rate)</t>
  </si>
  <si>
    <t>Per Share **</t>
  </si>
  <si>
    <t>Projected</t>
  </si>
  <si>
    <t>Common Total Equity excludes 'noncontrolling interests' equity value.</t>
  </si>
  <si>
    <t xml:space="preserve">Property, Plant &amp; Equipment includes CWIP, but should exclude intangibles and the associated amortization.  </t>
  </si>
  <si>
    <t xml:space="preserve">http://www.federalreserve.gov/Releases/H15/Current/ </t>
  </si>
  <si>
    <t>AES CORPORATION</t>
  </si>
  <si>
    <t>AES</t>
  </si>
  <si>
    <t>DOMINION ENERGY INC</t>
  </si>
  <si>
    <t>NRG ENERGY</t>
  </si>
  <si>
    <t>NRG</t>
  </si>
  <si>
    <t>SOUTHERN COMPANY</t>
  </si>
  <si>
    <t>VISTRA ENERGY CORPORATION</t>
  </si>
  <si>
    <t>VST</t>
  </si>
  <si>
    <t>Finance Leases ****</t>
  </si>
  <si>
    <t>&amp; Leases</t>
  </si>
  <si>
    <t>**** Market value of operating leases and finance leases for all companies @ FMV</t>
  </si>
  <si>
    <t xml:space="preserve">** Debt includes  LT Debt  and Current portion of LT Debt.  It may include finance leases (if combined) from 10K.  If not combined, enter separately. </t>
  </si>
  <si>
    <t>NEE</t>
  </si>
  <si>
    <t>NEXTERA ENERGY INC</t>
  </si>
  <si>
    <t xml:space="preserve">Risk Free Rate (Rf) </t>
  </si>
  <si>
    <t>Yield Equity Rate - DGM (Dividend Growth) &amp; DGM (Earnings Growth)  -- Gordon Growth</t>
  </si>
  <si>
    <t>NextEra Energy (NEE) - Is a holding company and it owns NextEra Energy Resources (NER) which is the nonregulated power generator entity.</t>
  </si>
  <si>
    <t>Three Stage Ex Ante  Version 1  (1) (2)</t>
  </si>
  <si>
    <t>Three Stage Ex Ante  Version 2   (1) (2)</t>
  </si>
  <si>
    <t>CAPM - Ex Ante, Three Stage - V1</t>
  </si>
  <si>
    <t>CAPM - Ex Ante, Three Stage - V2</t>
  </si>
  <si>
    <t>Empirical CAPM - Ex Ante, Three Stage - V1</t>
  </si>
  <si>
    <t>Empirical CAPM - Ex Ante, Three Stage - V2</t>
  </si>
  <si>
    <t>Mean</t>
  </si>
  <si>
    <t>A market to book ratio over one would be an indication of no obsolescence</t>
  </si>
  <si>
    <t xml:space="preserve">S&amp;P Rating </t>
  </si>
  <si>
    <t>http://pages.stern.nyu.edu/~adamodar/New_Home_Page/datacurrent.html</t>
  </si>
  <si>
    <t>https://www.richmondfed.org/research/national_economy/cfo_survey</t>
  </si>
  <si>
    <t>https://www.bvresources.com/products/faqs/cost-of-capital-professional</t>
  </si>
  <si>
    <t>Electric Wholesale (non-regulated) Power Generator</t>
  </si>
  <si>
    <t>Damodaran Implied ERP Ex Ante   Trailing 12 mo Cash Yield (3)</t>
  </si>
  <si>
    <t>Damodaran Implied ERP Ex Ante   Net Cash Yield (3)</t>
  </si>
  <si>
    <t>Damodaran Implied ERP Ex Ante   Norm. Earnings &amp; Payout (3)</t>
  </si>
  <si>
    <t>KROLL Ex Post  - ERP Historical (8)</t>
  </si>
  <si>
    <t>KROLL Ex Post - ERP Supply Side (8)</t>
  </si>
  <si>
    <t>KROLL Ex Ante - ERP Conditional (8)</t>
  </si>
  <si>
    <t>CAPM - Ex Ante  Damodaran 12 Mo Cash Yield</t>
  </si>
  <si>
    <t>CAPM - Ex Ante  Damodaran Net Cash Yield</t>
  </si>
  <si>
    <t>CAPM - Ex Ante  Damodaran NEP</t>
  </si>
  <si>
    <t>CAPM - Ex Post KROLL ERP Historical</t>
  </si>
  <si>
    <t>CAPM - Ex Post KROLL ERP Supply Side</t>
  </si>
  <si>
    <t>CAPM - Ex Ante KROLL ERP Conditional</t>
  </si>
  <si>
    <t>Empirical CAPM - Ex Ante  Damodaran 12 Mo Cash Yield</t>
  </si>
  <si>
    <t>Empirical CAPM - Ex Ante  Damodaran Net Cash Yield</t>
  </si>
  <si>
    <t>Empirical CAPM - Ex Ante  Damodaran NEP</t>
  </si>
  <si>
    <t>Empirical CAPM - Ex Post KROLL ERP Historical</t>
  </si>
  <si>
    <t>Empirical CAPM - Ex Post KROLL ERP Supply Side</t>
  </si>
  <si>
    <t>Empirical CAPM - Ex Ante KROLL ERP Conditional</t>
  </si>
  <si>
    <t>P. Fernandez, T. Garcia de Santos &amp; J.F.Acin  (5)</t>
  </si>
  <si>
    <t>Damodaran Implied ERP Ex Ante   Avg CF Yield Last 10 Yrs (3)</t>
  </si>
  <si>
    <t>CAPM - Ex Ante  Damodaran Avg CF Yield Last 10 Yrs</t>
  </si>
  <si>
    <t>Empirical CAPM - Ex Ante  Damodaran Avg CF Yield Last 10 Yrs</t>
  </si>
  <si>
    <t>Companies considered in the study &gt;</t>
  </si>
  <si>
    <t>AES Corp (AES) - Regulated power producer using renewables wholesale spot market</t>
  </si>
  <si>
    <t>Bloom Energy Corp -  Manufacturer of fuel cells</t>
  </si>
  <si>
    <t>Enersys - Battery producer and power equipment sales.</t>
  </si>
  <si>
    <t>Generac Holdings -  Manufacturer of generators.</t>
  </si>
  <si>
    <t>Green Plains Inc (GPRE) - Biofuel producer</t>
  </si>
  <si>
    <t xml:space="preserve">Northland Power - Electric generating projects 26 total facilities.  Utilizing (60%) wind &amp; solar, gas, hydro, thermal in Canada, Europe, USA.  </t>
  </si>
  <si>
    <t>Ormat Technologies (ORA) - Geothermal power producer</t>
  </si>
  <si>
    <t>Sunpower Corp (SPWR) - Solar power equipment manuf.   Spun off production facilities to Maxeon Solar Technologies in 2020</t>
  </si>
  <si>
    <t>TPI Composites -  Supplier of wind blades</t>
  </si>
  <si>
    <t>Electric - East</t>
  </si>
  <si>
    <t>Power Electric</t>
  </si>
  <si>
    <t xml:space="preserve">Avangrid Inc (AGR) - Regulated power producer.  Has 17% in renewables </t>
  </si>
  <si>
    <t>BMX Technologies - Nuclear energy tech. supplier.  Spun off power generating systems to Babcock&amp; Wilson Enterprises (BWE)</t>
  </si>
  <si>
    <t>Emera Inc (TSE-EMA.TO) - Electric generation, transmission, distribution, gas transmission, &amp; utility services.</t>
  </si>
  <si>
    <t>Enphase Energy (ENPH) - Solar energy product &amp; control equip. supplier</t>
  </si>
  <si>
    <t>First Solar Inc -  Manufacturer of solar modules and equip. for everday use.</t>
  </si>
  <si>
    <t>Fluence Energy (FLNC) -  Manufacturer of energy storage products</t>
  </si>
  <si>
    <t>Power Plug Inc (PLUG) -  Manufacturer of hydrogen fuel cells</t>
  </si>
  <si>
    <t xml:space="preserve">Sunrun Inc (RUN) -  residential solar power equipment manuf.  </t>
  </si>
  <si>
    <t>Vistra Corp (VST) - holding company, with power generation, retail, wholesale, marketing, with nuclear, storage, renewables, traditional energy</t>
  </si>
  <si>
    <t>Exelon Corp (   ) - Traditional gas &amp; coal energy producer  Spun off nonregulated generating systems to Constellation Energy</t>
  </si>
  <si>
    <t>CEG</t>
  </si>
  <si>
    <t>NRG Energy (NRG) - Largest Independent wholesale power producer in the US with a large % in Renewables</t>
  </si>
  <si>
    <t>Companies selected in the study &gt;</t>
  </si>
  <si>
    <t>CONSTELLATION ENERGY GENERATION LLC</t>
  </si>
  <si>
    <t>Constellation Energy Generating (CEG) -  Independent power production operations.  Nuclear energy.  This company was severed from Exelon Corp.</t>
  </si>
  <si>
    <t>Southern Company (SO) - Regulated electric producer.  Markets some power to wholesalers.  26% electric generation from nuclear and renewables</t>
  </si>
  <si>
    <t>Dominion Energy  (D) -  Regulated electric power producer.  Some independent power production operations</t>
  </si>
  <si>
    <t>CS+PS+OL+FL+LTD</t>
  </si>
  <si>
    <t>Finance Leases</t>
  </si>
  <si>
    <t>NOPAT CASH FLOW MULTIPLE &amp; EQUITY RATE (LT 27-29 Yr Projected VL</t>
  </si>
  <si>
    <t>na</t>
  </si>
  <si>
    <t>Corporate                          December Avg</t>
  </si>
  <si>
    <t>Utility                                                December Avg</t>
  </si>
  <si>
    <t>2025 Tax Year</t>
  </si>
  <si>
    <t>YEAR END 12/31/2024</t>
  </si>
  <si>
    <t>2025 CAPITALIZATION RATE STUDY</t>
  </si>
  <si>
    <t>Dec. 31, 2024</t>
  </si>
  <si>
    <t>Vl Projected 2025</t>
  </si>
  <si>
    <t>INFLATION (CPI) &amp; GROSS DOMESTIC PRODUCT (GDP)</t>
  </si>
  <si>
    <t>Federal Reserve Bank of Philadelphia / Livingston Survey  Median (2a)</t>
  </si>
  <si>
    <t>Federal Reserve Bank of Philadelphia  /Survey of Professional Forecasters  Mean (2b)</t>
  </si>
  <si>
    <t xml:space="preserve">Congressional Budget Office Real Economic Projections (3)  </t>
  </si>
  <si>
    <t xml:space="preserve">Congressional Budget Office Real Economic Projections (3a)  </t>
  </si>
  <si>
    <t xml:space="preserve">Congressional Budget Office Real Economic Projections (3b)  </t>
  </si>
  <si>
    <t>The Trading Economics (4)</t>
  </si>
  <si>
    <t>The World Bank (5)</t>
  </si>
  <si>
    <t xml:space="preserve">Federal Reserve Bank "Long Term" Projection - Members &amp; Presidents opinion (6) </t>
  </si>
  <si>
    <t>The Federal Reserve Bank projects their "long-term" estimate of Change in US real GDP at 1.8%</t>
  </si>
  <si>
    <t>The Congressional Budget Office projects the U.S. Real GDP annual growth rate of 1.9% in 2025 and 1.8% in 2026       Core CPI = 2.30%</t>
  </si>
  <si>
    <t>The Congressional Budget Office projects the U.S. Inflation CPI 4th Qtr. To 4th Qtr. 2.2% in 2025  2.1% in 2026, 2.0% in 2027 and 2028 to 2029.  2.0% 2030 to 2035</t>
  </si>
  <si>
    <t>The Congressional Budget Office projects the U.S. Real GDP annual growth rates of 1.8% from 2028 to 2029 and 1.8% from 2030 to 2035</t>
  </si>
  <si>
    <t>The Congressional Budget Office projects the U.S. Real GDP average annual (Yr to Yr) growth rates of 2.20% from 2025 to 2029 and 1.90% from 2030 to 2035 and 2.00 GDP overall from 2025 to 2035</t>
  </si>
  <si>
    <t xml:space="preserve">than the overall growth rate of the economy.”  Dr. Aswath Damodaran (n.d.) The Stable Growth Rate </t>
  </si>
  <si>
    <t>SOURCES:</t>
  </si>
  <si>
    <t>(1)  Federal Reserve Statistical Release</t>
  </si>
  <si>
    <t>January 2, 2025  Compare inflation indexed securities to non-inflation indexed securities.  The difference is the inflation rate.  See Minnesota study page 26 or Wsahington study page 6.</t>
  </si>
  <si>
    <t>(2) (2a)  Federal Reserve Bank of Philadelphia - The Livingston Survey</t>
  </si>
  <si>
    <r>
      <t xml:space="preserve">Dec. 20, 2024, Table 3, pg. 8 </t>
    </r>
    <r>
      <rPr>
        <u/>
        <sz val="10"/>
        <color theme="1"/>
        <rFont val="Cordia New"/>
        <family val="2"/>
        <charset val="222"/>
      </rPr>
      <t>Mean</t>
    </r>
    <r>
      <rPr>
        <sz val="10"/>
        <color theme="1"/>
        <rFont val="Cordia New"/>
        <family val="2"/>
        <charset val="222"/>
      </rPr>
      <t xml:space="preserve"> Inflation Rate &amp; Real GDP for next 10 yrs. </t>
    </r>
  </si>
  <si>
    <r>
      <t xml:space="preserve">Dec. 20, 2024, Table 3, pg. 8 </t>
    </r>
    <r>
      <rPr>
        <u/>
        <sz val="10"/>
        <color theme="1"/>
        <rFont val="Cordia New"/>
        <family val="2"/>
        <charset val="222"/>
      </rPr>
      <t>Median</t>
    </r>
    <r>
      <rPr>
        <sz val="10"/>
        <color theme="1"/>
        <rFont val="Cordia New"/>
        <family val="2"/>
        <charset val="222"/>
      </rPr>
      <t xml:space="preserve"> Annual CPI Rate &amp; Real GDP Growth Rate over next 10 yrs.</t>
    </r>
  </si>
  <si>
    <t>(2b)  Federal Reserve Bank of Philadelphia - Survey of Professional Forecasters</t>
  </si>
  <si>
    <t>First Qtr. 2025,  Feb. 14, 2025, Table 8 &amp; Table 9, Average (Mean) over next 10 yrs</t>
  </si>
  <si>
    <t>(3) (3a) (3b)  The Congressional Budget Office</t>
  </si>
  <si>
    <t>Real Economic Projections, Table C-1 Table C-2 pages 27 &amp; 28 Annual Avg. Economic Projections for Calendar years 2025to 2035</t>
  </si>
  <si>
    <t>Budget and Economic Data | Congressional Budget Office</t>
  </si>
  <si>
    <t>The Budget and Economic Outlook: 2025 to 2035</t>
  </si>
  <si>
    <t xml:space="preserve">https://www.cbo.gov/system/files/2025-01/60870-Outlook-2025.pdf </t>
  </si>
  <si>
    <t>https://www.cbo.gov/publication/60870</t>
  </si>
  <si>
    <t>(4) The Trading Economics</t>
  </si>
  <si>
    <t>Trading Economics, United States,  Full Year GDP Growth Rate Forecast for 2025</t>
  </si>
  <si>
    <t>https://tradingeconomics.com/united-states/full-year-gdp-growth</t>
  </si>
  <si>
    <t xml:space="preserve">(5) The World Bank </t>
  </si>
  <si>
    <t>January 2024-2025</t>
  </si>
  <si>
    <t>World Bank Group Flagship Report, GlobalEconomic Prospects,  Page 4  Table 1.1 Real GDP</t>
  </si>
  <si>
    <t>http://www.worldbank.org/en/publication/global-economic-prospects</t>
  </si>
  <si>
    <t>(6) Board of Governors of the Federal Reserve System - Federal Reserve Bank Members &amp; Presidents Opinion</t>
  </si>
  <si>
    <t>Medium projection value from Dec. 18, 2024 report Table 1</t>
  </si>
  <si>
    <t>https://www.federalreserve.gov/monetarypolicy/files/fomcprojtabl20241218.pd</t>
  </si>
  <si>
    <t xml:space="preserve">(1) Three Stage Dividend Growth Model, S&amp;P 500.  The Three Stage Ex Ante calculations were performed by Montana.  The Equity risk premiums are shown above.  </t>
  </si>
  <si>
    <t xml:space="preserve">(2) Three Stage Dividend Growth Model, S&amp;P 500.  The Three Stage Ex Ante calculations were performed by Minnesota.  The Equity risk premiums are shown above.  </t>
  </si>
  <si>
    <t>RISK FREE RATE (Rf)</t>
  </si>
  <si>
    <t>Federal Reserve Statistical Release (January 2, 2025)  Treasury Constant Maturities, Nominal (1) :</t>
  </si>
  <si>
    <t xml:space="preserve">10-year U.S. Treasury coupon bonds </t>
  </si>
  <si>
    <t xml:space="preserve">20-year U.S. Treasury coupon bonds (5 yr. monthly avg) </t>
  </si>
  <si>
    <r>
      <rPr>
        <b/>
        <sz val="7"/>
        <color theme="1"/>
        <rFont val="Microsoft GothicNeo Light"/>
        <family val="2"/>
        <charset val="129"/>
      </rPr>
      <t xml:space="preserve"> </t>
    </r>
    <r>
      <rPr>
        <b/>
        <sz val="10"/>
        <color theme="1"/>
        <rFont val="Microsoft GothicNeo Light"/>
        <family val="2"/>
        <charset val="129"/>
      </rPr>
      <t>20-year U.S. Treasury coupon bonds</t>
    </r>
  </si>
  <si>
    <t>30-year U.S. Treasury coupon bonds</t>
  </si>
  <si>
    <t>KDOR Selected Risk Free Rate (Rf) &gt;</t>
  </si>
  <si>
    <t>Value Line Investment Survey (January 10, 2025)  Selected Yields on Taxable U.S. Treasury Securities :</t>
  </si>
  <si>
    <t>20-year U.S. Treasury coupon bonds</t>
  </si>
  <si>
    <r>
      <rPr>
        <b/>
        <sz val="7"/>
        <color theme="1"/>
        <rFont val="Microsoft GothicNeo Light"/>
        <family val="2"/>
        <charset val="129"/>
      </rPr>
      <t xml:space="preserve"> </t>
    </r>
    <r>
      <rPr>
        <b/>
        <sz val="10"/>
        <color theme="1"/>
        <rFont val="Microsoft GothicNeo Light"/>
        <family val="2"/>
        <charset val="129"/>
      </rPr>
      <t>30-year U.S. Treasury coupon bonds</t>
    </r>
  </si>
  <si>
    <t>Damodaran selected Risk-Free rate (January 1, 2025) (7) :</t>
  </si>
  <si>
    <t>KROLL Cost of Capital Navigator Risk-Free rate Ex Post  (January 1, 2025) :</t>
  </si>
  <si>
    <t>(7) Aswath Damoodaran</t>
  </si>
  <si>
    <t>http://pages.stern.nyu.edu/~adamodar/</t>
  </si>
  <si>
    <t>https://pages.stern.nyu.edu/~adamodar/pc/blog/S&amp;P500ValueJan2025.xlsx</t>
  </si>
  <si>
    <t>Estimated 21-24 to 28-30</t>
  </si>
  <si>
    <t>NMF</t>
  </si>
  <si>
    <t>Moody's Bond</t>
  </si>
  <si>
    <t>Moody's Rating</t>
  </si>
  <si>
    <t>(3) Implied Equity Risk Premium on January 9, 2025 as determined by Dr. Aswath Damodaran</t>
  </si>
  <si>
    <t xml:space="preserve">(4) The CFO Survey (2024). Data &amp; Results December 4, 2024. Mean average annual S&amp;P return over next ten years (9.6%) less annual yield on 10‐year Treasury Bonds (4.21%). </t>
  </si>
  <si>
    <t>(5) Fernandez, P., Garcia D., &amp; Acin, J. F. (2024). Survey: Market Risk Premium and Risk‐Free Rate used for 96 countries in 2024. SSRN Electronic Journal.</t>
  </si>
  <si>
    <t>https://papers.ssrn.com/sol3/papers.cfm?abstract_id=4754347</t>
  </si>
  <si>
    <t xml:space="preserve">(6) &amp; (7) Business Valuation Resources, Cost of Capital Professional. (2025). Historical ERP 1928 to present, using arithmetic mean, geometric mean, and 20-Year Treasury Securities. </t>
  </si>
  <si>
    <t>(8) KROLL, Cost of Capital Navigator. (2025).  See Montana Cap Rate Study.</t>
  </si>
  <si>
    <t>DEBT RATE for Direct and Yield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</si>
</sst>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_);_(* \(#,##0.0000\);_(* &quot;-&quot;??_);_(@_)"/>
    <numFmt numFmtId="167" formatCode="0.000"/>
    <numFmt numFmtId="168" formatCode="_(* #,##0.000_);_(* \(#,##0.000\);_(* &quot;-&quot;??_);_(@_)"/>
    <numFmt numFmtId="169" formatCode="_(&quot;$&quot;* #,##0.0_);_(&quot;$&quot;* \(#,##0.0\);_(&quot;$&quot;* &quot;-&quot;??_);_(@_)"/>
  </numFmts>
  <fonts count="8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Helvetica Narrow Bold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Georgia"/>
      <family val="1"/>
    </font>
    <font>
      <sz val="11"/>
      <color theme="1"/>
      <name val="Georgia"/>
      <family val="1"/>
    </font>
    <font>
      <b/>
      <i/>
      <sz val="22"/>
      <color theme="1"/>
      <name val="Georgia"/>
      <family val="1"/>
    </font>
    <font>
      <i/>
      <sz val="11"/>
      <color theme="1"/>
      <name val="Georgia"/>
      <family val="1"/>
    </font>
    <font>
      <b/>
      <sz val="11"/>
      <color theme="1"/>
      <name val="Palatino Roman"/>
      <family val="1"/>
    </font>
    <font>
      <sz val="11"/>
      <color theme="1"/>
      <name val="Palatino Roman"/>
      <family val="1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TIMES"/>
    </font>
    <font>
      <u/>
      <sz val="11"/>
      <color theme="10"/>
      <name val="Calibri"/>
      <family val="2"/>
      <scheme val="minor"/>
    </font>
    <font>
      <sz val="11"/>
      <color theme="1"/>
      <name val="Microsoft GothicNeo"/>
      <family val="2"/>
      <charset val="129"/>
    </font>
    <font>
      <sz val="11"/>
      <name val="Microsoft GothicNeo"/>
      <family val="2"/>
      <charset val="129"/>
    </font>
    <font>
      <b/>
      <sz val="11"/>
      <color theme="1"/>
      <name val="Microsoft GothicNeo"/>
      <family val="2"/>
      <charset val="129"/>
    </font>
    <font>
      <b/>
      <sz val="11"/>
      <name val="Microsoft GothicNeo"/>
      <family val="2"/>
      <charset val="129"/>
    </font>
    <font>
      <b/>
      <sz val="18"/>
      <color theme="1"/>
      <name val="Microsoft GothicNeo"/>
      <family val="2"/>
      <charset val="129"/>
    </font>
    <font>
      <b/>
      <sz val="16"/>
      <color theme="1"/>
      <name val="Microsoft GothicNeo"/>
      <family val="2"/>
      <charset val="129"/>
    </font>
    <font>
      <b/>
      <sz val="12"/>
      <color indexed="8"/>
      <name val="Microsoft GothicNeo"/>
      <family val="2"/>
      <charset val="129"/>
    </font>
    <font>
      <b/>
      <sz val="11"/>
      <color indexed="8"/>
      <name val="Microsoft GothicNeo"/>
      <family val="2"/>
      <charset val="129"/>
    </font>
    <font>
      <b/>
      <sz val="11"/>
      <color rgb="FFFF0000"/>
      <name val="Microsoft GothicNeo"/>
      <family val="2"/>
      <charset val="129"/>
    </font>
    <font>
      <b/>
      <sz val="14"/>
      <color theme="1"/>
      <name val="Microsoft GothicNeo"/>
      <family val="2"/>
      <charset val="129"/>
    </font>
    <font>
      <b/>
      <sz val="10"/>
      <color theme="1"/>
      <name val="Microsoft GothicNeo"/>
      <family val="2"/>
      <charset val="129"/>
    </font>
    <font>
      <sz val="9"/>
      <color theme="1"/>
      <name val="Microsoft GothicNeo"/>
      <family val="2"/>
      <charset val="129"/>
    </font>
    <font>
      <sz val="10"/>
      <color theme="1"/>
      <name val="Microsoft GothicNeo"/>
      <family val="2"/>
      <charset val="129"/>
    </font>
    <font>
      <i/>
      <sz val="9"/>
      <color theme="1"/>
      <name val="Microsoft GothicNeo"/>
      <family val="2"/>
      <charset val="129"/>
    </font>
    <font>
      <b/>
      <sz val="9"/>
      <color theme="1"/>
      <name val="Microsoft GothicNeo"/>
      <family val="2"/>
      <charset val="129"/>
    </font>
    <font>
      <b/>
      <sz val="12"/>
      <color theme="1"/>
      <name val="Microsoft GothicNeo"/>
      <family val="2"/>
      <charset val="129"/>
    </font>
    <font>
      <b/>
      <i/>
      <sz val="10"/>
      <color theme="1"/>
      <name val="Microsoft GothicNeo"/>
      <family val="2"/>
      <charset val="129"/>
    </font>
    <font>
      <sz val="16"/>
      <color theme="1"/>
      <name val="Microsoft GothicNeo"/>
      <family val="2"/>
      <charset val="129"/>
    </font>
    <font>
      <sz val="12"/>
      <color theme="1"/>
      <name val="Microsoft GothicNeo"/>
      <family val="2"/>
      <charset val="129"/>
    </font>
    <font>
      <b/>
      <sz val="12"/>
      <name val="Microsoft GothicNeo"/>
      <family val="2"/>
      <charset val="129"/>
    </font>
    <font>
      <b/>
      <i/>
      <u/>
      <sz val="11"/>
      <color theme="1"/>
      <name val="Microsoft GothicNeo"/>
      <family val="2"/>
      <charset val="129"/>
    </font>
    <font>
      <b/>
      <i/>
      <sz val="11"/>
      <color theme="1"/>
      <name val="Microsoft GothicNeo"/>
      <family val="2"/>
      <charset val="129"/>
    </font>
    <font>
      <i/>
      <sz val="10"/>
      <color theme="1"/>
      <name val="Microsoft GothicNeo"/>
      <family val="2"/>
      <charset val="129"/>
    </font>
    <font>
      <b/>
      <sz val="16"/>
      <name val="Microsoft GothicNeo"/>
      <family val="2"/>
      <charset val="129"/>
    </font>
    <font>
      <b/>
      <sz val="16"/>
      <color rgb="FFFF0000"/>
      <name val="Microsoft GothicNeo"/>
      <family val="2"/>
      <charset val="129"/>
    </font>
    <font>
      <i/>
      <sz val="11"/>
      <color theme="1"/>
      <name val="Microsoft GothicNeo"/>
      <family val="2"/>
      <charset val="129"/>
    </font>
    <font>
      <sz val="12"/>
      <color rgb="FFFF0000"/>
      <name val="Microsoft GothicNeo"/>
      <family val="2"/>
      <charset val="129"/>
    </font>
    <font>
      <b/>
      <sz val="14"/>
      <name val="Microsoft GothicNeo"/>
      <family val="2"/>
      <charset val="129"/>
    </font>
    <font>
      <u/>
      <sz val="11"/>
      <color theme="10"/>
      <name val="Microsoft GothicNeo"/>
      <family val="2"/>
      <charset val="129"/>
    </font>
    <font>
      <b/>
      <sz val="12"/>
      <color rgb="FFFF0000"/>
      <name val="Microsoft GothicNeo"/>
      <family val="2"/>
      <charset val="129"/>
    </font>
    <font>
      <b/>
      <sz val="14"/>
      <color rgb="FFFF0000"/>
      <name val="Microsoft GothicNeo"/>
      <family val="2"/>
      <charset val="129"/>
    </font>
    <font>
      <b/>
      <sz val="11"/>
      <color theme="1"/>
      <name val="Calibri"/>
      <family val="2"/>
      <scheme val="minor"/>
    </font>
    <font>
      <sz val="14"/>
      <color theme="1"/>
      <name val="Microsoft GothicNeo"/>
      <family val="2"/>
      <charset val="129"/>
    </font>
    <font>
      <sz val="11"/>
      <color rgb="FFFF0000"/>
      <name val="Microsoft GothicNeo"/>
      <family val="2"/>
      <charset val="129"/>
    </font>
    <font>
      <sz val="20"/>
      <color theme="1"/>
      <name val="Microsoft GothicNeo"/>
      <family val="2"/>
      <charset val="129"/>
    </font>
    <font>
      <b/>
      <sz val="20"/>
      <color theme="1"/>
      <name val="Microsoft GothicNeo"/>
      <family val="2"/>
      <charset val="129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rgb="FF000000"/>
      <name val="Microsoft GothicNeo"/>
      <family val="2"/>
      <charset val="129"/>
    </font>
    <font>
      <b/>
      <sz val="9"/>
      <name val="Microsoft GothicNeo"/>
      <family val="2"/>
      <charset val="129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00CC"/>
      <name val="Microsoft GothicNeo"/>
      <family val="2"/>
      <charset val="129"/>
    </font>
    <font>
      <b/>
      <sz val="12"/>
      <color rgb="FF0000CC"/>
      <name val="Microsoft GothicNeo"/>
      <family val="2"/>
      <charset val="129"/>
    </font>
    <font>
      <b/>
      <i/>
      <sz val="18"/>
      <color rgb="FFC00000"/>
      <name val="Microsoft GothicNeo"/>
      <family val="2"/>
      <charset val="129"/>
    </font>
    <font>
      <b/>
      <sz val="11"/>
      <color rgb="FF0000CC"/>
      <name val="Microsoft GothicNeo"/>
      <family val="2"/>
      <charset val="129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i/>
      <sz val="18"/>
      <name val="Microsoft GothicNeo"/>
      <family val="2"/>
      <charset val="129"/>
    </font>
    <font>
      <sz val="11"/>
      <color theme="1"/>
      <name val="Cordia New"/>
      <family val="2"/>
      <charset val="222"/>
    </font>
    <font>
      <b/>
      <sz val="11"/>
      <color theme="1"/>
      <name val="Cordia New"/>
      <family val="2"/>
      <charset val="222"/>
    </font>
    <font>
      <b/>
      <i/>
      <sz val="14"/>
      <name val="Microsoft GothicNeo"/>
      <family val="2"/>
      <charset val="129"/>
    </font>
    <font>
      <b/>
      <i/>
      <sz val="12"/>
      <name val="Microsoft GothicNeo"/>
      <family val="2"/>
      <charset val="129"/>
    </font>
    <font>
      <sz val="12"/>
      <color theme="1"/>
      <name val="Cordia New"/>
      <family val="2"/>
      <charset val="222"/>
    </font>
    <font>
      <u/>
      <sz val="12"/>
      <color rgb="FF0000CC"/>
      <name val="Microsoft GothicNeo"/>
      <family val="2"/>
      <charset val="129"/>
    </font>
    <font>
      <sz val="10"/>
      <name val="Cordia New"/>
      <family val="2"/>
      <charset val="222"/>
    </font>
    <font>
      <u/>
      <sz val="11"/>
      <color rgb="FF0000CC"/>
      <name val="Cordia New"/>
      <family val="2"/>
      <charset val="222"/>
    </font>
    <font>
      <sz val="10"/>
      <color theme="1"/>
      <name val="Cordia New"/>
      <family val="2"/>
      <charset val="222"/>
    </font>
    <font>
      <u/>
      <sz val="10"/>
      <color theme="1"/>
      <name val="Cordia New"/>
      <family val="2"/>
      <charset val="222"/>
    </font>
    <font>
      <u/>
      <sz val="11"/>
      <color theme="10"/>
      <name val="Cordia New"/>
      <family val="2"/>
      <charset val="222"/>
    </font>
    <font>
      <sz val="11"/>
      <name val="Cordia New"/>
      <family val="2"/>
      <charset val="222"/>
    </font>
    <font>
      <sz val="9"/>
      <color rgb="FFC00000"/>
      <name val="Aptos"/>
      <family val="2"/>
    </font>
    <font>
      <b/>
      <sz val="11"/>
      <color theme="1"/>
      <name val="Microsoft GothicNeo Light"/>
      <family val="2"/>
      <charset val="129"/>
    </font>
    <font>
      <b/>
      <sz val="14"/>
      <color theme="1"/>
      <name val="Microsoft GothicNeo Light"/>
      <family val="2"/>
      <charset val="129"/>
    </font>
    <font>
      <b/>
      <sz val="10"/>
      <color theme="1"/>
      <name val="Microsoft GothicNeo Light"/>
      <family val="2"/>
      <charset val="129"/>
    </font>
    <font>
      <b/>
      <sz val="7"/>
      <color theme="1"/>
      <name val="Microsoft GothicNeo Light"/>
      <family val="2"/>
      <charset val="129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7" fillId="0" borderId="0" applyNumberFormat="0" applyFill="0" applyBorder="0" applyAlignment="0" applyProtection="0"/>
  </cellStyleXfs>
  <cellXfs count="473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3" fontId="2" fillId="0" borderId="0" xfId="0" applyNumberFormat="1" applyFont="1"/>
    <xf numFmtId="167" fontId="13" fillId="2" borderId="0" xfId="0" applyNumberFormat="1" applyFont="1" applyFill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3" fontId="21" fillId="0" borderId="0" xfId="1" applyFont="1" applyAlignment="1">
      <alignment horizontal="right" vertical="center"/>
    </xf>
    <xf numFmtId="43" fontId="21" fillId="0" borderId="0" xfId="1" applyFont="1" applyFill="1" applyAlignment="1">
      <alignment horizontal="right" vertical="center"/>
    </xf>
    <xf numFmtId="43" fontId="20" fillId="0" borderId="0" xfId="1" applyFont="1" applyFill="1" applyAlignment="1">
      <alignment horizontal="right"/>
    </xf>
    <xf numFmtId="43" fontId="20" fillId="0" borderId="0" xfId="1" applyFont="1" applyFill="1" applyAlignment="1">
      <alignment horizontal="center"/>
    </xf>
    <xf numFmtId="43" fontId="20" fillId="0" borderId="0" xfId="1" applyFont="1" applyFill="1" applyAlignment="1">
      <alignment horizontal="center" vertical="center"/>
    </xf>
    <xf numFmtId="43" fontId="20" fillId="0" borderId="0" xfId="1" applyFont="1" applyFill="1" applyBorder="1" applyAlignment="1">
      <alignment horizontal="center" vertical="center"/>
    </xf>
    <xf numFmtId="43" fontId="20" fillId="0" borderId="0" xfId="1" applyFont="1" applyFill="1"/>
    <xf numFmtId="164" fontId="20" fillId="0" borderId="0" xfId="1" applyNumberFormat="1" applyFont="1" applyFill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16" xfId="0" applyFont="1" applyBorder="1"/>
    <xf numFmtId="0" fontId="18" fillId="0" borderId="2" xfId="0" applyFont="1" applyBorder="1"/>
    <xf numFmtId="0" fontId="26" fillId="0" borderId="2" xfId="0" applyFont="1" applyBorder="1"/>
    <xf numFmtId="0" fontId="27" fillId="0" borderId="0" xfId="0" applyFont="1"/>
    <xf numFmtId="0" fontId="23" fillId="0" borderId="0" xfId="0" applyFont="1" applyAlignment="1">
      <alignment horizontal="center"/>
    </xf>
    <xf numFmtId="0" fontId="28" fillId="0" borderId="2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2" fillId="0" borderId="2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20" fillId="0" borderId="0" xfId="0" applyFont="1"/>
    <xf numFmtId="166" fontId="21" fillId="0" borderId="0" xfId="1" applyNumberFormat="1" applyFont="1" applyFill="1" applyAlignment="1">
      <alignment horizontal="center"/>
    </xf>
    <xf numFmtId="166" fontId="21" fillId="0" borderId="0" xfId="1" applyNumberFormat="1" applyFont="1" applyFill="1"/>
    <xf numFmtId="0" fontId="20" fillId="0" borderId="4" xfId="0" applyFont="1" applyBorder="1"/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/>
    </xf>
    <xf numFmtId="10" fontId="20" fillId="0" borderId="0" xfId="2" applyNumberFormat="1" applyFont="1" applyFill="1" applyAlignment="1">
      <alignment horizontal="center" vertical="center"/>
    </xf>
    <xf numFmtId="10" fontId="20" fillId="0" borderId="0" xfId="2" applyNumberFormat="1" applyFont="1" applyFill="1" applyBorder="1" applyAlignment="1">
      <alignment horizontal="center" vertical="center"/>
    </xf>
    <xf numFmtId="10" fontId="21" fillId="0" borderId="0" xfId="2" applyNumberFormat="1" applyFont="1" applyAlignment="1">
      <alignment horizontal="right" vertical="center"/>
    </xf>
    <xf numFmtId="10" fontId="21" fillId="0" borderId="0" xfId="2" applyNumberFormat="1" applyFont="1" applyFill="1" applyAlignment="1">
      <alignment horizontal="center" vertical="center"/>
    </xf>
    <xf numFmtId="10" fontId="21" fillId="0" borderId="0" xfId="2" applyNumberFormat="1" applyFont="1" applyFill="1" applyAlignment="1">
      <alignment horizontal="right"/>
    </xf>
    <xf numFmtId="10" fontId="20" fillId="0" borderId="0" xfId="2" applyNumberFormat="1" applyFont="1" applyFill="1" applyAlignment="1">
      <alignment horizontal="right"/>
    </xf>
    <xf numFmtId="10" fontId="20" fillId="0" borderId="0" xfId="2" applyNumberFormat="1" applyFont="1" applyFill="1" applyAlignment="1">
      <alignment horizontal="center"/>
    </xf>
    <xf numFmtId="10" fontId="20" fillId="0" borderId="0" xfId="2" applyNumberFormat="1" applyFont="1" applyFill="1"/>
    <xf numFmtId="0" fontId="18" fillId="3" borderId="20" xfId="0" applyFont="1" applyFill="1" applyBorder="1" applyAlignment="1">
      <alignment horizontal="center"/>
    </xf>
    <xf numFmtId="0" fontId="18" fillId="3" borderId="22" xfId="0" applyFont="1" applyFill="1" applyBorder="1" applyAlignment="1">
      <alignment horizontal="center"/>
    </xf>
    <xf numFmtId="2" fontId="37" fillId="0" borderId="0" xfId="0" applyNumberFormat="1" applyFont="1" applyAlignment="1">
      <alignment horizontal="center"/>
    </xf>
    <xf numFmtId="164" fontId="37" fillId="0" borderId="0" xfId="1" applyNumberFormat="1" applyFont="1" applyAlignment="1"/>
    <xf numFmtId="2" fontId="21" fillId="0" borderId="0" xfId="0" applyNumberFormat="1" applyFont="1" applyAlignment="1">
      <alignment horizontal="center"/>
    </xf>
    <xf numFmtId="0" fontId="33" fillId="0" borderId="0" xfId="0" applyFont="1"/>
    <xf numFmtId="43" fontId="23" fillId="0" borderId="0" xfId="1" applyFont="1" applyFill="1"/>
    <xf numFmtId="2" fontId="37" fillId="0" borderId="4" xfId="0" applyNumberFormat="1" applyFont="1" applyBorder="1" applyAlignment="1">
      <alignment horizontal="center"/>
    </xf>
    <xf numFmtId="10" fontId="21" fillId="0" borderId="0" xfId="2" applyNumberFormat="1" applyFont="1" applyFill="1" applyAlignment="1">
      <alignment horizontal="center"/>
    </xf>
    <xf numFmtId="0" fontId="18" fillId="0" borderId="2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/>
    </xf>
    <xf numFmtId="0" fontId="18" fillId="0" borderId="4" xfId="0" applyFont="1" applyBorder="1"/>
    <xf numFmtId="2" fontId="20" fillId="0" borderId="0" xfId="0" applyNumberFormat="1" applyFont="1" applyAlignment="1">
      <alignment horizontal="right"/>
    </xf>
    <xf numFmtId="10" fontId="20" fillId="0" borderId="0" xfId="0" applyNumberFormat="1" applyFont="1"/>
    <xf numFmtId="0" fontId="38" fillId="0" borderId="0" xfId="0" applyFont="1" applyAlignment="1">
      <alignment horizontal="center"/>
    </xf>
    <xf numFmtId="0" fontId="39" fillId="0" borderId="0" xfId="0" applyFont="1"/>
    <xf numFmtId="0" fontId="40" fillId="0" borderId="17" xfId="0" applyFont="1" applyBorder="1" applyAlignment="1">
      <alignment horizontal="center"/>
    </xf>
    <xf numFmtId="0" fontId="35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10" fontId="20" fillId="0" borderId="0" xfId="2" applyNumberFormat="1" applyFont="1"/>
    <xf numFmtId="10" fontId="20" fillId="0" borderId="0" xfId="1" applyNumberFormat="1" applyFont="1" applyFill="1"/>
    <xf numFmtId="10" fontId="42" fillId="0" borderId="0" xfId="2" applyNumberFormat="1" applyFont="1" applyFill="1" applyAlignment="1">
      <alignment horizontal="center"/>
    </xf>
    <xf numFmtId="164" fontId="20" fillId="0" borderId="0" xfId="1" applyNumberFormat="1" applyFont="1"/>
    <xf numFmtId="0" fontId="18" fillId="0" borderId="0" xfId="0" applyFont="1" applyAlignment="1">
      <alignment horizontal="left"/>
    </xf>
    <xf numFmtId="0" fontId="20" fillId="0" borderId="2" xfId="0" applyFont="1" applyBorder="1"/>
    <xf numFmtId="0" fontId="33" fillId="0" borderId="7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0" xfId="0" applyFont="1" applyAlignment="1">
      <alignment horizontal="center"/>
    </xf>
    <xf numFmtId="15" fontId="33" fillId="0" borderId="10" xfId="0" applyNumberFormat="1" applyFont="1" applyBorder="1" applyAlignment="1">
      <alignment horizontal="center"/>
    </xf>
    <xf numFmtId="15" fontId="33" fillId="0" borderId="0" xfId="0" applyNumberFormat="1" applyFont="1" applyAlignment="1">
      <alignment horizontal="center"/>
    </xf>
    <xf numFmtId="15" fontId="33" fillId="0" borderId="0" xfId="0" quotePrefix="1" applyNumberFormat="1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37" fillId="0" borderId="10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33" fillId="0" borderId="10" xfId="0" applyFont="1" applyBorder="1"/>
    <xf numFmtId="0" fontId="33" fillId="0" borderId="7" xfId="0" applyFont="1" applyBorder="1"/>
    <xf numFmtId="0" fontId="37" fillId="0" borderId="0" xfId="0" applyFont="1" applyAlignment="1">
      <alignment horizontal="center"/>
    </xf>
    <xf numFmtId="2" fontId="37" fillId="0" borderId="10" xfId="0" applyNumberFormat="1" applyFont="1" applyBorder="1" applyAlignment="1">
      <alignment horizontal="center"/>
    </xf>
    <xf numFmtId="0" fontId="37" fillId="0" borderId="7" xfId="0" applyFont="1" applyBorder="1"/>
    <xf numFmtId="0" fontId="33" fillId="0" borderId="8" xfId="0" applyFont="1" applyBorder="1"/>
    <xf numFmtId="3" fontId="37" fillId="0" borderId="2" xfId="0" applyNumberFormat="1" applyFont="1" applyBorder="1"/>
    <xf numFmtId="0" fontId="36" fillId="0" borderId="0" xfId="0" applyFont="1"/>
    <xf numFmtId="0" fontId="44" fillId="0" borderId="2" xfId="0" applyFont="1" applyBorder="1"/>
    <xf numFmtId="0" fontId="36" fillId="0" borderId="2" xfId="0" applyFont="1" applyBorder="1"/>
    <xf numFmtId="0" fontId="36" fillId="0" borderId="5" xfId="0" applyFont="1" applyBorder="1"/>
    <xf numFmtId="0" fontId="36" fillId="0" borderId="6" xfId="0" applyFont="1" applyBorder="1"/>
    <xf numFmtId="0" fontId="18" fillId="0" borderId="6" xfId="0" applyFont="1" applyBorder="1"/>
    <xf numFmtId="0" fontId="33" fillId="0" borderId="14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164" fontId="37" fillId="0" borderId="0" xfId="1" applyNumberFormat="1" applyFont="1" applyFill="1" applyBorder="1"/>
    <xf numFmtId="0" fontId="33" fillId="0" borderId="0" xfId="0" applyFont="1" applyAlignment="1">
      <alignment horizontal="right"/>
    </xf>
    <xf numFmtId="164" fontId="20" fillId="0" borderId="0" xfId="0" applyNumberFormat="1" applyFont="1"/>
    <xf numFmtId="10" fontId="33" fillId="0" borderId="0" xfId="0" applyNumberFormat="1" applyFont="1" applyAlignment="1">
      <alignment horizontal="right"/>
    </xf>
    <xf numFmtId="10" fontId="33" fillId="0" borderId="0" xfId="2" applyNumberFormat="1" applyFont="1" applyFill="1"/>
    <xf numFmtId="10" fontId="33" fillId="0" borderId="0" xfId="2" applyNumberFormat="1" applyFont="1"/>
    <xf numFmtId="2" fontId="18" fillId="0" borderId="0" xfId="0" applyNumberFormat="1" applyFont="1"/>
    <xf numFmtId="0" fontId="20" fillId="0" borderId="1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1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165" fontId="20" fillId="0" borderId="0" xfId="3" applyNumberFormat="1" applyFont="1" applyFill="1" applyAlignment="1">
      <alignment horizontal="center"/>
    </xf>
    <xf numFmtId="164" fontId="21" fillId="0" borderId="0" xfId="1" applyNumberFormat="1" applyFont="1" applyFill="1"/>
    <xf numFmtId="10" fontId="21" fillId="0" borderId="0" xfId="2" applyNumberFormat="1" applyFont="1" applyFill="1"/>
    <xf numFmtId="0" fontId="27" fillId="0" borderId="2" xfId="0" applyFont="1" applyBorder="1" applyAlignment="1">
      <alignment horizontal="center"/>
    </xf>
    <xf numFmtId="10" fontId="37" fillId="0" borderId="0" xfId="2" applyNumberFormat="1" applyFont="1" applyFill="1" applyAlignment="1">
      <alignment horizontal="center"/>
    </xf>
    <xf numFmtId="10" fontId="37" fillId="0" borderId="0" xfId="2" applyNumberFormat="1" applyFont="1" applyFill="1"/>
    <xf numFmtId="2" fontId="47" fillId="0" borderId="0" xfId="0" applyNumberFormat="1" applyFont="1" applyAlignment="1">
      <alignment horizontal="center"/>
    </xf>
    <xf numFmtId="2" fontId="33" fillId="0" borderId="2" xfId="0" applyNumberFormat="1" applyFont="1" applyBorder="1" applyAlignment="1">
      <alignment horizontal="center"/>
    </xf>
    <xf numFmtId="10" fontId="33" fillId="0" borderId="2" xfId="2" applyNumberFormat="1" applyFont="1" applyBorder="1"/>
    <xf numFmtId="10" fontId="33" fillId="0" borderId="0" xfId="0" applyNumberFormat="1" applyFont="1" applyAlignment="1">
      <alignment horizontal="center"/>
    </xf>
    <xf numFmtId="2" fontId="33" fillId="0" borderId="0" xfId="0" applyNumberFormat="1" applyFont="1" applyAlignment="1">
      <alignment horizontal="center"/>
    </xf>
    <xf numFmtId="0" fontId="37" fillId="0" borderId="0" xfId="0" applyFont="1"/>
    <xf numFmtId="0" fontId="33" fillId="0" borderId="0" xfId="0" applyFont="1" applyAlignment="1">
      <alignment horizontal="left"/>
    </xf>
    <xf numFmtId="10" fontId="18" fillId="0" borderId="0" xfId="0" applyNumberFormat="1" applyFont="1"/>
    <xf numFmtId="0" fontId="17" fillId="0" borderId="0" xfId="6"/>
    <xf numFmtId="0" fontId="48" fillId="0" borderId="2" xfId="0" applyFont="1" applyBorder="1"/>
    <xf numFmtId="0" fontId="0" fillId="0" borderId="2" xfId="0" applyBorder="1"/>
    <xf numFmtId="0" fontId="27" fillId="0" borderId="2" xfId="0" applyFont="1" applyBorder="1"/>
    <xf numFmtId="0" fontId="18" fillId="0" borderId="5" xfId="0" applyFont="1" applyBorder="1"/>
    <xf numFmtId="0" fontId="18" fillId="0" borderId="12" xfId="0" applyFont="1" applyBorder="1"/>
    <xf numFmtId="0" fontId="20" fillId="0" borderId="8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10" fontId="27" fillId="0" borderId="2" xfId="2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48" fillId="0" borderId="33" xfId="0" applyFont="1" applyBorder="1"/>
    <xf numFmtId="0" fontId="33" fillId="0" borderId="31" xfId="0" applyFont="1" applyBorder="1"/>
    <xf numFmtId="0" fontId="33" fillId="0" borderId="20" xfId="0" applyFont="1" applyBorder="1"/>
    <xf numFmtId="0" fontId="33" fillId="0" borderId="1" xfId="0" applyFont="1" applyBorder="1"/>
    <xf numFmtId="10" fontId="37" fillId="0" borderId="0" xfId="2" applyNumberFormat="1" applyFont="1" applyAlignment="1">
      <alignment horizontal="right" vertical="center"/>
    </xf>
    <xf numFmtId="10" fontId="33" fillId="0" borderId="0" xfId="2" applyNumberFormat="1" applyFont="1" applyFill="1" applyAlignment="1">
      <alignment horizontal="right"/>
    </xf>
    <xf numFmtId="43" fontId="33" fillId="0" borderId="0" xfId="1" applyFont="1" applyFill="1" applyAlignment="1">
      <alignment horizontal="right"/>
    </xf>
    <xf numFmtId="43" fontId="33" fillId="0" borderId="0" xfId="1" applyFont="1" applyFill="1"/>
    <xf numFmtId="0" fontId="33" fillId="0" borderId="0" xfId="0" applyFont="1" applyAlignment="1">
      <alignment horizontal="center" vertical="center"/>
    </xf>
    <xf numFmtId="44" fontId="37" fillId="0" borderId="0" xfId="3" applyFont="1" applyAlignment="1">
      <alignment horizontal="center"/>
    </xf>
    <xf numFmtId="0" fontId="20" fillId="0" borderId="0" xfId="0" applyFont="1" applyAlignment="1">
      <alignment horizontal="right" vertical="center"/>
    </xf>
    <xf numFmtId="0" fontId="43" fillId="0" borderId="0" xfId="0" applyFont="1"/>
    <xf numFmtId="10" fontId="37" fillId="0" borderId="16" xfId="2" applyNumberFormat="1" applyFont="1" applyFill="1" applyBorder="1"/>
    <xf numFmtId="0" fontId="18" fillId="0" borderId="32" xfId="0" applyFont="1" applyBorder="1"/>
    <xf numFmtId="0" fontId="23" fillId="0" borderId="34" xfId="0" applyFont="1" applyBorder="1" applyAlignment="1">
      <alignment horizontal="right"/>
    </xf>
    <xf numFmtId="0" fontId="22" fillId="0" borderId="32" xfId="0" applyFont="1" applyBorder="1"/>
    <xf numFmtId="0" fontId="22" fillId="0" borderId="34" xfId="0" applyFont="1" applyBorder="1" applyAlignment="1">
      <alignment horizontal="right"/>
    </xf>
    <xf numFmtId="0" fontId="22" fillId="0" borderId="34" xfId="0" applyFont="1" applyBorder="1"/>
    <xf numFmtId="0" fontId="18" fillId="0" borderId="34" xfId="0" applyFont="1" applyBorder="1"/>
    <xf numFmtId="0" fontId="33" fillId="0" borderId="7" xfId="0" applyFont="1" applyBorder="1" applyAlignment="1">
      <alignment horizontal="center" vertical="center"/>
    </xf>
    <xf numFmtId="10" fontId="33" fillId="0" borderId="0" xfId="2" applyNumberFormat="1" applyFont="1" applyBorder="1" applyAlignment="1">
      <alignment horizontal="center" vertical="center"/>
    </xf>
    <xf numFmtId="10" fontId="33" fillId="0" borderId="13" xfId="2" applyNumberFormat="1" applyFont="1" applyBorder="1" applyAlignment="1">
      <alignment horizontal="center" vertical="center"/>
    </xf>
    <xf numFmtId="0" fontId="36" fillId="0" borderId="7" xfId="0" applyFont="1" applyBorder="1"/>
    <xf numFmtId="0" fontId="36" fillId="0" borderId="13" xfId="0" applyFont="1" applyBorder="1"/>
    <xf numFmtId="0" fontId="23" fillId="0" borderId="16" xfId="0" applyFont="1" applyBorder="1" applyAlignment="1">
      <alignment horizontal="center" vertical="center"/>
    </xf>
    <xf numFmtId="0" fontId="51" fillId="0" borderId="0" xfId="0" applyFont="1"/>
    <xf numFmtId="0" fontId="23" fillId="0" borderId="16" xfId="0" applyFont="1" applyBorder="1" applyAlignment="1">
      <alignment horizontal="right"/>
    </xf>
    <xf numFmtId="2" fontId="33" fillId="0" borderId="16" xfId="0" applyNumberFormat="1" applyFont="1" applyBorder="1" applyAlignment="1">
      <alignment horizontal="center"/>
    </xf>
    <xf numFmtId="43" fontId="33" fillId="0" borderId="0" xfId="1" applyFont="1" applyBorder="1" applyAlignment="1">
      <alignment horizontal="center" vertical="center"/>
    </xf>
    <xf numFmtId="43" fontId="33" fillId="0" borderId="0" xfId="1" applyFont="1" applyBorder="1" applyAlignment="1">
      <alignment vertical="center"/>
    </xf>
    <xf numFmtId="10" fontId="33" fillId="0" borderId="0" xfId="2" applyNumberFormat="1" applyFont="1" applyBorder="1" applyAlignment="1">
      <alignment vertical="center"/>
    </xf>
    <xf numFmtId="10" fontId="0" fillId="0" borderId="0" xfId="2" applyNumberFormat="1" applyFont="1"/>
    <xf numFmtId="10" fontId="33" fillId="0" borderId="0" xfId="2" applyNumberFormat="1" applyFont="1" applyFill="1" applyBorder="1" applyAlignment="1">
      <alignment horizontal="center" vertical="center"/>
    </xf>
    <xf numFmtId="0" fontId="33" fillId="0" borderId="30" xfId="0" applyFont="1" applyBorder="1"/>
    <xf numFmtId="0" fontId="33" fillId="0" borderId="21" xfId="0" applyFont="1" applyBorder="1"/>
    <xf numFmtId="0" fontId="33" fillId="0" borderId="23" xfId="0" applyFont="1" applyBorder="1"/>
    <xf numFmtId="10" fontId="37" fillId="3" borderId="26" xfId="2" applyNumberFormat="1" applyFont="1" applyFill="1" applyBorder="1" applyAlignment="1">
      <alignment horizontal="center"/>
    </xf>
    <xf numFmtId="0" fontId="18" fillId="0" borderId="24" xfId="0" applyFont="1" applyBorder="1"/>
    <xf numFmtId="10" fontId="27" fillId="0" borderId="3" xfId="2" applyNumberFormat="1" applyFont="1" applyBorder="1" applyAlignment="1">
      <alignment horizontal="center" vertical="center"/>
    </xf>
    <xf numFmtId="164" fontId="20" fillId="0" borderId="0" xfId="1" applyNumberFormat="1" applyFont="1" applyFill="1" applyAlignment="1">
      <alignment horizontal="center"/>
    </xf>
    <xf numFmtId="164" fontId="20" fillId="0" borderId="0" xfId="1" applyNumberFormat="1" applyFont="1" applyFill="1" applyAlignment="1"/>
    <xf numFmtId="2" fontId="23" fillId="0" borderId="16" xfId="0" applyNumberFormat="1" applyFont="1" applyBorder="1" applyAlignment="1">
      <alignment horizontal="center" vertical="center"/>
    </xf>
    <xf numFmtId="10" fontId="23" fillId="0" borderId="16" xfId="2" applyNumberFormat="1" applyFont="1" applyBorder="1" applyAlignment="1">
      <alignment horizontal="center" vertical="center"/>
    </xf>
    <xf numFmtId="0" fontId="27" fillId="0" borderId="8" xfId="0" applyFont="1" applyBorder="1" applyAlignment="1">
      <alignment horizontal="right" vertical="center"/>
    </xf>
    <xf numFmtId="0" fontId="29" fillId="0" borderId="17" xfId="0" applyFont="1" applyBorder="1" applyAlignment="1">
      <alignment horizontal="center"/>
    </xf>
    <xf numFmtId="10" fontId="20" fillId="0" borderId="0" xfId="0" applyNumberFormat="1" applyFont="1" applyAlignment="1">
      <alignment horizontal="center"/>
    </xf>
    <xf numFmtId="0" fontId="20" fillId="0" borderId="2" xfId="0" quotePrefix="1" applyFont="1" applyBorder="1" applyAlignment="1">
      <alignment horizontal="center"/>
    </xf>
    <xf numFmtId="0" fontId="6" fillId="0" borderId="0" xfId="0" applyFont="1"/>
    <xf numFmtId="0" fontId="52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50" fillId="0" borderId="0" xfId="0" applyFont="1" applyAlignment="1">
      <alignment horizontal="left"/>
    </xf>
    <xf numFmtId="0" fontId="53" fillId="0" borderId="0" xfId="0" applyFont="1"/>
    <xf numFmtId="0" fontId="36" fillId="0" borderId="0" xfId="0" applyFont="1" applyAlignment="1">
      <alignment horizontal="right"/>
    </xf>
    <xf numFmtId="0" fontId="36" fillId="0" borderId="2" xfId="0" applyFont="1" applyBorder="1" applyAlignment="1">
      <alignment horizontal="center"/>
    </xf>
    <xf numFmtId="0" fontId="50" fillId="0" borderId="0" xfId="0" applyFont="1"/>
    <xf numFmtId="10" fontId="27" fillId="0" borderId="10" xfId="2" applyNumberFormat="1" applyFont="1" applyFill="1" applyBorder="1" applyAlignment="1">
      <alignment horizontal="center" vertical="center"/>
    </xf>
    <xf numFmtId="168" fontId="37" fillId="0" borderId="16" xfId="1" applyNumberFormat="1" applyFont="1" applyFill="1" applyBorder="1"/>
    <xf numFmtId="15" fontId="33" fillId="0" borderId="24" xfId="0" applyNumberFormat="1" applyFont="1" applyBorder="1" applyAlignment="1">
      <alignment horizontal="center"/>
    </xf>
    <xf numFmtId="15" fontId="33" fillId="0" borderId="12" xfId="0" applyNumberFormat="1" applyFont="1" applyBorder="1" applyAlignment="1">
      <alignment horizontal="center"/>
    </xf>
    <xf numFmtId="15" fontId="33" fillId="0" borderId="13" xfId="0" applyNumberFormat="1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49" fillId="0" borderId="0" xfId="0" applyFont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0" fillId="0" borderId="1" xfId="0" applyBorder="1"/>
    <xf numFmtId="0" fontId="33" fillId="0" borderId="1" xfId="0" applyFont="1" applyBorder="1" applyAlignment="1">
      <alignment horizontal="center"/>
    </xf>
    <xf numFmtId="10" fontId="37" fillId="0" borderId="1" xfId="2" applyNumberFormat="1" applyFont="1" applyFill="1" applyBorder="1" applyAlignment="1">
      <alignment horizontal="center"/>
    </xf>
    <xf numFmtId="43" fontId="37" fillId="0" borderId="1" xfId="1" applyFont="1" applyFill="1" applyBorder="1" applyAlignment="1">
      <alignment horizontal="center"/>
    </xf>
    <xf numFmtId="43" fontId="37" fillId="0" borderId="0" xfId="1" applyFont="1" applyAlignment="1">
      <alignment horizontal="center"/>
    </xf>
    <xf numFmtId="43" fontId="37" fillId="0" borderId="0" xfId="1" applyFont="1" applyFill="1" applyAlignment="1">
      <alignment horizontal="center"/>
    </xf>
    <xf numFmtId="0" fontId="49" fillId="0" borderId="0" xfId="0" applyFont="1" applyAlignment="1">
      <alignment horizontal="right"/>
    </xf>
    <xf numFmtId="2" fontId="49" fillId="0" borderId="0" xfId="0" applyNumberFormat="1" applyFont="1"/>
    <xf numFmtId="0" fontId="33" fillId="0" borderId="5" xfId="0" applyFont="1" applyBorder="1" applyAlignment="1">
      <alignment horizontal="center"/>
    </xf>
    <xf numFmtId="0" fontId="33" fillId="0" borderId="24" xfId="0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164" fontId="37" fillId="0" borderId="10" xfId="1" applyNumberFormat="1" applyFont="1" applyFill="1" applyBorder="1" applyAlignment="1">
      <alignment horizontal="center"/>
    </xf>
    <xf numFmtId="164" fontId="37" fillId="0" borderId="3" xfId="1" applyNumberFormat="1" applyFont="1" applyFill="1" applyBorder="1" applyAlignment="1">
      <alignment horizontal="center"/>
    </xf>
    <xf numFmtId="164" fontId="37" fillId="0" borderId="13" xfId="1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0" fontId="37" fillId="0" borderId="0" xfId="2" applyNumberFormat="1" applyFont="1" applyFill="1" applyBorder="1" applyAlignment="1">
      <alignment horizontal="center"/>
    </xf>
    <xf numFmtId="10" fontId="37" fillId="0" borderId="0" xfId="2" applyNumberFormat="1" applyFont="1" applyBorder="1" applyAlignment="1">
      <alignment horizontal="center" vertical="center"/>
    </xf>
    <xf numFmtId="10" fontId="27" fillId="0" borderId="3" xfId="2" applyNumberFormat="1" applyFont="1" applyFill="1" applyBorder="1" applyAlignment="1">
      <alignment horizontal="center" vertical="center"/>
    </xf>
    <xf numFmtId="0" fontId="27" fillId="0" borderId="32" xfId="0" applyFont="1" applyBorder="1"/>
    <xf numFmtId="0" fontId="18" fillId="0" borderId="33" xfId="0" applyFont="1" applyBorder="1"/>
    <xf numFmtId="0" fontId="33" fillId="0" borderId="32" xfId="0" applyFont="1" applyBorder="1"/>
    <xf numFmtId="0" fontId="33" fillId="4" borderId="20" xfId="0" applyFont="1" applyFill="1" applyBorder="1"/>
    <xf numFmtId="0" fontId="37" fillId="3" borderId="20" xfId="0" applyFont="1" applyFill="1" applyBorder="1"/>
    <xf numFmtId="0" fontId="33" fillId="0" borderId="32" xfId="0" applyFont="1" applyBorder="1" applyAlignment="1">
      <alignment horizontal="right"/>
    </xf>
    <xf numFmtId="43" fontId="33" fillId="0" borderId="0" xfId="0" applyNumberFormat="1" applyFont="1"/>
    <xf numFmtId="0" fontId="34" fillId="0" borderId="35" xfId="0" applyFont="1" applyBorder="1" applyAlignment="1">
      <alignment horizontal="center"/>
    </xf>
    <xf numFmtId="0" fontId="34" fillId="0" borderId="36" xfId="0" applyFont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56" fillId="0" borderId="0" xfId="0" applyFont="1" applyAlignment="1">
      <alignment horizontal="left" vertical="top" wrapText="1"/>
    </xf>
    <xf numFmtId="0" fontId="27" fillId="0" borderId="28" xfId="0" applyFont="1" applyBorder="1" applyAlignment="1">
      <alignment horizontal="center"/>
    </xf>
    <xf numFmtId="0" fontId="36" fillId="3" borderId="26" xfId="0" applyFont="1" applyFill="1" applyBorder="1" applyAlignment="1">
      <alignment horizontal="center"/>
    </xf>
    <xf numFmtId="0" fontId="18" fillId="3" borderId="26" xfId="0" applyFont="1" applyFill="1" applyBorder="1" applyAlignment="1">
      <alignment horizontal="center"/>
    </xf>
    <xf numFmtId="0" fontId="36" fillId="3" borderId="27" xfId="0" applyFont="1" applyFill="1" applyBorder="1" applyAlignment="1">
      <alignment horizontal="center"/>
    </xf>
    <xf numFmtId="0" fontId="18" fillId="3" borderId="27" xfId="0" applyFont="1" applyFill="1" applyBorder="1" applyAlignment="1">
      <alignment horizontal="center"/>
    </xf>
    <xf numFmtId="0" fontId="18" fillId="3" borderId="29" xfId="0" applyFont="1" applyFill="1" applyBorder="1" applyAlignment="1">
      <alignment horizontal="center"/>
    </xf>
    <xf numFmtId="0" fontId="36" fillId="3" borderId="25" xfId="0" applyFont="1" applyFill="1" applyBorder="1" applyAlignment="1">
      <alignment horizontal="center"/>
    </xf>
    <xf numFmtId="0" fontId="18" fillId="3" borderId="30" xfId="0" applyFont="1" applyFill="1" applyBorder="1" applyAlignment="1">
      <alignment horizontal="center"/>
    </xf>
    <xf numFmtId="0" fontId="18" fillId="3" borderId="21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/>
    </xf>
    <xf numFmtId="164" fontId="21" fillId="0" borderId="0" xfId="1" applyNumberFormat="1" applyFont="1" applyFill="1" applyAlignment="1">
      <alignment horizontal="center"/>
    </xf>
    <xf numFmtId="0" fontId="0" fillId="0" borderId="4" xfId="0" applyBorder="1"/>
    <xf numFmtId="0" fontId="0" fillId="0" borderId="33" xfId="0" applyBorder="1"/>
    <xf numFmtId="0" fontId="20" fillId="0" borderId="1" xfId="0" applyFont="1" applyBorder="1" applyAlignment="1">
      <alignment horizontal="right"/>
    </xf>
    <xf numFmtId="164" fontId="21" fillId="0" borderId="1" xfId="1" applyNumberFormat="1" applyFont="1" applyFill="1" applyBorder="1" applyAlignment="1">
      <alignment horizontal="center"/>
    </xf>
    <xf numFmtId="10" fontId="21" fillId="0" borderId="1" xfId="2" applyNumberFormat="1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center"/>
    </xf>
    <xf numFmtId="43" fontId="37" fillId="0" borderId="0" xfId="1" applyFont="1" applyFill="1" applyAlignment="1">
      <alignment horizontal="right" vertical="center"/>
    </xf>
    <xf numFmtId="44" fontId="21" fillId="0" borderId="0" xfId="3" applyFont="1" applyFill="1" applyAlignment="1">
      <alignment horizontal="center"/>
    </xf>
    <xf numFmtId="10" fontId="21" fillId="0" borderId="0" xfId="2" applyNumberFormat="1" applyFont="1" applyFill="1" applyAlignment="1">
      <alignment horizontal="right" vertical="center"/>
    </xf>
    <xf numFmtId="10" fontId="21" fillId="0" borderId="1" xfId="2" applyNumberFormat="1" applyFont="1" applyFill="1" applyBorder="1" applyAlignment="1">
      <alignment horizontal="right" vertical="center"/>
    </xf>
    <xf numFmtId="43" fontId="21" fillId="0" borderId="0" xfId="1" applyFont="1" applyFill="1" applyAlignment="1">
      <alignment horizontal="center" vertical="center"/>
    </xf>
    <xf numFmtId="43" fontId="23" fillId="0" borderId="16" xfId="1" applyFont="1" applyFill="1" applyBorder="1" applyAlignment="1">
      <alignment horizontal="center" vertical="center"/>
    </xf>
    <xf numFmtId="165" fontId="21" fillId="0" borderId="0" xfId="3" applyNumberFormat="1" applyFont="1" applyFill="1" applyAlignment="1">
      <alignment horizontal="right"/>
    </xf>
    <xf numFmtId="169" fontId="18" fillId="0" borderId="0" xfId="0" applyNumberFormat="1" applyFont="1"/>
    <xf numFmtId="2" fontId="21" fillId="0" borderId="0" xfId="0" applyNumberFormat="1" applyFont="1" applyAlignment="1">
      <alignment horizontal="right" vertical="center"/>
    </xf>
    <xf numFmtId="0" fontId="33" fillId="0" borderId="1" xfId="0" applyFont="1" applyBorder="1" applyAlignment="1">
      <alignment horizontal="right"/>
    </xf>
    <xf numFmtId="10" fontId="33" fillId="0" borderId="1" xfId="2" applyNumberFormat="1" applyFont="1" applyBorder="1"/>
    <xf numFmtId="2" fontId="21" fillId="0" borderId="1" xfId="0" applyNumberFormat="1" applyFont="1" applyBorder="1" applyAlignment="1">
      <alignment horizontal="right" vertical="center"/>
    </xf>
    <xf numFmtId="0" fontId="18" fillId="0" borderId="21" xfId="0" applyFont="1" applyBorder="1"/>
    <xf numFmtId="0" fontId="18" fillId="0" borderId="23" xfId="0" applyFont="1" applyBorder="1"/>
    <xf numFmtId="0" fontId="34" fillId="0" borderId="17" xfId="0" applyFont="1" applyBorder="1" applyAlignment="1">
      <alignment horizontal="center"/>
    </xf>
    <xf numFmtId="3" fontId="37" fillId="0" borderId="0" xfId="0" applyNumberFormat="1" applyFont="1"/>
    <xf numFmtId="43" fontId="37" fillId="0" borderId="1" xfId="1" applyFont="1" applyFill="1" applyBorder="1" applyAlignment="1">
      <alignment horizontal="right" vertical="center"/>
    </xf>
    <xf numFmtId="10" fontId="26" fillId="0" borderId="0" xfId="2" applyNumberFormat="1" applyFont="1" applyFill="1" applyAlignment="1">
      <alignment horizontal="right"/>
    </xf>
    <xf numFmtId="0" fontId="35" fillId="0" borderId="16" xfId="0" applyFont="1" applyBorder="1" applyAlignment="1">
      <alignment horizontal="center"/>
    </xf>
    <xf numFmtId="3" fontId="37" fillId="0" borderId="10" xfId="0" applyNumberFormat="1" applyFont="1" applyBorder="1"/>
    <xf numFmtId="2" fontId="37" fillId="0" borderId="3" xfId="0" applyNumberFormat="1" applyFont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3" fontId="37" fillId="0" borderId="3" xfId="0" applyNumberFormat="1" applyFont="1" applyBorder="1"/>
    <xf numFmtId="0" fontId="37" fillId="0" borderId="7" xfId="0" applyFont="1" applyBorder="1" applyAlignment="1">
      <alignment horizontal="center"/>
    </xf>
    <xf numFmtId="10" fontId="37" fillId="0" borderId="7" xfId="2" applyNumberFormat="1" applyFont="1" applyFill="1" applyBorder="1"/>
    <xf numFmtId="0" fontId="35" fillId="0" borderId="18" xfId="0" applyFont="1" applyBorder="1"/>
    <xf numFmtId="10" fontId="35" fillId="0" borderId="28" xfId="2" applyNumberFormat="1" applyFont="1" applyFill="1" applyBorder="1"/>
    <xf numFmtId="43" fontId="35" fillId="0" borderId="28" xfId="1" applyFont="1" applyFill="1" applyBorder="1"/>
    <xf numFmtId="43" fontId="21" fillId="0" borderId="1" xfId="1" applyFont="1" applyFill="1" applyBorder="1" applyAlignment="1">
      <alignment horizontal="right" vertical="center"/>
    </xf>
    <xf numFmtId="43" fontId="21" fillId="0" borderId="1" xfId="1" applyFont="1" applyFill="1" applyBorder="1" applyAlignment="1">
      <alignment horizontal="center" vertical="center"/>
    </xf>
    <xf numFmtId="10" fontId="22" fillId="0" borderId="16" xfId="2" applyNumberFormat="1" applyFont="1" applyFill="1" applyBorder="1" applyAlignment="1">
      <alignment horizontal="center"/>
    </xf>
    <xf numFmtId="43" fontId="0" fillId="0" borderId="0" xfId="1" applyFont="1"/>
    <xf numFmtId="0" fontId="37" fillId="0" borderId="18" xfId="0" applyFont="1" applyBorder="1"/>
    <xf numFmtId="10" fontId="37" fillId="0" borderId="28" xfId="2" applyNumberFormat="1" applyFont="1" applyFill="1" applyBorder="1" applyAlignment="1">
      <alignment horizontal="center"/>
    </xf>
    <xf numFmtId="164" fontId="36" fillId="0" borderId="0" xfId="1" applyNumberFormat="1" applyFont="1"/>
    <xf numFmtId="2" fontId="37" fillId="0" borderId="0" xfId="0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0" fontId="20" fillId="0" borderId="0" xfId="0" applyNumberFormat="1" applyFont="1" applyAlignment="1">
      <alignment horizontal="right"/>
    </xf>
    <xf numFmtId="2" fontId="37" fillId="0" borderId="4" xfId="0" applyNumberFormat="1" applyFont="1" applyBorder="1" applyAlignment="1">
      <alignment horizontal="right"/>
    </xf>
    <xf numFmtId="10" fontId="21" fillId="0" borderId="1" xfId="2" applyNumberFormat="1" applyFont="1" applyBorder="1" applyAlignment="1">
      <alignment horizontal="right" vertical="center"/>
    </xf>
    <xf numFmtId="0" fontId="27" fillId="0" borderId="3" xfId="0" applyFont="1" applyBorder="1" applyAlignment="1">
      <alignment horizontal="center"/>
    </xf>
    <xf numFmtId="0" fontId="33" fillId="4" borderId="38" xfId="0" applyFont="1" applyFill="1" applyBorder="1"/>
    <xf numFmtId="10" fontId="37" fillId="4" borderId="38" xfId="2" applyNumberFormat="1" applyFont="1" applyFill="1" applyBorder="1" applyAlignment="1">
      <alignment horizontal="center"/>
    </xf>
    <xf numFmtId="0" fontId="18" fillId="0" borderId="20" xfId="0" applyFont="1" applyBorder="1"/>
    <xf numFmtId="10" fontId="18" fillId="0" borderId="20" xfId="2" applyNumberFormat="1" applyFont="1" applyFill="1" applyBorder="1"/>
    <xf numFmtId="10" fontId="18" fillId="0" borderId="20" xfId="0" applyNumberFormat="1" applyFont="1" applyBorder="1"/>
    <xf numFmtId="0" fontId="37" fillId="3" borderId="22" xfId="0" applyFont="1" applyFill="1" applyBorder="1"/>
    <xf numFmtId="10" fontId="37" fillId="3" borderId="27" xfId="2" applyNumberFormat="1" applyFont="1" applyFill="1" applyBorder="1" applyAlignment="1">
      <alignment horizontal="center"/>
    </xf>
    <xf numFmtId="10" fontId="37" fillId="0" borderId="8" xfId="2" applyNumberFormat="1" applyFont="1" applyFill="1" applyBorder="1"/>
    <xf numFmtId="0" fontId="26" fillId="0" borderId="0" xfId="0" applyFont="1" applyAlignment="1">
      <alignment horizontal="right" vertical="center"/>
    </xf>
    <xf numFmtId="0" fontId="18" fillId="0" borderId="8" xfId="0" applyFont="1" applyBorder="1"/>
    <xf numFmtId="0" fontId="18" fillId="0" borderId="14" xfId="0" applyFont="1" applyBorder="1"/>
    <xf numFmtId="0" fontId="0" fillId="0" borderId="8" xfId="0" applyBorder="1"/>
    <xf numFmtId="0" fontId="0" fillId="0" borderId="14" xfId="0" applyBorder="1"/>
    <xf numFmtId="10" fontId="37" fillId="4" borderId="26" xfId="2" applyNumberFormat="1" applyFont="1" applyFill="1" applyBorder="1" applyAlignment="1">
      <alignment horizontal="center"/>
    </xf>
    <xf numFmtId="0" fontId="33" fillId="4" borderId="26" xfId="0" applyFont="1" applyFill="1" applyBorder="1"/>
    <xf numFmtId="0" fontId="37" fillId="4" borderId="26" xfId="0" applyFont="1" applyFill="1" applyBorder="1"/>
    <xf numFmtId="0" fontId="37" fillId="3" borderId="26" xfId="0" applyFont="1" applyFill="1" applyBorder="1"/>
    <xf numFmtId="0" fontId="33" fillId="0" borderId="33" xfId="0" applyFont="1" applyBorder="1"/>
    <xf numFmtId="10" fontId="21" fillId="0" borderId="0" xfId="2" applyNumberFormat="1" applyFont="1" applyAlignment="1">
      <alignment horizontal="right"/>
    </xf>
    <xf numFmtId="10" fontId="21" fillId="0" borderId="4" xfId="2" applyNumberFormat="1" applyFont="1" applyFill="1" applyBorder="1" applyAlignment="1">
      <alignment horizontal="right"/>
    </xf>
    <xf numFmtId="10" fontId="26" fillId="0" borderId="4" xfId="2" applyNumberFormat="1" applyFont="1" applyFill="1" applyBorder="1" applyAlignment="1">
      <alignment horizontal="right"/>
    </xf>
    <xf numFmtId="10" fontId="21" fillId="0" borderId="4" xfId="2" applyNumberFormat="1" applyFont="1" applyBorder="1" applyAlignment="1">
      <alignment horizontal="right"/>
    </xf>
    <xf numFmtId="2" fontId="33" fillId="0" borderId="34" xfId="0" applyNumberFormat="1" applyFont="1" applyBorder="1" applyAlignment="1">
      <alignment horizontal="center"/>
    </xf>
    <xf numFmtId="10" fontId="23" fillId="0" borderId="16" xfId="2" applyNumberFormat="1" applyFont="1" applyFill="1" applyBorder="1" applyAlignment="1">
      <alignment horizontal="center" vertical="center"/>
    </xf>
    <xf numFmtId="10" fontId="23" fillId="0" borderId="16" xfId="2" applyNumberFormat="1" applyFont="1" applyFill="1" applyBorder="1" applyAlignment="1">
      <alignment horizontal="center"/>
    </xf>
    <xf numFmtId="0" fontId="36" fillId="3" borderId="0" xfId="0" applyFont="1" applyFill="1" applyAlignment="1">
      <alignment horizontal="center"/>
    </xf>
    <xf numFmtId="0" fontId="18" fillId="3" borderId="39" xfId="0" applyFont="1" applyFill="1" applyBorder="1" applyAlignment="1">
      <alignment horizontal="center"/>
    </xf>
    <xf numFmtId="0" fontId="36" fillId="3" borderId="1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8" fillId="3" borderId="41" xfId="0" applyFont="1" applyFill="1" applyBorder="1" applyAlignment="1">
      <alignment horizontal="center"/>
    </xf>
    <xf numFmtId="2" fontId="23" fillId="0" borderId="16" xfId="0" applyNumberFormat="1" applyFont="1" applyBorder="1" applyAlignment="1">
      <alignment horizontal="center"/>
    </xf>
    <xf numFmtId="2" fontId="35" fillId="0" borderId="28" xfId="0" applyNumberFormat="1" applyFont="1" applyBorder="1"/>
    <xf numFmtId="0" fontId="35" fillId="0" borderId="28" xfId="0" applyFont="1" applyBorder="1"/>
    <xf numFmtId="10" fontId="41" fillId="0" borderId="16" xfId="2" applyNumberFormat="1" applyFont="1" applyFill="1" applyBorder="1" applyAlignment="1">
      <alignment horizontal="center"/>
    </xf>
    <xf numFmtId="10" fontId="22" fillId="0" borderId="16" xfId="2" applyNumberFormat="1" applyFont="1" applyFill="1" applyBorder="1"/>
    <xf numFmtId="43" fontId="23" fillId="0" borderId="16" xfId="1" applyFont="1" applyFill="1" applyBorder="1" applyAlignment="1">
      <alignment horizontal="center"/>
    </xf>
    <xf numFmtId="10" fontId="23" fillId="0" borderId="32" xfId="2" applyNumberFormat="1" applyFont="1" applyFill="1" applyBorder="1" applyAlignment="1">
      <alignment horizontal="right"/>
    </xf>
    <xf numFmtId="10" fontId="23" fillId="0" borderId="34" xfId="0" applyNumberFormat="1" applyFont="1" applyBorder="1"/>
    <xf numFmtId="0" fontId="46" fillId="0" borderId="0" xfId="6" applyFont="1"/>
    <xf numFmtId="0" fontId="62" fillId="0" borderId="7" xfId="0" applyFont="1" applyBorder="1" applyAlignment="1">
      <alignment horizontal="center" vertical="center"/>
    </xf>
    <xf numFmtId="10" fontId="62" fillId="0" borderId="0" xfId="2" applyNumberFormat="1" applyFont="1" applyFill="1" applyBorder="1" applyAlignment="1">
      <alignment horizontal="center" vertical="center"/>
    </xf>
    <xf numFmtId="0" fontId="21" fillId="0" borderId="7" xfId="0" applyFont="1" applyBorder="1"/>
    <xf numFmtId="0" fontId="63" fillId="0" borderId="0" xfId="0" applyFont="1"/>
    <xf numFmtId="0" fontId="64" fillId="0" borderId="7" xfId="0" applyFont="1" applyBorder="1"/>
    <xf numFmtId="0" fontId="62" fillId="0" borderId="0" xfId="0" applyFont="1"/>
    <xf numFmtId="0" fontId="64" fillId="0" borderId="0" xfId="0" applyFont="1"/>
    <xf numFmtId="15" fontId="33" fillId="0" borderId="7" xfId="0" quotePrefix="1" applyNumberFormat="1" applyFont="1" applyBorder="1" applyAlignment="1">
      <alignment horizontal="center"/>
    </xf>
    <xf numFmtId="2" fontId="37" fillId="0" borderId="7" xfId="0" applyNumberFormat="1" applyFont="1" applyBorder="1" applyAlignment="1">
      <alignment horizontal="center"/>
    </xf>
    <xf numFmtId="2" fontId="37" fillId="0" borderId="8" xfId="0" applyNumberFormat="1" applyFont="1" applyBorder="1" applyAlignment="1">
      <alignment horizontal="center"/>
    </xf>
    <xf numFmtId="15" fontId="33" fillId="0" borderId="24" xfId="0" quotePrefix="1" applyNumberFormat="1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37" fillId="4" borderId="27" xfId="0" applyFont="1" applyFill="1" applyBorder="1"/>
    <xf numFmtId="10" fontId="37" fillId="4" borderId="27" xfId="2" applyNumberFormat="1" applyFont="1" applyFill="1" applyBorder="1" applyAlignment="1">
      <alignment horizontal="center"/>
    </xf>
    <xf numFmtId="3" fontId="66" fillId="0" borderId="0" xfId="0" applyNumberFormat="1" applyFont="1"/>
    <xf numFmtId="0" fontId="67" fillId="0" borderId="0" xfId="0" applyFont="1"/>
    <xf numFmtId="0" fontId="37" fillId="0" borderId="10" xfId="0" applyFont="1" applyBorder="1"/>
    <xf numFmtId="0" fontId="65" fillId="0" borderId="0" xfId="0" applyFont="1"/>
    <xf numFmtId="0" fontId="36" fillId="0" borderId="24" xfId="0" applyFont="1" applyBorder="1"/>
    <xf numFmtId="15" fontId="33" fillId="0" borderId="10" xfId="0" quotePrefix="1" applyNumberFormat="1" applyFont="1" applyBorder="1" applyAlignment="1">
      <alignment horizontal="center"/>
    </xf>
    <xf numFmtId="10" fontId="37" fillId="0" borderId="10" xfId="2" applyNumberFormat="1" applyFont="1" applyFill="1" applyBorder="1"/>
    <xf numFmtId="10" fontId="37" fillId="0" borderId="3" xfId="2" applyNumberFormat="1" applyFont="1" applyFill="1" applyBorder="1"/>
    <xf numFmtId="0" fontId="36" fillId="0" borderId="10" xfId="0" applyFont="1" applyBorder="1"/>
    <xf numFmtId="164" fontId="37" fillId="0" borderId="10" xfId="1" applyNumberFormat="1" applyFont="1" applyFill="1" applyBorder="1"/>
    <xf numFmtId="0" fontId="0" fillId="0" borderId="24" xfId="0" applyBorder="1"/>
    <xf numFmtId="164" fontId="37" fillId="0" borderId="3" xfId="1" applyNumberFormat="1" applyFont="1" applyFill="1" applyBorder="1"/>
    <xf numFmtId="0" fontId="27" fillId="3" borderId="25" xfId="0" applyFont="1" applyFill="1" applyBorder="1" applyAlignment="1">
      <alignment horizontal="center"/>
    </xf>
    <xf numFmtId="10" fontId="21" fillId="3" borderId="10" xfId="2" applyNumberFormat="1" applyFont="1" applyFill="1" applyBorder="1" applyAlignment="1">
      <alignment horizontal="center"/>
    </xf>
    <xf numFmtId="10" fontId="21" fillId="3" borderId="10" xfId="1" applyNumberFormat="1" applyFont="1" applyFill="1" applyBorder="1" applyAlignment="1">
      <alignment horizontal="center"/>
    </xf>
    <xf numFmtId="0" fontId="36" fillId="3" borderId="29" xfId="0" applyFont="1" applyFill="1" applyBorder="1" applyAlignment="1">
      <alignment horizontal="center"/>
    </xf>
    <xf numFmtId="0" fontId="36" fillId="3" borderId="20" xfId="0" applyFont="1" applyFill="1" applyBorder="1" applyAlignment="1">
      <alignment horizontal="center"/>
    </xf>
    <xf numFmtId="0" fontId="36" fillId="3" borderId="22" xfId="0" applyFont="1" applyFill="1" applyBorder="1" applyAlignment="1">
      <alignment horizontal="center"/>
    </xf>
    <xf numFmtId="0" fontId="58" fillId="3" borderId="16" xfId="0" applyFont="1" applyFill="1" applyBorder="1"/>
    <xf numFmtId="10" fontId="37" fillId="0" borderId="0" xfId="2" applyNumberFormat="1" applyFont="1" applyFill="1" applyAlignment="1">
      <alignment horizontal="right"/>
    </xf>
    <xf numFmtId="10" fontId="21" fillId="0" borderId="0" xfId="1" applyNumberFormat="1" applyFont="1" applyFill="1" applyAlignment="1">
      <alignment horizontal="right" vertical="center"/>
    </xf>
    <xf numFmtId="10" fontId="21" fillId="0" borderId="1" xfId="1" applyNumberFormat="1" applyFont="1" applyFill="1" applyBorder="1" applyAlignment="1">
      <alignment horizontal="right" vertical="center"/>
    </xf>
    <xf numFmtId="0" fontId="57" fillId="3" borderId="24" xfId="0" applyFont="1" applyFill="1" applyBorder="1" applyAlignment="1">
      <alignment horizontal="center" vertical="center" wrapText="1"/>
    </xf>
    <xf numFmtId="0" fontId="68" fillId="0" borderId="0" xfId="0" applyFont="1"/>
    <xf numFmtId="0" fontId="69" fillId="0" borderId="0" xfId="0" applyFont="1"/>
    <xf numFmtId="10" fontId="27" fillId="0" borderId="0" xfId="2" applyNumberFormat="1" applyFont="1" applyFill="1" applyBorder="1" applyAlignment="1">
      <alignment horizontal="center" vertical="center"/>
    </xf>
    <xf numFmtId="0" fontId="5" fillId="0" borderId="0" xfId="0" applyFont="1"/>
    <xf numFmtId="0" fontId="45" fillId="5" borderId="25" xfId="0" applyFont="1" applyFill="1" applyBorder="1" applyAlignment="1">
      <alignment horizontal="center"/>
    </xf>
    <xf numFmtId="0" fontId="45" fillId="5" borderId="27" xfId="0" applyFont="1" applyFill="1" applyBorder="1" applyAlignment="1">
      <alignment horizontal="center"/>
    </xf>
    <xf numFmtId="0" fontId="27" fillId="0" borderId="29" xfId="0" applyFont="1" applyBorder="1"/>
    <xf numFmtId="10" fontId="45" fillId="0" borderId="25" xfId="2" applyNumberFormat="1" applyFont="1" applyFill="1" applyBorder="1" applyAlignment="1">
      <alignment horizontal="center"/>
    </xf>
    <xf numFmtId="10" fontId="70" fillId="0" borderId="25" xfId="2" applyNumberFormat="1" applyFont="1" applyFill="1" applyBorder="1" applyAlignment="1">
      <alignment horizontal="center"/>
    </xf>
    <xf numFmtId="0" fontId="27" fillId="0" borderId="20" xfId="0" applyFont="1" applyBorder="1"/>
    <xf numFmtId="10" fontId="45" fillId="0" borderId="26" xfId="2" applyNumberFormat="1" applyFont="1" applyFill="1" applyBorder="1" applyAlignment="1">
      <alignment horizontal="center"/>
    </xf>
    <xf numFmtId="10" fontId="70" fillId="0" borderId="26" xfId="2" applyNumberFormat="1" applyFont="1" applyFill="1" applyBorder="1" applyAlignment="1">
      <alignment horizontal="center"/>
    </xf>
    <xf numFmtId="0" fontId="27" fillId="0" borderId="22" xfId="0" applyFont="1" applyBorder="1"/>
    <xf numFmtId="10" fontId="45" fillId="0" borderId="27" xfId="2" applyNumberFormat="1" applyFont="1" applyFill="1" applyBorder="1" applyAlignment="1">
      <alignment horizontal="center"/>
    </xf>
    <xf numFmtId="10" fontId="70" fillId="0" borderId="27" xfId="2" applyNumberFormat="1" applyFont="1" applyFill="1" applyBorder="1" applyAlignment="1">
      <alignment horizontal="center"/>
    </xf>
    <xf numFmtId="10" fontId="27" fillId="0" borderId="26" xfId="2" applyNumberFormat="1" applyFont="1" applyFill="1" applyBorder="1" applyAlignment="1">
      <alignment horizontal="center"/>
    </xf>
    <xf numFmtId="10" fontId="27" fillId="0" borderId="27" xfId="2" applyNumberFormat="1" applyFont="1" applyFill="1" applyBorder="1" applyAlignment="1">
      <alignment horizontal="center"/>
    </xf>
    <xf numFmtId="10" fontId="45" fillId="0" borderId="26" xfId="2" applyNumberFormat="1" applyFont="1" applyBorder="1" applyAlignment="1">
      <alignment horizontal="center" vertical="center"/>
    </xf>
    <xf numFmtId="10" fontId="45" fillId="0" borderId="27" xfId="2" applyNumberFormat="1" applyFont="1" applyBorder="1" applyAlignment="1">
      <alignment horizontal="center" vertical="center"/>
    </xf>
    <xf numFmtId="10" fontId="27" fillId="0" borderId="25" xfId="2" applyNumberFormat="1" applyFont="1" applyFill="1" applyBorder="1" applyAlignment="1">
      <alignment horizontal="center"/>
    </xf>
    <xf numFmtId="0" fontId="37" fillId="0" borderId="29" xfId="0" applyFont="1" applyBorder="1"/>
    <xf numFmtId="0" fontId="18" fillId="0" borderId="31" xfId="0" applyFont="1" applyBorder="1"/>
    <xf numFmtId="0" fontId="18" fillId="0" borderId="30" xfId="0" applyFont="1" applyBorder="1"/>
    <xf numFmtId="0" fontId="0" fillId="0" borderId="30" xfId="0" applyBorder="1"/>
    <xf numFmtId="0" fontId="37" fillId="0" borderId="20" xfId="0" applyFont="1" applyBorder="1"/>
    <xf numFmtId="0" fontId="0" fillId="0" borderId="21" xfId="0" applyBorder="1"/>
    <xf numFmtId="0" fontId="37" fillId="0" borderId="22" xfId="0" applyFont="1" applyBorder="1"/>
    <xf numFmtId="0" fontId="18" fillId="0" borderId="1" xfId="0" applyFont="1" applyBorder="1"/>
    <xf numFmtId="0" fontId="0" fillId="0" borderId="23" xfId="0" applyBorder="1"/>
    <xf numFmtId="10" fontId="33" fillId="0" borderId="29" xfId="2" applyNumberFormat="1" applyFont="1" applyBorder="1" applyAlignment="1">
      <alignment horizontal="left"/>
    </xf>
    <xf numFmtId="0" fontId="0" fillId="0" borderId="31" xfId="0" applyBorder="1"/>
    <xf numFmtId="0" fontId="73" fillId="0" borderId="22" xfId="6" applyFont="1" applyBorder="1"/>
    <xf numFmtId="0" fontId="69" fillId="0" borderId="0" xfId="0" applyFont="1" applyAlignment="1">
      <alignment vertical="center"/>
    </xf>
    <xf numFmtId="15" fontId="74" fillId="0" borderId="0" xfId="0" quotePrefix="1" applyNumberFormat="1" applyFont="1" applyAlignment="1">
      <alignment horizontal="left"/>
    </xf>
    <xf numFmtId="0" fontId="75" fillId="0" borderId="0" xfId="6" applyFont="1"/>
    <xf numFmtId="0" fontId="61" fillId="0" borderId="0" xfId="0" applyFont="1"/>
    <xf numFmtId="0" fontId="76" fillId="0" borderId="0" xfId="0" applyFont="1" applyAlignment="1">
      <alignment vertical="center"/>
    </xf>
    <xf numFmtId="0" fontId="78" fillId="0" borderId="0" xfId="6" applyFont="1" applyAlignment="1">
      <alignment vertical="center"/>
    </xf>
    <xf numFmtId="0" fontId="75" fillId="0" borderId="0" xfId="6" applyFont="1" applyAlignment="1">
      <alignment vertical="center"/>
    </xf>
    <xf numFmtId="0" fontId="74" fillId="0" borderId="0" xfId="6" applyFont="1"/>
    <xf numFmtId="17" fontId="76" fillId="0" borderId="0" xfId="0" quotePrefix="1" applyNumberFormat="1" applyFont="1" applyAlignment="1">
      <alignment vertical="center"/>
    </xf>
    <xf numFmtId="0" fontId="79" fillId="0" borderId="0" xfId="6" applyFont="1" applyAlignment="1">
      <alignment vertical="center"/>
    </xf>
    <xf numFmtId="0" fontId="79" fillId="0" borderId="0" xfId="0" applyFont="1"/>
    <xf numFmtId="0" fontId="80" fillId="0" borderId="0" xfId="0" applyFont="1" applyAlignment="1">
      <alignment vertical="center"/>
    </xf>
    <xf numFmtId="43" fontId="37" fillId="0" borderId="10" xfId="1" applyFont="1" applyBorder="1"/>
    <xf numFmtId="0" fontId="81" fillId="0" borderId="0" xfId="0" applyFont="1"/>
    <xf numFmtId="0" fontId="27" fillId="5" borderId="28" xfId="0" applyFont="1" applyFill="1" applyBorder="1" applyAlignment="1">
      <alignment horizontal="center"/>
    </xf>
    <xf numFmtId="0" fontId="0" fillId="0" borderId="29" xfId="0" applyBorder="1"/>
    <xf numFmtId="0" fontId="82" fillId="0" borderId="31" xfId="0" applyFont="1" applyBorder="1" applyAlignment="1">
      <alignment horizontal="right"/>
    </xf>
    <xf numFmtId="0" fontId="0" fillId="0" borderId="25" xfId="0" applyBorder="1"/>
    <xf numFmtId="0" fontId="0" fillId="0" borderId="20" xfId="0" applyBorder="1"/>
    <xf numFmtId="0" fontId="83" fillId="0" borderId="0" xfId="0" applyFont="1" applyAlignment="1">
      <alignment horizontal="right"/>
    </xf>
    <xf numFmtId="10" fontId="27" fillId="0" borderId="26" xfId="2" applyNumberFormat="1" applyFont="1" applyBorder="1" applyAlignment="1">
      <alignment horizontal="center"/>
    </xf>
    <xf numFmtId="0" fontId="27" fillId="0" borderId="0" xfId="0" applyFont="1" applyAlignment="1">
      <alignment horizontal="right" indent="1"/>
    </xf>
    <xf numFmtId="0" fontId="82" fillId="0" borderId="0" xfId="0" applyFont="1" applyAlignment="1">
      <alignment horizontal="right"/>
    </xf>
    <xf numFmtId="0" fontId="18" fillId="0" borderId="26" xfId="0" applyFont="1" applyBorder="1" applyAlignment="1">
      <alignment horizontal="center"/>
    </xf>
    <xf numFmtId="10" fontId="23" fillId="6" borderId="16" xfId="2" applyNumberFormat="1" applyFont="1" applyFill="1" applyBorder="1" applyAlignment="1">
      <alignment horizontal="center"/>
    </xf>
    <xf numFmtId="0" fontId="82" fillId="0" borderId="0" xfId="0" applyFont="1" applyAlignment="1">
      <alignment horizontal="right" vertical="center"/>
    </xf>
    <xf numFmtId="10" fontId="82" fillId="0" borderId="26" xfId="0" applyNumberFormat="1" applyFont="1" applyBorder="1" applyAlignment="1">
      <alignment horizontal="center"/>
    </xf>
    <xf numFmtId="0" fontId="0" fillId="0" borderId="22" xfId="0" applyBorder="1"/>
    <xf numFmtId="0" fontId="82" fillId="0" borderId="1" xfId="0" applyFont="1" applyBorder="1" applyAlignment="1">
      <alignment horizontal="right" vertical="center"/>
    </xf>
    <xf numFmtId="10" fontId="82" fillId="0" borderId="27" xfId="0" applyNumberFormat="1" applyFont="1" applyBorder="1" applyAlignment="1">
      <alignment horizontal="center"/>
    </xf>
    <xf numFmtId="15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1" fillId="0" borderId="0" xfId="0" applyFont="1" applyAlignment="1">
      <alignment horizontal="left"/>
    </xf>
    <xf numFmtId="2" fontId="5" fillId="0" borderId="0" xfId="0" applyNumberFormat="1" applyFont="1" applyAlignment="1">
      <alignment horizontal="left"/>
    </xf>
    <xf numFmtId="2" fontId="50" fillId="0" borderId="0" xfId="0" applyNumberFormat="1" applyFont="1" applyAlignment="1">
      <alignment horizontal="left"/>
    </xf>
    <xf numFmtId="10" fontId="71" fillId="0" borderId="0" xfId="2" applyNumberFormat="1" applyFont="1" applyFill="1" applyBorder="1" applyAlignment="1">
      <alignment horizontal="left"/>
    </xf>
    <xf numFmtId="0" fontId="72" fillId="0" borderId="0" xfId="0" applyFont="1" applyAlignment="1">
      <alignment horizontal="left"/>
    </xf>
    <xf numFmtId="10" fontId="41" fillId="6" borderId="16" xfId="2" applyNumberFormat="1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2" fontId="37" fillId="0" borderId="7" xfId="1" applyNumberFormat="1" applyFont="1" applyFill="1" applyBorder="1" applyAlignment="1">
      <alignment horizontal="center"/>
    </xf>
    <xf numFmtId="0" fontId="49" fillId="0" borderId="0" xfId="0" applyFont="1"/>
    <xf numFmtId="10" fontId="21" fillId="0" borderId="4" xfId="2" applyNumberFormat="1" applyFont="1" applyFill="1" applyBorder="1" applyAlignment="1">
      <alignment horizontal="center"/>
    </xf>
    <xf numFmtId="0" fontId="59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7" fillId="5" borderId="18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5" borderId="19" xfId="0" applyFont="1" applyFill="1" applyBorder="1" applyAlignment="1">
      <alignment horizontal="center"/>
    </xf>
  </cellXfs>
  <cellStyles count="7">
    <cellStyle name="Comma" xfId="1" builtinId="3"/>
    <cellStyle name="Comma0 - Style5" xfId="4" xr:uid="{1397E544-7A5D-4627-82CA-446E9A855C6D}"/>
    <cellStyle name="Currency" xfId="3" builtinId="4"/>
    <cellStyle name="Hyperlink" xfId="6" builtinId="8"/>
    <cellStyle name="Normal" xfId="0" builtinId="0"/>
    <cellStyle name="Percen - Style2" xfId="5" xr:uid="{A055BC95-278A-4F04-A738-FFE257F1BA8F}"/>
    <cellStyle name="Percent" xfId="2" builtinId="5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447674</xdr:colOff>
      <xdr:row>33</xdr:row>
      <xdr:rowOff>53975</xdr:rowOff>
    </xdr:from>
    <xdr:to>
      <xdr:col>6</xdr:col>
      <xdr:colOff>400049</xdr:colOff>
      <xdr:row>35</xdr:row>
      <xdr:rowOff>149225</xdr:rowOff>
    </xdr:to>
    <xdr:pic>
      <xdr:nvPicPr>
        <xdr:cNvPr id="3" name="Picture 2" descr="Horse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24074" y="7235825"/>
          <a:ext cx="1781175" cy="476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219075</xdr:colOff>
      <xdr:row>46</xdr:row>
      <xdr:rowOff>161925</xdr:rowOff>
    </xdr:to>
    <xdr:pic>
      <xdr:nvPicPr>
        <xdr:cNvPr id="47105" name="Picture 1">
          <a:extLst>
            <a:ext uri="{FF2B5EF4-FFF2-40B4-BE49-F238E27FC236}">
              <a16:creationId xmlns:a16="http://schemas.microsoft.com/office/drawing/2014/main" id="{D91CD719-794B-2C45-3650-222D76E03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892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409575</xdr:colOff>
      <xdr:row>0</xdr:row>
      <xdr:rowOff>0</xdr:rowOff>
    </xdr:from>
    <xdr:to>
      <xdr:col>22</xdr:col>
      <xdr:colOff>590550</xdr:colOff>
      <xdr:row>46</xdr:row>
      <xdr:rowOff>161925</xdr:rowOff>
    </xdr:to>
    <xdr:pic>
      <xdr:nvPicPr>
        <xdr:cNvPr id="47106" name="Picture 2">
          <a:extLst>
            <a:ext uri="{FF2B5EF4-FFF2-40B4-BE49-F238E27FC236}">
              <a16:creationId xmlns:a16="http://schemas.microsoft.com/office/drawing/2014/main" id="{C7840D54-F7C0-93C6-012F-8A15C1F17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0"/>
          <a:ext cx="6886575" cy="892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pages.stern.nyu.edu/~adamodar/New_Home_Page/datacurrent.html" TargetMode="External"/><Relationship Id="rId2" Type="http://schemas.openxmlformats.org/officeDocument/2006/relationships/hyperlink" Target="https://www.bvresources.com/products/faqs/cost-of-capital-professional" TargetMode="External"/><Relationship Id="rId1" Type="http://schemas.openxmlformats.org/officeDocument/2006/relationships/hyperlink" Target="https://simplywall.st/stocks/us/transportation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s://www.richmondfed.org/research/national_economy/cfo_survey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bo.gov/system/files/2025-01/60870-Outlook-2025.pdf" TargetMode="External"/><Relationship Id="rId13" Type="http://schemas.openxmlformats.org/officeDocument/2006/relationships/hyperlink" Target="https://pages.stern.nyu.edu/~adamodar/pc/blog/S&amp;P500ValueJan2025.xlsx" TargetMode="External"/><Relationship Id="rId3" Type="http://schemas.openxmlformats.org/officeDocument/2006/relationships/hyperlink" Target="https://www.philadelphiafed.org/surveys-and-data/real-time-data-research/survey-of-professional-forecasters" TargetMode="External"/><Relationship Id="rId7" Type="http://schemas.openxmlformats.org/officeDocument/2006/relationships/hyperlink" Target="https://www.cbo.gov/system/files/2025-01/60870-Outlook-2025.pdf" TargetMode="External"/><Relationship Id="rId12" Type="http://schemas.openxmlformats.org/officeDocument/2006/relationships/hyperlink" Target="http://pages.stern.nyu.edu/~adamodar/" TargetMode="External"/><Relationship Id="rId2" Type="http://schemas.openxmlformats.org/officeDocument/2006/relationships/hyperlink" Target="https://www.philadelphiafed.org/research-and-data/real-time-center/livingston-survey" TargetMode="External"/><Relationship Id="rId1" Type="http://schemas.openxmlformats.org/officeDocument/2006/relationships/hyperlink" Target="http://www.federalreserve.gov/Releases/H15/Current/" TargetMode="External"/><Relationship Id="rId6" Type="http://schemas.openxmlformats.org/officeDocument/2006/relationships/hyperlink" Target="https://www.federalreserve.gov/monetarypolicy/files/fomcprojtabl20241218.pd" TargetMode="External"/><Relationship Id="rId11" Type="http://schemas.openxmlformats.org/officeDocument/2006/relationships/hyperlink" Target="http://pages.stern.nyu.edu/~adamodar/New_Home_Page/valquestions/stablegrowthrate.htm" TargetMode="External"/><Relationship Id="rId5" Type="http://schemas.openxmlformats.org/officeDocument/2006/relationships/hyperlink" Target="http://www.worldbank.org/en/publication/global-economic-prospects" TargetMode="External"/><Relationship Id="rId10" Type="http://schemas.openxmlformats.org/officeDocument/2006/relationships/hyperlink" Target="https://www.cbo.gov/data/budget-economic-data" TargetMode="External"/><Relationship Id="rId4" Type="http://schemas.openxmlformats.org/officeDocument/2006/relationships/hyperlink" Target="https://tradingeconomics.com/united-states/full-year-gdp-growth" TargetMode="External"/><Relationship Id="rId9" Type="http://schemas.openxmlformats.org/officeDocument/2006/relationships/hyperlink" Target="https://www.cbo.gov/publication/60870" TargetMode="External"/><Relationship Id="rId14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M37"/>
  <sheetViews>
    <sheetView tabSelected="1" view="pageBreakPreview" zoomScale="80" zoomScaleNormal="100" zoomScaleSheetLayoutView="80" workbookViewId="0">
      <selection activeCell="L20" sqref="L20"/>
    </sheetView>
  </sheetViews>
  <sheetFormatPr defaultRowHeight="15"/>
  <cols>
    <col min="9" max="9" width="16.42578125" customWidth="1"/>
  </cols>
  <sheetData>
    <row r="1" spans="1:13" ht="18.75">
      <c r="A1" s="464" t="s">
        <v>0</v>
      </c>
      <c r="B1" s="465"/>
      <c r="C1" s="465"/>
      <c r="D1" s="465"/>
      <c r="E1" s="465"/>
      <c r="F1" s="465"/>
      <c r="G1" s="465"/>
      <c r="H1" s="465"/>
      <c r="I1" s="465"/>
    </row>
    <row r="5" spans="1:13" ht="27">
      <c r="E5" s="466" t="s">
        <v>0</v>
      </c>
      <c r="F5" s="467"/>
      <c r="G5" s="467"/>
      <c r="H5" s="467"/>
      <c r="I5" s="467"/>
      <c r="J5" s="467"/>
      <c r="K5" s="467"/>
      <c r="L5" s="467"/>
      <c r="M5" s="467"/>
    </row>
    <row r="7" spans="1:13" ht="27">
      <c r="A7" s="468" t="s">
        <v>31</v>
      </c>
      <c r="B7" s="469"/>
      <c r="C7" s="469"/>
      <c r="D7" s="469"/>
      <c r="E7" s="469"/>
      <c r="F7" s="469"/>
      <c r="G7" s="469"/>
      <c r="H7" s="469"/>
      <c r="I7" s="469"/>
    </row>
    <row r="8" spans="1:13" ht="27">
      <c r="A8" s="6"/>
      <c r="B8" s="7"/>
      <c r="C8" s="7"/>
      <c r="D8" s="7"/>
      <c r="E8" s="466" t="s">
        <v>0</v>
      </c>
      <c r="F8" s="467"/>
      <c r="G8" s="467"/>
      <c r="H8" s="467"/>
      <c r="I8" s="467"/>
      <c r="J8" s="467"/>
      <c r="K8" s="467"/>
      <c r="L8" s="467"/>
      <c r="M8" s="467"/>
    </row>
    <row r="9" spans="1:13" ht="27">
      <c r="A9" s="466" t="s">
        <v>443</v>
      </c>
      <c r="B9" s="467"/>
      <c r="C9" s="467"/>
      <c r="D9" s="467"/>
      <c r="E9" s="467"/>
      <c r="F9" s="467"/>
      <c r="G9" s="467"/>
      <c r="H9" s="467"/>
      <c r="I9" s="467"/>
    </row>
    <row r="15" spans="1:13">
      <c r="A15" s="461" t="s">
        <v>0</v>
      </c>
      <c r="B15" s="462"/>
      <c r="C15" s="462"/>
      <c r="D15" s="462"/>
      <c r="E15" s="462"/>
      <c r="F15" s="462"/>
      <c r="G15" s="462"/>
      <c r="H15" s="462"/>
      <c r="I15" s="462"/>
    </row>
    <row r="16" spans="1:13" ht="26.25">
      <c r="A16" s="459" t="str">
        <f>+'S&amp;D'!A12</f>
        <v>Electric Wholesale (non-regulated) Power Generator</v>
      </c>
      <c r="B16" s="460"/>
      <c r="C16" s="460"/>
      <c r="D16" s="460"/>
      <c r="E16" s="460"/>
      <c r="F16" s="460"/>
      <c r="G16" s="460"/>
      <c r="H16" s="460"/>
      <c r="I16" s="460"/>
    </row>
    <row r="17" spans="1:9">
      <c r="A17" s="461" t="s">
        <v>0</v>
      </c>
      <c r="B17" s="462"/>
      <c r="C17" s="462"/>
      <c r="D17" s="462"/>
      <c r="E17" s="462"/>
      <c r="F17" s="462"/>
      <c r="G17" s="462"/>
      <c r="H17" s="462"/>
      <c r="I17" s="462"/>
    </row>
    <row r="18" spans="1:9">
      <c r="A18" s="8"/>
      <c r="B18" s="9"/>
      <c r="C18" s="9"/>
      <c r="D18" s="9"/>
      <c r="E18" s="9"/>
      <c r="F18" s="9"/>
      <c r="G18" s="9"/>
      <c r="H18" s="9"/>
      <c r="I18" s="9"/>
    </row>
    <row r="19" spans="1:9">
      <c r="A19" s="8"/>
      <c r="B19" s="9"/>
      <c r="C19" s="9"/>
      <c r="D19" s="9"/>
      <c r="E19" s="9"/>
      <c r="F19" s="9"/>
      <c r="G19" s="9"/>
      <c r="H19" s="9"/>
      <c r="I19" s="9"/>
    </row>
    <row r="20" spans="1:9">
      <c r="A20" s="8"/>
      <c r="B20" s="9"/>
      <c r="C20" s="9"/>
      <c r="D20" s="9"/>
      <c r="E20" s="9"/>
      <c r="F20" s="9"/>
      <c r="G20" s="9"/>
      <c r="H20" s="9"/>
      <c r="I20" s="9"/>
    </row>
    <row r="21" spans="1:9">
      <c r="A21" s="8"/>
      <c r="B21" s="9"/>
      <c r="C21" s="9"/>
      <c r="D21" s="9"/>
      <c r="E21" s="9"/>
      <c r="F21" s="9"/>
      <c r="G21" s="9"/>
      <c r="H21" s="9"/>
      <c r="I21" s="9"/>
    </row>
    <row r="22" spans="1:9">
      <c r="A22" s="8"/>
      <c r="B22" s="9"/>
      <c r="C22" s="9"/>
      <c r="D22" s="9"/>
      <c r="E22" s="9"/>
      <c r="F22" s="9"/>
      <c r="G22" s="9"/>
      <c r="H22" s="9"/>
      <c r="I22" s="9"/>
    </row>
    <row r="23" spans="1:9">
      <c r="A23" s="8"/>
      <c r="B23" s="9"/>
      <c r="C23" s="9"/>
      <c r="D23" s="9"/>
      <c r="E23" s="9"/>
      <c r="F23" s="9"/>
      <c r="G23" s="9"/>
      <c r="H23" s="9"/>
      <c r="I23" s="9"/>
    </row>
    <row r="24" spans="1:9">
      <c r="A24" s="8"/>
      <c r="B24" s="9"/>
      <c r="C24" s="9"/>
      <c r="D24" s="9"/>
      <c r="E24" s="9"/>
      <c r="F24" s="9"/>
      <c r="G24" s="9"/>
      <c r="H24" s="9"/>
      <c r="I24" s="9"/>
    </row>
    <row r="25" spans="1:9">
      <c r="A25" s="8"/>
      <c r="B25" s="9"/>
      <c r="C25" s="9"/>
      <c r="D25" s="9"/>
      <c r="E25" s="9"/>
      <c r="F25" s="9"/>
      <c r="G25" s="9"/>
      <c r="H25" s="9"/>
      <c r="I25" s="9"/>
    </row>
    <row r="26" spans="1:9">
      <c r="A26" s="8"/>
      <c r="B26" s="9"/>
      <c r="C26" s="9"/>
      <c r="D26" s="9"/>
      <c r="E26" s="9"/>
      <c r="F26" s="9"/>
      <c r="G26" s="9"/>
      <c r="H26" s="9"/>
      <c r="I26" s="9"/>
    </row>
    <row r="27" spans="1:9">
      <c r="A27" s="8"/>
      <c r="B27" s="9"/>
      <c r="C27" s="9"/>
      <c r="D27" s="9"/>
      <c r="E27" s="9"/>
      <c r="F27" s="9"/>
      <c r="G27" s="9"/>
      <c r="H27" s="9"/>
      <c r="I27" s="9"/>
    </row>
    <row r="28" spans="1:9">
      <c r="A28" s="8"/>
      <c r="B28" s="9"/>
      <c r="C28" s="9"/>
      <c r="D28" s="9"/>
      <c r="E28" s="9"/>
      <c r="F28" s="9"/>
      <c r="G28" s="9"/>
      <c r="H28" s="9"/>
      <c r="I28" s="9"/>
    </row>
    <row r="29" spans="1:9">
      <c r="A29" s="461" t="s">
        <v>0</v>
      </c>
      <c r="B29" s="462"/>
      <c r="C29" s="462"/>
      <c r="D29" s="462"/>
      <c r="E29" s="462"/>
      <c r="F29" s="462"/>
      <c r="G29" s="462"/>
      <c r="H29" s="462"/>
      <c r="I29" s="462"/>
    </row>
    <row r="34" spans="1:9">
      <c r="A34" s="463"/>
      <c r="B34" s="463"/>
      <c r="C34" s="463"/>
      <c r="D34" s="463"/>
      <c r="E34" s="463"/>
      <c r="F34" s="463"/>
      <c r="G34" s="463"/>
      <c r="H34" s="463"/>
      <c r="I34" s="463"/>
    </row>
    <row r="35" spans="1:9">
      <c r="A35" s="463"/>
      <c r="B35" s="463"/>
      <c r="C35" s="463"/>
      <c r="D35" s="463"/>
      <c r="E35" s="463"/>
      <c r="F35" s="463"/>
      <c r="G35" s="463"/>
      <c r="H35" s="463"/>
      <c r="I35" s="463"/>
    </row>
    <row r="36" spans="1:9">
      <c r="A36" s="463"/>
      <c r="B36" s="463"/>
      <c r="C36" s="463"/>
      <c r="D36" s="463"/>
      <c r="E36" s="463"/>
      <c r="F36" s="463"/>
      <c r="G36" s="463"/>
      <c r="H36" s="463"/>
      <c r="I36" s="463"/>
    </row>
    <row r="37" spans="1:9">
      <c r="A37" s="463"/>
      <c r="B37" s="463"/>
      <c r="C37" s="463"/>
      <c r="D37" s="463"/>
      <c r="E37" s="463"/>
      <c r="F37" s="463"/>
      <c r="G37" s="463"/>
      <c r="H37" s="463"/>
      <c r="I37" s="463"/>
    </row>
  </sheetData>
  <mergeCells count="10">
    <mergeCell ref="A16:I16"/>
    <mergeCell ref="A17:I17"/>
    <mergeCell ref="A29:I29"/>
    <mergeCell ref="A34:I37"/>
    <mergeCell ref="A1:I1"/>
    <mergeCell ref="E5:M5"/>
    <mergeCell ref="A7:I7"/>
    <mergeCell ref="E8:M8"/>
    <mergeCell ref="A9:I9"/>
    <mergeCell ref="A15:I15"/>
  </mergeCells>
  <pageMargins left="0.25" right="0.25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M59"/>
  <sheetViews>
    <sheetView view="pageBreakPreview" zoomScale="60" zoomScaleNormal="80" workbookViewId="0">
      <selection activeCell="J30" sqref="J30"/>
    </sheetView>
  </sheetViews>
  <sheetFormatPr defaultRowHeight="15"/>
  <cols>
    <col min="1" max="1" width="52" customWidth="1"/>
    <col min="2" max="2" width="14.85546875" customWidth="1"/>
    <col min="3" max="3" width="23.85546875" customWidth="1"/>
    <col min="4" max="4" width="20.7109375" customWidth="1"/>
    <col min="5" max="5" width="21.85546875" customWidth="1"/>
    <col min="6" max="6" width="18" customWidth="1"/>
    <col min="7" max="7" width="12.28515625" customWidth="1"/>
    <col min="8" max="8" width="20.5703125" customWidth="1"/>
    <col min="9" max="9" width="12.42578125" customWidth="1"/>
    <col min="10" max="11" width="20.5703125" customWidth="1"/>
    <col min="12" max="12" width="26.5703125" customWidth="1"/>
    <col min="13" max="13" width="15.42578125" customWidth="1"/>
  </cols>
  <sheetData>
    <row r="1" spans="1:13" ht="26.25">
      <c r="A1" s="24" t="s">
        <v>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17.25">
      <c r="A2" s="25" t="s">
        <v>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16.5">
      <c r="A3" s="26" t="s">
        <v>441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6.5">
      <c r="A4" s="26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7.25" thickBot="1">
      <c r="A5" s="12"/>
      <c r="B5" s="12"/>
      <c r="C5" s="12"/>
      <c r="D5" s="12"/>
      <c r="E5" s="12"/>
      <c r="F5" s="12"/>
      <c r="G5" s="27"/>
      <c r="H5" s="27"/>
      <c r="I5" s="12"/>
      <c r="J5" s="12"/>
      <c r="K5" s="12"/>
      <c r="L5" s="12"/>
      <c r="M5" s="12"/>
    </row>
    <row r="6" spans="1:13" ht="21" thickBot="1">
      <c r="A6" s="239" t="str">
        <f>+'S&amp;D'!A12</f>
        <v>Electric Wholesale (non-regulated) Power Generator</v>
      </c>
      <c r="B6" s="176"/>
      <c r="C6" s="12"/>
      <c r="D6" s="29"/>
      <c r="E6" s="29"/>
      <c r="F6" s="30" t="s">
        <v>0</v>
      </c>
      <c r="G6" s="12"/>
      <c r="H6" s="12"/>
      <c r="I6" s="12"/>
      <c r="J6" s="12"/>
      <c r="K6" s="12"/>
      <c r="L6" s="12"/>
      <c r="M6" s="12"/>
    </row>
    <row r="7" spans="1:13" ht="26.25">
      <c r="A7" s="31"/>
      <c r="B7" s="12"/>
      <c r="C7" s="12"/>
      <c r="D7" s="12"/>
      <c r="E7" s="32" t="s">
        <v>512</v>
      </c>
      <c r="F7" s="12"/>
      <c r="G7" s="12"/>
      <c r="H7" s="12"/>
      <c r="I7" s="12"/>
      <c r="J7" s="12"/>
      <c r="K7" s="12"/>
      <c r="L7" s="12"/>
      <c r="M7" s="12"/>
    </row>
    <row r="8" spans="1:13" ht="21" thickBot="1">
      <c r="A8" s="31"/>
      <c r="B8" s="12"/>
      <c r="C8" s="12"/>
      <c r="D8" s="29"/>
      <c r="E8" s="37" t="s">
        <v>442</v>
      </c>
      <c r="F8" s="29"/>
      <c r="G8" s="12"/>
      <c r="H8" s="12"/>
      <c r="I8" s="12"/>
      <c r="J8" s="12"/>
      <c r="K8" s="12"/>
      <c r="L8" s="12"/>
      <c r="M8" s="12"/>
    </row>
    <row r="9" spans="1:13" ht="17.25" thickBot="1">
      <c r="A9" s="34" t="s">
        <v>0</v>
      </c>
      <c r="B9" s="34" t="s">
        <v>0</v>
      </c>
      <c r="C9" s="34" t="s">
        <v>0</v>
      </c>
      <c r="D9" s="34" t="s">
        <v>0</v>
      </c>
      <c r="E9" s="34" t="s">
        <v>0</v>
      </c>
      <c r="F9" s="34" t="s">
        <v>0</v>
      </c>
      <c r="G9" s="34"/>
      <c r="H9" s="34"/>
      <c r="I9" s="34" t="s">
        <v>0</v>
      </c>
      <c r="J9" s="29"/>
      <c r="K9" s="12"/>
      <c r="L9" s="12"/>
      <c r="M9" s="12"/>
    </row>
    <row r="10" spans="1:13" ht="16.5">
      <c r="A10" s="35" t="s">
        <v>0</v>
      </c>
      <c r="B10" s="35" t="s">
        <v>3</v>
      </c>
      <c r="C10" s="35" t="s">
        <v>5</v>
      </c>
      <c r="D10" s="35" t="s">
        <v>21</v>
      </c>
      <c r="E10" s="35" t="s">
        <v>20</v>
      </c>
      <c r="F10" s="35" t="s">
        <v>59</v>
      </c>
      <c r="G10" s="35" t="s">
        <v>137</v>
      </c>
      <c r="H10" s="35" t="s">
        <v>504</v>
      </c>
      <c r="I10" s="35" t="s">
        <v>137</v>
      </c>
      <c r="J10" s="35" t="s">
        <v>56</v>
      </c>
      <c r="K10" s="12"/>
      <c r="L10" s="12"/>
      <c r="M10" s="12"/>
    </row>
    <row r="11" spans="1:13" ht="17.25" thickBot="1">
      <c r="A11" s="37" t="s">
        <v>2</v>
      </c>
      <c r="B11" s="37" t="s">
        <v>4</v>
      </c>
      <c r="C11" s="37" t="s">
        <v>6</v>
      </c>
      <c r="D11" s="37" t="s">
        <v>23</v>
      </c>
      <c r="E11" s="37" t="s">
        <v>22</v>
      </c>
      <c r="F11" s="37" t="s">
        <v>57</v>
      </c>
      <c r="G11" s="37" t="s">
        <v>57</v>
      </c>
      <c r="H11" s="37" t="s">
        <v>57</v>
      </c>
      <c r="I11" s="37" t="s">
        <v>57</v>
      </c>
      <c r="J11" s="37" t="s">
        <v>58</v>
      </c>
      <c r="K11" s="12"/>
      <c r="L11" s="12"/>
      <c r="M11" s="12"/>
    </row>
    <row r="12" spans="1:13" ht="16.5">
      <c r="A12" s="39" t="s">
        <v>7</v>
      </c>
      <c r="B12" s="39" t="s">
        <v>7</v>
      </c>
      <c r="C12" s="39" t="s">
        <v>7</v>
      </c>
      <c r="D12" s="39" t="s">
        <v>7</v>
      </c>
      <c r="E12" s="39" t="s">
        <v>7</v>
      </c>
      <c r="F12" s="39" t="s">
        <v>59</v>
      </c>
      <c r="G12" s="39"/>
      <c r="H12" s="39" t="s">
        <v>504</v>
      </c>
      <c r="I12" s="39"/>
      <c r="J12" s="39" t="s">
        <v>56</v>
      </c>
      <c r="K12" s="12"/>
      <c r="L12" s="12"/>
      <c r="M12" s="12"/>
    </row>
    <row r="13" spans="1:13" ht="16.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12"/>
      <c r="L13" s="12"/>
      <c r="M13" s="12"/>
    </row>
    <row r="14" spans="1:13" ht="16.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ht="17.25">
      <c r="A15" s="63" t="str">
        <f>+'S&amp;D'!A22</f>
        <v>AES CORPORATION</v>
      </c>
      <c r="B15" s="90" t="str">
        <f>+'S&amp;D'!B22</f>
        <v>AES</v>
      </c>
      <c r="C15" s="90" t="str">
        <f>+'S&amp;D'!C22</f>
        <v>Power Electric</v>
      </c>
      <c r="D15" s="54">
        <f>+'Beta for CAPM'!D18</f>
        <v>0.15</v>
      </c>
      <c r="E15" s="35" t="str">
        <f>+'Beta for CAPM'!G18</f>
        <v>B++</v>
      </c>
      <c r="F15" s="35" t="s">
        <v>72</v>
      </c>
      <c r="G15" s="266">
        <v>12</v>
      </c>
      <c r="H15" s="62" t="s">
        <v>70</v>
      </c>
      <c r="I15" s="266">
        <f>VLOOKUP(H15,$A$35:$E$58,2,0)</f>
        <v>12</v>
      </c>
      <c r="J15" s="66">
        <f>VLOOKUP(I15,$B$35:$E$58,3,0)</f>
        <v>5.8000000000000003E-2</v>
      </c>
      <c r="K15" s="12" t="s">
        <v>0</v>
      </c>
      <c r="L15" s="12"/>
      <c r="M15" s="12"/>
    </row>
    <row r="16" spans="1:13" ht="17.25">
      <c r="A16" s="63" t="str">
        <f>+'S&amp;D'!A23</f>
        <v>DOMINION ENERGY INC</v>
      </c>
      <c r="B16" s="90" t="str">
        <f>+'S&amp;D'!B23</f>
        <v>D</v>
      </c>
      <c r="C16" s="90" t="str">
        <f>+'S&amp;D'!C23</f>
        <v>Electric - East</v>
      </c>
      <c r="D16" s="54">
        <f>+'Beta for CAPM'!D19</f>
        <v>0.17</v>
      </c>
      <c r="E16" s="35" t="str">
        <f>+'Beta for CAPM'!G19</f>
        <v>A</v>
      </c>
      <c r="F16" s="35" t="s">
        <v>63</v>
      </c>
      <c r="G16" s="266">
        <v>10</v>
      </c>
      <c r="H16" s="62" t="s">
        <v>68</v>
      </c>
      <c r="I16" s="266">
        <f t="shared" ref="I16:I21" si="0">VLOOKUP(H16,$A$35:$E$58,2,0)</f>
        <v>13</v>
      </c>
      <c r="J16" s="66">
        <f t="shared" ref="J16:J21" si="1">VLOOKUP(I16,$B$35:$E$58,3,0)</f>
        <v>6.8400000000000002E-2</v>
      </c>
      <c r="K16" s="12" t="s">
        <v>0</v>
      </c>
      <c r="L16" s="12"/>
      <c r="M16" s="12"/>
    </row>
    <row r="17" spans="1:13" ht="17.25">
      <c r="A17" s="63" t="str">
        <f>+'S&amp;D'!A24</f>
        <v>CONSTELLATION ENERGY GENERATION LLC</v>
      </c>
      <c r="B17" s="90" t="str">
        <f>+'S&amp;D'!B24</f>
        <v>CEG</v>
      </c>
      <c r="C17" s="90" t="str">
        <f>+'S&amp;D'!C24</f>
        <v>Power Electric</v>
      </c>
      <c r="D17" s="54">
        <f>+'Beta for CAPM'!D20</f>
        <v>0.15</v>
      </c>
      <c r="E17" s="35" t="str">
        <f>+'Beta for CAPM'!G20</f>
        <v>B++</v>
      </c>
      <c r="F17" s="35" t="s">
        <v>63</v>
      </c>
      <c r="G17" s="266">
        <v>10</v>
      </c>
      <c r="H17" s="62" t="s">
        <v>61</v>
      </c>
      <c r="I17" s="266">
        <f t="shared" si="0"/>
        <v>10</v>
      </c>
      <c r="J17" s="66">
        <f t="shared" si="1"/>
        <v>5.8000000000000003E-2</v>
      </c>
      <c r="K17" s="12" t="s">
        <v>0</v>
      </c>
      <c r="L17" s="12"/>
      <c r="M17" s="12"/>
    </row>
    <row r="18" spans="1:13" ht="17.25">
      <c r="A18" s="63" t="str">
        <f>+'S&amp;D'!A25</f>
        <v>NEXTERA ENERGY INC</v>
      </c>
      <c r="B18" s="90" t="str">
        <f>+'S&amp;D'!B25</f>
        <v>NEE</v>
      </c>
      <c r="C18" s="90" t="str">
        <f>+'S&amp;D'!C25</f>
        <v>Electric - East</v>
      </c>
      <c r="D18" s="54">
        <f>+'Beta for CAPM'!D21</f>
        <v>0.06</v>
      </c>
      <c r="E18" s="35" t="str">
        <f>+'Beta for CAPM'!G21</f>
        <v>A+</v>
      </c>
      <c r="F18" s="35" t="s">
        <v>71</v>
      </c>
      <c r="G18" s="266">
        <v>9</v>
      </c>
      <c r="H18" s="62" t="s">
        <v>61</v>
      </c>
      <c r="I18" s="266">
        <f t="shared" si="0"/>
        <v>10</v>
      </c>
      <c r="J18" s="66">
        <f t="shared" si="1"/>
        <v>5.8000000000000003E-2</v>
      </c>
      <c r="K18" s="12" t="s">
        <v>0</v>
      </c>
      <c r="L18" s="12"/>
      <c r="M18" s="12"/>
    </row>
    <row r="19" spans="1:13" ht="17.25">
      <c r="A19" s="63" t="str">
        <f>+'S&amp;D'!A26</f>
        <v>NRG ENERGY</v>
      </c>
      <c r="B19" s="90" t="str">
        <f>+'S&amp;D'!B26</f>
        <v>NRG</v>
      </c>
      <c r="C19" s="90" t="str">
        <f>+'S&amp;D'!C26</f>
        <v>Power Electric</v>
      </c>
      <c r="D19" s="54">
        <f>+'Beta for CAPM'!D22</f>
        <v>0.28000000000000003</v>
      </c>
      <c r="E19" s="35" t="str">
        <f>+'Beta for CAPM'!G22</f>
        <v>B+</v>
      </c>
      <c r="F19" s="35" t="s">
        <v>308</v>
      </c>
      <c r="G19" s="266">
        <v>14</v>
      </c>
      <c r="H19" s="62" t="s">
        <v>68</v>
      </c>
      <c r="I19" s="266">
        <f t="shared" si="0"/>
        <v>13</v>
      </c>
      <c r="J19" s="66">
        <f t="shared" si="1"/>
        <v>6.8400000000000002E-2</v>
      </c>
      <c r="K19" s="12" t="s">
        <v>0</v>
      </c>
      <c r="L19" s="12"/>
      <c r="M19" s="12"/>
    </row>
    <row r="20" spans="1:13" ht="17.25">
      <c r="A20" s="63" t="str">
        <f>+'S&amp;D'!A27</f>
        <v>SOUTHERN COMPANY</v>
      </c>
      <c r="B20" s="90" t="str">
        <f>+'S&amp;D'!B27</f>
        <v>SO</v>
      </c>
      <c r="C20" s="90" t="str">
        <f>+'S&amp;D'!C27</f>
        <v>Electric - East</v>
      </c>
      <c r="D20" s="54">
        <f>+'Beta for CAPM'!D23</f>
        <v>0.15</v>
      </c>
      <c r="E20" s="35" t="str">
        <f>+'Beta for CAPM'!G23</f>
        <v>A</v>
      </c>
      <c r="F20" s="35" t="s">
        <v>63</v>
      </c>
      <c r="G20" s="266">
        <v>10</v>
      </c>
      <c r="H20" s="62" t="s">
        <v>61</v>
      </c>
      <c r="I20" s="266">
        <f t="shared" si="0"/>
        <v>10</v>
      </c>
      <c r="J20" s="66">
        <f t="shared" si="1"/>
        <v>5.8000000000000003E-2</v>
      </c>
      <c r="K20" s="12" t="s">
        <v>0</v>
      </c>
      <c r="L20" s="12"/>
      <c r="M20" s="12"/>
    </row>
    <row r="21" spans="1:13" ht="17.25">
      <c r="A21" s="63" t="str">
        <f>+'S&amp;D'!A28</f>
        <v>VISTRA ENERGY CORPORATION</v>
      </c>
      <c r="B21" s="90" t="str">
        <f>+'S&amp;D'!B28</f>
        <v>VST</v>
      </c>
      <c r="C21" s="90" t="str">
        <f>+'S&amp;D'!C28</f>
        <v>Power Electric</v>
      </c>
      <c r="D21" s="54">
        <f>+'Beta for CAPM'!D24</f>
        <v>0.23</v>
      </c>
      <c r="E21" s="35" t="str">
        <f>+'Beta for CAPM'!G24</f>
        <v>B+</v>
      </c>
      <c r="F21" s="35" t="s">
        <v>308</v>
      </c>
      <c r="G21" s="266">
        <v>14</v>
      </c>
      <c r="H21" s="62" t="s">
        <v>68</v>
      </c>
      <c r="I21" s="266">
        <f t="shared" si="0"/>
        <v>13</v>
      </c>
      <c r="J21" s="66">
        <f t="shared" si="1"/>
        <v>6.8400000000000002E-2</v>
      </c>
      <c r="K21" s="12" t="s">
        <v>0</v>
      </c>
      <c r="L21" s="12"/>
      <c r="M21" s="12"/>
    </row>
    <row r="22" spans="1:13" ht="17.25" thickBot="1">
      <c r="A22" s="12"/>
      <c r="B22" s="12"/>
      <c r="C22" s="44"/>
      <c r="D22" s="47"/>
      <c r="E22" s="47"/>
      <c r="F22" s="47"/>
      <c r="G22" s="261"/>
      <c r="H22" s="47" t="s">
        <v>52</v>
      </c>
      <c r="I22" s="47"/>
      <c r="J22" s="47"/>
      <c r="K22" s="12"/>
      <c r="L22" s="12"/>
      <c r="M22" s="12"/>
    </row>
    <row r="23" spans="1:13" ht="17.25" thickTop="1">
      <c r="A23" s="12"/>
      <c r="B23" s="12"/>
      <c r="E23" s="14" t="s">
        <v>53</v>
      </c>
      <c r="F23" s="35"/>
      <c r="G23" s="260">
        <f>+MAX(G15:G21)</f>
        <v>14</v>
      </c>
      <c r="I23" s="260">
        <f>+MAX(I15:I21)</f>
        <v>13</v>
      </c>
      <c r="J23" s="53">
        <f>+MAX(J15:J21)</f>
        <v>6.8400000000000002E-2</v>
      </c>
      <c r="K23" s="12"/>
      <c r="L23" s="12"/>
      <c r="M23" s="12"/>
    </row>
    <row r="24" spans="1:13" ht="16.5">
      <c r="A24" s="12"/>
      <c r="B24" s="12"/>
      <c r="E24" s="263" t="s">
        <v>54</v>
      </c>
      <c r="F24" s="124"/>
      <c r="G24" s="264">
        <f>MIN(G15:G21)</f>
        <v>9</v>
      </c>
      <c r="H24" s="221"/>
      <c r="I24" s="264">
        <f>MIN(I15:I21)</f>
        <v>10</v>
      </c>
      <c r="J24" s="265">
        <f>MIN(J15:J21)</f>
        <v>5.8000000000000003E-2</v>
      </c>
      <c r="K24" s="12"/>
      <c r="L24" s="12"/>
      <c r="M24" s="12"/>
    </row>
    <row r="25" spans="1:13" ht="16.5">
      <c r="A25" s="12"/>
      <c r="B25" s="12"/>
      <c r="E25" s="14" t="s">
        <v>18</v>
      </c>
      <c r="F25" s="56" t="s">
        <v>0</v>
      </c>
      <c r="G25" s="197">
        <f>MEDIAN(G15:G21)</f>
        <v>10</v>
      </c>
      <c r="I25" s="197">
        <f>MEDIAN(I15:I21)</f>
        <v>12</v>
      </c>
      <c r="J25" s="56">
        <f>MEDIAN(J15:J21)</f>
        <v>5.8000000000000003E-2</v>
      </c>
      <c r="K25" s="12"/>
      <c r="L25" s="12"/>
      <c r="M25" s="12"/>
    </row>
    <row r="26" spans="1:13" ht="16.5">
      <c r="A26" s="12"/>
      <c r="B26" s="12"/>
      <c r="D26" s="14" t="s">
        <v>0</v>
      </c>
      <c r="E26" s="14" t="s">
        <v>377</v>
      </c>
      <c r="F26" s="14"/>
      <c r="G26" s="198">
        <f>AVERAGE(G15:G21)</f>
        <v>11.285714285714286</v>
      </c>
      <c r="I26" s="198">
        <f>AVERAGE(I15:I21)</f>
        <v>11.571428571428571</v>
      </c>
      <c r="J26" s="56">
        <f>AVERAGE(J15:J21)</f>
        <v>6.2457142857142864E-2</v>
      </c>
      <c r="K26" s="12"/>
      <c r="L26" s="12"/>
      <c r="M26" s="12"/>
    </row>
    <row r="27" spans="1:13" ht="16.5">
      <c r="A27" s="12"/>
      <c r="B27" s="12"/>
      <c r="D27" s="57" t="s">
        <v>0</v>
      </c>
      <c r="E27" s="14"/>
      <c r="F27" s="14"/>
      <c r="G27" s="198"/>
      <c r="I27" s="198"/>
      <c r="J27" s="56"/>
      <c r="K27" s="12"/>
      <c r="L27" s="12"/>
      <c r="M27" s="12"/>
    </row>
    <row r="28" spans="1:13" ht="17.25" thickBot="1">
      <c r="A28" s="12"/>
      <c r="B28" s="12"/>
      <c r="C28" s="12"/>
      <c r="D28" s="12"/>
      <c r="E28" s="14"/>
      <c r="F28" s="57"/>
      <c r="G28" s="12"/>
      <c r="H28" s="12"/>
      <c r="I28" s="12"/>
      <c r="J28" s="12"/>
      <c r="K28" s="12"/>
      <c r="L28" s="12"/>
      <c r="M28" s="12"/>
    </row>
    <row r="29" spans="1:13" ht="27" thickBot="1">
      <c r="A29" s="12"/>
      <c r="B29" s="12"/>
      <c r="C29" s="12"/>
      <c r="D29" s="12"/>
      <c r="E29" s="12"/>
      <c r="F29" s="171"/>
      <c r="G29" s="262"/>
      <c r="H29" s="172" t="s">
        <v>243</v>
      </c>
      <c r="I29" s="285"/>
      <c r="J29" s="332">
        <v>6.25E-2</v>
      </c>
      <c r="K29" s="12"/>
      <c r="L29" s="12"/>
      <c r="M29" s="12"/>
    </row>
    <row r="30" spans="1:13" ht="16.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ht="16.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6.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ht="21" thickBot="1">
      <c r="A33" s="250" t="s">
        <v>150</v>
      </c>
      <c r="B33" s="12"/>
      <c r="G33" s="12"/>
      <c r="H33" s="12"/>
      <c r="I33" s="12"/>
      <c r="J33" s="12"/>
      <c r="K33" s="12" t="s">
        <v>0</v>
      </c>
      <c r="L33" s="12"/>
      <c r="M33" s="12"/>
    </row>
    <row r="34" spans="1:13" ht="24">
      <c r="A34" s="373" t="s">
        <v>505</v>
      </c>
      <c r="B34" s="373" t="s">
        <v>315</v>
      </c>
      <c r="C34" s="373" t="s">
        <v>379</v>
      </c>
      <c r="D34" s="383" t="s">
        <v>439</v>
      </c>
      <c r="E34" s="383" t="s">
        <v>440</v>
      </c>
      <c r="F34" s="12"/>
      <c r="G34" s="12"/>
      <c r="H34" s="12"/>
      <c r="I34" s="12"/>
      <c r="M34" s="12"/>
    </row>
    <row r="35" spans="1:13" ht="17.25">
      <c r="A35" s="255" t="s">
        <v>320</v>
      </c>
      <c r="B35" s="256">
        <v>1</v>
      </c>
      <c r="C35" s="257" t="s">
        <v>321</v>
      </c>
      <c r="D35" s="374">
        <v>5.1999999999999998E-2</v>
      </c>
      <c r="E35" s="374">
        <v>5.1999999999999998E-2</v>
      </c>
      <c r="F35" s="12"/>
      <c r="G35" s="12"/>
      <c r="H35" s="12"/>
      <c r="I35" s="12"/>
      <c r="M35" s="12"/>
    </row>
    <row r="36" spans="1:13" ht="17.25">
      <c r="A36" s="58" t="s">
        <v>322</v>
      </c>
      <c r="B36" s="251">
        <v>2</v>
      </c>
      <c r="C36" s="258" t="s">
        <v>303</v>
      </c>
      <c r="D36" s="374">
        <v>5.1999999999999998E-2</v>
      </c>
      <c r="E36" s="374">
        <v>5.1999999999999998E-2</v>
      </c>
      <c r="F36" s="12" t="s">
        <v>200</v>
      </c>
      <c r="H36" s="12"/>
      <c r="I36" s="12"/>
      <c r="M36" s="12"/>
    </row>
    <row r="37" spans="1:13" ht="17.25">
      <c r="A37" s="59" t="s">
        <v>323</v>
      </c>
      <c r="B37" s="253">
        <v>3</v>
      </c>
      <c r="C37" s="259" t="s">
        <v>324</v>
      </c>
      <c r="D37" s="374">
        <v>5.1999999999999998E-2</v>
      </c>
      <c r="E37" s="374">
        <v>5.1999999999999998E-2</v>
      </c>
      <c r="F37" s="12"/>
      <c r="H37" s="12"/>
      <c r="I37" s="12"/>
      <c r="M37" s="12"/>
    </row>
    <row r="38" spans="1:13" ht="17.25">
      <c r="A38" s="58" t="s">
        <v>149</v>
      </c>
      <c r="B38" s="251">
        <v>4</v>
      </c>
      <c r="C38" s="252" t="s">
        <v>304</v>
      </c>
      <c r="D38" s="374">
        <v>5.3699999999999998E-2</v>
      </c>
      <c r="E38" s="374">
        <v>5.45E-2</v>
      </c>
      <c r="F38" s="12"/>
      <c r="H38" s="12"/>
      <c r="I38" s="12"/>
      <c r="M38" s="12"/>
    </row>
    <row r="39" spans="1:13" ht="17.25">
      <c r="A39" s="58" t="s">
        <v>148</v>
      </c>
      <c r="B39" s="251">
        <v>5</v>
      </c>
      <c r="C39" s="252" t="s">
        <v>305</v>
      </c>
      <c r="D39" s="374">
        <v>5.3699999999999998E-2</v>
      </c>
      <c r="E39" s="374">
        <v>5.45E-2</v>
      </c>
      <c r="F39" s="12" t="s">
        <v>306</v>
      </c>
      <c r="H39" s="12"/>
      <c r="I39" s="12"/>
      <c r="M39" s="12"/>
    </row>
    <row r="40" spans="1:13" ht="17.25">
      <c r="A40" s="59" t="s">
        <v>147</v>
      </c>
      <c r="B40" s="253">
        <v>6</v>
      </c>
      <c r="C40" s="254" t="s">
        <v>174</v>
      </c>
      <c r="D40" s="374">
        <v>5.3699999999999998E-2</v>
      </c>
      <c r="E40" s="374">
        <v>5.45E-2</v>
      </c>
      <c r="F40" s="12"/>
      <c r="H40" s="12"/>
      <c r="I40" s="12"/>
      <c r="M40" s="12"/>
    </row>
    <row r="41" spans="1:13" ht="17.25">
      <c r="A41" s="58" t="s">
        <v>67</v>
      </c>
      <c r="B41" s="251">
        <v>7</v>
      </c>
      <c r="C41" s="252" t="s">
        <v>51</v>
      </c>
      <c r="D41" s="375">
        <v>5.5300000000000002E-2</v>
      </c>
      <c r="E41" s="375">
        <v>5.5800000000000002E-2</v>
      </c>
      <c r="H41" s="12"/>
      <c r="I41" s="12"/>
      <c r="M41" s="12"/>
    </row>
    <row r="42" spans="1:13" ht="17.25">
      <c r="A42" s="58" t="s">
        <v>146</v>
      </c>
      <c r="B42" s="251">
        <v>8</v>
      </c>
      <c r="C42" s="252" t="s">
        <v>24</v>
      </c>
      <c r="D42" s="375">
        <v>5.5300000000000002E-2</v>
      </c>
      <c r="E42" s="375">
        <v>5.5800000000000002E-2</v>
      </c>
      <c r="F42" s="12" t="s">
        <v>201</v>
      </c>
      <c r="H42" s="12"/>
      <c r="I42" s="12"/>
      <c r="J42" s="12"/>
      <c r="K42" s="12"/>
      <c r="L42" s="12"/>
      <c r="M42" s="12"/>
    </row>
    <row r="43" spans="1:13" ht="17.25">
      <c r="A43" s="59" t="s">
        <v>69</v>
      </c>
      <c r="B43" s="253">
        <v>9</v>
      </c>
      <c r="C43" s="254" t="s">
        <v>71</v>
      </c>
      <c r="D43" s="375">
        <v>5.5300000000000002E-2</v>
      </c>
      <c r="E43" s="375">
        <v>5.5800000000000002E-2</v>
      </c>
      <c r="F43" s="12"/>
      <c r="H43" s="12"/>
      <c r="I43" s="12"/>
      <c r="J43" s="12"/>
      <c r="K43" s="12"/>
      <c r="L43" s="12"/>
      <c r="M43" s="12"/>
    </row>
    <row r="44" spans="1:13" ht="17.25">
      <c r="A44" s="58" t="s">
        <v>61</v>
      </c>
      <c r="B44" s="251">
        <v>10</v>
      </c>
      <c r="C44" s="252" t="s">
        <v>63</v>
      </c>
      <c r="D44" s="375">
        <v>5.8000000000000003E-2</v>
      </c>
      <c r="E44" s="375">
        <v>5.7700000000000001E-2</v>
      </c>
      <c r="H44" s="12"/>
      <c r="I44" s="12"/>
      <c r="J44" s="12"/>
      <c r="K44" s="12"/>
      <c r="L44" s="12"/>
      <c r="M44" s="12"/>
    </row>
    <row r="45" spans="1:13" ht="17.25">
      <c r="A45" s="58" t="s">
        <v>62</v>
      </c>
      <c r="B45" s="251">
        <v>11</v>
      </c>
      <c r="C45" s="252" t="s">
        <v>64</v>
      </c>
      <c r="D45" s="375">
        <v>5.8000000000000003E-2</v>
      </c>
      <c r="E45" s="375">
        <v>5.7700000000000001E-2</v>
      </c>
      <c r="F45" s="12" t="s">
        <v>204</v>
      </c>
      <c r="H45" s="12"/>
      <c r="I45" s="12"/>
      <c r="J45" s="12"/>
      <c r="K45" s="12"/>
      <c r="L45" s="12"/>
      <c r="M45" s="12"/>
    </row>
    <row r="46" spans="1:13" ht="17.25">
      <c r="A46" s="59" t="s">
        <v>70</v>
      </c>
      <c r="B46" s="253">
        <v>12</v>
      </c>
      <c r="C46" s="254" t="s">
        <v>72</v>
      </c>
      <c r="D46" s="375">
        <v>5.8000000000000003E-2</v>
      </c>
      <c r="E46" s="375">
        <v>5.7700000000000001E-2</v>
      </c>
      <c r="F46" s="12"/>
      <c r="H46" s="12"/>
      <c r="I46" s="12"/>
      <c r="J46" s="12"/>
      <c r="K46" s="12"/>
      <c r="L46" s="12"/>
      <c r="M46" s="12"/>
    </row>
    <row r="47" spans="1:13" ht="17.25">
      <c r="A47" s="58" t="s">
        <v>68</v>
      </c>
      <c r="B47" s="251">
        <v>13</v>
      </c>
      <c r="C47" s="252" t="s">
        <v>307</v>
      </c>
      <c r="D47" s="374">
        <v>6.8400000000000002E-2</v>
      </c>
      <c r="E47" s="374">
        <v>6.8099999999999994E-2</v>
      </c>
      <c r="H47" s="12"/>
      <c r="I47" s="12"/>
      <c r="J47" s="12"/>
      <c r="K47" s="12"/>
      <c r="L47" s="12"/>
      <c r="M47" s="12"/>
    </row>
    <row r="48" spans="1:13" ht="17.25">
      <c r="A48" s="58" t="s">
        <v>145</v>
      </c>
      <c r="B48" s="251">
        <v>14</v>
      </c>
      <c r="C48" s="252" t="s">
        <v>308</v>
      </c>
      <c r="D48" s="374">
        <v>6.8400000000000002E-2</v>
      </c>
      <c r="E48" s="374">
        <v>6.8099999999999994E-2</v>
      </c>
      <c r="F48" s="12" t="s">
        <v>203</v>
      </c>
      <c r="H48" s="12"/>
      <c r="I48" s="12"/>
      <c r="J48" s="12"/>
      <c r="K48" s="12"/>
      <c r="L48" s="12"/>
      <c r="M48" s="12"/>
    </row>
    <row r="49" spans="1:13" ht="17.25">
      <c r="A49" s="59" t="s">
        <v>144</v>
      </c>
      <c r="B49" s="253">
        <v>15</v>
      </c>
      <c r="C49" s="254" t="s">
        <v>309</v>
      </c>
      <c r="D49" s="374">
        <v>6.8400000000000002E-2</v>
      </c>
      <c r="E49" s="374">
        <v>6.8099999999999994E-2</v>
      </c>
      <c r="F49" s="12"/>
      <c r="H49" s="12"/>
      <c r="I49" s="12"/>
      <c r="J49" s="12"/>
      <c r="K49" s="12"/>
      <c r="L49" s="12"/>
      <c r="M49" s="12"/>
    </row>
    <row r="50" spans="1:13" ht="17.25">
      <c r="A50" s="58" t="s">
        <v>143</v>
      </c>
      <c r="B50" s="251">
        <v>16</v>
      </c>
      <c r="C50" s="252" t="s">
        <v>25</v>
      </c>
      <c r="D50" s="375">
        <v>7.3300000000000004E-2</v>
      </c>
      <c r="E50" s="375">
        <v>7.2999999999999995E-2</v>
      </c>
      <c r="H50" s="12"/>
      <c r="I50" s="12"/>
      <c r="J50" s="12"/>
      <c r="K50" s="12"/>
      <c r="L50" s="12"/>
      <c r="M50" s="12"/>
    </row>
    <row r="51" spans="1:13" ht="17.25">
      <c r="A51" s="58" t="s">
        <v>142</v>
      </c>
      <c r="B51" s="251">
        <v>17</v>
      </c>
      <c r="C51" s="252" t="s">
        <v>101</v>
      </c>
      <c r="D51" s="375">
        <v>7.3300000000000004E-2</v>
      </c>
      <c r="E51" s="375">
        <v>7.2999999999999995E-2</v>
      </c>
      <c r="F51" s="12" t="s">
        <v>202</v>
      </c>
      <c r="H51" s="12"/>
      <c r="I51" s="12"/>
      <c r="J51" s="12"/>
      <c r="K51" s="12"/>
      <c r="L51" s="12"/>
      <c r="M51" s="12"/>
    </row>
    <row r="52" spans="1:13" ht="17.25">
      <c r="A52" s="59" t="s">
        <v>141</v>
      </c>
      <c r="B52" s="253">
        <v>18</v>
      </c>
      <c r="C52" s="254" t="s">
        <v>310</v>
      </c>
      <c r="D52" s="375">
        <v>7.3300000000000004E-2</v>
      </c>
      <c r="E52" s="375">
        <v>7.2999999999999995E-2</v>
      </c>
      <c r="F52" s="12"/>
      <c r="H52" s="12"/>
      <c r="I52" s="12"/>
      <c r="J52" s="12"/>
      <c r="K52" s="12"/>
      <c r="L52" s="12"/>
      <c r="M52" s="12"/>
    </row>
    <row r="53" spans="1:13" ht="17.25">
      <c r="A53" s="58" t="s">
        <v>140</v>
      </c>
      <c r="B53" s="251">
        <v>19</v>
      </c>
      <c r="C53" s="252" t="s">
        <v>311</v>
      </c>
      <c r="D53" s="375">
        <v>7.8200000000000006E-2</v>
      </c>
      <c r="E53" s="375">
        <v>7.7899999999999997E-2</v>
      </c>
      <c r="H53" s="12"/>
      <c r="I53" s="12"/>
      <c r="J53" s="12"/>
      <c r="K53" s="12"/>
      <c r="L53" s="12"/>
      <c r="M53" s="12"/>
    </row>
    <row r="54" spans="1:13" ht="17.25">
      <c r="A54" s="58" t="s">
        <v>139</v>
      </c>
      <c r="B54" s="251">
        <v>20</v>
      </c>
      <c r="C54" s="252" t="s">
        <v>312</v>
      </c>
      <c r="D54" s="375">
        <v>7.8200000000000006E-2</v>
      </c>
      <c r="E54" s="375">
        <v>7.7899999999999997E-2</v>
      </c>
      <c r="F54" s="12" t="s">
        <v>199</v>
      </c>
      <c r="H54" s="12"/>
      <c r="I54" s="12"/>
      <c r="J54" s="12"/>
      <c r="K54" s="12"/>
      <c r="L54" s="12"/>
      <c r="M54" s="12"/>
    </row>
    <row r="55" spans="1:13" ht="17.25">
      <c r="A55" s="59" t="s">
        <v>138</v>
      </c>
      <c r="B55" s="253">
        <v>21</v>
      </c>
      <c r="C55" s="334" t="s">
        <v>313</v>
      </c>
      <c r="D55" s="375">
        <v>7.8200000000000006E-2</v>
      </c>
      <c r="E55" s="375">
        <v>7.7899999999999997E-2</v>
      </c>
      <c r="F55" s="12"/>
      <c r="H55" s="12"/>
      <c r="I55" s="12"/>
      <c r="J55" s="12"/>
      <c r="K55" s="12"/>
      <c r="L55" s="12"/>
    </row>
    <row r="56" spans="1:13" ht="17.25">
      <c r="A56" s="333" t="s">
        <v>325</v>
      </c>
      <c r="B56" s="376">
        <v>22</v>
      </c>
      <c r="C56" s="336" t="s">
        <v>326</v>
      </c>
      <c r="D56" s="375">
        <v>8.3099999999999993E-2</v>
      </c>
      <c r="E56" s="375">
        <v>8.2799999999999999E-2</v>
      </c>
      <c r="H56" s="12"/>
    </row>
    <row r="57" spans="1:13" ht="17.25">
      <c r="A57" s="333" t="s">
        <v>327</v>
      </c>
      <c r="B57" s="377">
        <v>23</v>
      </c>
      <c r="C57" s="337" t="s">
        <v>314</v>
      </c>
      <c r="D57" s="375">
        <v>8.3099999999999993E-2</v>
      </c>
      <c r="E57" s="375">
        <v>8.2799999999999999E-2</v>
      </c>
      <c r="F57" s="12" t="s">
        <v>197</v>
      </c>
      <c r="H57" s="12"/>
    </row>
    <row r="58" spans="1:13" ht="18" thickBot="1">
      <c r="A58" s="335" t="s">
        <v>328</v>
      </c>
      <c r="B58" s="378">
        <v>24</v>
      </c>
      <c r="C58" s="334" t="s">
        <v>329</v>
      </c>
      <c r="D58" s="375">
        <v>8.3099999999999993E-2</v>
      </c>
      <c r="E58" s="375">
        <v>8.2799999999999999E-2</v>
      </c>
      <c r="F58" s="12"/>
      <c r="H58" s="12"/>
    </row>
    <row r="59" spans="1:13" ht="18" thickBot="1">
      <c r="A59" s="59" t="s">
        <v>258</v>
      </c>
      <c r="B59" s="253">
        <v>25</v>
      </c>
      <c r="C59" s="59" t="s">
        <v>102</v>
      </c>
      <c r="D59" s="379"/>
      <c r="E59" s="379"/>
      <c r="F59" s="12" t="s">
        <v>198</v>
      </c>
      <c r="H59" s="12"/>
    </row>
  </sheetData>
  <pageMargins left="0.25" right="0.25" top="0.75" bottom="0.75" header="0.3" footer="0.3"/>
  <pageSetup scale="42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N35"/>
  <sheetViews>
    <sheetView view="pageBreakPreview" zoomScale="60" zoomScaleNormal="80" workbookViewId="0">
      <selection activeCell="L30" sqref="L30"/>
    </sheetView>
  </sheetViews>
  <sheetFormatPr defaultRowHeight="15"/>
  <cols>
    <col min="1" max="1" width="48.85546875" customWidth="1"/>
    <col min="2" max="2" width="11.5703125" customWidth="1"/>
    <col min="3" max="3" width="19.85546875" customWidth="1"/>
    <col min="4" max="4" width="24.7109375" customWidth="1"/>
    <col min="5" max="5" width="22.7109375" customWidth="1"/>
    <col min="6" max="7" width="21.28515625" customWidth="1"/>
    <col min="8" max="8" width="12" customWidth="1"/>
    <col min="9" max="9" width="18.42578125" customWidth="1"/>
    <col min="10" max="10" width="21.28515625" customWidth="1"/>
    <col min="11" max="11" width="2.28515625" customWidth="1"/>
    <col min="12" max="12" width="22.7109375" customWidth="1"/>
    <col min="13" max="13" width="17.28515625" customWidth="1"/>
  </cols>
  <sheetData>
    <row r="1" spans="1:14" ht="26.25">
      <c r="A1" s="24" t="s">
        <v>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7.25">
      <c r="A2" s="63" t="s">
        <v>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6.5">
      <c r="A3" s="26" t="s">
        <v>441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6.5">
      <c r="A4" s="12"/>
      <c r="B4" s="12"/>
      <c r="C4" s="12"/>
      <c r="D4" s="27" t="s">
        <v>0</v>
      </c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8" thickBot="1">
      <c r="A5" s="63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8" thickBot="1">
      <c r="A6" s="241" t="str">
        <f>+'S&amp;D'!A12</f>
        <v>Electric Wholesale (non-regulated) Power Generator</v>
      </c>
      <c r="B6" s="176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7.25">
      <c r="A7" s="63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18" thickBot="1">
      <c r="A8" s="63"/>
      <c r="B8" s="29"/>
      <c r="C8" s="29"/>
      <c r="D8" s="29"/>
      <c r="E8" s="29"/>
      <c r="F8" s="12"/>
      <c r="G8" s="12"/>
      <c r="H8" s="29"/>
      <c r="I8" s="29"/>
      <c r="J8" s="29"/>
      <c r="K8" s="29"/>
      <c r="L8" s="29"/>
      <c r="M8" s="29"/>
      <c r="N8" s="12"/>
    </row>
    <row r="9" spans="1:14" ht="26.25">
      <c r="B9" s="12"/>
      <c r="C9" s="12"/>
      <c r="D9" s="32" t="s">
        <v>294</v>
      </c>
      <c r="E9" s="12"/>
      <c r="F9" s="12"/>
      <c r="G9" s="12"/>
      <c r="H9" s="12"/>
      <c r="I9" s="12"/>
      <c r="J9" s="12"/>
      <c r="K9" s="69" t="s">
        <v>295</v>
      </c>
      <c r="L9" s="12"/>
      <c r="M9" s="12"/>
      <c r="N9" s="12"/>
    </row>
    <row r="10" spans="1:14" ht="21" thickBot="1">
      <c r="A10" s="31"/>
      <c r="B10" s="29"/>
      <c r="C10" s="29"/>
      <c r="D10" s="37" t="s">
        <v>442</v>
      </c>
      <c r="E10" s="29"/>
      <c r="F10" s="12"/>
      <c r="G10" s="12"/>
      <c r="H10" s="29"/>
      <c r="I10" s="29"/>
      <c r="J10" s="29"/>
      <c r="K10" s="37" t="s">
        <v>442</v>
      </c>
      <c r="L10" s="29"/>
      <c r="M10" s="29"/>
      <c r="N10" s="12"/>
    </row>
    <row r="11" spans="1:14" ht="17.25" thickBot="1">
      <c r="A11" s="34" t="s">
        <v>0</v>
      </c>
      <c r="B11" s="34" t="s">
        <v>0</v>
      </c>
      <c r="C11" s="34" t="s">
        <v>0</v>
      </c>
      <c r="D11" s="34" t="s">
        <v>0</v>
      </c>
      <c r="E11" s="34" t="s">
        <v>0</v>
      </c>
      <c r="F11" s="34" t="s">
        <v>0</v>
      </c>
      <c r="G11" s="41"/>
      <c r="H11" s="240"/>
      <c r="I11" s="34" t="s">
        <v>0</v>
      </c>
      <c r="J11" s="29"/>
      <c r="K11" s="29"/>
      <c r="L11" s="29"/>
      <c r="M11" s="29"/>
      <c r="N11" s="12"/>
    </row>
    <row r="12" spans="1:14" ht="16.5">
      <c r="A12" s="35" t="s">
        <v>0</v>
      </c>
      <c r="B12" s="35" t="s">
        <v>3</v>
      </c>
      <c r="C12" s="35" t="s">
        <v>0</v>
      </c>
      <c r="D12" s="35" t="s">
        <v>122</v>
      </c>
      <c r="E12" s="35" t="s">
        <v>122</v>
      </c>
      <c r="F12" s="35" t="s">
        <v>27</v>
      </c>
      <c r="G12" s="35"/>
      <c r="H12" s="35" t="s">
        <v>3</v>
      </c>
      <c r="I12" s="35" t="s">
        <v>0</v>
      </c>
      <c r="J12" s="35" t="s">
        <v>122</v>
      </c>
      <c r="K12" s="35"/>
      <c r="L12" s="35" t="s">
        <v>122</v>
      </c>
      <c r="M12" s="35" t="s">
        <v>27</v>
      </c>
      <c r="N12" s="12"/>
    </row>
    <row r="13" spans="1:14" ht="17.25" thickBot="1">
      <c r="A13" s="37" t="s">
        <v>2</v>
      </c>
      <c r="B13" s="37" t="s">
        <v>4</v>
      </c>
      <c r="C13" s="37" t="s">
        <v>28</v>
      </c>
      <c r="D13" s="37" t="s">
        <v>0</v>
      </c>
      <c r="E13" s="37" t="s">
        <v>29</v>
      </c>
      <c r="F13" s="37" t="s">
        <v>30</v>
      </c>
      <c r="G13" s="35"/>
      <c r="H13" s="37" t="s">
        <v>4</v>
      </c>
      <c r="I13" s="37" t="s">
        <v>28</v>
      </c>
      <c r="J13" s="37" t="s">
        <v>0</v>
      </c>
      <c r="K13" s="37"/>
      <c r="L13" s="37" t="s">
        <v>29</v>
      </c>
      <c r="M13" s="37" t="s">
        <v>30</v>
      </c>
      <c r="N13" s="12"/>
    </row>
    <row r="14" spans="1:14" ht="16.5">
      <c r="A14" s="39" t="s">
        <v>0</v>
      </c>
      <c r="B14" s="39" t="s">
        <v>0</v>
      </c>
      <c r="C14" s="40" t="s">
        <v>125</v>
      </c>
      <c r="D14" s="39" t="s">
        <v>126</v>
      </c>
      <c r="E14" s="39" t="s">
        <v>0</v>
      </c>
      <c r="F14" s="39" t="s">
        <v>0</v>
      </c>
      <c r="G14" s="41"/>
      <c r="H14" s="39" t="s">
        <v>0</v>
      </c>
      <c r="I14" s="40" t="s">
        <v>125</v>
      </c>
      <c r="J14" s="39" t="s">
        <v>127</v>
      </c>
      <c r="K14" s="39"/>
      <c r="L14" s="39" t="s">
        <v>0</v>
      </c>
      <c r="M14" s="39" t="s">
        <v>0</v>
      </c>
      <c r="N14" s="12"/>
    </row>
    <row r="15" spans="1:14" ht="16.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12"/>
    </row>
    <row r="16" spans="1:14" ht="16.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7.25">
      <c r="A17" s="44" t="str">
        <f>+'S&amp;D'!A22</f>
        <v>AES CORPORATION</v>
      </c>
      <c r="B17" s="35" t="str">
        <f>+'S&amp;D'!B22</f>
        <v>AES</v>
      </c>
      <c r="C17" s="60">
        <f>+'S&amp;D'!G22</f>
        <v>12.87</v>
      </c>
      <c r="D17" s="303">
        <v>3.65</v>
      </c>
      <c r="E17" s="72">
        <f>C17/D17</f>
        <v>3.526027397260274</v>
      </c>
      <c r="F17" s="57">
        <f t="shared" ref="F17:F23" si="0">1/E17</f>
        <v>0.28360528360528359</v>
      </c>
      <c r="G17" s="57"/>
      <c r="H17" s="35" t="str">
        <f>+B17</f>
        <v>AES</v>
      </c>
      <c r="I17" s="60">
        <f>+C17</f>
        <v>12.87</v>
      </c>
      <c r="J17" s="303">
        <v>3.75</v>
      </c>
      <c r="K17" s="303"/>
      <c r="L17" s="72">
        <f>I17/J17</f>
        <v>3.4319999999999999</v>
      </c>
      <c r="M17" s="57">
        <f t="shared" ref="M17:M23" si="1">1/L17</f>
        <v>0.29137529137529139</v>
      </c>
      <c r="N17" s="12"/>
    </row>
    <row r="18" spans="1:14" ht="17.25">
      <c r="A18" s="44" t="str">
        <f>+'S&amp;D'!A23</f>
        <v>DOMINION ENERGY INC</v>
      </c>
      <c r="B18" s="35" t="str">
        <f>+'S&amp;D'!B23</f>
        <v>D</v>
      </c>
      <c r="C18" s="60">
        <f>+'S&amp;D'!G23</f>
        <v>53.86</v>
      </c>
      <c r="D18" s="303">
        <v>7.3</v>
      </c>
      <c r="E18" s="72">
        <f t="shared" ref="E18:E23" si="2">C18/D18</f>
        <v>7.3780821917808224</v>
      </c>
      <c r="F18" s="57">
        <f t="shared" si="0"/>
        <v>0.13553657630894911</v>
      </c>
      <c r="G18" s="57"/>
      <c r="H18" s="35" t="str">
        <f t="shared" ref="H18:H23" si="3">+B18</f>
        <v>D</v>
      </c>
      <c r="I18" s="60">
        <f t="shared" ref="I18:I23" si="4">+C18</f>
        <v>53.86</v>
      </c>
      <c r="J18" s="303">
        <v>7.55</v>
      </c>
      <c r="K18" s="303"/>
      <c r="L18" s="72">
        <f t="shared" ref="L18:L23" si="5">I18/J18</f>
        <v>7.1337748344370864</v>
      </c>
      <c r="M18" s="57">
        <f t="shared" si="1"/>
        <v>0.14017823988117339</v>
      </c>
      <c r="N18" s="12"/>
    </row>
    <row r="19" spans="1:14" ht="17.25">
      <c r="A19" s="44" t="str">
        <f>+'S&amp;D'!A24</f>
        <v>CONSTELLATION ENERGY GENERATION LLC</v>
      </c>
      <c r="B19" s="35" t="str">
        <f>+'S&amp;D'!B24</f>
        <v>CEG</v>
      </c>
      <c r="C19" s="60">
        <f>+'S&amp;D'!G24</f>
        <v>223.71</v>
      </c>
      <c r="D19" s="303">
        <v>20.2</v>
      </c>
      <c r="E19" s="72">
        <f t="shared" si="2"/>
        <v>11.074752475247525</v>
      </c>
      <c r="F19" s="57">
        <f t="shared" si="0"/>
        <v>9.0295471816190603E-2</v>
      </c>
      <c r="G19" s="57"/>
      <c r="H19" s="35" t="str">
        <f t="shared" si="3"/>
        <v>CEG</v>
      </c>
      <c r="I19" s="60">
        <f t="shared" si="4"/>
        <v>223.71</v>
      </c>
      <c r="J19" s="303">
        <v>20.95</v>
      </c>
      <c r="K19" s="303"/>
      <c r="L19" s="72">
        <f t="shared" si="5"/>
        <v>10.678281622911696</v>
      </c>
      <c r="M19" s="57">
        <f t="shared" si="1"/>
        <v>9.3648026462831338E-2</v>
      </c>
      <c r="N19" s="12"/>
    </row>
    <row r="20" spans="1:14" ht="17.25">
      <c r="A20" s="44" t="str">
        <f>+'S&amp;D'!A25</f>
        <v>NEXTERA ENERGY INC</v>
      </c>
      <c r="B20" s="35" t="str">
        <f>+'S&amp;D'!B25</f>
        <v>NEE</v>
      </c>
      <c r="C20" s="60">
        <f>+'S&amp;D'!G25</f>
        <v>71.69</v>
      </c>
      <c r="D20" s="303">
        <v>6.55</v>
      </c>
      <c r="E20" s="72">
        <f t="shared" ref="E20" si="6">C20/D20</f>
        <v>10.945038167938931</v>
      </c>
      <c r="F20" s="57">
        <f t="shared" ref="F20" si="7">1/E20</f>
        <v>9.1365601897056781E-2</v>
      </c>
      <c r="G20" s="57"/>
      <c r="H20" s="35" t="str">
        <f t="shared" ref="H20" si="8">+B20</f>
        <v>NEE</v>
      </c>
      <c r="I20" s="60">
        <f t="shared" ref="I20" si="9">+C20</f>
        <v>71.69</v>
      </c>
      <c r="J20" s="303">
        <v>6.75</v>
      </c>
      <c r="K20" s="303"/>
      <c r="L20" s="72">
        <f t="shared" ref="L20" si="10">I20/J20</f>
        <v>10.620740740740741</v>
      </c>
      <c r="M20" s="57">
        <f t="shared" ref="M20" si="11">1/L20</f>
        <v>9.4155391267959271E-2</v>
      </c>
      <c r="N20" s="12"/>
    </row>
    <row r="21" spans="1:14" ht="17.25">
      <c r="A21" s="44" t="str">
        <f>+'S&amp;D'!A26</f>
        <v>NRG ENERGY</v>
      </c>
      <c r="B21" s="35" t="str">
        <f>+'S&amp;D'!B26</f>
        <v>NRG</v>
      </c>
      <c r="C21" s="60">
        <f>+'S&amp;D'!G26</f>
        <v>90.22</v>
      </c>
      <c r="D21" s="303">
        <v>9.9499999999999993</v>
      </c>
      <c r="E21" s="72">
        <f>C21/D21</f>
        <v>9.0673366834170857</v>
      </c>
      <c r="F21" s="57">
        <f t="shared" si="0"/>
        <v>0.1102859676346708</v>
      </c>
      <c r="G21" s="57"/>
      <c r="H21" s="35" t="str">
        <f t="shared" si="3"/>
        <v>NRG</v>
      </c>
      <c r="I21" s="60">
        <f t="shared" si="4"/>
        <v>90.22</v>
      </c>
      <c r="J21" s="303">
        <v>10.15</v>
      </c>
      <c r="K21" s="303"/>
      <c r="L21" s="72">
        <f t="shared" si="5"/>
        <v>8.8886699507389153</v>
      </c>
      <c r="M21" s="57">
        <f t="shared" si="1"/>
        <v>0.11250277100421194</v>
      </c>
      <c r="N21" s="12"/>
    </row>
    <row r="22" spans="1:14" ht="17.25">
      <c r="A22" s="44" t="str">
        <f>+'S&amp;D'!A27</f>
        <v>SOUTHERN COMPANY</v>
      </c>
      <c r="B22" s="35" t="str">
        <f>+'S&amp;D'!B27</f>
        <v>SO</v>
      </c>
      <c r="C22" s="60">
        <f>+'S&amp;D'!G27</f>
        <v>82.32</v>
      </c>
      <c r="D22" s="303">
        <v>8.5</v>
      </c>
      <c r="E22" s="72">
        <f t="shared" si="2"/>
        <v>9.6847058823529402</v>
      </c>
      <c r="F22" s="57">
        <f t="shared" si="0"/>
        <v>0.10325558794946552</v>
      </c>
      <c r="G22" s="57"/>
      <c r="H22" s="35" t="str">
        <f t="shared" si="3"/>
        <v>SO</v>
      </c>
      <c r="I22" s="60">
        <f t="shared" si="4"/>
        <v>82.32</v>
      </c>
      <c r="J22" s="303">
        <v>8.8000000000000007</v>
      </c>
      <c r="K22" s="303"/>
      <c r="L22" s="72">
        <f t="shared" si="5"/>
        <v>9.3545454545454536</v>
      </c>
      <c r="M22" s="57">
        <f t="shared" si="1"/>
        <v>0.10689990281827018</v>
      </c>
      <c r="N22" s="12"/>
    </row>
    <row r="23" spans="1:14" ht="17.25">
      <c r="A23" s="44" t="str">
        <f>+'S&amp;D'!A28</f>
        <v>VISTRA ENERGY CORPORATION</v>
      </c>
      <c r="B23" s="35" t="str">
        <f>+'S&amp;D'!B28</f>
        <v>VST</v>
      </c>
      <c r="C23" s="60">
        <f>+'S&amp;D'!G28</f>
        <v>137.87</v>
      </c>
      <c r="D23" s="303">
        <v>16.5</v>
      </c>
      <c r="E23" s="72">
        <f t="shared" si="2"/>
        <v>8.3557575757575755</v>
      </c>
      <c r="F23" s="57">
        <f t="shared" si="0"/>
        <v>0.11967795749619208</v>
      </c>
      <c r="G23" s="57"/>
      <c r="H23" s="35" t="str">
        <f t="shared" si="3"/>
        <v>VST</v>
      </c>
      <c r="I23" s="60">
        <f t="shared" si="4"/>
        <v>137.87</v>
      </c>
      <c r="J23" s="303">
        <v>17.05</v>
      </c>
      <c r="K23" s="303"/>
      <c r="L23" s="72">
        <f t="shared" si="5"/>
        <v>8.0862170087976537</v>
      </c>
      <c r="M23" s="57">
        <f t="shared" si="1"/>
        <v>0.12366722274606513</v>
      </c>
      <c r="N23" s="12"/>
    </row>
    <row r="24" spans="1:14" ht="17.25" thickBot="1">
      <c r="A24" s="12"/>
      <c r="B24" s="71"/>
      <c r="C24" s="71"/>
      <c r="D24" s="71"/>
      <c r="E24" s="71"/>
      <c r="F24" s="71"/>
      <c r="G24" s="12"/>
      <c r="H24" s="71"/>
      <c r="I24" s="71"/>
      <c r="J24" s="71"/>
      <c r="K24" s="71"/>
      <c r="L24" s="71"/>
      <c r="M24" s="71"/>
      <c r="N24" s="12"/>
    </row>
    <row r="25" spans="1:14" ht="17.25" thickTop="1">
      <c r="A25" s="12"/>
      <c r="C25" s="14" t="s">
        <v>53</v>
      </c>
      <c r="D25" s="275">
        <f>MAX(D17:D23)</f>
        <v>20.2</v>
      </c>
      <c r="E25" s="275">
        <f t="shared" ref="E25:F25" si="12">MAX(E17:E23)</f>
        <v>11.074752475247525</v>
      </c>
      <c r="F25" s="269">
        <f t="shared" si="12"/>
        <v>0.28360528360528359</v>
      </c>
      <c r="I25" s="14" t="s">
        <v>53</v>
      </c>
      <c r="J25" s="275">
        <f t="shared" ref="J25:M25" si="13">MAX(J17:J23)</f>
        <v>20.95</v>
      </c>
      <c r="K25" s="275"/>
      <c r="L25" s="275">
        <f t="shared" si="13"/>
        <v>10.678281622911696</v>
      </c>
      <c r="M25" s="269">
        <f t="shared" si="13"/>
        <v>0.29137529137529139</v>
      </c>
      <c r="N25" s="12"/>
    </row>
    <row r="26" spans="1:14" ht="16.5">
      <c r="A26" s="12"/>
      <c r="C26" s="14" t="s">
        <v>54</v>
      </c>
      <c r="D26" s="278">
        <f>MIN(D17:D23)</f>
        <v>3.65</v>
      </c>
      <c r="E26" s="278">
        <f t="shared" ref="E26:F26" si="14">MIN(E17:E23)</f>
        <v>3.526027397260274</v>
      </c>
      <c r="F26" s="270">
        <f t="shared" si="14"/>
        <v>9.0295471816190603E-2</v>
      </c>
      <c r="I26" s="14" t="s">
        <v>54</v>
      </c>
      <c r="J26" s="278">
        <f t="shared" ref="J26:M26" si="15">MIN(J17:J23)</f>
        <v>3.75</v>
      </c>
      <c r="K26" s="278"/>
      <c r="L26" s="278">
        <f t="shared" si="15"/>
        <v>3.4319999999999999</v>
      </c>
      <c r="M26" s="270">
        <f t="shared" si="15"/>
        <v>9.3648026462831338E-2</v>
      </c>
      <c r="N26" s="12"/>
    </row>
    <row r="27" spans="1:14" ht="16.5">
      <c r="A27" s="12"/>
      <c r="C27" s="14" t="s">
        <v>18</v>
      </c>
      <c r="D27" s="72">
        <f>MEDIAN(D17:D23)</f>
        <v>8.5</v>
      </c>
      <c r="E27" s="21">
        <f>MEDIAN(E17:E23)</f>
        <v>9.0673366834170857</v>
      </c>
      <c r="F27" s="57">
        <f>MEDIAN(F17:F23)</f>
        <v>0.1102859676346708</v>
      </c>
      <c r="I27" s="14" t="s">
        <v>18</v>
      </c>
      <c r="J27" s="72">
        <f>MEDIAN(J17:J23)</f>
        <v>8.8000000000000007</v>
      </c>
      <c r="K27" s="72"/>
      <c r="L27" s="21">
        <f>MEDIAN(L17:L23)</f>
        <v>8.8886699507389153</v>
      </c>
      <c r="M27" s="57">
        <f>MEDIAN(M17:M23)</f>
        <v>0.11250277100421194</v>
      </c>
      <c r="N27" s="12"/>
    </row>
    <row r="28" spans="1:14" ht="16.5">
      <c r="A28" s="12"/>
      <c r="C28" s="14" t="s">
        <v>377</v>
      </c>
      <c r="D28" s="17">
        <f>AVERAGE(D17:D23)</f>
        <v>10.378571428571428</v>
      </c>
      <c r="E28" s="21">
        <f>AVERAGE(E17:E23)</f>
        <v>8.5759571962507373</v>
      </c>
      <c r="F28" s="73">
        <f>AVERAGE(F17:F23)</f>
        <v>0.13343177810111548</v>
      </c>
      <c r="I28" s="14" t="s">
        <v>377</v>
      </c>
      <c r="J28" s="17">
        <f>AVERAGE(J17:J23)</f>
        <v>10.714285714285714</v>
      </c>
      <c r="K28" s="17"/>
      <c r="L28" s="21">
        <f>AVERAGE(L17:L23)</f>
        <v>8.3134613731673639</v>
      </c>
      <c r="M28" s="73">
        <f>AVERAGE(M17:M23)</f>
        <v>0.13748954936511465</v>
      </c>
      <c r="N28" s="12"/>
    </row>
    <row r="29" spans="1:14" ht="16.5">
      <c r="A29" s="12"/>
      <c r="B29" s="12"/>
      <c r="C29" s="12"/>
      <c r="D29" s="12"/>
      <c r="E29" s="12"/>
      <c r="F29" s="12"/>
      <c r="H29" s="12"/>
      <c r="I29" s="12"/>
      <c r="J29" s="12"/>
      <c r="K29" s="12"/>
      <c r="L29" s="12"/>
      <c r="M29" s="12"/>
      <c r="N29" s="12"/>
    </row>
    <row r="30" spans="1:14" ht="26.25">
      <c r="A30" s="12"/>
      <c r="B30" s="12"/>
      <c r="C30" s="12"/>
      <c r="D30" s="77" t="s">
        <v>86</v>
      </c>
      <c r="E30" s="292">
        <v>8.58</v>
      </c>
      <c r="F30" s="293">
        <v>0.13339999999999999</v>
      </c>
      <c r="H30" s="12"/>
      <c r="I30" s="12"/>
      <c r="J30" s="77" t="s">
        <v>86</v>
      </c>
      <c r="K30" s="49"/>
      <c r="L30" s="294">
        <v>8.31</v>
      </c>
      <c r="M30" s="293">
        <v>0.13750000000000001</v>
      </c>
      <c r="N30" s="12"/>
    </row>
    <row r="31" spans="1:14" ht="17.25" thickBot="1">
      <c r="A31" s="12"/>
      <c r="B31" s="12"/>
      <c r="C31" s="12"/>
      <c r="D31" s="12"/>
      <c r="E31" s="12"/>
      <c r="F31" s="74" t="s">
        <v>0</v>
      </c>
      <c r="G31" s="74"/>
      <c r="H31" s="12"/>
      <c r="I31" s="12"/>
      <c r="J31" s="12"/>
      <c r="K31" s="12"/>
      <c r="L31" s="12"/>
      <c r="M31" s="12"/>
      <c r="N31" s="12"/>
    </row>
    <row r="32" spans="1:14" ht="27" thickBot="1">
      <c r="A32" s="75" t="s">
        <v>0</v>
      </c>
      <c r="B32" s="12"/>
      <c r="C32" s="12"/>
      <c r="D32" s="12"/>
      <c r="E32" s="12"/>
      <c r="F32" s="12"/>
      <c r="G32" s="12"/>
      <c r="H32" s="24" t="s">
        <v>131</v>
      </c>
      <c r="I32" s="24"/>
      <c r="J32" s="12"/>
      <c r="K32" s="12"/>
      <c r="L32" s="338">
        <f>(E30+L30)/2</f>
        <v>8.4450000000000003</v>
      </c>
      <c r="M32" s="332">
        <f>(F30+M30)/2</f>
        <v>0.13545000000000001</v>
      </c>
      <c r="N32" s="12"/>
    </row>
    <row r="33" spans="1:14" ht="16.5">
      <c r="A33" s="75" t="s">
        <v>65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ht="16.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6.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</sheetData>
  <pageMargins left="0.25" right="0.25" top="0.75" bottom="0.75" header="0.3" footer="0.3"/>
  <pageSetup scale="4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EAAB1-5671-4283-A0D0-11DDA5DBBF04}">
  <sheetPr>
    <tabColor rgb="FF92D050"/>
  </sheetPr>
  <dimension ref="A1:O59"/>
  <sheetViews>
    <sheetView view="pageBreakPreview" zoomScale="60" zoomScaleNormal="80" workbookViewId="0">
      <selection activeCell="K16" sqref="K16"/>
    </sheetView>
  </sheetViews>
  <sheetFormatPr defaultRowHeight="15"/>
  <cols>
    <col min="1" max="1" width="44.140625" customWidth="1"/>
    <col min="2" max="2" width="14.42578125" customWidth="1"/>
    <col min="3" max="3" width="12.28515625" bestFit="1" customWidth="1"/>
    <col min="4" max="4" width="23.7109375" customWidth="1"/>
    <col min="5" max="5" width="21.28515625" customWidth="1"/>
    <col min="6" max="6" width="19" customWidth="1"/>
    <col min="7" max="7" width="16.42578125" customWidth="1"/>
    <col min="8" max="10" width="19.28515625" customWidth="1"/>
    <col min="11" max="12" width="21.5703125" customWidth="1"/>
    <col min="13" max="13" width="18.28515625" customWidth="1"/>
  </cols>
  <sheetData>
    <row r="1" spans="1:15" ht="26.25">
      <c r="A1" s="24" t="s">
        <v>1</v>
      </c>
      <c r="B1" s="24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7.25">
      <c r="A2" s="63" t="s">
        <v>9</v>
      </c>
      <c r="B2" s="6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16.5">
      <c r="A3" s="26" t="s">
        <v>441</v>
      </c>
      <c r="B3" s="4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6.5">
      <c r="A4" s="12"/>
      <c r="B4" s="12"/>
      <c r="C4" s="12"/>
      <c r="D4" s="12"/>
      <c r="E4" s="27" t="s">
        <v>0</v>
      </c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18" thickBot="1">
      <c r="A5" s="63"/>
      <c r="B5" s="6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21" thickBot="1">
      <c r="A6" s="239" t="str">
        <f>+'S&amp;D'!A12</f>
        <v>Electric Wholesale (non-regulated) Power Generator</v>
      </c>
      <c r="B6" s="325"/>
      <c r="C6" s="17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8" thickBot="1">
      <c r="A7" s="63"/>
      <c r="B7" s="63"/>
      <c r="C7" s="29"/>
      <c r="D7" s="29"/>
      <c r="E7" s="29"/>
      <c r="F7" s="29"/>
      <c r="G7" s="29"/>
      <c r="H7" s="12"/>
      <c r="I7" s="29"/>
      <c r="J7" s="29"/>
      <c r="K7" s="29"/>
      <c r="L7" s="29"/>
      <c r="M7" s="29"/>
      <c r="N7" s="12"/>
      <c r="O7" s="12"/>
    </row>
    <row r="8" spans="1:15" ht="26.25">
      <c r="B8" s="31"/>
      <c r="C8" s="12"/>
      <c r="D8" s="12"/>
      <c r="E8" s="32" t="s">
        <v>236</v>
      </c>
      <c r="F8" s="12"/>
      <c r="G8" s="12"/>
      <c r="H8" s="12"/>
      <c r="I8" s="12"/>
      <c r="J8" s="12"/>
      <c r="K8" s="32" t="s">
        <v>237</v>
      </c>
      <c r="L8" s="12"/>
      <c r="M8" s="12"/>
      <c r="N8" s="12"/>
      <c r="O8" s="12"/>
    </row>
    <row r="9" spans="1:15" ht="21" thickBot="1">
      <c r="A9" s="31"/>
      <c r="B9" s="31"/>
      <c r="C9" s="29"/>
      <c r="D9" s="29"/>
      <c r="E9" s="37" t="s">
        <v>442</v>
      </c>
      <c r="F9" s="29"/>
      <c r="G9" s="29"/>
      <c r="H9" s="12"/>
      <c r="I9" s="29"/>
      <c r="J9" s="29"/>
      <c r="K9" s="37" t="s">
        <v>442</v>
      </c>
      <c r="L9" s="29"/>
      <c r="M9" s="29"/>
      <c r="N9" s="12"/>
      <c r="O9" s="12"/>
    </row>
    <row r="10" spans="1:15" ht="17.25" thickBot="1">
      <c r="A10" s="34" t="s">
        <v>0</v>
      </c>
      <c r="B10" s="34"/>
      <c r="C10" s="34" t="s">
        <v>0</v>
      </c>
      <c r="D10" s="34" t="s">
        <v>0</v>
      </c>
      <c r="E10" s="34" t="s">
        <v>0</v>
      </c>
      <c r="F10" s="34" t="s">
        <v>0</v>
      </c>
      <c r="G10" s="34" t="s">
        <v>0</v>
      </c>
      <c r="H10" s="12"/>
      <c r="I10" s="29"/>
      <c r="J10" s="29"/>
      <c r="K10" s="29"/>
      <c r="L10" s="29"/>
      <c r="M10" s="29"/>
      <c r="N10" s="12"/>
      <c r="O10" s="12"/>
    </row>
    <row r="11" spans="1:15" ht="16.5">
      <c r="A11" s="35" t="s">
        <v>0</v>
      </c>
      <c r="B11" s="35"/>
      <c r="C11" s="35" t="s">
        <v>3</v>
      </c>
      <c r="D11" s="35" t="s">
        <v>0</v>
      </c>
      <c r="E11" s="35" t="s">
        <v>123</v>
      </c>
      <c r="F11" s="35" t="s">
        <v>123</v>
      </c>
      <c r="G11" s="35" t="s">
        <v>27</v>
      </c>
      <c r="H11" s="12"/>
      <c r="I11" s="35" t="s">
        <v>3</v>
      </c>
      <c r="J11" s="35" t="s">
        <v>0</v>
      </c>
      <c r="K11" s="35" t="s">
        <v>123</v>
      </c>
      <c r="L11" s="35" t="s">
        <v>123</v>
      </c>
      <c r="M11" s="35" t="s">
        <v>27</v>
      </c>
      <c r="N11" s="12"/>
      <c r="O11" s="12"/>
    </row>
    <row r="12" spans="1:15" ht="17.25" thickBot="1">
      <c r="A12" s="37" t="s">
        <v>2</v>
      </c>
      <c r="B12" s="37"/>
      <c r="C12" s="37" t="s">
        <v>4</v>
      </c>
      <c r="D12" s="37" t="s">
        <v>28</v>
      </c>
      <c r="E12" s="37" t="s">
        <v>175</v>
      </c>
      <c r="F12" s="37" t="s">
        <v>29</v>
      </c>
      <c r="G12" s="37" t="s">
        <v>30</v>
      </c>
      <c r="H12" s="12"/>
      <c r="I12" s="37" t="s">
        <v>4</v>
      </c>
      <c r="J12" s="37" t="s">
        <v>28</v>
      </c>
      <c r="K12" s="37" t="s">
        <v>175</v>
      </c>
      <c r="L12" s="37" t="s">
        <v>29</v>
      </c>
      <c r="M12" s="37" t="s">
        <v>30</v>
      </c>
      <c r="N12" s="12"/>
      <c r="O12" s="12"/>
    </row>
    <row r="13" spans="1:15" ht="16.5">
      <c r="A13" s="39" t="s">
        <v>0</v>
      </c>
      <c r="B13" s="39"/>
      <c r="C13" s="39" t="s">
        <v>0</v>
      </c>
      <c r="D13" s="40" t="s">
        <v>125</v>
      </c>
      <c r="E13" s="76" t="s">
        <v>126</v>
      </c>
      <c r="F13" s="39" t="s">
        <v>0</v>
      </c>
      <c r="G13" s="39" t="s">
        <v>0</v>
      </c>
      <c r="H13" s="12"/>
      <c r="I13" s="39" t="s">
        <v>0</v>
      </c>
      <c r="J13" s="40" t="s">
        <v>125</v>
      </c>
      <c r="K13" s="76" t="s">
        <v>124</v>
      </c>
      <c r="L13" s="39" t="s">
        <v>0</v>
      </c>
      <c r="M13" s="39" t="s">
        <v>0</v>
      </c>
      <c r="N13" s="12"/>
      <c r="O13" s="12"/>
    </row>
    <row r="14" spans="1:15" ht="16.5">
      <c r="A14" s="35"/>
      <c r="B14" s="35"/>
      <c r="C14" s="35"/>
      <c r="D14" s="35"/>
      <c r="E14" s="35"/>
      <c r="F14" s="35"/>
      <c r="G14" s="35"/>
      <c r="H14" s="12"/>
      <c r="I14" s="35"/>
      <c r="J14" s="35"/>
      <c r="K14" s="35"/>
      <c r="L14" s="35"/>
      <c r="M14" s="35"/>
      <c r="N14" s="12"/>
      <c r="O14" s="12"/>
    </row>
    <row r="15" spans="1:15" ht="16.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ht="17.25">
      <c r="A16" s="44" t="str">
        <f>+'S&amp;D'!A22</f>
        <v>AES CORPORATION</v>
      </c>
      <c r="B16" s="44"/>
      <c r="C16" s="35" t="str">
        <f>+'S&amp;D'!B22</f>
        <v>AES</v>
      </c>
      <c r="D16" s="60">
        <f>'S&amp;D'!G22</f>
        <v>12.87</v>
      </c>
      <c r="E16" s="62">
        <f>+Earnings!E16</f>
        <v>2.0499999999999998</v>
      </c>
      <c r="F16" s="70">
        <f>D16/E16</f>
        <v>6.2780487804878051</v>
      </c>
      <c r="G16" s="57">
        <f t="shared" ref="G16:G22" si="0">1/F16</f>
        <v>0.15928515928515927</v>
      </c>
      <c r="H16" s="12"/>
      <c r="I16" s="35" t="s">
        <v>45</v>
      </c>
      <c r="J16" s="60">
        <f>+D16</f>
        <v>12.87</v>
      </c>
      <c r="K16" s="62">
        <f>+Earnings!G16</f>
        <v>2.2000000000000002</v>
      </c>
      <c r="L16" s="70">
        <f>J16/K16</f>
        <v>5.8499999999999988</v>
      </c>
      <c r="M16" s="57">
        <f t="shared" ref="M16:M22" si="1">1/L16</f>
        <v>0.17094017094017097</v>
      </c>
      <c r="N16" s="12"/>
      <c r="O16" s="12"/>
    </row>
    <row r="17" spans="1:15" ht="17.25">
      <c r="A17" s="44" t="str">
        <f>+'S&amp;D'!A23</f>
        <v>DOMINION ENERGY INC</v>
      </c>
      <c r="B17" s="44"/>
      <c r="C17" s="35" t="str">
        <f>+'S&amp;D'!B23</f>
        <v>D</v>
      </c>
      <c r="D17" s="60">
        <f>'S&amp;D'!G23</f>
        <v>53.86</v>
      </c>
      <c r="E17" s="62">
        <f>+Earnings!E17</f>
        <v>3.4</v>
      </c>
      <c r="F17" s="70">
        <f t="shared" ref="F17:F22" si="2">D17/E17</f>
        <v>15.841176470588236</v>
      </c>
      <c r="G17" s="57">
        <f t="shared" si="0"/>
        <v>6.3126624582250282E-2</v>
      </c>
      <c r="H17" s="12"/>
      <c r="I17" s="35" t="s">
        <v>46</v>
      </c>
      <c r="J17" s="60">
        <f t="shared" ref="J17:J22" si="3">+D17</f>
        <v>53.86</v>
      </c>
      <c r="K17" s="62">
        <f>+Earnings!G17</f>
        <v>3.6</v>
      </c>
      <c r="L17" s="70">
        <f t="shared" ref="L17:L22" si="4">J17/K17</f>
        <v>14.96111111111111</v>
      </c>
      <c r="M17" s="57">
        <f t="shared" si="1"/>
        <v>6.6839955440029714E-2</v>
      </c>
      <c r="N17" s="12"/>
      <c r="O17" s="12"/>
    </row>
    <row r="18" spans="1:15" ht="17.25">
      <c r="A18" s="44" t="str">
        <f>+'S&amp;D'!A24</f>
        <v>CONSTELLATION ENERGY GENERATION LLC</v>
      </c>
      <c r="B18" s="44"/>
      <c r="C18" s="35" t="str">
        <f>+'S&amp;D'!B24</f>
        <v>CEG</v>
      </c>
      <c r="D18" s="60">
        <f>'S&amp;D'!G24</f>
        <v>223.71</v>
      </c>
      <c r="E18" s="62">
        <f>+Earnings!E18</f>
        <v>11</v>
      </c>
      <c r="F18" s="70">
        <f t="shared" si="2"/>
        <v>20.33727272727273</v>
      </c>
      <c r="G18" s="57">
        <f t="shared" si="0"/>
        <v>4.9170801484064185E-2</v>
      </c>
      <c r="H18" s="12"/>
      <c r="I18" s="35" t="s">
        <v>48</v>
      </c>
      <c r="J18" s="60">
        <f t="shared" si="3"/>
        <v>223.71</v>
      </c>
      <c r="K18" s="62">
        <f>+Earnings!G18</f>
        <v>11.4</v>
      </c>
      <c r="L18" s="70">
        <f t="shared" si="4"/>
        <v>19.623684210526317</v>
      </c>
      <c r="M18" s="57">
        <f t="shared" si="1"/>
        <v>5.0958830628939251E-2</v>
      </c>
      <c r="N18" s="12"/>
      <c r="O18" s="12"/>
    </row>
    <row r="19" spans="1:15" ht="17.25">
      <c r="A19" s="44" t="str">
        <f>+'S&amp;D'!A25</f>
        <v>NEXTERA ENERGY INC</v>
      </c>
      <c r="B19" s="44"/>
      <c r="C19" s="35" t="str">
        <f>+'S&amp;D'!B25</f>
        <v>NEE</v>
      </c>
      <c r="D19" s="60">
        <f>'S&amp;D'!G25</f>
        <v>71.69</v>
      </c>
      <c r="E19" s="62">
        <f>+Earnings!E19</f>
        <v>3.7</v>
      </c>
      <c r="F19" s="70">
        <f t="shared" ref="F19" si="5">D19/E19</f>
        <v>19.375675675675673</v>
      </c>
      <c r="G19" s="57">
        <f t="shared" ref="G19" si="6">1/F19</f>
        <v>5.1611103361696199E-2</v>
      </c>
      <c r="H19" s="12"/>
      <c r="I19" s="35" t="s">
        <v>48</v>
      </c>
      <c r="J19" s="60">
        <f t="shared" ref="J19" si="7">+D19</f>
        <v>71.69</v>
      </c>
      <c r="K19" s="62">
        <f>+Earnings!G19</f>
        <v>4</v>
      </c>
      <c r="L19" s="70">
        <f t="shared" ref="L19" si="8">J19/K19</f>
        <v>17.922499999999999</v>
      </c>
      <c r="M19" s="57">
        <f t="shared" ref="M19" si="9">1/L19</f>
        <v>5.5795787418049941E-2</v>
      </c>
      <c r="N19" s="12"/>
      <c r="O19" s="12"/>
    </row>
    <row r="20" spans="1:15" ht="17.25">
      <c r="A20" s="44" t="str">
        <f>+'S&amp;D'!A26</f>
        <v>NRG ENERGY</v>
      </c>
      <c r="B20" s="44"/>
      <c r="C20" s="35" t="str">
        <f>+'S&amp;D'!B26</f>
        <v>NRG</v>
      </c>
      <c r="D20" s="60">
        <f>'S&amp;D'!G26</f>
        <v>90.22</v>
      </c>
      <c r="E20" s="62">
        <f>+Earnings!E20</f>
        <v>5</v>
      </c>
      <c r="F20" s="70">
        <f>D20/E20</f>
        <v>18.044</v>
      </c>
      <c r="G20" s="57">
        <f t="shared" si="0"/>
        <v>5.5420084238528039E-2</v>
      </c>
      <c r="H20" s="12"/>
      <c r="I20" s="35" t="s">
        <v>49</v>
      </c>
      <c r="J20" s="60">
        <f t="shared" si="3"/>
        <v>90.22</v>
      </c>
      <c r="K20" s="62">
        <f>+Earnings!G20</f>
        <v>6</v>
      </c>
      <c r="L20" s="70">
        <f t="shared" si="4"/>
        <v>15.036666666666667</v>
      </c>
      <c r="M20" s="57">
        <f t="shared" si="1"/>
        <v>6.6504101086233655E-2</v>
      </c>
      <c r="N20" s="12"/>
      <c r="O20" s="12"/>
    </row>
    <row r="21" spans="1:15" ht="17.25">
      <c r="A21" s="44" t="str">
        <f>+'S&amp;D'!A27</f>
        <v>SOUTHERN COMPANY</v>
      </c>
      <c r="B21" s="44"/>
      <c r="C21" s="35" t="str">
        <f>+'S&amp;D'!B27</f>
        <v>SO</v>
      </c>
      <c r="D21" s="60">
        <f>'S&amp;D'!G27</f>
        <v>82.32</v>
      </c>
      <c r="E21" s="62">
        <f>+Earnings!E21</f>
        <v>4.3</v>
      </c>
      <c r="F21" s="70">
        <f t="shared" si="2"/>
        <v>19.144186046511628</v>
      </c>
      <c r="G21" s="57">
        <f t="shared" si="0"/>
        <v>5.2235179786200195E-2</v>
      </c>
      <c r="H21" s="12"/>
      <c r="I21" s="35" t="s">
        <v>50</v>
      </c>
      <c r="J21" s="60">
        <f t="shared" si="3"/>
        <v>82.32</v>
      </c>
      <c r="K21" s="62">
        <f>+Earnings!G21</f>
        <v>4.5999999999999996</v>
      </c>
      <c r="L21" s="70">
        <f t="shared" si="4"/>
        <v>17.895652173913042</v>
      </c>
      <c r="M21" s="57">
        <f t="shared" si="1"/>
        <v>5.5879494655004865E-2</v>
      </c>
      <c r="N21" s="12"/>
      <c r="O21" s="12"/>
    </row>
    <row r="22" spans="1:15" ht="17.25">
      <c r="A22" s="44" t="str">
        <f>+'S&amp;D'!A28</f>
        <v>VISTRA ENERGY CORPORATION</v>
      </c>
      <c r="B22" s="44"/>
      <c r="C22" s="35" t="str">
        <f>+'S&amp;D'!B28</f>
        <v>VST</v>
      </c>
      <c r="D22" s="60">
        <f>'S&amp;D'!G28</f>
        <v>137.87</v>
      </c>
      <c r="E22" s="62">
        <f>+Earnings!E22</f>
        <v>8.3000000000000007</v>
      </c>
      <c r="F22" s="70">
        <f t="shared" si="2"/>
        <v>16.610843373493974</v>
      </c>
      <c r="G22" s="57">
        <f t="shared" si="0"/>
        <v>6.0201639225357227E-2</v>
      </c>
      <c r="H22" s="12"/>
      <c r="I22" s="35" t="s">
        <v>47</v>
      </c>
      <c r="J22" s="60">
        <f t="shared" si="3"/>
        <v>137.87</v>
      </c>
      <c r="K22" s="62">
        <f>+Earnings!G22</f>
        <v>8.4499999999999993</v>
      </c>
      <c r="L22" s="70">
        <f t="shared" si="4"/>
        <v>16.31597633136095</v>
      </c>
      <c r="M22" s="57">
        <f t="shared" si="1"/>
        <v>6.1289620657140768E-2</v>
      </c>
      <c r="N22" s="12"/>
      <c r="O22" s="12"/>
    </row>
    <row r="23" spans="1:15" ht="18" thickBot="1">
      <c r="A23" s="12"/>
      <c r="B23" s="12"/>
      <c r="C23" s="71"/>
      <c r="D23" s="71"/>
      <c r="E23" s="71"/>
      <c r="F23" s="71"/>
      <c r="G23" s="71"/>
      <c r="H23" s="12"/>
      <c r="I23" s="71"/>
      <c r="J23" s="65" t="s">
        <v>0</v>
      </c>
      <c r="K23" s="71"/>
      <c r="L23" s="71"/>
      <c r="M23" s="71"/>
      <c r="N23" s="12"/>
      <c r="O23" s="12"/>
    </row>
    <row r="24" spans="1:15" ht="17.25" thickTop="1">
      <c r="A24" s="12"/>
      <c r="B24" s="12"/>
      <c r="D24" s="14" t="s">
        <v>53</v>
      </c>
      <c r="E24" s="275">
        <f>MAX(E16:E22)</f>
        <v>11</v>
      </c>
      <c r="F24" s="275">
        <f t="shared" ref="F24:G24" si="10">MAX(F16:F22)</f>
        <v>20.33727272727273</v>
      </c>
      <c r="G24" s="269">
        <f t="shared" si="10"/>
        <v>0.15928515928515927</v>
      </c>
      <c r="H24" s="12"/>
      <c r="J24" s="14" t="s">
        <v>53</v>
      </c>
      <c r="K24" s="275">
        <f>MAX(K16:K22)</f>
        <v>11.4</v>
      </c>
      <c r="L24" s="275">
        <f t="shared" ref="L24:M24" si="11">MAX(L16:L22)</f>
        <v>19.623684210526317</v>
      </c>
      <c r="M24" s="269">
        <f t="shared" si="11"/>
        <v>0.17094017094017097</v>
      </c>
      <c r="N24" s="12"/>
      <c r="O24" s="12"/>
    </row>
    <row r="25" spans="1:15" ht="16.5">
      <c r="A25" s="12"/>
      <c r="B25" s="12"/>
      <c r="D25" s="263" t="s">
        <v>54</v>
      </c>
      <c r="E25" s="278">
        <f>MIN(E16:E22)</f>
        <v>2.0499999999999998</v>
      </c>
      <c r="F25" s="278">
        <f t="shared" ref="F25:G25" si="12">MIN(F16:F22)</f>
        <v>6.2780487804878051</v>
      </c>
      <c r="G25" s="270">
        <f t="shared" si="12"/>
        <v>4.9170801484064185E-2</v>
      </c>
      <c r="H25" s="12"/>
      <c r="J25" s="263" t="s">
        <v>54</v>
      </c>
      <c r="K25" s="278">
        <f>MIN(K16:K22)</f>
        <v>2.2000000000000002</v>
      </c>
      <c r="L25" s="278">
        <f t="shared" ref="L25:M25" si="13">MIN(L16:L22)</f>
        <v>5.8499999999999988</v>
      </c>
      <c r="M25" s="270">
        <f t="shared" si="13"/>
        <v>5.0958830628939251E-2</v>
      </c>
      <c r="N25" s="12"/>
      <c r="O25" s="12"/>
    </row>
    <row r="26" spans="1:15" ht="16.5">
      <c r="A26" s="12"/>
      <c r="B26" s="12"/>
      <c r="D26" s="14" t="s">
        <v>18</v>
      </c>
      <c r="E26" s="72">
        <f>MEDIAN(E16:E22)</f>
        <v>4.3</v>
      </c>
      <c r="F26" s="21">
        <f>MEDIAN(F16:F22)</f>
        <v>18.044</v>
      </c>
      <c r="G26" s="57">
        <f>MEDIAN(G16:G22)</f>
        <v>5.5420084238528039E-2</v>
      </c>
      <c r="H26" s="12"/>
      <c r="J26" s="14" t="s">
        <v>18</v>
      </c>
      <c r="K26" s="72">
        <f>MEDIAN(K16:K22)</f>
        <v>4.5999999999999996</v>
      </c>
      <c r="L26" s="21">
        <f>MEDIAN(L16:L22)</f>
        <v>16.31597633136095</v>
      </c>
      <c r="M26" s="57">
        <f>MEDIAN(M16:M22)</f>
        <v>6.1289620657140768E-2</v>
      </c>
      <c r="N26" s="12"/>
      <c r="O26" s="12"/>
    </row>
    <row r="27" spans="1:15" ht="16.5">
      <c r="A27" s="12"/>
      <c r="B27" s="12"/>
      <c r="D27" s="14" t="s">
        <v>377</v>
      </c>
      <c r="E27" s="17">
        <f>AVERAGE(E16:E22)</f>
        <v>5.3928571428571432</v>
      </c>
      <c r="F27" s="21">
        <f>AVERAGE(F16:F22)</f>
        <v>16.518743296290005</v>
      </c>
      <c r="G27" s="73">
        <f>AVERAGE(G16:G22)</f>
        <v>7.0150084566179341E-2</v>
      </c>
      <c r="H27" s="12"/>
      <c r="J27" s="14" t="s">
        <v>377</v>
      </c>
      <c r="K27" s="17">
        <f>AVERAGE(K16:K22)</f>
        <v>5.75</v>
      </c>
      <c r="L27" s="21">
        <f>AVERAGE(L16:L22)</f>
        <v>15.3722272133683</v>
      </c>
      <c r="M27" s="73">
        <f>AVERAGE(M16:M22)</f>
        <v>7.5458280117938453E-2</v>
      </c>
      <c r="N27" s="12"/>
      <c r="O27" s="12"/>
    </row>
    <row r="28" spans="1:15" ht="16.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ht="26.25">
      <c r="A29" s="12"/>
      <c r="B29" s="12"/>
      <c r="C29" s="12"/>
      <c r="D29" s="12"/>
      <c r="E29" s="77" t="s">
        <v>86</v>
      </c>
      <c r="F29" s="340">
        <v>16.52</v>
      </c>
      <c r="G29" s="293">
        <v>7.0199999999999999E-2</v>
      </c>
      <c r="H29" s="12"/>
      <c r="I29" s="12"/>
      <c r="J29" s="12"/>
      <c r="K29" s="77" t="s">
        <v>86</v>
      </c>
      <c r="L29" s="339">
        <v>15.37</v>
      </c>
      <c r="M29" s="293">
        <v>7.5499999999999998E-2</v>
      </c>
      <c r="N29" s="12"/>
      <c r="O29" s="12"/>
    </row>
    <row r="30" spans="1:15" ht="16.5">
      <c r="A30" s="12"/>
      <c r="B30" s="12"/>
      <c r="C30" s="12"/>
      <c r="D30" s="12"/>
      <c r="E30" s="12"/>
      <c r="F30" s="12"/>
      <c r="K30" s="12"/>
      <c r="L30" s="12"/>
      <c r="M30" s="12"/>
      <c r="N30" s="12"/>
      <c r="O30" s="12"/>
    </row>
    <row r="31" spans="1:15" ht="16.5">
      <c r="A31" s="12"/>
      <c r="B31" s="12"/>
      <c r="C31" s="12"/>
      <c r="D31" s="12"/>
      <c r="E31" s="12"/>
      <c r="F31" s="12"/>
      <c r="K31" s="12"/>
      <c r="L31" s="12"/>
      <c r="M31" s="12"/>
      <c r="N31" s="12"/>
      <c r="O31" s="12"/>
    </row>
    <row r="32" spans="1:15" ht="17.25" thickBot="1">
      <c r="A32" s="12"/>
      <c r="B32" s="12"/>
      <c r="C32" s="12"/>
      <c r="D32" s="12"/>
      <c r="E32" s="12"/>
      <c r="F32" s="12"/>
      <c r="K32" s="12"/>
      <c r="L32" s="12"/>
      <c r="M32" s="12"/>
      <c r="N32" s="12"/>
      <c r="O32" s="12"/>
    </row>
    <row r="33" spans="1:15" ht="30.75" customHeight="1" thickBot="1">
      <c r="A33" s="75" t="s">
        <v>0</v>
      </c>
      <c r="B33" s="75"/>
      <c r="C33" s="12"/>
      <c r="D33" s="12"/>
      <c r="E33" s="12"/>
      <c r="F33" s="12"/>
      <c r="G33" s="24" t="s">
        <v>131</v>
      </c>
      <c r="H33" s="12"/>
      <c r="I33" s="199">
        <f>(+F29+L29)/2</f>
        <v>15.945</v>
      </c>
      <c r="J33" s="200">
        <f>(+G29+M29)/2</f>
        <v>7.2849999999999998E-2</v>
      </c>
      <c r="N33" s="12"/>
      <c r="O33" s="12"/>
    </row>
    <row r="34" spans="1:15" ht="16.5">
      <c r="A34" s="75" t="s">
        <v>0</v>
      </c>
      <c r="B34" s="75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 ht="16.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ht="16.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5" ht="15.75" thickBot="1">
      <c r="B37" s="145"/>
      <c r="C37" s="145"/>
      <c r="D37" s="145"/>
      <c r="E37" s="145"/>
      <c r="F37" s="145"/>
      <c r="G37" s="145"/>
      <c r="H37" s="145"/>
    </row>
    <row r="38" spans="1:15" ht="26.25">
      <c r="B38" s="31"/>
      <c r="C38" s="12"/>
      <c r="D38" s="12"/>
      <c r="E38" s="32" t="s">
        <v>437</v>
      </c>
      <c r="F38" s="12"/>
      <c r="G38" s="12"/>
    </row>
    <row r="39" spans="1:15" ht="21" thickBot="1">
      <c r="A39" s="31"/>
      <c r="B39" s="146"/>
      <c r="C39" s="29"/>
      <c r="D39" s="29"/>
      <c r="E39" s="37" t="s">
        <v>442</v>
      </c>
      <c r="F39" s="29"/>
      <c r="G39" s="29"/>
      <c r="H39" s="145"/>
    </row>
    <row r="40" spans="1:15" ht="15.75" thickBot="1">
      <c r="A40" s="34" t="s">
        <v>0</v>
      </c>
      <c r="B40" s="34"/>
      <c r="C40" s="34" t="s">
        <v>0</v>
      </c>
      <c r="D40" s="34" t="s">
        <v>0</v>
      </c>
      <c r="E40" s="34" t="s">
        <v>0</v>
      </c>
      <c r="F40" s="34" t="s">
        <v>0</v>
      </c>
      <c r="G40" s="34" t="s">
        <v>0</v>
      </c>
    </row>
    <row r="41" spans="1:15" ht="16.5">
      <c r="A41" s="35" t="s">
        <v>0</v>
      </c>
      <c r="B41" s="35"/>
      <c r="C41" s="35" t="s">
        <v>3</v>
      </c>
      <c r="D41" s="35" t="s">
        <v>339</v>
      </c>
      <c r="E41" s="35" t="s">
        <v>340</v>
      </c>
      <c r="F41" s="35" t="s">
        <v>123</v>
      </c>
      <c r="G41" s="35" t="s">
        <v>27</v>
      </c>
    </row>
    <row r="42" spans="1:15" ht="17.25" thickBot="1">
      <c r="A42" s="37" t="s">
        <v>2</v>
      </c>
      <c r="B42" s="37"/>
      <c r="C42" s="37" t="s">
        <v>4</v>
      </c>
      <c r="D42" s="37" t="s">
        <v>28</v>
      </c>
      <c r="E42" s="37" t="s">
        <v>170</v>
      </c>
      <c r="F42" s="37" t="s">
        <v>29</v>
      </c>
      <c r="G42" s="37" t="s">
        <v>30</v>
      </c>
    </row>
    <row r="43" spans="1:15">
      <c r="A43" s="39" t="s">
        <v>0</v>
      </c>
      <c r="B43" s="39"/>
      <c r="C43" s="39" t="s">
        <v>0</v>
      </c>
      <c r="D43" s="40" t="s">
        <v>125</v>
      </c>
      <c r="E43" s="76" t="s">
        <v>242</v>
      </c>
      <c r="F43" s="39" t="s">
        <v>0</v>
      </c>
      <c r="G43" s="39" t="s">
        <v>0</v>
      </c>
    </row>
    <row r="44" spans="1:15" ht="16.5">
      <c r="A44" s="35"/>
      <c r="B44" s="35"/>
      <c r="C44" s="35"/>
      <c r="D44" s="35"/>
      <c r="E44" s="35"/>
      <c r="F44" s="35"/>
      <c r="G44" s="35"/>
    </row>
    <row r="45" spans="1:15" ht="16.5">
      <c r="A45" s="12"/>
      <c r="B45" s="12"/>
      <c r="C45" s="12"/>
      <c r="D45" s="12"/>
      <c r="E45" s="12"/>
      <c r="F45" s="12"/>
      <c r="G45" s="12"/>
    </row>
    <row r="46" spans="1:15" ht="17.25">
      <c r="A46" s="44" t="str">
        <f>+'S&amp;D'!A22</f>
        <v>AES CORPORATION</v>
      </c>
      <c r="B46" s="44"/>
      <c r="C46" s="35" t="str">
        <f>+'S&amp;D'!B22</f>
        <v>AES</v>
      </c>
      <c r="D46" s="60">
        <f>'S&amp;D'!G22</f>
        <v>12.87</v>
      </c>
      <c r="E46" s="62">
        <f>+Earnings!I16</f>
        <v>3.05</v>
      </c>
      <c r="F46" s="70">
        <f>D46/E46</f>
        <v>4.2196721311475409</v>
      </c>
      <c r="G46" s="57">
        <f t="shared" ref="G46:G52" si="14">1/F46</f>
        <v>0.23698523698523699</v>
      </c>
    </row>
    <row r="47" spans="1:15" ht="17.25">
      <c r="A47" s="44" t="str">
        <f>+'S&amp;D'!A23</f>
        <v>DOMINION ENERGY INC</v>
      </c>
      <c r="B47" s="44"/>
      <c r="C47" s="35" t="str">
        <f>+'S&amp;D'!B23</f>
        <v>D</v>
      </c>
      <c r="D47" s="60">
        <f>'S&amp;D'!G23</f>
        <v>53.86</v>
      </c>
      <c r="E47" s="62">
        <f>+Earnings!I17</f>
        <v>4.25</v>
      </c>
      <c r="F47" s="70">
        <f t="shared" ref="F47:F48" si="15">D47/E47</f>
        <v>12.672941176470587</v>
      </c>
      <c r="G47" s="57">
        <f t="shared" si="14"/>
        <v>7.8908280727812849E-2</v>
      </c>
    </row>
    <row r="48" spans="1:15" ht="17.25">
      <c r="A48" s="44" t="str">
        <f>+'S&amp;D'!A24</f>
        <v>CONSTELLATION ENERGY GENERATION LLC</v>
      </c>
      <c r="B48" s="44"/>
      <c r="C48" s="35" t="str">
        <f>+'S&amp;D'!B24</f>
        <v>CEG</v>
      </c>
      <c r="D48" s="60">
        <f>'S&amp;D'!G24</f>
        <v>223.71</v>
      </c>
      <c r="E48" s="62">
        <f>+Earnings!I18</f>
        <v>14.5</v>
      </c>
      <c r="F48" s="70">
        <f t="shared" si="15"/>
        <v>15.428275862068967</v>
      </c>
      <c r="G48" s="57">
        <f t="shared" si="14"/>
        <v>6.4816056501720967E-2</v>
      </c>
    </row>
    <row r="49" spans="1:7" ht="17.25">
      <c r="A49" s="44" t="str">
        <f>+'S&amp;D'!A25</f>
        <v>NEXTERA ENERGY INC</v>
      </c>
      <c r="B49" s="44"/>
      <c r="C49" s="35" t="str">
        <f>+'S&amp;D'!B25</f>
        <v>NEE</v>
      </c>
      <c r="D49" s="60">
        <f>'S&amp;D'!G25</f>
        <v>71.69</v>
      </c>
      <c r="E49" s="62">
        <f>+Earnings!I19</f>
        <v>5.0999999999999996</v>
      </c>
      <c r="F49" s="70">
        <f t="shared" ref="F49" si="16">D49/E49</f>
        <v>14.056862745098039</v>
      </c>
      <c r="G49" s="57">
        <f t="shared" ref="G49" si="17">1/F49</f>
        <v>7.1139628958013665E-2</v>
      </c>
    </row>
    <row r="50" spans="1:7" ht="17.25">
      <c r="A50" s="44" t="str">
        <f>+'S&amp;D'!A26</f>
        <v>NRG ENERGY</v>
      </c>
      <c r="B50" s="44"/>
      <c r="C50" s="35" t="str">
        <f>+'S&amp;D'!B26</f>
        <v>NRG</v>
      </c>
      <c r="D50" s="60">
        <f>'S&amp;D'!G26</f>
        <v>90.22</v>
      </c>
      <c r="E50" s="62">
        <f>+Earnings!I20</f>
        <v>8.4</v>
      </c>
      <c r="F50" s="70">
        <f>D50/E50</f>
        <v>10.740476190476191</v>
      </c>
      <c r="G50" s="57">
        <f t="shared" si="14"/>
        <v>9.3105741520727106E-2</v>
      </c>
    </row>
    <row r="51" spans="1:7" ht="17.25">
      <c r="A51" s="44" t="str">
        <f>+'S&amp;D'!A27</f>
        <v>SOUTHERN COMPANY</v>
      </c>
      <c r="B51" s="44"/>
      <c r="C51" s="35" t="str">
        <f>+'S&amp;D'!B27</f>
        <v>SO</v>
      </c>
      <c r="D51" s="60">
        <f>'S&amp;D'!G27</f>
        <v>82.32</v>
      </c>
      <c r="E51" s="62">
        <f>+Earnings!I21</f>
        <v>5.6</v>
      </c>
      <c r="F51" s="70">
        <f t="shared" ref="F51:F52" si="18">D51/E51</f>
        <v>14.7</v>
      </c>
      <c r="G51" s="57">
        <f t="shared" si="14"/>
        <v>6.8027210884353748E-2</v>
      </c>
    </row>
    <row r="52" spans="1:7" ht="17.25">
      <c r="A52" s="44" t="str">
        <f>+'S&amp;D'!A28</f>
        <v>VISTRA ENERGY CORPORATION</v>
      </c>
      <c r="B52" s="44"/>
      <c r="C52" s="35" t="str">
        <f>+'S&amp;D'!B28</f>
        <v>VST</v>
      </c>
      <c r="D52" s="60">
        <f>'S&amp;D'!G28</f>
        <v>137.87</v>
      </c>
      <c r="E52" s="62">
        <f>+Earnings!I22</f>
        <v>12.15</v>
      </c>
      <c r="F52" s="70">
        <f t="shared" si="18"/>
        <v>11.347325102880658</v>
      </c>
      <c r="G52" s="57">
        <f t="shared" si="14"/>
        <v>8.8126495974468699E-2</v>
      </c>
    </row>
    <row r="53" spans="1:7" ht="17.25" thickBot="1">
      <c r="A53" s="12"/>
      <c r="B53" s="12"/>
      <c r="C53" s="71"/>
      <c r="D53" s="71"/>
      <c r="E53" s="71"/>
      <c r="F53" s="71"/>
      <c r="G53" s="71"/>
    </row>
    <row r="54" spans="1:7" ht="17.25" thickTop="1">
      <c r="A54" s="12"/>
      <c r="B54" s="12"/>
      <c r="D54" s="14" t="s">
        <v>53</v>
      </c>
      <c r="E54" s="275">
        <f t="shared" ref="E54:G54" si="19">MAX(E46:E52)</f>
        <v>14.5</v>
      </c>
      <c r="F54" s="275">
        <f t="shared" si="19"/>
        <v>15.428275862068967</v>
      </c>
      <c r="G54" s="269">
        <f t="shared" si="19"/>
        <v>0.23698523698523699</v>
      </c>
    </row>
    <row r="55" spans="1:7" ht="16.5">
      <c r="A55" s="12"/>
      <c r="B55" s="12"/>
      <c r="D55" s="14" t="s">
        <v>54</v>
      </c>
      <c r="E55" s="275">
        <f t="shared" ref="E55:G55" si="20">MIN(E46:E52)</f>
        <v>3.05</v>
      </c>
      <c r="F55" s="275">
        <f>MIN(F46:F52)</f>
        <v>4.2196721311475409</v>
      </c>
      <c r="G55" s="269">
        <f t="shared" si="20"/>
        <v>6.4816056501720967E-2</v>
      </c>
    </row>
    <row r="56" spans="1:7" ht="16.5">
      <c r="A56" s="12"/>
      <c r="B56" s="12"/>
      <c r="D56" s="14" t="s">
        <v>18</v>
      </c>
      <c r="E56" s="72">
        <f>MEDIAN(E46:E52)</f>
        <v>5.6</v>
      </c>
      <c r="F56" s="21">
        <f>MEDIAN(F46:F52)</f>
        <v>12.672941176470587</v>
      </c>
      <c r="G56" s="57">
        <f>MEDIAN(G46:G52)</f>
        <v>7.8908280727812849E-2</v>
      </c>
    </row>
    <row r="57" spans="1:7" ht="16.5">
      <c r="A57" s="12"/>
      <c r="B57" s="12"/>
      <c r="D57" s="14" t="s">
        <v>377</v>
      </c>
      <c r="E57" s="17">
        <f>AVERAGE(E46:E52)</f>
        <v>7.5785714285714283</v>
      </c>
      <c r="F57" s="21">
        <f>AVERAGE(F46:F52)</f>
        <v>11.880793315448855</v>
      </c>
      <c r="G57" s="73">
        <f>AVERAGE(G46:G52)</f>
        <v>0.10015837879319056</v>
      </c>
    </row>
    <row r="58" spans="1:7" ht="16.5">
      <c r="A58" s="12"/>
      <c r="B58" s="12"/>
      <c r="C58" s="12"/>
      <c r="D58" s="12"/>
      <c r="E58" s="12"/>
      <c r="F58" s="12"/>
      <c r="G58" s="12"/>
    </row>
    <row r="59" spans="1:7" ht="26.25">
      <c r="A59" s="12"/>
      <c r="B59" s="12"/>
      <c r="C59" s="12"/>
      <c r="D59" s="12"/>
      <c r="E59" s="77" t="s">
        <v>86</v>
      </c>
      <c r="F59" s="340">
        <v>11.88</v>
      </c>
      <c r="G59" s="293">
        <v>0.1002</v>
      </c>
    </row>
  </sheetData>
  <pageMargins left="0.25" right="0.25" top="0.75" bottom="0.75" header="0.3" footer="0.3"/>
  <pageSetup scale="36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4FFEC-1F00-437E-BAA4-D2A0B875528B}">
  <sheetPr>
    <tabColor rgb="FF92D050"/>
    <pageSetUpPr fitToPage="1"/>
  </sheetPr>
  <dimension ref="A1:J85"/>
  <sheetViews>
    <sheetView view="pageBreakPreview" topLeftCell="A14" zoomScale="60" zoomScaleNormal="80" workbookViewId="0">
      <selection activeCell="A57" sqref="A57"/>
    </sheetView>
  </sheetViews>
  <sheetFormatPr defaultRowHeight="15"/>
  <cols>
    <col min="1" max="1" width="74.5703125" customWidth="1"/>
    <col min="2" max="2" width="21.7109375" customWidth="1"/>
    <col min="3" max="3" width="24.5703125" customWidth="1"/>
    <col min="4" max="4" width="29.42578125" customWidth="1"/>
    <col min="5" max="5" width="30.5703125" customWidth="1"/>
    <col min="6" max="6" width="32.140625" customWidth="1"/>
    <col min="7" max="7" width="27" customWidth="1"/>
    <col min="8" max="8" width="13.7109375" customWidth="1"/>
    <col min="9" max="9" width="13.85546875" customWidth="1"/>
    <col min="10" max="11" width="14.140625" bestFit="1" customWidth="1"/>
  </cols>
  <sheetData>
    <row r="1" spans="1:10" ht="26.25">
      <c r="A1" s="24" t="s">
        <v>1</v>
      </c>
      <c r="B1" s="24"/>
      <c r="C1" s="24"/>
      <c r="D1" s="12"/>
      <c r="E1" s="12"/>
      <c r="F1" s="12"/>
      <c r="G1" s="12"/>
      <c r="H1" s="12"/>
      <c r="I1" s="12"/>
      <c r="J1" s="12"/>
    </row>
    <row r="2" spans="1:10" ht="17.25">
      <c r="A2" s="25" t="s">
        <v>9</v>
      </c>
      <c r="B2" s="25"/>
      <c r="C2" s="25"/>
      <c r="D2" s="12"/>
      <c r="E2" s="12"/>
      <c r="F2" s="12"/>
      <c r="G2" s="12"/>
      <c r="H2" s="12"/>
      <c r="I2" s="12"/>
      <c r="J2" s="12"/>
    </row>
    <row r="3" spans="1:10" ht="16.5">
      <c r="A3" s="26" t="s">
        <v>441</v>
      </c>
      <c r="B3" s="26"/>
      <c r="C3" s="26"/>
      <c r="D3" s="12"/>
      <c r="E3" s="12"/>
      <c r="F3" s="12"/>
      <c r="G3" s="12"/>
      <c r="H3" s="12"/>
      <c r="I3" s="12"/>
      <c r="J3" s="12"/>
    </row>
    <row r="4" spans="1:10" ht="16.5">
      <c r="A4" s="26"/>
      <c r="B4" s="26"/>
      <c r="C4" s="26"/>
      <c r="D4" s="12"/>
      <c r="E4" s="12"/>
      <c r="F4" s="12"/>
      <c r="G4" s="12"/>
      <c r="H4" s="12"/>
      <c r="I4" s="12"/>
      <c r="J4" s="12"/>
    </row>
    <row r="5" spans="1:10" ht="17.25" thickBot="1">
      <c r="A5" s="12"/>
      <c r="B5" s="12"/>
      <c r="C5" s="12"/>
      <c r="D5" s="12"/>
      <c r="E5" s="12"/>
      <c r="F5" s="12"/>
      <c r="G5" s="12"/>
      <c r="H5" s="27" t="s">
        <v>0</v>
      </c>
      <c r="I5" s="27"/>
      <c r="J5" s="12"/>
    </row>
    <row r="6" spans="1:10" ht="21" thickBot="1">
      <c r="A6" s="28" t="str">
        <f>+'S&amp;D'!A12</f>
        <v>Electric Wholesale (non-regulated) Power Generator</v>
      </c>
      <c r="B6" s="12"/>
      <c r="C6" s="12"/>
      <c r="D6" s="29"/>
      <c r="E6" s="29"/>
      <c r="F6" s="29"/>
      <c r="G6" s="12"/>
      <c r="H6" s="12"/>
      <c r="I6" s="12"/>
      <c r="J6" s="12"/>
    </row>
    <row r="7" spans="1:10" ht="26.25">
      <c r="B7" s="31"/>
      <c r="C7" s="31"/>
      <c r="D7" s="12"/>
      <c r="E7" s="32" t="s">
        <v>213</v>
      </c>
      <c r="F7" s="12"/>
      <c r="G7" s="12"/>
      <c r="H7" s="12"/>
      <c r="I7" s="12"/>
      <c r="J7" s="12"/>
    </row>
    <row r="8" spans="1:10" ht="21" thickBot="1">
      <c r="A8" s="31"/>
      <c r="B8" s="31"/>
      <c r="C8" s="31"/>
      <c r="D8" s="29"/>
      <c r="E8" s="33" t="s">
        <v>442</v>
      </c>
      <c r="F8" s="29"/>
      <c r="G8" s="12"/>
      <c r="H8" s="12"/>
      <c r="I8" s="12"/>
      <c r="J8" s="12"/>
    </row>
    <row r="9" spans="1:10" ht="20.25">
      <c r="A9" s="31"/>
      <c r="B9" s="31"/>
      <c r="C9" s="31"/>
      <c r="D9" s="12"/>
      <c r="E9" s="35"/>
      <c r="F9" s="12"/>
      <c r="G9" s="12"/>
      <c r="H9" s="12"/>
      <c r="I9" s="12"/>
      <c r="J9" s="12"/>
    </row>
    <row r="10" spans="1:10" ht="20.25">
      <c r="A10" s="31"/>
      <c r="B10" s="31"/>
      <c r="H10" s="12"/>
      <c r="I10" s="12"/>
      <c r="J10" s="12"/>
    </row>
    <row r="11" spans="1:10" ht="20.25">
      <c r="A11" s="31"/>
      <c r="B11" s="31"/>
      <c r="H11" s="12"/>
      <c r="I11" s="12"/>
      <c r="J11" s="12"/>
    </row>
    <row r="12" spans="1:10" ht="30" customHeight="1" thickBot="1">
      <c r="A12" s="31"/>
      <c r="B12" s="31"/>
      <c r="C12" t="s">
        <v>0</v>
      </c>
      <c r="H12" s="12"/>
      <c r="I12" s="12"/>
      <c r="J12" s="12"/>
    </row>
    <row r="13" spans="1:10" ht="26.25" customHeight="1" thickBot="1">
      <c r="A13" s="154" t="s">
        <v>228</v>
      </c>
      <c r="B13" s="12" t="s">
        <v>0</v>
      </c>
      <c r="C13" s="12"/>
      <c r="D13" s="12"/>
      <c r="E13" s="12"/>
      <c r="F13" s="12"/>
      <c r="G13" s="12"/>
      <c r="H13" s="12"/>
      <c r="I13" s="12"/>
      <c r="J13" s="12"/>
    </row>
    <row r="14" spans="1:10" ht="42" customHeight="1" thickBot="1">
      <c r="A14" s="153" t="s">
        <v>226</v>
      </c>
      <c r="B14" s="152" t="s">
        <v>217</v>
      </c>
      <c r="C14" s="151" t="s">
        <v>229</v>
      </c>
      <c r="D14" s="152" t="s">
        <v>219</v>
      </c>
      <c r="E14" s="152" t="s">
        <v>368</v>
      </c>
      <c r="F14" s="150" t="s">
        <v>218</v>
      </c>
      <c r="G14" s="12"/>
      <c r="H14" s="12"/>
      <c r="I14" s="12"/>
      <c r="J14" s="12"/>
    </row>
    <row r="15" spans="1:10" ht="16.5">
      <c r="A15" s="147"/>
      <c r="B15" s="114"/>
      <c r="C15" s="114"/>
      <c r="D15" s="114"/>
      <c r="E15" s="114"/>
      <c r="F15" s="148"/>
      <c r="G15" s="12"/>
      <c r="H15" s="12"/>
      <c r="I15" s="12"/>
      <c r="J15" s="12"/>
    </row>
    <row r="16" spans="1:10" ht="17.25">
      <c r="A16" s="177" t="s">
        <v>371</v>
      </c>
      <c r="B16" s="190">
        <v>2.3300000000000001E-2</v>
      </c>
      <c r="C16" s="187">
        <f>+'Beta for CAPM'!H30</f>
        <v>0.99</v>
      </c>
      <c r="D16" s="178">
        <f>+B16*C16</f>
        <v>2.3067000000000001E-2</v>
      </c>
      <c r="E16" s="178">
        <f>+'Growth &amp; Inflation Rates'!$G$25</f>
        <v>4.8599999999999997E-2</v>
      </c>
      <c r="F16" s="179">
        <f>+D16+E16</f>
        <v>7.1666999999999995E-2</v>
      </c>
      <c r="G16" s="12"/>
      <c r="H16" s="12"/>
      <c r="I16" s="12"/>
      <c r="J16" s="12"/>
    </row>
    <row r="17" spans="1:10" ht="17.25">
      <c r="A17" s="177" t="s">
        <v>372</v>
      </c>
      <c r="B17" s="190">
        <v>3.04E-2</v>
      </c>
      <c r="C17" s="187">
        <f>+C16</f>
        <v>0.99</v>
      </c>
      <c r="D17" s="178">
        <f>+B17*C17</f>
        <v>3.0096000000000001E-2</v>
      </c>
      <c r="E17" s="178">
        <f>+'Growth &amp; Inflation Rates'!$G$25</f>
        <v>4.8599999999999997E-2</v>
      </c>
      <c r="F17" s="179">
        <f>+D17+E17</f>
        <v>7.8696000000000002E-2</v>
      </c>
      <c r="G17" s="12"/>
      <c r="H17" s="12"/>
      <c r="I17" s="12"/>
      <c r="J17" s="12"/>
    </row>
    <row r="18" spans="1:10" ht="17.25">
      <c r="A18" s="180"/>
      <c r="B18" s="109"/>
      <c r="C18" s="109"/>
      <c r="D18" s="109"/>
      <c r="E18" s="109"/>
      <c r="F18" s="181"/>
      <c r="G18" s="12"/>
      <c r="H18" s="12"/>
      <c r="I18" s="12"/>
      <c r="J18" s="12"/>
    </row>
    <row r="19" spans="1:10" ht="17.25">
      <c r="A19" s="177" t="s">
        <v>384</v>
      </c>
      <c r="B19" s="190">
        <v>4.3299999999999998E-2</v>
      </c>
      <c r="C19" s="187">
        <f>+C16</f>
        <v>0.99</v>
      </c>
      <c r="D19" s="178">
        <f>+B19*C19</f>
        <v>4.2866999999999995E-2</v>
      </c>
      <c r="E19" s="178">
        <f>+'Growth &amp; Inflation Rates'!$G$25</f>
        <v>4.8599999999999997E-2</v>
      </c>
      <c r="F19" s="179">
        <f>+D19+E19</f>
        <v>9.1466999999999993E-2</v>
      </c>
      <c r="G19" s="12"/>
      <c r="H19" s="12"/>
      <c r="I19" s="12"/>
      <c r="J19" s="12"/>
    </row>
    <row r="20" spans="1:10" ht="17.25">
      <c r="A20" s="177" t="s">
        <v>403</v>
      </c>
      <c r="B20" s="190">
        <v>6.1499999999999999E-2</v>
      </c>
      <c r="C20" s="187">
        <f>+C16</f>
        <v>0.99</v>
      </c>
      <c r="D20" s="178">
        <f>+B20*C20</f>
        <v>6.0885000000000002E-2</v>
      </c>
      <c r="E20" s="178">
        <f>+'Growth &amp; Inflation Rates'!$G$25</f>
        <v>4.8599999999999997E-2</v>
      </c>
      <c r="F20" s="179">
        <f>+D20+E20</f>
        <v>0.109485</v>
      </c>
      <c r="G20" s="12"/>
      <c r="H20" s="12"/>
      <c r="I20" s="12"/>
      <c r="J20" s="12"/>
    </row>
    <row r="21" spans="1:10" ht="17.25">
      <c r="A21" s="177" t="s">
        <v>385</v>
      </c>
      <c r="B21" s="190">
        <v>4.1500000000000002E-2</v>
      </c>
      <c r="C21" s="187">
        <f>+C16</f>
        <v>0.99</v>
      </c>
      <c r="D21" s="178">
        <f>+B21*C21</f>
        <v>4.1085000000000003E-2</v>
      </c>
      <c r="E21" s="178">
        <f>+'Growth &amp; Inflation Rates'!$G$25</f>
        <v>4.8599999999999997E-2</v>
      </c>
      <c r="F21" s="179">
        <f>+D21+E21</f>
        <v>8.9685000000000001E-2</v>
      </c>
      <c r="G21" s="12"/>
      <c r="H21" s="12"/>
      <c r="I21" s="12"/>
      <c r="J21" s="12"/>
    </row>
    <row r="22" spans="1:10" ht="17.25">
      <c r="A22" s="177" t="s">
        <v>386</v>
      </c>
      <c r="B22" s="190">
        <v>3.8100000000000002E-2</v>
      </c>
      <c r="C22" s="187">
        <f>+C16</f>
        <v>0.99</v>
      </c>
      <c r="D22" s="178">
        <f>+B22*C22</f>
        <v>3.7719000000000003E-2</v>
      </c>
      <c r="E22" s="178">
        <f>+'Growth &amp; Inflation Rates'!$G$25</f>
        <v>4.8599999999999997E-2</v>
      </c>
      <c r="F22" s="179">
        <f>+D22+E22</f>
        <v>8.6319000000000007E-2</v>
      </c>
      <c r="G22" s="12"/>
      <c r="H22" s="12"/>
      <c r="I22" s="12"/>
      <c r="J22" s="12"/>
    </row>
    <row r="23" spans="1:10" ht="17.25">
      <c r="A23" s="177" t="s">
        <v>0</v>
      </c>
      <c r="B23" s="190"/>
      <c r="C23" s="188" t="s">
        <v>0</v>
      </c>
      <c r="D23" s="178" t="s">
        <v>0</v>
      </c>
      <c r="E23" s="178" t="s">
        <v>0</v>
      </c>
      <c r="F23" s="179" t="s">
        <v>0</v>
      </c>
      <c r="G23" s="12"/>
      <c r="H23" s="12"/>
      <c r="I23" s="12"/>
      <c r="J23" s="12"/>
    </row>
    <row r="24" spans="1:10" ht="17.25">
      <c r="A24" s="177" t="s">
        <v>222</v>
      </c>
      <c r="B24" s="190">
        <v>5.3900000000000003E-2</v>
      </c>
      <c r="C24" s="187">
        <f>+C16</f>
        <v>0.99</v>
      </c>
      <c r="D24" s="178">
        <f>+B24*C24</f>
        <v>5.3361000000000006E-2</v>
      </c>
      <c r="E24" s="178">
        <f>+'Growth &amp; Inflation Rates'!$G$25</f>
        <v>4.8599999999999997E-2</v>
      </c>
      <c r="F24" s="179">
        <f>+D24+E24</f>
        <v>0.101961</v>
      </c>
      <c r="G24" s="12"/>
      <c r="H24" s="12"/>
      <c r="I24" s="12"/>
      <c r="J24" s="12"/>
    </row>
    <row r="25" spans="1:10" ht="17.25">
      <c r="A25" s="177" t="s">
        <v>0</v>
      </c>
      <c r="B25" s="190"/>
      <c r="C25" s="188" t="s">
        <v>0</v>
      </c>
      <c r="D25" s="178" t="s">
        <v>0</v>
      </c>
      <c r="E25" s="178" t="s">
        <v>0</v>
      </c>
      <c r="F25" s="179" t="s">
        <v>0</v>
      </c>
      <c r="G25" s="12"/>
      <c r="H25" s="12"/>
      <c r="I25" s="12"/>
      <c r="J25" s="12"/>
    </row>
    <row r="26" spans="1:10" ht="17.25">
      <c r="A26" s="177" t="s">
        <v>402</v>
      </c>
      <c r="B26" s="190">
        <v>5.5E-2</v>
      </c>
      <c r="C26" s="187">
        <f>+C16</f>
        <v>0.99</v>
      </c>
      <c r="D26" s="178">
        <f>+B26*C26</f>
        <v>5.4449999999999998E-2</v>
      </c>
      <c r="E26" s="178">
        <f>+'Growth &amp; Inflation Rates'!$G$25</f>
        <v>4.8599999999999997E-2</v>
      </c>
      <c r="F26" s="179">
        <f>+D26+E26</f>
        <v>0.10305</v>
      </c>
      <c r="G26" s="12"/>
      <c r="H26" s="12"/>
      <c r="I26" s="12"/>
      <c r="J26" s="12"/>
    </row>
    <row r="27" spans="1:10" ht="17.25">
      <c r="A27" s="177" t="s">
        <v>0</v>
      </c>
      <c r="B27" s="190"/>
      <c r="C27" s="188" t="s">
        <v>0</v>
      </c>
      <c r="D27" s="178" t="s">
        <v>0</v>
      </c>
      <c r="E27" s="178" t="s">
        <v>0</v>
      </c>
      <c r="F27" s="179" t="s">
        <v>0</v>
      </c>
      <c r="G27" s="12"/>
      <c r="H27" s="12"/>
      <c r="I27" s="12"/>
      <c r="J27" s="12"/>
    </row>
    <row r="28" spans="1:10" ht="17.25">
      <c r="A28" s="177" t="s">
        <v>223</v>
      </c>
      <c r="B28" s="190">
        <v>6.7100000000000007E-2</v>
      </c>
      <c r="C28" s="187">
        <f>+C16</f>
        <v>0.99</v>
      </c>
      <c r="D28" s="178">
        <f>+B28*C28</f>
        <v>6.6429000000000002E-2</v>
      </c>
      <c r="E28" s="178">
        <f>+'Growth &amp; Inflation Rates'!$G$25</f>
        <v>4.8599999999999997E-2</v>
      </c>
      <c r="F28" s="179">
        <f>+D28+E28</f>
        <v>0.11502899999999999</v>
      </c>
      <c r="G28" s="12"/>
      <c r="H28" s="12"/>
      <c r="I28" s="12"/>
      <c r="J28" s="12"/>
    </row>
    <row r="29" spans="1:10" ht="17.25">
      <c r="A29" s="177" t="s">
        <v>224</v>
      </c>
      <c r="B29" s="190">
        <v>5.4600000000000003E-2</v>
      </c>
      <c r="C29" s="187">
        <f>+C16</f>
        <v>0.99</v>
      </c>
      <c r="D29" s="178">
        <f>+B29*C29</f>
        <v>5.4054000000000005E-2</v>
      </c>
      <c r="E29" s="178">
        <f>+'Growth &amp; Inflation Rates'!$G$25</f>
        <v>4.8599999999999997E-2</v>
      </c>
      <c r="F29" s="179">
        <f>+D29+E29</f>
        <v>0.102654</v>
      </c>
      <c r="G29" s="12"/>
      <c r="H29" s="12"/>
      <c r="I29" s="12"/>
      <c r="J29" s="12"/>
    </row>
    <row r="30" spans="1:10" ht="17.25">
      <c r="A30" s="177"/>
      <c r="B30" s="190"/>
      <c r="C30" s="187"/>
      <c r="D30" s="178"/>
      <c r="E30" s="178"/>
      <c r="F30" s="179"/>
      <c r="G30" s="12"/>
      <c r="H30" s="12"/>
      <c r="I30" s="12"/>
      <c r="J30" s="12"/>
    </row>
    <row r="31" spans="1:10" ht="17.25">
      <c r="A31" s="177" t="s">
        <v>387</v>
      </c>
      <c r="B31" s="190">
        <v>7.3099999999999998E-2</v>
      </c>
      <c r="C31" s="187">
        <f>+C16</f>
        <v>0.99</v>
      </c>
      <c r="D31" s="178">
        <f>+B31*C31</f>
        <v>7.2369000000000003E-2</v>
      </c>
      <c r="E31" s="178">
        <f>+'Growth &amp; Inflation Rates'!$G$25</f>
        <v>4.8599999999999997E-2</v>
      </c>
      <c r="F31" s="179">
        <f>+D31+E31</f>
        <v>0.12096899999999999</v>
      </c>
      <c r="G31" s="12"/>
      <c r="H31" s="12"/>
      <c r="I31" s="12"/>
      <c r="J31" s="12"/>
    </row>
    <row r="32" spans="1:10" ht="17.25">
      <c r="A32" s="177" t="s">
        <v>388</v>
      </c>
      <c r="B32" s="190">
        <v>6.2600000000000003E-2</v>
      </c>
      <c r="C32" s="187">
        <f>+C17</f>
        <v>0.99</v>
      </c>
      <c r="D32" s="178">
        <f>+B32*C32</f>
        <v>6.1974000000000001E-2</v>
      </c>
      <c r="E32" s="178">
        <f>+'Growth &amp; Inflation Rates'!$G$25</f>
        <v>4.8599999999999997E-2</v>
      </c>
      <c r="F32" s="179">
        <f>+D32+E32</f>
        <v>0.11057400000000001</v>
      </c>
      <c r="G32" s="12"/>
      <c r="H32" s="12"/>
      <c r="I32" s="12"/>
      <c r="J32" s="12"/>
    </row>
    <row r="33" spans="1:10" ht="17.25">
      <c r="A33" s="177" t="s">
        <v>389</v>
      </c>
      <c r="B33" s="190">
        <v>0.05</v>
      </c>
      <c r="C33" s="187">
        <f>+C16</f>
        <v>0.99</v>
      </c>
      <c r="D33" s="178">
        <f>+B33*C33</f>
        <v>4.9500000000000002E-2</v>
      </c>
      <c r="E33" s="178">
        <f>+'Growth &amp; Inflation Rates'!$G$25</f>
        <v>4.8599999999999997E-2</v>
      </c>
      <c r="F33" s="179">
        <f>+D33+E33</f>
        <v>9.8099999999999993E-2</v>
      </c>
      <c r="G33" s="12"/>
      <c r="H33" s="12"/>
      <c r="I33" s="12"/>
      <c r="J33" s="12"/>
    </row>
    <row r="34" spans="1:10" ht="17.25">
      <c r="A34" s="177"/>
      <c r="B34" s="190"/>
      <c r="C34" s="187"/>
      <c r="D34" s="178"/>
      <c r="E34" s="178"/>
      <c r="F34" s="179"/>
      <c r="G34" s="12"/>
      <c r="H34" s="12"/>
      <c r="I34" s="12"/>
      <c r="J34" s="12"/>
    </row>
    <row r="35" spans="1:10" ht="17.25">
      <c r="A35" s="347" t="s">
        <v>0</v>
      </c>
      <c r="B35" s="348" t="s">
        <v>0</v>
      </c>
      <c r="C35" s="187" t="s">
        <v>0</v>
      </c>
      <c r="D35" s="178" t="s">
        <v>0</v>
      </c>
      <c r="E35" s="178" t="s">
        <v>0</v>
      </c>
      <c r="F35" s="179" t="s">
        <v>0</v>
      </c>
      <c r="G35" s="12"/>
      <c r="H35" s="12"/>
      <c r="I35" s="12"/>
      <c r="J35" s="12"/>
    </row>
    <row r="36" spans="1:10" ht="17.25" thickBot="1">
      <c r="A36" s="317"/>
      <c r="B36" s="29"/>
      <c r="C36" s="29"/>
      <c r="D36" s="29"/>
      <c r="E36" s="29"/>
      <c r="F36" s="318"/>
      <c r="G36" s="12"/>
      <c r="H36" s="12"/>
      <c r="I36" s="12"/>
      <c r="J36" s="12"/>
    </row>
    <row r="37" spans="1:10" ht="16.5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pans="1:10" ht="27" customHeight="1" thickBot="1">
      <c r="A38" s="12"/>
      <c r="B38" s="12"/>
      <c r="C38" s="12"/>
      <c r="D38" s="12"/>
      <c r="E38" s="12"/>
      <c r="F38" s="12"/>
      <c r="G38" s="12" t="s">
        <v>0</v>
      </c>
      <c r="H38" s="12"/>
      <c r="I38" s="12"/>
      <c r="J38" s="12"/>
    </row>
    <row r="39" spans="1:10" ht="18" thickBot="1">
      <c r="A39" s="154" t="s">
        <v>227</v>
      </c>
      <c r="B39" s="12"/>
      <c r="C39" s="12"/>
      <c r="D39" s="12"/>
      <c r="E39" s="12"/>
      <c r="F39" s="12"/>
      <c r="G39" s="12"/>
      <c r="H39" s="12"/>
      <c r="I39" s="12"/>
      <c r="J39" s="12"/>
    </row>
    <row r="40" spans="1:10" ht="41.25" thickBot="1">
      <c r="A40" s="153" t="s">
        <v>225</v>
      </c>
      <c r="B40" s="152" t="s">
        <v>217</v>
      </c>
      <c r="C40" s="151" t="s">
        <v>229</v>
      </c>
      <c r="D40" s="152" t="s">
        <v>220</v>
      </c>
      <c r="E40" s="152" t="s">
        <v>221</v>
      </c>
      <c r="F40" s="152" t="s">
        <v>368</v>
      </c>
      <c r="G40" s="150" t="s">
        <v>218</v>
      </c>
      <c r="H40" s="12"/>
      <c r="I40" s="12"/>
      <c r="J40" s="12"/>
    </row>
    <row r="41" spans="1:10" ht="16.5">
      <c r="A41" s="147"/>
      <c r="B41" s="114"/>
      <c r="C41" s="114"/>
      <c r="D41" s="114"/>
      <c r="E41" s="114"/>
      <c r="F41" s="114"/>
      <c r="G41" s="148"/>
      <c r="H41" s="12"/>
      <c r="I41" s="12"/>
      <c r="J41" s="12"/>
    </row>
    <row r="42" spans="1:10" ht="17.25">
      <c r="A42" s="177" t="s">
        <v>371</v>
      </c>
      <c r="B42" s="190">
        <f>+B16</f>
        <v>2.3300000000000001E-2</v>
      </c>
      <c r="C42" s="186">
        <f>+C16</f>
        <v>0.99</v>
      </c>
      <c r="D42" s="178">
        <f>+B42*C42*0.75</f>
        <v>1.730025E-2</v>
      </c>
      <c r="E42" s="190">
        <f>+B42*0.25</f>
        <v>5.8250000000000003E-3</v>
      </c>
      <c r="F42" s="178">
        <f>+'Growth &amp; Inflation Rates'!$G$25</f>
        <v>4.8599999999999997E-2</v>
      </c>
      <c r="G42" s="179">
        <f>+D42+E42+F42</f>
        <v>7.172524999999999E-2</v>
      </c>
      <c r="H42" s="12"/>
      <c r="I42" s="12"/>
      <c r="J42" s="12"/>
    </row>
    <row r="43" spans="1:10" ht="17.25">
      <c r="A43" s="177" t="s">
        <v>372</v>
      </c>
      <c r="B43" s="190">
        <f>+B17</f>
        <v>3.04E-2</v>
      </c>
      <c r="C43" s="186">
        <f>+C17</f>
        <v>0.99</v>
      </c>
      <c r="D43" s="178">
        <f>+B43*C43*0.75</f>
        <v>2.2572000000000002E-2</v>
      </c>
      <c r="E43" s="190">
        <f>+B43*0.25</f>
        <v>7.6E-3</v>
      </c>
      <c r="F43" s="178">
        <f>+'Growth &amp; Inflation Rates'!$G$25</f>
        <v>4.8599999999999997E-2</v>
      </c>
      <c r="G43" s="179">
        <f>+D43+E43+F43</f>
        <v>7.8771999999999995E-2</v>
      </c>
      <c r="H43" s="12"/>
      <c r="I43" s="12"/>
      <c r="J43" s="12"/>
    </row>
    <row r="44" spans="1:10" ht="17.25">
      <c r="A44" s="180"/>
      <c r="B44" s="109"/>
      <c r="C44" s="109"/>
      <c r="D44" s="109"/>
      <c r="E44" s="109"/>
      <c r="F44" s="109"/>
      <c r="G44" s="181"/>
      <c r="H44" s="12"/>
      <c r="I44" s="12"/>
      <c r="J44" s="12"/>
    </row>
    <row r="45" spans="1:10" ht="17.25">
      <c r="A45" s="177" t="str">
        <f>+A19</f>
        <v>Damodaran Implied ERP Ex Ante   Trailing 12 mo Cash Yield (3)</v>
      </c>
      <c r="B45" s="190">
        <f>+B19</f>
        <v>4.3299999999999998E-2</v>
      </c>
      <c r="C45" s="186">
        <f>+C19</f>
        <v>0.99</v>
      </c>
      <c r="D45" s="178">
        <f>+B45*C45*0.75</f>
        <v>3.2150249999999998E-2</v>
      </c>
      <c r="E45" s="190">
        <f>+B45*0.25</f>
        <v>1.0825E-2</v>
      </c>
      <c r="F45" s="178">
        <f>+'Growth &amp; Inflation Rates'!$G$25</f>
        <v>4.8599999999999997E-2</v>
      </c>
      <c r="G45" s="179">
        <f>+D45+E45+F45</f>
        <v>9.1575249999999997E-2</v>
      </c>
      <c r="H45" s="12"/>
      <c r="I45" s="12"/>
      <c r="J45" s="12"/>
    </row>
    <row r="46" spans="1:10" ht="17.25">
      <c r="A46" s="177" t="s">
        <v>403</v>
      </c>
      <c r="B46" s="190">
        <f>+B20</f>
        <v>6.1499999999999999E-2</v>
      </c>
      <c r="C46" s="186">
        <f>+C20</f>
        <v>0.99</v>
      </c>
      <c r="D46" s="178">
        <f>+B46*C46*0.75</f>
        <v>4.5663750000000003E-2</v>
      </c>
      <c r="E46" s="190">
        <f>+B46*0.25</f>
        <v>1.5375E-2</v>
      </c>
      <c r="F46" s="178">
        <f>+'Growth &amp; Inflation Rates'!$G$25</f>
        <v>4.8599999999999997E-2</v>
      </c>
      <c r="G46" s="179">
        <f>+D46+E46+F46</f>
        <v>0.10963875000000001</v>
      </c>
      <c r="H46" s="12"/>
      <c r="I46" s="12"/>
      <c r="J46" s="12"/>
    </row>
    <row r="47" spans="1:10" ht="17.25">
      <c r="A47" s="177" t="str">
        <f t="shared" ref="A47:C48" si="0">+A21</f>
        <v>Damodaran Implied ERP Ex Ante   Net Cash Yield (3)</v>
      </c>
      <c r="B47" s="190">
        <f t="shared" si="0"/>
        <v>4.1500000000000002E-2</v>
      </c>
      <c r="C47" s="186">
        <f t="shared" si="0"/>
        <v>0.99</v>
      </c>
      <c r="D47" s="178">
        <f>+B47*C47*0.75</f>
        <v>3.0813750000000001E-2</v>
      </c>
      <c r="E47" s="190">
        <f>+B47*0.25</f>
        <v>1.0375000000000001E-2</v>
      </c>
      <c r="F47" s="178">
        <f>+'Growth &amp; Inflation Rates'!$G$25</f>
        <v>4.8599999999999997E-2</v>
      </c>
      <c r="G47" s="179">
        <f>+D47+E47+F47</f>
        <v>8.9788750000000001E-2</v>
      </c>
      <c r="H47" s="12"/>
      <c r="I47" s="12"/>
      <c r="J47" s="12"/>
    </row>
    <row r="48" spans="1:10" ht="17.25">
      <c r="A48" s="177" t="str">
        <f t="shared" si="0"/>
        <v>Damodaran Implied ERP Ex Ante   Norm. Earnings &amp; Payout (3)</v>
      </c>
      <c r="B48" s="190">
        <f t="shared" si="0"/>
        <v>3.8100000000000002E-2</v>
      </c>
      <c r="C48" s="186">
        <f t="shared" si="0"/>
        <v>0.99</v>
      </c>
      <c r="D48" s="178">
        <f>+B48*C48*0.75</f>
        <v>2.8289250000000002E-2</v>
      </c>
      <c r="E48" s="190">
        <f>+B48*0.25</f>
        <v>9.5250000000000005E-3</v>
      </c>
      <c r="F48" s="178">
        <f>+'Growth &amp; Inflation Rates'!$G$25</f>
        <v>4.8599999999999997E-2</v>
      </c>
      <c r="G48" s="179">
        <f>+D48+E48+F48</f>
        <v>8.6414249999999998E-2</v>
      </c>
      <c r="H48" s="12"/>
      <c r="I48" s="12"/>
      <c r="J48" s="12"/>
    </row>
    <row r="49" spans="1:10" ht="17.25">
      <c r="A49" s="177" t="s">
        <v>0</v>
      </c>
      <c r="B49" s="190" t="s">
        <v>0</v>
      </c>
      <c r="C49" s="178" t="s">
        <v>0</v>
      </c>
      <c r="D49" s="178" t="s">
        <v>0</v>
      </c>
      <c r="E49" s="190" t="s">
        <v>0</v>
      </c>
      <c r="F49" s="178" t="s">
        <v>0</v>
      </c>
      <c r="G49" s="179" t="s">
        <v>0</v>
      </c>
      <c r="H49" s="12"/>
      <c r="I49" s="12"/>
      <c r="J49" s="12"/>
    </row>
    <row r="50" spans="1:10" ht="17.25">
      <c r="A50" s="177" t="s">
        <v>222</v>
      </c>
      <c r="B50" s="190">
        <f>+B24</f>
        <v>5.3900000000000003E-2</v>
      </c>
      <c r="C50" s="186">
        <f>+C24</f>
        <v>0.99</v>
      </c>
      <c r="D50" s="178">
        <f>+B50*C50*0.75</f>
        <v>4.0020750000000008E-2</v>
      </c>
      <c r="E50" s="190">
        <f>+B50*0.25</f>
        <v>1.3475000000000001E-2</v>
      </c>
      <c r="F50" s="178">
        <f>+'Growth &amp; Inflation Rates'!$G$25</f>
        <v>4.8599999999999997E-2</v>
      </c>
      <c r="G50" s="179">
        <f>+D50+E50+F50</f>
        <v>0.10209575000000001</v>
      </c>
    </row>
    <row r="51" spans="1:10" ht="17.25">
      <c r="A51" s="177" t="s">
        <v>0</v>
      </c>
      <c r="B51" s="190" t="s">
        <v>0</v>
      </c>
      <c r="C51" s="178" t="s">
        <v>0</v>
      </c>
      <c r="D51" s="178" t="s">
        <v>0</v>
      </c>
      <c r="E51" s="190" t="s">
        <v>0</v>
      </c>
      <c r="F51" s="178" t="s">
        <v>0</v>
      </c>
      <c r="G51" s="179" t="s">
        <v>0</v>
      </c>
    </row>
    <row r="52" spans="1:10" ht="17.25">
      <c r="A52" s="177" t="s">
        <v>402</v>
      </c>
      <c r="B52" s="190">
        <f>+B26</f>
        <v>5.5E-2</v>
      </c>
      <c r="C52" s="186">
        <f>+C26</f>
        <v>0.99</v>
      </c>
      <c r="D52" s="178">
        <f>+B52*C52*0.75</f>
        <v>4.0837499999999999E-2</v>
      </c>
      <c r="E52" s="190">
        <f>+B52*0.25</f>
        <v>1.375E-2</v>
      </c>
      <c r="F52" s="178">
        <f>+'Growth &amp; Inflation Rates'!$G$25</f>
        <v>4.8599999999999997E-2</v>
      </c>
      <c r="G52" s="179">
        <f>+D52+E52+F52</f>
        <v>0.10318749999999999</v>
      </c>
    </row>
    <row r="53" spans="1:10" ht="17.25">
      <c r="A53" s="177" t="s">
        <v>0</v>
      </c>
      <c r="B53" s="190" t="s">
        <v>0</v>
      </c>
      <c r="C53" s="178" t="s">
        <v>0</v>
      </c>
      <c r="D53" s="178" t="s">
        <v>0</v>
      </c>
      <c r="E53" s="190" t="s">
        <v>0</v>
      </c>
      <c r="F53" s="178" t="s">
        <v>0</v>
      </c>
      <c r="G53" s="179" t="s">
        <v>0</v>
      </c>
    </row>
    <row r="54" spans="1:10" ht="17.25">
      <c r="A54" s="177" t="s">
        <v>223</v>
      </c>
      <c r="B54" s="190">
        <f>+B28</f>
        <v>6.7100000000000007E-2</v>
      </c>
      <c r="C54" s="186">
        <f>+C28</f>
        <v>0.99</v>
      </c>
      <c r="D54" s="178">
        <f>+B54*C54*0.75</f>
        <v>4.9821749999999998E-2</v>
      </c>
      <c r="E54" s="190">
        <f>+B54*0.25</f>
        <v>1.6775000000000002E-2</v>
      </c>
      <c r="F54" s="178">
        <f>+'Growth &amp; Inflation Rates'!$G$25</f>
        <v>4.8599999999999997E-2</v>
      </c>
      <c r="G54" s="179">
        <f>+D54+E54+F54</f>
        <v>0.11519674999999999</v>
      </c>
    </row>
    <row r="55" spans="1:10" ht="17.25">
      <c r="A55" s="177" t="s">
        <v>224</v>
      </c>
      <c r="B55" s="190">
        <f>+B29</f>
        <v>5.4600000000000003E-2</v>
      </c>
      <c r="C55" s="186">
        <f>+C29</f>
        <v>0.99</v>
      </c>
      <c r="D55" s="178">
        <f>+B55*C55*0.75</f>
        <v>4.0540500000000007E-2</v>
      </c>
      <c r="E55" s="190">
        <f>+B55*0.25</f>
        <v>1.3650000000000001E-2</v>
      </c>
      <c r="F55" s="178">
        <f>+'Growth &amp; Inflation Rates'!$G$25</f>
        <v>4.8599999999999997E-2</v>
      </c>
      <c r="G55" s="179">
        <f>+D55+E55+F55</f>
        <v>0.10279050000000001</v>
      </c>
    </row>
    <row r="56" spans="1:10" ht="17.25">
      <c r="A56" s="177"/>
      <c r="B56" s="190"/>
      <c r="C56" s="186"/>
      <c r="D56" s="178"/>
      <c r="E56" s="190"/>
      <c r="F56" s="178"/>
      <c r="G56" s="179"/>
    </row>
    <row r="57" spans="1:10" ht="17.25">
      <c r="A57" s="177" t="s">
        <v>387</v>
      </c>
      <c r="B57" s="190">
        <f t="shared" ref="B57:C59" si="1">+B31</f>
        <v>7.3099999999999998E-2</v>
      </c>
      <c r="C57" s="186">
        <f t="shared" si="1"/>
        <v>0.99</v>
      </c>
      <c r="D57" s="178">
        <f>+B57*C57*0.75</f>
        <v>5.4276749999999999E-2</v>
      </c>
      <c r="E57" s="190">
        <f>+B57*0.25</f>
        <v>1.8275E-2</v>
      </c>
      <c r="F57" s="178">
        <f>+'Growth &amp; Inflation Rates'!$G$25</f>
        <v>4.8599999999999997E-2</v>
      </c>
      <c r="G57" s="179">
        <f>+D57+E57+F57</f>
        <v>0.12115175</v>
      </c>
    </row>
    <row r="58" spans="1:10" ht="17.25">
      <c r="A58" s="177" t="s">
        <v>388</v>
      </c>
      <c r="B58" s="190">
        <f t="shared" si="1"/>
        <v>6.2600000000000003E-2</v>
      </c>
      <c r="C58" s="186">
        <f t="shared" si="1"/>
        <v>0.99</v>
      </c>
      <c r="D58" s="178">
        <f>+B58*C58*0.75</f>
        <v>4.6480500000000001E-2</v>
      </c>
      <c r="E58" s="190">
        <f>+B58*0.25</f>
        <v>1.5650000000000001E-2</v>
      </c>
      <c r="F58" s="178">
        <f>+'Growth &amp; Inflation Rates'!$G$25</f>
        <v>4.8599999999999997E-2</v>
      </c>
      <c r="G58" s="179">
        <f>+D58+E58+F58</f>
        <v>0.11073050000000001</v>
      </c>
    </row>
    <row r="59" spans="1:10" ht="17.25">
      <c r="A59" s="177" t="s">
        <v>389</v>
      </c>
      <c r="B59" s="190">
        <f t="shared" si="1"/>
        <v>0.05</v>
      </c>
      <c r="C59" s="186">
        <f t="shared" si="1"/>
        <v>0.99</v>
      </c>
      <c r="D59" s="178">
        <f>+B59*C59*0.75</f>
        <v>3.7125000000000005E-2</v>
      </c>
      <c r="E59" s="190">
        <f>+B59*0.25</f>
        <v>1.2500000000000001E-2</v>
      </c>
      <c r="F59" s="178">
        <f>+'Growth &amp; Inflation Rates'!$G$25</f>
        <v>4.8599999999999997E-2</v>
      </c>
      <c r="G59" s="179">
        <f>+D59+E59+F59</f>
        <v>9.8225000000000007E-2</v>
      </c>
    </row>
    <row r="60" spans="1:10" ht="17.25">
      <c r="A60" s="177"/>
      <c r="B60" s="190"/>
      <c r="C60" s="186"/>
      <c r="D60" s="178"/>
      <c r="E60" s="190"/>
      <c r="F60" s="178"/>
      <c r="G60" s="179"/>
    </row>
    <row r="61" spans="1:10" ht="17.25">
      <c r="A61" s="347" t="s">
        <v>0</v>
      </c>
      <c r="B61" s="348" t="s">
        <v>0</v>
      </c>
      <c r="C61" s="186" t="s">
        <v>0</v>
      </c>
      <c r="D61" s="178" t="s">
        <v>0</v>
      </c>
      <c r="E61" s="190" t="s">
        <v>0</v>
      </c>
      <c r="F61" s="178" t="s">
        <v>0</v>
      </c>
      <c r="G61" s="179" t="s">
        <v>0</v>
      </c>
    </row>
    <row r="62" spans="1:10" ht="15.75" thickBot="1">
      <c r="A62" s="319"/>
      <c r="B62" s="145"/>
      <c r="C62" s="145"/>
      <c r="D62" s="145"/>
      <c r="E62" s="145"/>
      <c r="F62" s="145"/>
      <c r="G62" s="320"/>
    </row>
    <row r="64" spans="1:10" ht="17.25">
      <c r="A64" s="63" t="s">
        <v>84</v>
      </c>
      <c r="E64" s="189" t="s">
        <v>0</v>
      </c>
    </row>
    <row r="65" spans="1:7">
      <c r="A65" s="457" t="s">
        <v>0</v>
      </c>
      <c r="E65" s="189" t="s">
        <v>0</v>
      </c>
    </row>
    <row r="66" spans="1:7" ht="16.5">
      <c r="A66" s="429" t="s">
        <v>485</v>
      </c>
      <c r="B66" s="12"/>
      <c r="C66" s="12"/>
      <c r="D66" s="12"/>
      <c r="E66" s="12"/>
      <c r="F66" s="12"/>
      <c r="G66" s="12"/>
    </row>
    <row r="67" spans="1:7" ht="16.5">
      <c r="A67" s="429" t="s">
        <v>486</v>
      </c>
      <c r="B67" s="12"/>
      <c r="C67" s="12"/>
      <c r="D67" s="12"/>
      <c r="E67" s="12"/>
      <c r="F67" s="12"/>
      <c r="G67" s="12"/>
    </row>
    <row r="68" spans="1:7" ht="16.5">
      <c r="A68" s="44" t="s">
        <v>0</v>
      </c>
      <c r="B68" s="12"/>
      <c r="C68" s="12"/>
      <c r="D68" s="12"/>
      <c r="E68" s="12"/>
      <c r="F68" s="12"/>
      <c r="G68" s="12"/>
    </row>
    <row r="69" spans="1:7" ht="16.5">
      <c r="A69" s="44" t="s">
        <v>506</v>
      </c>
      <c r="B69" s="12"/>
      <c r="C69" s="12"/>
      <c r="D69" s="12"/>
      <c r="E69" s="12"/>
      <c r="F69" s="12"/>
      <c r="G69" s="12"/>
    </row>
    <row r="70" spans="1:7" ht="16.5">
      <c r="A70" s="143" t="s">
        <v>380</v>
      </c>
      <c r="C70" s="12"/>
      <c r="D70" s="12"/>
      <c r="E70" s="12"/>
      <c r="F70" s="12"/>
      <c r="G70" s="12"/>
    </row>
    <row r="71" spans="1:7" ht="16.5">
      <c r="A71" s="44" t="s">
        <v>0</v>
      </c>
      <c r="B71" s="12"/>
      <c r="C71" s="12"/>
      <c r="D71" s="12"/>
      <c r="E71" s="12"/>
      <c r="F71" s="12"/>
      <c r="G71" s="12"/>
    </row>
    <row r="72" spans="1:7" ht="16.5">
      <c r="A72" s="44" t="s">
        <v>507</v>
      </c>
      <c r="B72" s="12"/>
      <c r="C72" s="12"/>
      <c r="D72" s="12"/>
      <c r="E72" s="12"/>
      <c r="F72" s="12"/>
      <c r="G72" s="12"/>
    </row>
    <row r="73" spans="1:7" ht="16.5">
      <c r="A73" s="143" t="s">
        <v>381</v>
      </c>
      <c r="B73" s="12"/>
      <c r="C73" s="12"/>
      <c r="D73" s="12"/>
      <c r="E73" s="12"/>
      <c r="F73" s="12"/>
      <c r="G73" s="12"/>
    </row>
    <row r="74" spans="1:7" ht="16.5">
      <c r="A74" s="44"/>
      <c r="B74" s="12"/>
      <c r="C74" s="12"/>
      <c r="D74" s="12"/>
      <c r="E74" s="12"/>
      <c r="F74" s="12"/>
      <c r="G74" s="12"/>
    </row>
    <row r="75" spans="1:7" ht="16.5">
      <c r="A75" s="44" t="s">
        <v>508</v>
      </c>
      <c r="B75" s="12"/>
      <c r="C75" s="12"/>
      <c r="D75" s="12"/>
      <c r="E75" s="12"/>
      <c r="F75" s="12"/>
      <c r="G75" s="12"/>
    </row>
    <row r="76" spans="1:7" ht="16.5">
      <c r="A76" s="143" t="s">
        <v>509</v>
      </c>
      <c r="B76" s="12"/>
      <c r="C76" s="12"/>
      <c r="D76" s="12"/>
      <c r="E76" s="12"/>
      <c r="F76" s="12"/>
      <c r="G76" s="12"/>
    </row>
    <row r="77" spans="1:7" ht="16.5">
      <c r="A77" s="44"/>
      <c r="B77" s="12"/>
      <c r="C77" s="12"/>
      <c r="D77" s="12"/>
      <c r="E77" s="12"/>
      <c r="F77" s="12"/>
      <c r="G77" s="12"/>
    </row>
    <row r="78" spans="1:7" ht="16.5">
      <c r="A78" s="44" t="s">
        <v>510</v>
      </c>
      <c r="B78" s="12"/>
      <c r="C78" s="12"/>
      <c r="D78" s="12"/>
      <c r="E78" s="12"/>
      <c r="F78" s="12"/>
      <c r="G78" s="12"/>
    </row>
    <row r="79" spans="1:7" ht="16.5">
      <c r="A79" s="143" t="s">
        <v>382</v>
      </c>
      <c r="B79" s="12"/>
      <c r="C79" s="12"/>
      <c r="D79" s="12"/>
      <c r="E79" s="12"/>
      <c r="F79" s="12"/>
      <c r="G79" s="12"/>
    </row>
    <row r="80" spans="1:7">
      <c r="A80" s="457"/>
    </row>
    <row r="81" spans="1:7" ht="16.5">
      <c r="A81" s="44" t="s">
        <v>511</v>
      </c>
    </row>
    <row r="82" spans="1:7" ht="16.5">
      <c r="A82" s="44" t="s">
        <v>0</v>
      </c>
    </row>
    <row r="83" spans="1:7" ht="16.5">
      <c r="A83" s="44" t="s">
        <v>0</v>
      </c>
    </row>
    <row r="84" spans="1:7" ht="16.5">
      <c r="A84" s="346" t="s">
        <v>0</v>
      </c>
    </row>
    <row r="85" spans="1:7" ht="21" thickBot="1">
      <c r="A85" s="146"/>
      <c r="B85" s="146"/>
      <c r="C85" s="146"/>
      <c r="D85" s="29"/>
      <c r="E85" s="37"/>
      <c r="F85" s="29"/>
      <c r="G85" s="145"/>
    </row>
  </sheetData>
  <hyperlinks>
    <hyperlink ref="A84" r:id="rId1" display="https://simplywall.st/stocks/us/transportation" xr:uid="{1CCE0149-033D-4AF3-9AAC-689CDE1E7CFD}"/>
    <hyperlink ref="A79" r:id="rId2" xr:uid="{82C97B27-F241-4F9A-A93D-D5C473C9D448}"/>
    <hyperlink ref="A70" r:id="rId3" xr:uid="{3DBD99DA-6058-4EEB-AD41-A665F41F50F5}"/>
    <hyperlink ref="A73" r:id="rId4" xr:uid="{73E498E1-9F30-4825-8E21-41D9AE703710}"/>
  </hyperlinks>
  <pageMargins left="0.25" right="0.25" top="0.75" bottom="0.75" header="0.3" footer="0.3"/>
  <pageSetup scale="40" orientation="portrait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17A1C-E3A7-4341-9AD5-A72E155C964A}">
  <sheetPr>
    <tabColor rgb="FF92D050"/>
  </sheetPr>
  <dimension ref="A1:R108"/>
  <sheetViews>
    <sheetView view="pageBreakPreview" zoomScale="50" zoomScaleNormal="80" zoomScaleSheetLayoutView="50" workbookViewId="0">
      <selection activeCell="G43" sqref="G43"/>
    </sheetView>
  </sheetViews>
  <sheetFormatPr defaultRowHeight="15"/>
  <cols>
    <col min="1" max="1" width="70.5703125" customWidth="1"/>
    <col min="2" max="2" width="23.5703125" customWidth="1"/>
    <col min="3" max="3" width="26.7109375" customWidth="1"/>
    <col min="4" max="4" width="27.85546875" customWidth="1"/>
    <col min="5" max="5" width="28.85546875" customWidth="1"/>
    <col min="6" max="6" width="29.140625" customWidth="1"/>
    <col min="7" max="7" width="31" customWidth="1"/>
    <col min="8" max="8" width="27.42578125" customWidth="1"/>
    <col min="9" max="9" width="15.42578125" customWidth="1"/>
    <col min="10" max="10" width="23.42578125" customWidth="1"/>
    <col min="11" max="11" width="18.28515625" customWidth="1"/>
    <col min="12" max="12" width="14.140625" bestFit="1" customWidth="1"/>
    <col min="14" max="14" width="1.7109375" bestFit="1" customWidth="1"/>
    <col min="16" max="16" width="18.140625" bestFit="1" customWidth="1"/>
    <col min="17" max="17" width="18.5703125" bestFit="1" customWidth="1"/>
    <col min="18" max="18" width="47.42578125" bestFit="1" customWidth="1"/>
  </cols>
  <sheetData>
    <row r="1" spans="1:11" ht="26.25">
      <c r="A1" s="24" t="s">
        <v>1</v>
      </c>
      <c r="C1" s="24"/>
      <c r="D1" s="24"/>
      <c r="E1" s="12"/>
      <c r="F1" s="12"/>
      <c r="G1" s="12"/>
      <c r="H1" s="12"/>
      <c r="I1" s="12"/>
      <c r="J1" s="12"/>
      <c r="K1" s="12"/>
    </row>
    <row r="2" spans="1:11" ht="17.25">
      <c r="A2" s="25" t="s">
        <v>9</v>
      </c>
      <c r="C2" s="25"/>
      <c r="D2" s="25"/>
      <c r="E2" s="12"/>
      <c r="F2" s="12"/>
      <c r="G2" s="12"/>
      <c r="H2" s="12"/>
      <c r="I2" s="12"/>
      <c r="J2" s="12"/>
      <c r="K2" s="12"/>
    </row>
    <row r="3" spans="1:11" ht="16.5">
      <c r="A3" s="26" t="s">
        <v>441</v>
      </c>
      <c r="C3" s="26"/>
      <c r="D3" s="26"/>
      <c r="E3" s="12"/>
      <c r="F3" s="12"/>
      <c r="G3" s="12"/>
      <c r="H3" s="12"/>
      <c r="I3" s="12"/>
      <c r="J3" s="12"/>
      <c r="K3" s="12"/>
    </row>
    <row r="4" spans="1:11" ht="16.5">
      <c r="B4" s="26"/>
      <c r="C4" s="26"/>
      <c r="D4" s="26"/>
      <c r="E4" s="12"/>
      <c r="F4" s="12"/>
      <c r="G4" s="12"/>
      <c r="H4" s="12"/>
      <c r="I4" s="12"/>
      <c r="J4" s="12"/>
      <c r="K4" s="12"/>
    </row>
    <row r="5" spans="1:11" ht="16.5">
      <c r="B5" s="12"/>
      <c r="C5" s="12"/>
      <c r="D5" s="12"/>
      <c r="E5" s="12"/>
      <c r="F5" s="12"/>
      <c r="G5" s="12"/>
      <c r="H5" s="12"/>
      <c r="I5" s="27" t="s">
        <v>0</v>
      </c>
      <c r="J5" s="27"/>
      <c r="K5" s="12"/>
    </row>
    <row r="6" spans="1:11" ht="17.25" thickBot="1">
      <c r="B6" s="12"/>
      <c r="C6" s="12"/>
      <c r="D6" s="29"/>
      <c r="E6" s="29"/>
      <c r="F6" s="145"/>
      <c r="H6" s="12"/>
      <c r="I6" s="12"/>
      <c r="J6" s="12"/>
    </row>
    <row r="7" spans="1:11" ht="27" thickBot="1">
      <c r="A7" s="28" t="str">
        <f>+'S&amp;D'!A12</f>
        <v>Electric Wholesale (non-regulated) Power Generator</v>
      </c>
      <c r="C7" s="31"/>
      <c r="D7" s="31"/>
      <c r="E7" s="32" t="s">
        <v>249</v>
      </c>
      <c r="H7" s="12"/>
      <c r="I7" s="12"/>
      <c r="J7" s="12"/>
    </row>
    <row r="8" spans="1:11" ht="21" thickBot="1">
      <c r="B8" s="31"/>
      <c r="C8" s="31"/>
      <c r="D8" s="146"/>
      <c r="E8" s="37" t="s">
        <v>442</v>
      </c>
      <c r="F8" s="145"/>
      <c r="H8" s="12"/>
      <c r="I8" s="12"/>
    </row>
    <row r="9" spans="1:11" ht="20.25">
      <c r="B9" s="31"/>
      <c r="C9" s="31"/>
      <c r="D9" s="31"/>
      <c r="E9" s="35"/>
      <c r="H9" s="12"/>
      <c r="I9" s="12"/>
    </row>
    <row r="10" spans="1:11" ht="29.1" customHeight="1" thickBot="1">
      <c r="A10" s="146"/>
      <c r="B10" s="31"/>
      <c r="I10" s="12"/>
    </row>
    <row r="11" spans="1:11" ht="22.5" customHeight="1" thickBot="1">
      <c r="A11" s="158" t="s">
        <v>248</v>
      </c>
      <c r="B11" s="31"/>
      <c r="I11" s="12"/>
    </row>
    <row r="12" spans="1:11" ht="20.100000000000001" customHeight="1" thickBot="1">
      <c r="A12" s="157" t="s">
        <v>0</v>
      </c>
      <c r="B12" s="12"/>
      <c r="C12" s="12"/>
      <c r="D12" s="12"/>
      <c r="E12" s="12"/>
      <c r="F12" s="12"/>
      <c r="G12" s="12"/>
      <c r="H12" s="12"/>
      <c r="I12" s="12"/>
    </row>
    <row r="13" spans="1:11" ht="60.6" customHeight="1" thickBot="1">
      <c r="A13" s="201" t="s">
        <v>0</v>
      </c>
      <c r="B13" s="152" t="s">
        <v>297</v>
      </c>
      <c r="C13" s="152" t="s">
        <v>296</v>
      </c>
      <c r="D13" s="151" t="s">
        <v>230</v>
      </c>
      <c r="E13" s="152" t="s">
        <v>231</v>
      </c>
      <c r="F13" s="152" t="s">
        <v>266</v>
      </c>
      <c r="G13" s="152" t="s">
        <v>265</v>
      </c>
      <c r="H13" s="152" t="s">
        <v>232</v>
      </c>
    </row>
    <row r="14" spans="1:11" ht="16.5">
      <c r="A14" s="147"/>
      <c r="B14" s="195"/>
      <c r="C14" s="195"/>
      <c r="D14" s="114"/>
      <c r="E14" s="195"/>
      <c r="F14" s="195"/>
      <c r="G14" s="195"/>
      <c r="H14" s="195"/>
    </row>
    <row r="15" spans="1:11" ht="20.25">
      <c r="A15" s="155" t="str">
        <f>+A7</f>
        <v>Electric Wholesale (non-regulated) Power Generator</v>
      </c>
      <c r="B15" s="213">
        <v>0</v>
      </c>
      <c r="C15" s="213">
        <v>0</v>
      </c>
      <c r="D15" s="386">
        <v>0</v>
      </c>
      <c r="E15" s="213">
        <v>0</v>
      </c>
      <c r="F15" s="213">
        <f>+'Dividends '!K26</f>
        <v>6.3286247162367415E-2</v>
      </c>
      <c r="G15" s="213">
        <f>+Earnings!K26</f>
        <v>8.4351442625100914E-2</v>
      </c>
      <c r="H15" s="213">
        <v>0</v>
      </c>
    </row>
    <row r="16" spans="1:11" ht="21" thickBot="1">
      <c r="A16" s="149" t="s">
        <v>0</v>
      </c>
      <c r="B16" s="196" t="s">
        <v>0</v>
      </c>
      <c r="C16" s="196"/>
      <c r="D16" s="156"/>
      <c r="E16" s="196"/>
      <c r="F16" s="238">
        <f>+'Dividends '!K27</f>
        <v>5.8066048069953337E-2</v>
      </c>
      <c r="G16" s="238">
        <f>+Earnings!K27</f>
        <v>9.3558153551262693E-2</v>
      </c>
      <c r="H16" s="196"/>
    </row>
    <row r="17" spans="1:18" ht="57.95" customHeight="1" thickBot="1">
      <c r="A17" s="12"/>
      <c r="B17" s="12"/>
      <c r="C17" s="12"/>
      <c r="D17" s="12"/>
      <c r="E17" s="12"/>
      <c r="F17" s="12"/>
      <c r="G17" s="12"/>
      <c r="H17" s="12"/>
      <c r="I17" s="12"/>
    </row>
    <row r="18" spans="1:18" ht="24.95" customHeight="1" thickBot="1">
      <c r="A18" s="158" t="s">
        <v>487</v>
      </c>
      <c r="B18" s="12"/>
      <c r="C18" s="12"/>
      <c r="D18" s="411"/>
      <c r="E18" s="12"/>
      <c r="F18" s="12"/>
      <c r="G18" s="12"/>
      <c r="H18" s="12"/>
      <c r="I18" s="12"/>
    </row>
    <row r="19" spans="1:18" ht="20.100000000000001" customHeight="1">
      <c r="A19" s="12"/>
      <c r="B19" s="12"/>
      <c r="C19" s="12"/>
      <c r="D19" s="430" t="s">
        <v>487</v>
      </c>
      <c r="E19" s="12"/>
      <c r="F19" s="12"/>
      <c r="G19" s="12"/>
      <c r="H19" s="12"/>
      <c r="I19" s="12"/>
    </row>
    <row r="20" spans="1:18" ht="27.95" customHeight="1">
      <c r="A20" s="431"/>
      <c r="B20" s="405"/>
      <c r="C20" s="432" t="s">
        <v>488</v>
      </c>
      <c r="D20" s="433"/>
      <c r="E20" s="12"/>
      <c r="F20" s="12"/>
      <c r="G20" s="12"/>
      <c r="H20" s="12"/>
      <c r="I20" s="12"/>
    </row>
    <row r="21" spans="1:18" ht="27.95" customHeight="1">
      <c r="A21" s="434"/>
      <c r="C21" s="435" t="s">
        <v>489</v>
      </c>
      <c r="D21" s="436">
        <v>4.5699999999999998E-2</v>
      </c>
      <c r="E21" s="12"/>
      <c r="F21" s="12"/>
      <c r="G21" s="12"/>
      <c r="H21" s="12"/>
      <c r="I21" s="12"/>
    </row>
    <row r="22" spans="1:18" ht="27.95" customHeight="1">
      <c r="A22" s="434"/>
      <c r="C22" s="435" t="s">
        <v>490</v>
      </c>
      <c r="D22" s="436">
        <v>4.6600000000000003E-2</v>
      </c>
      <c r="E22" s="12"/>
      <c r="F22" s="12"/>
      <c r="G22" s="12"/>
      <c r="H22" s="12"/>
      <c r="I22" s="12"/>
    </row>
    <row r="23" spans="1:18" ht="27" customHeight="1">
      <c r="A23" s="434"/>
      <c r="C23" s="435" t="s">
        <v>491</v>
      </c>
      <c r="D23" s="436">
        <v>4.8599999999999997E-2</v>
      </c>
      <c r="E23" s="12"/>
      <c r="F23" s="12"/>
      <c r="G23" s="12"/>
      <c r="H23" s="12"/>
      <c r="I23" s="12"/>
    </row>
    <row r="24" spans="1:18" ht="27" customHeight="1" thickBot="1">
      <c r="A24" s="434"/>
      <c r="C24" s="435" t="s">
        <v>492</v>
      </c>
      <c r="D24" s="436">
        <v>4.7899999999999998E-2</v>
      </c>
      <c r="E24" s="12"/>
      <c r="F24" s="12"/>
      <c r="G24" s="437" t="s">
        <v>493</v>
      </c>
      <c r="I24" s="12"/>
    </row>
    <row r="25" spans="1:18" ht="27" customHeight="1" thickBot="1">
      <c r="A25" s="434"/>
      <c r="B25" s="12"/>
      <c r="C25" s="438" t="s">
        <v>494</v>
      </c>
      <c r="D25" s="439"/>
      <c r="E25" s="12"/>
      <c r="F25" s="12"/>
      <c r="G25" s="440">
        <v>4.8599999999999997E-2</v>
      </c>
      <c r="H25" s="12"/>
      <c r="I25" s="12"/>
    </row>
    <row r="26" spans="1:18" ht="27" customHeight="1">
      <c r="A26" s="434"/>
      <c r="C26" s="435" t="s">
        <v>489</v>
      </c>
      <c r="D26" s="436">
        <v>4.5499999999999999E-2</v>
      </c>
      <c r="E26" s="12"/>
      <c r="F26" s="12"/>
      <c r="G26" s="12"/>
      <c r="H26" s="12"/>
      <c r="I26" s="12"/>
    </row>
    <row r="27" spans="1:18" ht="27" customHeight="1">
      <c r="A27" s="434"/>
      <c r="C27" s="435" t="s">
        <v>495</v>
      </c>
      <c r="D27" s="436">
        <v>0</v>
      </c>
      <c r="E27" s="12"/>
      <c r="F27" s="12"/>
      <c r="G27" s="12"/>
      <c r="H27" s="12"/>
      <c r="I27" s="12"/>
    </row>
    <row r="28" spans="1:18" ht="27" customHeight="1">
      <c r="A28" s="434"/>
      <c r="C28" s="435" t="s">
        <v>496</v>
      </c>
      <c r="D28" s="436">
        <v>4.7699999999999999E-2</v>
      </c>
      <c r="E28" s="12"/>
      <c r="F28" s="12"/>
      <c r="G28" s="12"/>
      <c r="H28" s="12"/>
      <c r="I28" s="12"/>
    </row>
    <row r="29" spans="1:18" ht="27" customHeight="1">
      <c r="A29" s="434"/>
      <c r="C29" s="441" t="s">
        <v>497</v>
      </c>
      <c r="D29" s="442">
        <v>4.58E-2</v>
      </c>
      <c r="E29" s="12"/>
      <c r="F29" s="12"/>
      <c r="G29" s="12"/>
      <c r="H29" s="12"/>
      <c r="I29" s="12"/>
    </row>
    <row r="30" spans="1:18" ht="20.25">
      <c r="A30" s="443"/>
      <c r="B30" s="221"/>
      <c r="C30" s="444" t="s">
        <v>498</v>
      </c>
      <c r="D30" s="445">
        <v>4.8599999999999997E-2</v>
      </c>
      <c r="L30" s="12"/>
    </row>
    <row r="31" spans="1:18" ht="63.6" customHeight="1" thickBot="1">
      <c r="B31" s="12"/>
      <c r="C31" s="12"/>
      <c r="D31" s="29"/>
      <c r="E31" s="29"/>
      <c r="F31" s="29"/>
      <c r="G31" s="12"/>
      <c r="H31" s="12"/>
      <c r="I31" s="12"/>
      <c r="L31" s="12"/>
    </row>
    <row r="32" spans="1:18" ht="26.25">
      <c r="B32" s="31"/>
      <c r="C32" s="31"/>
      <c r="D32" s="12"/>
      <c r="E32" s="32" t="s">
        <v>215</v>
      </c>
      <c r="F32" s="12"/>
      <c r="G32" s="12"/>
      <c r="H32" s="12"/>
      <c r="I32" s="12"/>
      <c r="J32" s="446" t="s">
        <v>0</v>
      </c>
      <c r="K32" s="86"/>
      <c r="L32" s="86"/>
      <c r="M32" s="86"/>
      <c r="N32" s="86"/>
      <c r="O32" s="12"/>
      <c r="P32" s="12"/>
      <c r="Q32" s="12"/>
      <c r="R32" s="12"/>
    </row>
    <row r="33" spans="1:18" ht="21" thickBot="1">
      <c r="A33" s="145"/>
      <c r="B33" s="31"/>
      <c r="C33" s="31"/>
      <c r="D33" s="29"/>
      <c r="E33" s="37" t="s">
        <v>442</v>
      </c>
      <c r="F33" s="29"/>
      <c r="G33" s="12"/>
      <c r="H33" s="12"/>
      <c r="I33" s="12"/>
      <c r="J33" s="447"/>
      <c r="K33" s="448"/>
      <c r="L33" s="448"/>
      <c r="M33" s="86"/>
      <c r="N33" s="86"/>
      <c r="O33" s="12"/>
      <c r="P33" s="12"/>
      <c r="Q33" s="12"/>
      <c r="R33" s="12"/>
    </row>
    <row r="34" spans="1:18" ht="21" thickBot="1">
      <c r="A34" s="144" t="s">
        <v>446</v>
      </c>
      <c r="B34" s="31"/>
      <c r="C34" s="31"/>
      <c r="D34" s="35"/>
      <c r="E34" s="142"/>
      <c r="F34" s="12"/>
      <c r="G34" s="12"/>
      <c r="H34" s="12"/>
      <c r="I34" s="12"/>
      <c r="J34" s="447"/>
      <c r="K34" s="447"/>
      <c r="L34" s="447"/>
      <c r="M34" s="448"/>
      <c r="N34" s="449" t="s">
        <v>0</v>
      </c>
      <c r="O34" s="12"/>
      <c r="P34" s="12"/>
      <c r="Q34" s="12"/>
      <c r="R34" s="12"/>
    </row>
    <row r="35" spans="1:18" ht="18.75">
      <c r="A35" s="41" t="s">
        <v>0</v>
      </c>
      <c r="B35" s="41"/>
      <c r="C35" s="41"/>
      <c r="D35" s="41" t="s">
        <v>0</v>
      </c>
      <c r="E35" s="41" t="s">
        <v>0</v>
      </c>
      <c r="F35" s="41" t="s">
        <v>0</v>
      </c>
      <c r="G35" s="41"/>
      <c r="H35" s="12"/>
      <c r="I35" s="12"/>
      <c r="J35" s="447"/>
      <c r="K35" s="450"/>
      <c r="L35" s="447"/>
      <c r="M35" s="448"/>
      <c r="N35" s="86"/>
      <c r="O35" s="12"/>
      <c r="P35" s="12"/>
      <c r="Q35" s="12"/>
      <c r="R35" s="12"/>
    </row>
    <row r="36" spans="1:18" ht="20.25">
      <c r="A36" s="35" t="s">
        <v>0</v>
      </c>
      <c r="B36" s="35"/>
      <c r="C36" s="35"/>
      <c r="D36" s="388" t="s">
        <v>90</v>
      </c>
      <c r="E36" s="388" t="s">
        <v>250</v>
      </c>
      <c r="F36" s="388" t="s">
        <v>134</v>
      </c>
      <c r="G36" s="235"/>
      <c r="H36" s="12"/>
      <c r="I36" s="12"/>
      <c r="J36" s="447"/>
      <c r="K36" s="447"/>
      <c r="L36" s="447"/>
      <c r="M36" s="448"/>
      <c r="N36" s="86"/>
      <c r="O36" s="12"/>
      <c r="P36" s="12"/>
      <c r="Q36" s="12"/>
      <c r="R36" s="12"/>
    </row>
    <row r="37" spans="1:18" ht="20.25">
      <c r="A37" s="470" t="s">
        <v>132</v>
      </c>
      <c r="B37" s="471"/>
      <c r="C37" s="472"/>
      <c r="D37" s="389" t="s">
        <v>92</v>
      </c>
      <c r="E37" s="389" t="s">
        <v>133</v>
      </c>
      <c r="F37" s="389" t="s">
        <v>135</v>
      </c>
      <c r="G37" s="235"/>
      <c r="H37" s="12"/>
      <c r="I37" s="12"/>
      <c r="J37" s="448"/>
      <c r="K37" s="448"/>
      <c r="L37" s="451"/>
      <c r="M37" s="448"/>
      <c r="N37" s="86"/>
      <c r="O37" s="12"/>
      <c r="P37" s="12"/>
      <c r="Q37" s="12"/>
      <c r="R37" s="12"/>
    </row>
    <row r="38" spans="1:18" ht="18.75">
      <c r="H38" s="387"/>
      <c r="J38" s="448"/>
      <c r="K38" s="448"/>
      <c r="L38" s="86"/>
      <c r="M38" s="86"/>
      <c r="N38" s="86"/>
      <c r="O38" s="12"/>
      <c r="P38" s="12"/>
      <c r="Q38" s="12"/>
      <c r="R38" s="12"/>
    </row>
    <row r="39" spans="1:18" ht="20.25">
      <c r="A39" s="390" t="s">
        <v>251</v>
      </c>
      <c r="B39" s="159"/>
      <c r="C39" s="191"/>
      <c r="D39" s="391">
        <v>2.3300000000000001E-2</v>
      </c>
      <c r="E39" s="392" t="s">
        <v>438</v>
      </c>
      <c r="F39" s="392" t="s">
        <v>438</v>
      </c>
      <c r="H39" s="387" t="s">
        <v>0</v>
      </c>
      <c r="J39" s="452"/>
      <c r="K39" s="448"/>
      <c r="L39" s="448"/>
      <c r="M39" s="86"/>
      <c r="N39" s="86"/>
      <c r="O39" s="12"/>
      <c r="P39" s="12"/>
      <c r="Q39" s="12"/>
      <c r="R39" s="12"/>
    </row>
    <row r="40" spans="1:18" ht="20.25">
      <c r="A40" s="393" t="s">
        <v>252</v>
      </c>
      <c r="B40" s="63"/>
      <c r="C40" s="192"/>
      <c r="D40" s="394">
        <v>2.46E-2</v>
      </c>
      <c r="E40" s="395" t="s">
        <v>438</v>
      </c>
      <c r="F40" s="395" t="s">
        <v>438</v>
      </c>
      <c r="H40" s="31" t="s">
        <v>0</v>
      </c>
      <c r="I40" s="12"/>
      <c r="J40" s="452"/>
      <c r="K40" s="448"/>
      <c r="L40" s="448"/>
      <c r="M40" s="86"/>
      <c r="N40" s="86"/>
      <c r="O40" s="12"/>
      <c r="P40" s="12"/>
      <c r="Q40" s="12"/>
      <c r="R40" s="12"/>
    </row>
    <row r="41" spans="1:18" ht="20.25">
      <c r="A41" s="396" t="s">
        <v>253</v>
      </c>
      <c r="B41" s="161"/>
      <c r="C41" s="193"/>
      <c r="D41" s="397">
        <v>2.3099999999999999E-2</v>
      </c>
      <c r="E41" s="398" t="s">
        <v>438</v>
      </c>
      <c r="F41" s="398" t="s">
        <v>438</v>
      </c>
      <c r="H41" s="125" t="s">
        <v>0</v>
      </c>
      <c r="I41" s="12"/>
      <c r="J41" s="452"/>
      <c r="K41" s="448"/>
      <c r="L41" s="448"/>
      <c r="M41" s="86"/>
      <c r="N41" s="86"/>
      <c r="O41" s="12"/>
      <c r="P41" s="12"/>
      <c r="Q41" s="12"/>
      <c r="R41" s="12"/>
    </row>
    <row r="42" spans="1:18" ht="20.25">
      <c r="A42" s="393" t="s">
        <v>254</v>
      </c>
      <c r="B42" s="63"/>
      <c r="C42" s="192"/>
      <c r="D42" s="399">
        <v>2.29E-2</v>
      </c>
      <c r="E42" s="399">
        <v>2.1100000000000001E-2</v>
      </c>
      <c r="F42" s="394">
        <f t="shared" ref="F42:F50" si="0">+D42+E42</f>
        <v>4.3999999999999997E-2</v>
      </c>
      <c r="H42" s="12" t="s">
        <v>0</v>
      </c>
      <c r="I42" s="12"/>
      <c r="J42" s="452"/>
      <c r="K42" s="448"/>
      <c r="L42" s="448"/>
      <c r="M42" s="86"/>
      <c r="N42" s="86"/>
      <c r="O42" s="12"/>
      <c r="P42" s="12"/>
      <c r="Q42" s="12"/>
      <c r="R42" s="12"/>
    </row>
    <row r="43" spans="1:18" ht="20.25">
      <c r="A43" s="393" t="s">
        <v>447</v>
      </c>
      <c r="B43" s="63"/>
      <c r="C43" s="192"/>
      <c r="D43" s="399">
        <v>2.2800000000000001E-2</v>
      </c>
      <c r="E43" s="399">
        <v>2.0500000000000001E-2</v>
      </c>
      <c r="F43" s="394">
        <f t="shared" si="0"/>
        <v>4.3300000000000005E-2</v>
      </c>
      <c r="H43" s="12"/>
      <c r="I43" s="12"/>
      <c r="J43" s="452"/>
      <c r="K43" s="448"/>
      <c r="L43" s="86"/>
      <c r="M43" s="86"/>
      <c r="N43" s="86"/>
      <c r="O43" s="12"/>
      <c r="P43" s="12"/>
      <c r="Q43" s="12"/>
      <c r="R43" s="12"/>
    </row>
    <row r="44" spans="1:18" ht="20.25">
      <c r="A44" s="396" t="s">
        <v>448</v>
      </c>
      <c r="B44" s="161"/>
      <c r="C44" s="193"/>
      <c r="D44" s="400">
        <v>2.3800000000000002E-2</v>
      </c>
      <c r="E44" s="400">
        <v>2.1000000000000001E-2</v>
      </c>
      <c r="F44" s="397">
        <f t="shared" si="0"/>
        <v>4.4800000000000006E-2</v>
      </c>
      <c r="H44" s="12"/>
      <c r="I44" s="12"/>
      <c r="J44" s="452"/>
      <c r="K44" s="448"/>
      <c r="L44" s="86"/>
      <c r="M44" s="86"/>
      <c r="N44" s="86"/>
      <c r="O44" s="12"/>
      <c r="P44" s="12"/>
      <c r="Q44" s="12"/>
      <c r="R44" s="12"/>
    </row>
    <row r="45" spans="1:18" ht="20.25">
      <c r="A45" s="393" t="s">
        <v>449</v>
      </c>
      <c r="B45" s="63"/>
      <c r="C45" s="192"/>
      <c r="D45" s="394">
        <v>2.3E-2</v>
      </c>
      <c r="E45" s="399">
        <v>1.7999999999999999E-2</v>
      </c>
      <c r="F45" s="394">
        <f t="shared" si="0"/>
        <v>4.0999999999999995E-2</v>
      </c>
      <c r="H45" s="123" t="s">
        <v>0</v>
      </c>
      <c r="I45" s="12"/>
      <c r="J45" s="452"/>
      <c r="K45" s="448"/>
      <c r="L45" s="86"/>
      <c r="M45" s="86"/>
      <c r="N45" s="86"/>
      <c r="O45" s="12"/>
      <c r="P45" s="12"/>
      <c r="Q45" s="12"/>
      <c r="R45" s="12"/>
    </row>
    <row r="46" spans="1:18" ht="20.25">
      <c r="A46" s="393" t="s">
        <v>450</v>
      </c>
      <c r="B46" s="63"/>
      <c r="C46" s="192"/>
      <c r="D46" s="394">
        <v>2.3E-2</v>
      </c>
      <c r="E46" s="399">
        <v>2.1999999999999999E-2</v>
      </c>
      <c r="F46" s="394">
        <f t="shared" si="0"/>
        <v>4.4999999999999998E-2</v>
      </c>
      <c r="H46" s="123" t="s">
        <v>0</v>
      </c>
      <c r="I46" s="12"/>
      <c r="J46" s="452"/>
      <c r="K46" s="448"/>
      <c r="L46" s="86"/>
      <c r="M46" s="86"/>
      <c r="N46" s="86"/>
      <c r="O46" s="12"/>
      <c r="P46" s="12"/>
      <c r="Q46" s="12"/>
      <c r="R46" s="12"/>
    </row>
    <row r="47" spans="1:18" ht="20.25">
      <c r="A47" s="396" t="s">
        <v>451</v>
      </c>
      <c r="B47" s="161"/>
      <c r="C47" s="193"/>
      <c r="D47" s="397">
        <v>2.3E-2</v>
      </c>
      <c r="E47" s="400">
        <v>1.9E-2</v>
      </c>
      <c r="F47" s="397">
        <f t="shared" si="0"/>
        <v>4.1999999999999996E-2</v>
      </c>
      <c r="H47" s="12"/>
      <c r="I47" s="12"/>
      <c r="J47" s="452"/>
      <c r="K47" s="448"/>
      <c r="L47" s="86"/>
      <c r="M47" s="86"/>
      <c r="N47" s="86"/>
      <c r="O47" s="12"/>
      <c r="P47" s="12"/>
      <c r="Q47" s="12"/>
      <c r="R47" s="12"/>
    </row>
    <row r="48" spans="1:18" ht="20.25">
      <c r="A48" s="393" t="s">
        <v>452</v>
      </c>
      <c r="B48" s="63"/>
      <c r="C48" s="192"/>
      <c r="D48" s="394">
        <v>2.3E-2</v>
      </c>
      <c r="E48" s="399">
        <v>2.1000000000000001E-2</v>
      </c>
      <c r="F48" s="394">
        <f t="shared" si="0"/>
        <v>4.3999999999999997E-2</v>
      </c>
      <c r="H48" s="12"/>
      <c r="I48" s="12"/>
      <c r="J48" s="452"/>
      <c r="K48" s="448"/>
      <c r="L48" s="86"/>
      <c r="M48" s="86"/>
      <c r="N48" s="86"/>
      <c r="O48" s="12"/>
      <c r="P48" s="12"/>
      <c r="Q48" s="12"/>
      <c r="R48" s="12"/>
    </row>
    <row r="49" spans="1:18" ht="20.25">
      <c r="A49" s="393" t="s">
        <v>453</v>
      </c>
      <c r="B49" s="63"/>
      <c r="C49" s="192"/>
      <c r="D49" s="395" t="s">
        <v>438</v>
      </c>
      <c r="E49" s="399">
        <v>2.3E-2</v>
      </c>
      <c r="F49" s="395" t="s">
        <v>438</v>
      </c>
      <c r="H49" s="12"/>
      <c r="I49" s="12"/>
      <c r="J49" s="452"/>
      <c r="K49" s="448"/>
      <c r="L49" s="86"/>
      <c r="M49" s="86"/>
      <c r="N49" s="86"/>
      <c r="O49" s="12"/>
      <c r="P49" s="12"/>
      <c r="Q49" s="12"/>
      <c r="R49" s="12"/>
    </row>
    <row r="50" spans="1:18" ht="20.25">
      <c r="A50" s="396" t="s">
        <v>454</v>
      </c>
      <c r="B50" s="161"/>
      <c r="C50" s="193"/>
      <c r="D50" s="397">
        <v>0.02</v>
      </c>
      <c r="E50" s="397">
        <v>1.7999999999999999E-2</v>
      </c>
      <c r="F50" s="397">
        <f t="shared" si="0"/>
        <v>3.7999999999999999E-2</v>
      </c>
      <c r="H50" s="12"/>
      <c r="I50" s="12"/>
      <c r="J50" s="452"/>
      <c r="K50" s="453"/>
      <c r="L50" s="86"/>
      <c r="M50" s="86"/>
      <c r="N50" s="86"/>
      <c r="O50" s="12"/>
      <c r="P50" s="12"/>
      <c r="Q50" s="12"/>
      <c r="R50" s="12"/>
    </row>
    <row r="51" spans="1:18" ht="20.25">
      <c r="A51" s="109"/>
      <c r="B51" s="118"/>
      <c r="C51" s="118" t="s">
        <v>53</v>
      </c>
      <c r="D51" s="401">
        <f>MAX(D39:D50)</f>
        <v>2.46E-2</v>
      </c>
      <c r="E51" s="401">
        <f>MAX(E39:E50)</f>
        <v>2.3E-2</v>
      </c>
      <c r="F51" s="401">
        <f>MAX(F39:F50)</f>
        <v>4.4999999999999998E-2</v>
      </c>
      <c r="G51" s="236"/>
      <c r="H51" s="12"/>
      <c r="I51" s="12"/>
      <c r="L51" s="12"/>
      <c r="M51" s="12"/>
      <c r="N51" s="12"/>
      <c r="Q51" s="12"/>
      <c r="R51" s="12"/>
    </row>
    <row r="52" spans="1:18" ht="18.75" customHeight="1">
      <c r="A52" s="109"/>
      <c r="B52" s="118"/>
      <c r="C52" s="118" t="s">
        <v>54</v>
      </c>
      <c r="D52" s="401">
        <f>MIN(D39:D50)</f>
        <v>0.02</v>
      </c>
      <c r="E52" s="401">
        <f>MIN(E39:E50)</f>
        <v>1.7999999999999999E-2</v>
      </c>
      <c r="F52" s="402">
        <f>MIN(F39:F50)</f>
        <v>3.7999999999999999E-2</v>
      </c>
      <c r="G52" s="237"/>
      <c r="H52" s="12"/>
      <c r="I52" s="12"/>
      <c r="L52" s="12"/>
      <c r="M52" s="12"/>
      <c r="N52" s="12"/>
      <c r="O52" s="12"/>
      <c r="R52" s="12"/>
    </row>
    <row r="53" spans="1:18" ht="20.25">
      <c r="A53" s="109"/>
      <c r="B53" s="118"/>
      <c r="C53" s="118" t="s">
        <v>18</v>
      </c>
      <c r="D53" s="403">
        <f>MEDIAN(D39:D50)</f>
        <v>2.3E-2</v>
      </c>
      <c r="E53" s="403">
        <f>MEDIAN(E39:E50)</f>
        <v>2.1000000000000001E-2</v>
      </c>
      <c r="F53" s="394">
        <f t="shared" ref="F53:F54" si="1">+D53+E53</f>
        <v>4.3999999999999997E-2</v>
      </c>
      <c r="G53" s="237"/>
      <c r="H53" s="12"/>
      <c r="I53" s="12"/>
      <c r="L53" s="12"/>
      <c r="M53" s="12"/>
      <c r="N53" s="12"/>
      <c r="O53" s="12"/>
      <c r="R53" s="12"/>
    </row>
    <row r="54" spans="1:18" ht="20.25">
      <c r="A54" s="109"/>
      <c r="B54" s="118"/>
      <c r="C54" s="118" t="s">
        <v>19</v>
      </c>
      <c r="D54" s="400">
        <f>AVERAGE(D39:D50)</f>
        <v>2.2954545454545453E-2</v>
      </c>
      <c r="E54" s="400">
        <f>AVERAGE(E39:E50)</f>
        <v>2.0399999999999998E-2</v>
      </c>
      <c r="F54" s="397">
        <f t="shared" si="1"/>
        <v>4.3354545454545451E-2</v>
      </c>
      <c r="G54" s="236"/>
      <c r="H54" s="12"/>
      <c r="I54" s="12"/>
      <c r="L54" s="12"/>
      <c r="M54" s="12"/>
      <c r="N54" s="12"/>
      <c r="O54" s="12"/>
      <c r="R54" s="12"/>
    </row>
    <row r="55" spans="1:18" ht="18.75">
      <c r="A55" s="12"/>
      <c r="B55" s="14"/>
      <c r="D55" s="205"/>
      <c r="E55" s="205"/>
      <c r="F55" s="205"/>
      <c r="G55" s="236"/>
      <c r="H55" s="12"/>
      <c r="I55" s="12"/>
      <c r="L55" s="12"/>
      <c r="M55" s="12"/>
      <c r="N55" s="12"/>
      <c r="O55" s="12"/>
    </row>
    <row r="56" spans="1:18" ht="16.5" customHeight="1" thickBot="1">
      <c r="A56" s="12"/>
      <c r="B56" s="14"/>
      <c r="D56" s="205"/>
      <c r="E56" s="205"/>
      <c r="F56" s="205"/>
      <c r="L56" s="12"/>
      <c r="M56" s="12"/>
      <c r="N56" s="12"/>
      <c r="O56" s="12"/>
    </row>
    <row r="57" spans="1:18" ht="27" thickBot="1">
      <c r="A57" s="12"/>
      <c r="B57" s="125"/>
      <c r="C57" s="49" t="s">
        <v>216</v>
      </c>
      <c r="D57" s="440">
        <v>2.3E-2</v>
      </c>
      <c r="E57" s="440">
        <v>2.0400000000000001E-2</v>
      </c>
      <c r="F57" s="454">
        <f>+D57+E57</f>
        <v>4.3400000000000001E-2</v>
      </c>
      <c r="L57" s="12"/>
      <c r="M57" s="12"/>
      <c r="N57" s="12"/>
      <c r="O57" s="12"/>
    </row>
    <row r="58" spans="1:18" ht="16.5" customHeight="1">
      <c r="L58" s="12"/>
      <c r="N58" s="12"/>
    </row>
    <row r="59" spans="1:18" ht="16.5">
      <c r="A59" s="12"/>
      <c r="B59" s="12"/>
      <c r="C59" s="12"/>
      <c r="D59" s="12"/>
      <c r="E59" s="12"/>
      <c r="F59" s="12"/>
      <c r="G59" s="12"/>
      <c r="I59" s="12"/>
      <c r="L59" s="12"/>
      <c r="N59" s="12"/>
    </row>
    <row r="60" spans="1:18" ht="19.5" customHeight="1">
      <c r="A60" s="404" t="s">
        <v>455</v>
      </c>
      <c r="B60" s="405"/>
      <c r="C60" s="406"/>
      <c r="D60" s="12"/>
      <c r="E60" s="12"/>
      <c r="F60" s="12"/>
      <c r="I60" s="12"/>
      <c r="L60" s="12"/>
      <c r="M60" s="12"/>
      <c r="N60" s="12"/>
    </row>
    <row r="61" spans="1:18" ht="19.5" customHeight="1">
      <c r="A61" s="404" t="s">
        <v>456</v>
      </c>
      <c r="B61" s="405"/>
      <c r="C61" s="405"/>
      <c r="D61" s="405"/>
      <c r="E61" s="405"/>
      <c r="F61" s="405"/>
      <c r="G61" s="407"/>
      <c r="I61" s="12"/>
      <c r="L61" s="12"/>
      <c r="M61" s="12"/>
      <c r="N61" s="12"/>
    </row>
    <row r="62" spans="1:18" ht="19.5" customHeight="1">
      <c r="A62" s="408" t="s">
        <v>457</v>
      </c>
      <c r="B62" s="12"/>
      <c r="C62" s="12"/>
      <c r="D62" s="12"/>
      <c r="E62" s="12"/>
      <c r="F62" s="12"/>
      <c r="G62" s="409"/>
      <c r="I62" s="12"/>
      <c r="L62" s="12"/>
      <c r="M62" s="12"/>
      <c r="N62" s="12"/>
      <c r="O62" s="455"/>
    </row>
    <row r="63" spans="1:18" ht="19.5" customHeight="1">
      <c r="A63" s="408" t="s">
        <v>458</v>
      </c>
      <c r="B63" s="12"/>
      <c r="C63" s="12"/>
      <c r="D63" s="12"/>
      <c r="E63" s="12"/>
      <c r="F63" s="12"/>
      <c r="G63" s="409"/>
      <c r="I63" s="12"/>
      <c r="L63" s="12"/>
      <c r="M63" s="12"/>
      <c r="N63" s="12"/>
      <c r="O63" s="455"/>
      <c r="P63" s="86"/>
      <c r="Q63" s="12"/>
      <c r="R63" s="12"/>
    </row>
    <row r="64" spans="1:18" ht="19.5" customHeight="1">
      <c r="A64" s="410" t="s">
        <v>459</v>
      </c>
      <c r="B64" s="411"/>
      <c r="C64" s="411"/>
      <c r="D64" s="411"/>
      <c r="E64" s="411"/>
      <c r="F64" s="411"/>
      <c r="G64" s="412"/>
      <c r="I64" s="12"/>
      <c r="L64" s="12"/>
      <c r="M64" s="12"/>
      <c r="N64" s="12"/>
      <c r="O64" s="455"/>
      <c r="P64" s="86"/>
      <c r="Q64" s="12"/>
      <c r="R64" s="12"/>
    </row>
    <row r="65" spans="1:18" ht="17.25">
      <c r="A65" s="109"/>
      <c r="B65" s="12"/>
      <c r="C65" s="12"/>
      <c r="D65" s="12"/>
      <c r="E65" s="12"/>
      <c r="F65" s="12"/>
      <c r="I65" s="12"/>
      <c r="L65" s="12"/>
      <c r="M65" s="12"/>
      <c r="N65" s="12"/>
      <c r="O65" s="12"/>
      <c r="P65" s="12"/>
      <c r="Q65" s="12"/>
      <c r="R65" s="12"/>
    </row>
    <row r="66" spans="1:18" ht="15.6" customHeight="1">
      <c r="A66" s="413" t="s">
        <v>255</v>
      </c>
      <c r="B66" s="414"/>
      <c r="C66" s="405"/>
      <c r="D66" s="405"/>
      <c r="E66" s="405"/>
      <c r="F66" s="406"/>
      <c r="G66" s="12"/>
      <c r="I66" s="12"/>
      <c r="L66" s="12"/>
      <c r="M66" s="12"/>
      <c r="N66" s="12"/>
      <c r="O66" s="12"/>
      <c r="P66" s="12"/>
      <c r="Q66" s="12"/>
      <c r="R66" s="12"/>
    </row>
    <row r="67" spans="1:18" ht="15.6" customHeight="1">
      <c r="A67" s="160" t="s">
        <v>460</v>
      </c>
      <c r="B67" s="12"/>
      <c r="C67" s="12"/>
      <c r="E67" s="12"/>
      <c r="F67" s="279"/>
      <c r="G67" s="12"/>
      <c r="I67" s="12"/>
      <c r="L67" s="12"/>
      <c r="M67" s="12"/>
      <c r="N67" s="12"/>
      <c r="O67" s="12"/>
      <c r="P67" s="12"/>
      <c r="Q67" s="12"/>
      <c r="R67" s="12"/>
    </row>
    <row r="68" spans="1:18" ht="15.6" customHeight="1">
      <c r="A68" s="415" t="s">
        <v>256</v>
      </c>
      <c r="B68" s="411"/>
      <c r="C68" s="411"/>
      <c r="D68" s="411"/>
      <c r="E68" s="411"/>
      <c r="F68" s="280"/>
      <c r="G68" s="12"/>
      <c r="I68" s="12" t="s">
        <v>0</v>
      </c>
      <c r="L68" s="12"/>
      <c r="M68" s="12"/>
      <c r="N68" s="12"/>
      <c r="O68" s="12"/>
      <c r="P68" s="12"/>
      <c r="Q68" s="12"/>
      <c r="R68" s="12"/>
    </row>
    <row r="69" spans="1:18" ht="16.5">
      <c r="A69" s="346"/>
      <c r="B69" s="12"/>
      <c r="C69" s="12"/>
      <c r="D69" s="12"/>
      <c r="E69" s="12"/>
      <c r="F69" s="12"/>
      <c r="G69" s="12"/>
      <c r="I69" s="12"/>
      <c r="L69" s="12"/>
      <c r="M69" s="12"/>
      <c r="N69" s="12"/>
      <c r="O69" s="12"/>
      <c r="P69" s="12"/>
      <c r="Q69" s="12"/>
      <c r="R69" s="12"/>
    </row>
    <row r="70" spans="1:18" ht="17.25">
      <c r="A70" s="140" t="s">
        <v>461</v>
      </c>
      <c r="B70" s="127"/>
      <c r="C70" s="127"/>
      <c r="D70" s="127"/>
      <c r="E70" s="128"/>
      <c r="F70" s="127"/>
      <c r="G70" s="127"/>
      <c r="H70" s="127"/>
      <c r="I70" s="12"/>
      <c r="L70" s="12"/>
      <c r="M70" s="12"/>
      <c r="N70" s="12"/>
      <c r="O70" s="12"/>
      <c r="P70" s="12"/>
      <c r="Q70" s="12"/>
      <c r="R70" s="12"/>
    </row>
    <row r="71" spans="1:18" ht="17.25">
      <c r="A71" s="140"/>
      <c r="B71" s="127"/>
      <c r="C71" s="127"/>
      <c r="D71" s="127"/>
      <c r="E71" s="128"/>
      <c r="F71" s="127"/>
      <c r="G71" s="127"/>
      <c r="H71" s="127"/>
      <c r="I71" s="12"/>
      <c r="J71" s="12"/>
      <c r="K71" s="12"/>
      <c r="L71" s="12"/>
      <c r="M71" s="12"/>
      <c r="N71" s="12"/>
      <c r="O71" s="12"/>
      <c r="P71" s="12"/>
      <c r="Q71" s="12"/>
      <c r="R71" s="12"/>
    </row>
    <row r="72" spans="1:18" ht="16.5">
      <c r="A72" s="416" t="s">
        <v>462</v>
      </c>
      <c r="B72" s="127"/>
      <c r="C72" s="127"/>
      <c r="D72" s="127"/>
      <c r="E72" s="128"/>
      <c r="F72" s="127"/>
      <c r="G72" s="127"/>
      <c r="H72" s="127"/>
      <c r="I72" s="12"/>
    </row>
    <row r="73" spans="1:18" ht="16.5">
      <c r="A73" s="417" t="s">
        <v>463</v>
      </c>
      <c r="B73" s="127"/>
      <c r="C73" s="127"/>
      <c r="D73" s="127"/>
      <c r="E73" s="128"/>
      <c r="F73" s="127"/>
      <c r="G73" s="127"/>
      <c r="H73" s="127"/>
      <c r="I73" s="12"/>
    </row>
    <row r="74" spans="1:18" ht="16.5">
      <c r="A74" s="418" t="s">
        <v>353</v>
      </c>
      <c r="B74" s="419"/>
      <c r="C74" s="127"/>
      <c r="D74" s="127"/>
      <c r="E74" s="128"/>
      <c r="F74" s="127"/>
      <c r="G74" s="127"/>
      <c r="H74" s="127"/>
      <c r="I74" s="12"/>
    </row>
    <row r="75" spans="1:18" ht="16.5">
      <c r="A75" s="126"/>
      <c r="B75" s="127"/>
      <c r="C75" s="127"/>
      <c r="D75" s="127"/>
      <c r="E75" s="128"/>
      <c r="F75" s="127"/>
      <c r="G75" s="127"/>
      <c r="H75" s="127"/>
      <c r="I75" s="12"/>
    </row>
    <row r="76" spans="1:18" ht="16.5">
      <c r="A76" s="416" t="s">
        <v>464</v>
      </c>
    </row>
    <row r="77" spans="1:18">
      <c r="A77" s="420" t="s">
        <v>465</v>
      </c>
    </row>
    <row r="78" spans="1:18">
      <c r="A78" s="420" t="s">
        <v>466</v>
      </c>
    </row>
    <row r="79" spans="1:18" ht="16.5">
      <c r="A79" s="421" t="s">
        <v>152</v>
      </c>
      <c r="B79" s="384"/>
    </row>
    <row r="80" spans="1:18" ht="16.5">
      <c r="A80" s="126"/>
      <c r="B80" s="127"/>
      <c r="C80" s="127"/>
      <c r="D80" s="127"/>
      <c r="E80" s="128"/>
      <c r="F80" s="127"/>
      <c r="G80" s="127"/>
      <c r="H80" s="127"/>
      <c r="I80" s="12"/>
    </row>
    <row r="81" spans="1:9" ht="16.5">
      <c r="A81" s="416" t="s">
        <v>467</v>
      </c>
      <c r="B81" s="127"/>
      <c r="C81" s="127"/>
      <c r="D81" s="127"/>
      <c r="E81" s="128"/>
      <c r="F81" s="127"/>
      <c r="G81" s="127"/>
      <c r="H81" s="127"/>
      <c r="I81" s="12"/>
    </row>
    <row r="82" spans="1:9" ht="16.5">
      <c r="A82" s="420" t="s">
        <v>468</v>
      </c>
      <c r="B82" s="127"/>
      <c r="C82" s="127"/>
      <c r="D82" s="127"/>
      <c r="E82" s="128"/>
      <c r="F82" s="127"/>
      <c r="G82" s="127"/>
      <c r="H82" s="127"/>
      <c r="I82" s="12"/>
    </row>
    <row r="83" spans="1:9" ht="16.5">
      <c r="A83" s="422" t="s">
        <v>153</v>
      </c>
      <c r="B83" s="419"/>
      <c r="C83" s="419"/>
      <c r="D83" s="127"/>
      <c r="E83" s="128"/>
      <c r="F83" s="127"/>
      <c r="G83" s="127"/>
      <c r="H83" s="127"/>
      <c r="I83" s="12"/>
    </row>
    <row r="84" spans="1:9" ht="16.5">
      <c r="A84" s="143"/>
      <c r="B84" s="127"/>
      <c r="C84" s="127"/>
      <c r="D84" s="127"/>
      <c r="E84" s="128"/>
      <c r="F84" s="127"/>
      <c r="G84" s="127"/>
      <c r="H84" s="127"/>
      <c r="I84" s="12"/>
    </row>
    <row r="85" spans="1:9" ht="16.5">
      <c r="A85" s="416" t="s">
        <v>469</v>
      </c>
      <c r="B85" s="127"/>
      <c r="C85" s="127"/>
      <c r="D85" s="127"/>
      <c r="E85" s="128"/>
      <c r="F85" s="127"/>
      <c r="G85" s="127"/>
      <c r="H85" s="127"/>
      <c r="I85" s="12"/>
    </row>
    <row r="86" spans="1:9" ht="16.5">
      <c r="A86" s="423" t="s">
        <v>470</v>
      </c>
      <c r="B86" s="127"/>
      <c r="D86" s="127" t="s">
        <v>0</v>
      </c>
      <c r="E86" s="128"/>
      <c r="F86" s="127"/>
      <c r="G86" s="127"/>
      <c r="H86" s="127"/>
      <c r="I86" s="12"/>
    </row>
    <row r="87" spans="1:9" ht="16.5">
      <c r="A87" s="418" t="s">
        <v>471</v>
      </c>
      <c r="G87" s="127"/>
      <c r="H87" s="127"/>
      <c r="I87" s="127"/>
    </row>
    <row r="88" spans="1:9" ht="16.5">
      <c r="A88" s="422" t="s">
        <v>472</v>
      </c>
      <c r="C88" s="127"/>
      <c r="E88" s="128"/>
      <c r="F88" s="127"/>
      <c r="G88" s="127"/>
      <c r="H88" s="127"/>
      <c r="I88" s="12"/>
    </row>
    <row r="89" spans="1:9" ht="16.5">
      <c r="A89" s="422" t="s">
        <v>473</v>
      </c>
      <c r="B89" s="422"/>
      <c r="C89" s="127"/>
      <c r="D89" s="422"/>
      <c r="E89" s="128"/>
      <c r="F89" s="127"/>
      <c r="G89" s="127"/>
      <c r="H89" s="127"/>
      <c r="I89" s="12"/>
    </row>
    <row r="90" spans="1:9" ht="16.5">
      <c r="A90" s="422" t="s">
        <v>474</v>
      </c>
      <c r="B90" s="422"/>
      <c r="C90" s="127"/>
      <c r="D90" s="422"/>
      <c r="E90" s="128"/>
      <c r="F90" s="127"/>
      <c r="G90" s="127"/>
      <c r="H90" s="127"/>
      <c r="I90" s="12"/>
    </row>
    <row r="91" spans="1:9" ht="16.5">
      <c r="A91" s="143"/>
      <c r="B91" s="127"/>
      <c r="C91" s="127"/>
      <c r="D91" s="127"/>
      <c r="E91" s="128"/>
      <c r="F91" s="127"/>
      <c r="G91" s="127"/>
      <c r="H91" s="127"/>
      <c r="I91" s="12"/>
    </row>
    <row r="92" spans="1:9" ht="16.5">
      <c r="A92" s="416" t="s">
        <v>475</v>
      </c>
      <c r="B92" s="127"/>
      <c r="D92" s="127"/>
      <c r="E92" s="128"/>
      <c r="F92" s="127"/>
      <c r="G92" s="127"/>
      <c r="H92" s="127"/>
      <c r="I92" s="12"/>
    </row>
    <row r="93" spans="1:9" ht="16.5">
      <c r="A93" s="420" t="s">
        <v>476</v>
      </c>
      <c r="B93" s="127"/>
      <c r="D93" s="127"/>
      <c r="E93" s="128"/>
      <c r="F93" s="127"/>
      <c r="G93" s="127"/>
      <c r="H93" s="127"/>
      <c r="I93" s="12"/>
    </row>
    <row r="94" spans="1:9" ht="16.5">
      <c r="A94" s="422" t="s">
        <v>477</v>
      </c>
      <c r="B94" s="127"/>
      <c r="D94" s="127"/>
      <c r="E94" s="128"/>
      <c r="F94" s="127"/>
      <c r="G94" s="127"/>
      <c r="H94" s="127"/>
      <c r="I94" s="12"/>
    </row>
    <row r="95" spans="1:9" ht="16.5">
      <c r="A95" s="421"/>
      <c r="B95" s="127"/>
      <c r="C95" s="127"/>
      <c r="D95" s="127"/>
      <c r="E95" s="128"/>
      <c r="F95" s="127"/>
      <c r="G95" s="127"/>
      <c r="H95" s="127"/>
      <c r="I95" s="12"/>
    </row>
    <row r="96" spans="1:9" ht="16.5">
      <c r="A96" s="416" t="s">
        <v>478</v>
      </c>
      <c r="C96" s="127"/>
      <c r="D96" s="127"/>
      <c r="E96" s="128"/>
      <c r="F96" s="127"/>
      <c r="G96" s="127"/>
      <c r="H96" s="127"/>
      <c r="I96" s="12"/>
    </row>
    <row r="97" spans="1:9" ht="16.5">
      <c r="A97" s="424" t="s">
        <v>479</v>
      </c>
      <c r="B97" s="127"/>
      <c r="C97" s="127"/>
      <c r="D97" s="127"/>
      <c r="E97" s="128"/>
      <c r="F97" s="127"/>
      <c r="G97" s="127"/>
      <c r="H97" s="127"/>
      <c r="I97" s="12"/>
    </row>
    <row r="98" spans="1:9" ht="16.5">
      <c r="A98" s="425" t="s">
        <v>480</v>
      </c>
      <c r="B98" s="127"/>
      <c r="C98" s="127"/>
      <c r="D98" s="127"/>
      <c r="E98" s="128"/>
      <c r="F98" s="127"/>
      <c r="G98" s="127"/>
      <c r="H98" s="127"/>
      <c r="I98" s="12"/>
    </row>
    <row r="99" spans="1:9" ht="16.5">
      <c r="A99" s="422" t="s">
        <v>481</v>
      </c>
      <c r="B99" s="426"/>
      <c r="C99" s="127"/>
      <c r="D99" s="127"/>
      <c r="E99" s="128"/>
      <c r="F99" s="127"/>
      <c r="G99" s="127"/>
      <c r="H99" s="127"/>
      <c r="I99" s="12"/>
    </row>
    <row r="100" spans="1:9" ht="16.5">
      <c r="A100" s="427"/>
      <c r="B100" s="127"/>
      <c r="C100" s="127"/>
      <c r="D100" s="127"/>
      <c r="E100" s="128"/>
      <c r="F100" s="127"/>
      <c r="G100" s="127"/>
      <c r="H100" s="127"/>
      <c r="I100" s="12"/>
    </row>
    <row r="101" spans="1:9" ht="16.5">
      <c r="A101" s="416" t="s">
        <v>482</v>
      </c>
      <c r="B101" s="127"/>
      <c r="C101" s="127"/>
      <c r="D101" s="127"/>
      <c r="E101" s="128"/>
      <c r="F101" s="127"/>
      <c r="G101" s="127"/>
      <c r="H101" s="127"/>
      <c r="I101" s="12"/>
    </row>
    <row r="102" spans="1:9" ht="16.5">
      <c r="A102" s="424" t="s">
        <v>479</v>
      </c>
      <c r="B102" s="127"/>
      <c r="C102" s="127"/>
      <c r="D102" s="127"/>
      <c r="E102" s="128"/>
      <c r="F102" s="127"/>
      <c r="G102" s="127"/>
      <c r="H102" s="127"/>
      <c r="I102" s="12"/>
    </row>
    <row r="103" spans="1:9" ht="16.5">
      <c r="A103" s="425" t="s">
        <v>483</v>
      </c>
      <c r="B103" s="127"/>
      <c r="C103" s="127"/>
      <c r="D103" s="127"/>
      <c r="E103" s="128"/>
      <c r="F103" s="127"/>
      <c r="G103" s="127"/>
      <c r="H103" s="127"/>
      <c r="I103" s="12"/>
    </row>
    <row r="104" spans="1:9" ht="16.5">
      <c r="A104" s="422" t="s">
        <v>484</v>
      </c>
      <c r="B104" s="127"/>
      <c r="C104" s="127"/>
      <c r="D104" s="127"/>
      <c r="E104" s="128"/>
      <c r="F104" s="127"/>
      <c r="G104" s="127"/>
      <c r="H104" s="127"/>
      <c r="I104" s="12"/>
    </row>
    <row r="105" spans="1:9" ht="16.5">
      <c r="A105" s="427"/>
      <c r="B105" s="127"/>
      <c r="C105" s="127"/>
      <c r="D105" s="127"/>
      <c r="E105" s="128"/>
      <c r="F105" s="127"/>
      <c r="G105" s="127"/>
      <c r="H105" s="127"/>
      <c r="I105" s="12"/>
    </row>
    <row r="106" spans="1:9" ht="16.5">
      <c r="A106" s="385" t="s">
        <v>499</v>
      </c>
    </row>
    <row r="107" spans="1:9" ht="16.5">
      <c r="A107" s="422" t="s">
        <v>500</v>
      </c>
    </row>
    <row r="108" spans="1:9" ht="16.5">
      <c r="A108" s="421" t="s">
        <v>501</v>
      </c>
    </row>
  </sheetData>
  <mergeCells count="1">
    <mergeCell ref="A37:C37"/>
  </mergeCells>
  <hyperlinks>
    <hyperlink ref="A74" r:id="rId1" xr:uid="{17A8F645-A646-47A8-A5BD-18798FC4E548}"/>
    <hyperlink ref="A79" r:id="rId2" xr:uid="{7D88D181-FFF2-4723-B5DD-BD4785213794}"/>
    <hyperlink ref="A83" r:id="rId3" xr:uid="{94E98173-A07D-4398-8E29-708FA59677D2}"/>
    <hyperlink ref="A94" r:id="rId4" xr:uid="{9F6D0F8D-057E-4346-AE60-11F4556BBA68}"/>
    <hyperlink ref="A99" r:id="rId5" xr:uid="{8B23D68E-E00B-4E15-A4D8-2D951A025E7F}"/>
    <hyperlink ref="A104" r:id="rId6" xr:uid="{28214AB0-EFE8-49F8-BDC1-EA80EC6C7313}"/>
    <hyperlink ref="A89" r:id="rId7" xr:uid="{EF94E7B5-D987-4A6A-8F28-AD2FB7714303}"/>
    <hyperlink ref="A88" r:id="rId8" display="https://www.cbo.gov/system/files/2025-01/60870-Outlook-2025.pdf" xr:uid="{6800E3FF-D9B6-4911-8177-C3D399979961}"/>
    <hyperlink ref="A90" r:id="rId9" xr:uid="{179205F3-30F7-4AC3-B469-D323E874C14C}"/>
    <hyperlink ref="A87" r:id="rId10" location="4" display="https://www.cbo.gov/data/budget-economic-data - 4" xr:uid="{2C03747B-9EA2-4B32-9755-E9A4EDB81256}"/>
    <hyperlink ref="A68" r:id="rId11" xr:uid="{B21471AB-6AA2-454D-8E4F-A9CBA1D75F13}"/>
    <hyperlink ref="A107" r:id="rId12" xr:uid="{B7CD6759-FFB9-4E91-AA1F-BC267F2B5CB2}"/>
    <hyperlink ref="A108" r:id="rId13" xr:uid="{BFB5D926-5E85-478D-99AA-9F7BBAD704A0}"/>
  </hyperlinks>
  <pageMargins left="0.25" right="0.25" top="0.75" bottom="0.75" header="0.3" footer="0.3"/>
  <pageSetup scale="27" fitToWidth="0" orientation="portrait" r:id="rId1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42F14-3100-4220-9131-7F24097183B2}">
  <sheetPr>
    <tabColor rgb="FF92D050"/>
    <pageSetUpPr fitToPage="1"/>
  </sheetPr>
  <dimension ref="A1:I106"/>
  <sheetViews>
    <sheetView view="pageBreakPreview" topLeftCell="A12" zoomScale="70" zoomScaleNormal="80" zoomScaleSheetLayoutView="70" workbookViewId="0">
      <selection activeCell="E55" sqref="E55:F56"/>
    </sheetView>
  </sheetViews>
  <sheetFormatPr defaultRowHeight="15"/>
  <cols>
    <col min="1" max="1" width="45.7109375" customWidth="1"/>
    <col min="2" max="2" width="17.42578125" customWidth="1"/>
    <col min="3" max="3" width="72.140625" customWidth="1"/>
    <col min="4" max="4" width="34.5703125" customWidth="1"/>
    <col min="5" max="5" width="21.7109375" customWidth="1"/>
    <col min="6" max="6" width="17.85546875" customWidth="1"/>
    <col min="7" max="7" width="24.85546875" customWidth="1"/>
    <col min="8" max="8" width="18" customWidth="1"/>
    <col min="9" max="9" width="20.85546875" customWidth="1"/>
    <col min="10" max="10" width="19" customWidth="1"/>
    <col min="11" max="11" width="17.28515625" customWidth="1"/>
    <col min="12" max="12" width="24.140625" customWidth="1"/>
  </cols>
  <sheetData>
    <row r="1" spans="1:9" ht="26.25">
      <c r="A1" s="24" t="s">
        <v>1</v>
      </c>
      <c r="B1" s="12"/>
      <c r="C1" s="12"/>
      <c r="D1" s="12"/>
      <c r="E1" s="12"/>
      <c r="F1" s="12"/>
      <c r="G1" s="12"/>
      <c r="H1" s="12"/>
      <c r="I1" s="12"/>
    </row>
    <row r="2" spans="1:9" ht="17.25">
      <c r="A2" s="63" t="s">
        <v>9</v>
      </c>
      <c r="B2" s="12"/>
      <c r="C2" s="12"/>
      <c r="D2" s="12"/>
      <c r="E2" s="12"/>
      <c r="F2" s="12"/>
      <c r="G2" s="12"/>
      <c r="H2" s="12"/>
      <c r="I2" s="12"/>
    </row>
    <row r="3" spans="1:9" ht="16.5">
      <c r="A3" s="26" t="s">
        <v>441</v>
      </c>
      <c r="B3" s="12"/>
      <c r="C3" s="12"/>
      <c r="D3" s="12"/>
      <c r="E3" s="12"/>
      <c r="F3" s="12"/>
      <c r="G3" s="12"/>
      <c r="H3" s="12"/>
      <c r="I3" s="12"/>
    </row>
    <row r="4" spans="1:9" ht="16.5">
      <c r="A4" s="12"/>
      <c r="B4" s="12"/>
      <c r="C4" s="12"/>
      <c r="D4" s="12"/>
      <c r="E4" s="12"/>
      <c r="F4" s="12"/>
      <c r="G4" s="12"/>
      <c r="H4" s="12"/>
      <c r="I4" s="12"/>
    </row>
    <row r="5" spans="1:9" ht="18" thickBot="1">
      <c r="A5" s="63"/>
      <c r="B5" s="12"/>
      <c r="C5" s="12"/>
      <c r="D5" s="12"/>
      <c r="E5" s="12"/>
      <c r="F5" s="12"/>
      <c r="G5" s="12"/>
      <c r="H5" s="12"/>
      <c r="I5" s="12"/>
    </row>
    <row r="6" spans="1:9" ht="21" thickBot="1">
      <c r="A6" s="239" t="str">
        <f>+'S&amp;D'!A12</f>
        <v>Electric Wholesale (non-regulated) Power Generator</v>
      </c>
      <c r="B6" s="240"/>
      <c r="C6" s="176"/>
      <c r="D6" s="12"/>
      <c r="E6" s="12"/>
      <c r="F6" s="12"/>
      <c r="G6" s="12"/>
      <c r="H6" s="12"/>
      <c r="I6" s="12"/>
    </row>
    <row r="7" spans="1:9" ht="20.25">
      <c r="A7" s="31"/>
      <c r="B7" s="12"/>
      <c r="C7" s="12"/>
      <c r="D7" s="12"/>
      <c r="E7" s="12"/>
      <c r="F7" s="12"/>
      <c r="G7" s="12"/>
      <c r="H7" s="12"/>
      <c r="I7" s="12"/>
    </row>
    <row r="8" spans="1:9" ht="18" thickBot="1">
      <c r="A8" s="63"/>
      <c r="B8" s="12"/>
      <c r="C8" s="29"/>
      <c r="E8" s="12"/>
      <c r="F8" s="12"/>
      <c r="G8" s="12"/>
      <c r="H8" s="12"/>
      <c r="I8" s="12"/>
    </row>
    <row r="9" spans="1:9" ht="26.25">
      <c r="B9" s="12"/>
      <c r="C9" s="32" t="s">
        <v>159</v>
      </c>
      <c r="E9" s="12"/>
      <c r="F9" s="12"/>
      <c r="G9" s="12"/>
      <c r="H9" s="12"/>
      <c r="I9" s="12"/>
    </row>
    <row r="10" spans="1:9" ht="21" thickBot="1">
      <c r="A10" s="31"/>
      <c r="B10" s="12"/>
      <c r="C10" s="33" t="s">
        <v>442</v>
      </c>
      <c r="E10" s="12"/>
      <c r="F10" s="12"/>
      <c r="G10" s="12"/>
      <c r="H10" s="12"/>
      <c r="I10" s="12"/>
    </row>
    <row r="11" spans="1:9" ht="20.25">
      <c r="A11" s="31"/>
      <c r="B11" s="12"/>
      <c r="C11" s="12"/>
      <c r="D11" s="12"/>
      <c r="E11" s="12"/>
      <c r="F11" s="12"/>
      <c r="G11" s="12"/>
      <c r="H11" s="12"/>
      <c r="I11" s="12"/>
    </row>
    <row r="12" spans="1:9" ht="17.25" thickBot="1">
      <c r="A12" s="12"/>
      <c r="B12" s="12"/>
      <c r="C12" s="12"/>
      <c r="D12" s="12"/>
      <c r="E12" s="12"/>
      <c r="F12" s="12"/>
      <c r="G12" s="12"/>
      <c r="H12" s="12"/>
      <c r="I12" s="12"/>
    </row>
    <row r="13" spans="1:9" ht="16.5">
      <c r="A13" s="12"/>
      <c r="B13" s="12"/>
      <c r="C13" s="79" t="s">
        <v>0</v>
      </c>
      <c r="D13" s="79" t="s">
        <v>194</v>
      </c>
      <c r="E13" s="12"/>
      <c r="F13" s="12"/>
      <c r="G13" s="12"/>
      <c r="H13" s="12"/>
      <c r="I13" s="12"/>
    </row>
    <row r="14" spans="1:9" ht="21" thickBot="1">
      <c r="A14" s="12"/>
      <c r="B14" s="12"/>
      <c r="C14" s="307" t="s">
        <v>158</v>
      </c>
      <c r="D14" s="81" t="s">
        <v>267</v>
      </c>
      <c r="E14" s="12"/>
      <c r="F14" s="12"/>
      <c r="G14" s="12"/>
      <c r="H14" s="12"/>
      <c r="I14" s="12"/>
    </row>
    <row r="15" spans="1:9" ht="17.25">
      <c r="A15" s="12"/>
      <c r="B15" s="12"/>
      <c r="C15" s="308" t="s">
        <v>373</v>
      </c>
      <c r="D15" s="309">
        <f>+CAPM!F16</f>
        <v>7.1666999999999995E-2</v>
      </c>
      <c r="E15" s="310"/>
      <c r="F15" s="12"/>
      <c r="G15" s="12"/>
      <c r="H15" s="12"/>
      <c r="I15" s="12"/>
    </row>
    <row r="16" spans="1:9" ht="17.25">
      <c r="A16" s="12"/>
      <c r="B16" s="12"/>
      <c r="C16" s="242" t="s">
        <v>374</v>
      </c>
      <c r="D16" s="321">
        <f>+CAPM!F17</f>
        <v>7.8696000000000002E-2</v>
      </c>
      <c r="E16" s="310"/>
      <c r="F16" s="12"/>
      <c r="G16" s="12"/>
      <c r="H16" s="12"/>
      <c r="I16" s="12"/>
    </row>
    <row r="17" spans="1:9" ht="17.25">
      <c r="A17" s="12"/>
      <c r="B17" s="12"/>
      <c r="C17" s="242" t="s">
        <v>390</v>
      </c>
      <c r="D17" s="321">
        <f>+CAPM!F19</f>
        <v>9.1466999999999993E-2</v>
      </c>
      <c r="E17" s="310"/>
      <c r="F17" s="12"/>
      <c r="G17" s="12"/>
      <c r="H17" s="12"/>
      <c r="I17" s="12"/>
    </row>
    <row r="18" spans="1:9" ht="17.25">
      <c r="A18" s="12"/>
      <c r="B18" s="12"/>
      <c r="C18" s="242" t="s">
        <v>404</v>
      </c>
      <c r="D18" s="321">
        <f>+CAPM!F20</f>
        <v>0.109485</v>
      </c>
      <c r="E18" s="310"/>
      <c r="F18" s="12"/>
      <c r="G18" s="12"/>
      <c r="H18" s="12"/>
      <c r="I18" s="12"/>
    </row>
    <row r="19" spans="1:9" ht="17.25">
      <c r="A19" s="12"/>
      <c r="B19" s="12"/>
      <c r="C19" s="242" t="s">
        <v>391</v>
      </c>
      <c r="D19" s="321">
        <f>+CAPM!F21</f>
        <v>8.9685000000000001E-2</v>
      </c>
      <c r="E19" s="310"/>
      <c r="F19" s="12"/>
      <c r="G19" s="12"/>
      <c r="H19" s="12"/>
      <c r="I19" s="12"/>
    </row>
    <row r="20" spans="1:9" ht="17.25">
      <c r="A20" s="12"/>
      <c r="B20" s="12"/>
      <c r="C20" s="242" t="s">
        <v>392</v>
      </c>
      <c r="D20" s="321">
        <f>+CAPM!F22</f>
        <v>8.6319000000000007E-2</v>
      </c>
      <c r="E20" s="310"/>
      <c r="F20" s="12"/>
      <c r="G20" s="12"/>
      <c r="H20" s="12"/>
      <c r="I20" s="12"/>
    </row>
    <row r="21" spans="1:9" ht="17.25">
      <c r="A21" s="12"/>
      <c r="B21" s="12"/>
      <c r="C21" s="242" t="s">
        <v>160</v>
      </c>
      <c r="D21" s="321">
        <f>+CAPM!F24</f>
        <v>0.101961</v>
      </c>
      <c r="E21" s="310"/>
      <c r="F21" s="12"/>
      <c r="G21" s="12"/>
      <c r="H21" s="12"/>
      <c r="I21" s="12"/>
    </row>
    <row r="22" spans="1:9" ht="17.25">
      <c r="A22" s="12"/>
      <c r="B22" s="12"/>
      <c r="C22" s="322" t="s">
        <v>161</v>
      </c>
      <c r="D22" s="321">
        <f>+CAPM!F26</f>
        <v>0.10305</v>
      </c>
      <c r="E22" s="310"/>
      <c r="F22" s="12"/>
      <c r="G22" s="12"/>
      <c r="H22" s="12"/>
      <c r="I22" s="12"/>
    </row>
    <row r="23" spans="1:9" ht="17.25">
      <c r="A23" s="12"/>
      <c r="B23" s="12"/>
      <c r="C23" s="322" t="s">
        <v>162</v>
      </c>
      <c r="D23" s="321">
        <f>+CAPM!F28</f>
        <v>0.11502899999999999</v>
      </c>
      <c r="G23" s="12"/>
      <c r="H23" s="12"/>
      <c r="I23" s="12"/>
    </row>
    <row r="24" spans="1:9" ht="17.25">
      <c r="A24" s="12"/>
      <c r="B24" s="12"/>
      <c r="C24" s="322" t="s">
        <v>163</v>
      </c>
      <c r="D24" s="321">
        <f>+CAPM!F29</f>
        <v>0.102654</v>
      </c>
      <c r="G24" s="12"/>
      <c r="H24" s="12"/>
      <c r="I24" s="12"/>
    </row>
    <row r="25" spans="1:9" ht="17.25">
      <c r="A25" s="12"/>
      <c r="B25" s="12"/>
      <c r="C25" s="323" t="s">
        <v>393</v>
      </c>
      <c r="D25" s="321">
        <f>+CAPM!F31</f>
        <v>0.12096899999999999</v>
      </c>
      <c r="G25" s="12"/>
      <c r="H25" s="12"/>
      <c r="I25" s="12"/>
    </row>
    <row r="26" spans="1:9" ht="17.25">
      <c r="A26" s="12"/>
      <c r="B26" s="12"/>
      <c r="C26" s="323" t="s">
        <v>394</v>
      </c>
      <c r="D26" s="321">
        <f>+CAPM!F32</f>
        <v>0.11057400000000001</v>
      </c>
      <c r="E26" s="311"/>
      <c r="F26" s="12"/>
      <c r="G26" s="12"/>
      <c r="H26" s="12"/>
      <c r="I26" s="12"/>
    </row>
    <row r="27" spans="1:9" ht="17.25">
      <c r="A27" s="12"/>
      <c r="B27" s="12"/>
      <c r="C27" s="323" t="s">
        <v>395</v>
      </c>
      <c r="D27" s="321">
        <f>+CAPM!F33</f>
        <v>9.8099999999999993E-2</v>
      </c>
      <c r="E27" s="311"/>
      <c r="F27" s="12"/>
      <c r="G27" s="12"/>
      <c r="H27" s="12"/>
      <c r="I27" s="12"/>
    </row>
    <row r="28" spans="1:9" ht="17.25">
      <c r="A28" s="12"/>
      <c r="B28" s="12"/>
      <c r="C28" s="322" t="s">
        <v>375</v>
      </c>
      <c r="D28" s="321">
        <f>+CAPM!G42</f>
        <v>7.172524999999999E-2</v>
      </c>
      <c r="E28" s="310"/>
      <c r="F28" s="12"/>
      <c r="G28" s="12"/>
      <c r="H28" s="12"/>
      <c r="I28" s="12"/>
    </row>
    <row r="29" spans="1:9" ht="17.25">
      <c r="A29" s="12"/>
      <c r="B29" s="12"/>
      <c r="C29" s="322" t="s">
        <v>376</v>
      </c>
      <c r="D29" s="321">
        <f>+CAPM!G43</f>
        <v>7.8771999999999995E-2</v>
      </c>
      <c r="E29" s="310"/>
      <c r="F29" s="12"/>
      <c r="G29" s="12"/>
      <c r="H29" s="12"/>
      <c r="I29" s="12"/>
    </row>
    <row r="30" spans="1:9" ht="17.25">
      <c r="A30" s="12"/>
      <c r="B30" s="12"/>
      <c r="C30" s="242" t="s">
        <v>396</v>
      </c>
      <c r="D30" s="321">
        <f>+CAPM!G45</f>
        <v>9.1575249999999997E-2</v>
      </c>
      <c r="E30" s="310"/>
      <c r="F30" s="12"/>
      <c r="G30" s="12"/>
      <c r="H30" s="12"/>
      <c r="I30" s="12"/>
    </row>
    <row r="31" spans="1:9" ht="17.25">
      <c r="A31" s="12"/>
      <c r="B31" s="12"/>
      <c r="C31" s="242" t="s">
        <v>405</v>
      </c>
      <c r="D31" s="321">
        <f>+CAPM!G46</f>
        <v>0.10963875000000001</v>
      </c>
      <c r="E31" s="310"/>
      <c r="F31" s="12"/>
      <c r="G31" s="12"/>
      <c r="H31" s="12"/>
      <c r="I31" s="12"/>
    </row>
    <row r="32" spans="1:9" ht="17.25">
      <c r="A32" s="12"/>
      <c r="B32" s="12"/>
      <c r="C32" s="242" t="s">
        <v>397</v>
      </c>
      <c r="D32" s="321">
        <f>+CAPM!G47</f>
        <v>8.9788750000000001E-2</v>
      </c>
      <c r="E32" s="310"/>
      <c r="F32" s="12"/>
      <c r="G32" s="12"/>
      <c r="H32" s="12"/>
      <c r="I32" s="12"/>
    </row>
    <row r="33" spans="1:9" ht="17.25">
      <c r="A33" s="12"/>
      <c r="B33" s="12"/>
      <c r="C33" s="242" t="s">
        <v>398</v>
      </c>
      <c r="D33" s="321">
        <f>+CAPM!G48</f>
        <v>8.6414249999999998E-2</v>
      </c>
      <c r="E33" s="310"/>
      <c r="F33" s="12"/>
      <c r="G33" s="12"/>
      <c r="H33" s="12"/>
      <c r="I33" s="12"/>
    </row>
    <row r="34" spans="1:9" ht="17.25">
      <c r="A34" s="12"/>
      <c r="B34" s="12"/>
      <c r="C34" s="322" t="s">
        <v>164</v>
      </c>
      <c r="D34" s="321">
        <f>+CAPM!G50</f>
        <v>0.10209575000000001</v>
      </c>
      <c r="E34" s="310"/>
      <c r="F34" s="12"/>
      <c r="G34" s="12"/>
      <c r="H34" s="12"/>
      <c r="I34" s="12"/>
    </row>
    <row r="35" spans="1:9" ht="17.25">
      <c r="A35" s="12"/>
      <c r="B35" s="12"/>
      <c r="C35" s="322" t="s">
        <v>165</v>
      </c>
      <c r="D35" s="321">
        <f>+CAPM!G52</f>
        <v>0.10318749999999999</v>
      </c>
      <c r="E35" s="310"/>
      <c r="F35" s="12"/>
      <c r="G35" s="12"/>
      <c r="H35" s="12"/>
      <c r="I35" s="12"/>
    </row>
    <row r="36" spans="1:9" ht="17.25">
      <c r="A36" s="12"/>
      <c r="B36" s="12"/>
      <c r="C36" s="323" t="s">
        <v>166</v>
      </c>
      <c r="D36" s="321">
        <f>+CAPM!G54</f>
        <v>0.11519674999999999</v>
      </c>
      <c r="E36" s="310"/>
      <c r="F36" s="12"/>
      <c r="G36" s="12"/>
      <c r="H36" s="12"/>
      <c r="I36" s="12"/>
    </row>
    <row r="37" spans="1:9" ht="17.25">
      <c r="A37" s="12"/>
      <c r="B37" s="12"/>
      <c r="C37" s="322" t="s">
        <v>167</v>
      </c>
      <c r="D37" s="321">
        <f>+CAPM!G55</f>
        <v>0.10279050000000001</v>
      </c>
      <c r="E37" s="310"/>
      <c r="F37" s="12"/>
      <c r="G37" s="12"/>
      <c r="H37" s="12"/>
      <c r="I37" s="12"/>
    </row>
    <row r="38" spans="1:9" ht="16.5" customHeight="1">
      <c r="A38" s="12"/>
      <c r="B38" s="12"/>
      <c r="C38" s="323" t="s">
        <v>399</v>
      </c>
      <c r="D38" s="321">
        <f>+CAPM!G57</f>
        <v>0.12115175</v>
      </c>
      <c r="E38" s="310" t="s">
        <v>0</v>
      </c>
      <c r="F38" s="12"/>
      <c r="G38" s="12"/>
      <c r="H38" s="12"/>
      <c r="I38" s="12"/>
    </row>
    <row r="39" spans="1:9" ht="16.5" customHeight="1">
      <c r="A39" s="12"/>
      <c r="B39" s="12"/>
      <c r="C39" s="323" t="s">
        <v>400</v>
      </c>
      <c r="D39" s="321">
        <f>+CAPM!G58</f>
        <v>0.11073050000000001</v>
      </c>
      <c r="E39" s="310"/>
      <c r="F39" s="12"/>
      <c r="G39" s="12"/>
      <c r="H39" s="12"/>
      <c r="I39" s="12"/>
    </row>
    <row r="40" spans="1:9" ht="18.75" customHeight="1">
      <c r="A40" s="12"/>
      <c r="B40" s="12"/>
      <c r="C40" s="359" t="s">
        <v>401</v>
      </c>
      <c r="D40" s="360">
        <f>+CAPM!G59</f>
        <v>9.8225000000000007E-2</v>
      </c>
      <c r="E40" s="312"/>
      <c r="F40" s="12"/>
      <c r="G40" s="12"/>
      <c r="H40" s="12"/>
      <c r="I40" s="12"/>
    </row>
    <row r="41" spans="1:9" ht="21.75" customHeight="1">
      <c r="A41" s="12"/>
      <c r="B41" s="12"/>
      <c r="C41" s="324" t="s">
        <v>240</v>
      </c>
      <c r="D41" s="194">
        <f>+'Single Stage Div Growth Model'!I30</f>
        <v>0.10050000000000001</v>
      </c>
      <c r="G41" s="12"/>
      <c r="H41" s="12"/>
      <c r="I41" s="12"/>
    </row>
    <row r="42" spans="1:9" ht="21.75" customHeight="1">
      <c r="A42" s="12"/>
      <c r="B42" s="12"/>
      <c r="C42" s="243" t="s">
        <v>239</v>
      </c>
      <c r="D42" s="194">
        <f>+'Single Stage Div Growth Model'!I32</f>
        <v>0.1242</v>
      </c>
      <c r="G42" s="12"/>
      <c r="H42" s="12"/>
      <c r="I42" s="12"/>
    </row>
    <row r="43" spans="1:9" ht="21.75" customHeight="1">
      <c r="A43" s="12"/>
      <c r="B43" s="12"/>
      <c r="C43" s="313" t="s">
        <v>241</v>
      </c>
      <c r="D43" s="314">
        <f>+'Two-Stage Dividend Growth Model'!H34</f>
        <v>0.10970000000000001</v>
      </c>
      <c r="G43" s="82" t="s">
        <v>0</v>
      </c>
      <c r="H43" s="12"/>
      <c r="I43" s="12"/>
    </row>
    <row r="44" spans="1:9" ht="21.75" customHeight="1">
      <c r="A44" s="12"/>
      <c r="B44" s="12"/>
      <c r="C44" s="299" t="s">
        <v>341</v>
      </c>
      <c r="D44" s="300">
        <f>+'Direct NOPAT'!G59</f>
        <v>0.1002</v>
      </c>
      <c r="E44" s="169" t="s">
        <v>0</v>
      </c>
      <c r="F44" s="12"/>
      <c r="G44" s="12"/>
      <c r="H44" s="12"/>
      <c r="I44" s="12"/>
    </row>
    <row r="45" spans="1:9" ht="17.25" thickBot="1">
      <c r="A45" s="12"/>
      <c r="B45" s="12"/>
      <c r="C45" s="12"/>
      <c r="D45" s="71"/>
      <c r="E45" s="12"/>
      <c r="F45" s="12"/>
      <c r="G45" s="12"/>
      <c r="H45" s="12"/>
      <c r="I45" s="12"/>
    </row>
    <row r="46" spans="1:9" ht="17.25" thickTop="1">
      <c r="A46" s="12"/>
      <c r="B46" s="12"/>
      <c r="C46" s="14" t="s">
        <v>53</v>
      </c>
      <c r="D46" s="52">
        <f>MAX(D15:D43)</f>
        <v>0.1242</v>
      </c>
      <c r="E46" s="142"/>
      <c r="F46" s="12"/>
      <c r="G46" s="12"/>
      <c r="H46" s="12"/>
      <c r="I46" s="12"/>
    </row>
    <row r="47" spans="1:9" ht="16.5">
      <c r="A47" s="12"/>
      <c r="B47" s="12"/>
      <c r="C47" s="14" t="s">
        <v>54</v>
      </c>
      <c r="D47" s="306">
        <f>MIN(D15:D43)</f>
        <v>7.1666999999999995E-2</v>
      </c>
      <c r="E47" s="12"/>
      <c r="F47" s="12"/>
      <c r="G47" s="52"/>
      <c r="H47" s="52"/>
      <c r="I47" s="52"/>
    </row>
    <row r="48" spans="1:9" ht="16.5">
      <c r="A48" s="12"/>
      <c r="B48" s="12"/>
      <c r="C48" s="14" t="s">
        <v>18</v>
      </c>
      <c r="D48" s="82">
        <f>MEDIAN(D15:D43)</f>
        <v>0.10209575000000001</v>
      </c>
      <c r="E48" s="82"/>
      <c r="F48" s="82"/>
      <c r="G48" s="82"/>
      <c r="H48" s="82"/>
      <c r="I48" s="82"/>
    </row>
    <row r="49" spans="1:9" ht="16.5">
      <c r="A49" s="12"/>
      <c r="B49" s="12"/>
      <c r="C49" s="14" t="s">
        <v>377</v>
      </c>
      <c r="D49" s="83">
        <f>AVERAGE(D15:D43)</f>
        <v>9.9839586206896577E-2</v>
      </c>
      <c r="E49" s="83"/>
      <c r="F49" s="83"/>
      <c r="G49" s="83"/>
      <c r="H49" s="83"/>
      <c r="I49" s="83"/>
    </row>
    <row r="50" spans="1:9" ht="16.5">
      <c r="A50" s="12"/>
      <c r="B50" s="12"/>
      <c r="C50" s="14"/>
      <c r="D50" s="83"/>
      <c r="E50" s="83"/>
      <c r="F50" s="83"/>
      <c r="G50" s="83"/>
      <c r="H50" s="83"/>
      <c r="I50" s="83"/>
    </row>
    <row r="51" spans="1:9" ht="17.25" thickBot="1">
      <c r="A51" s="12"/>
      <c r="B51" s="12"/>
      <c r="C51" s="12"/>
      <c r="D51" s="12" t="s">
        <v>196</v>
      </c>
      <c r="E51" s="12"/>
      <c r="F51" s="12"/>
      <c r="G51" s="12"/>
      <c r="H51" s="12"/>
      <c r="I51" s="12"/>
    </row>
    <row r="52" spans="1:9" ht="27" thickBot="1">
      <c r="A52" s="12"/>
      <c r="B52" s="12"/>
      <c r="C52" s="184" t="s">
        <v>247</v>
      </c>
      <c r="D52" s="341">
        <v>9.98E-2</v>
      </c>
      <c r="E52" s="84"/>
      <c r="F52" s="84"/>
    </row>
    <row r="53" spans="1:9" ht="16.5">
      <c r="A53" s="12"/>
      <c r="B53" s="12"/>
      <c r="C53" s="12"/>
      <c r="D53" s="12"/>
      <c r="E53" s="12"/>
      <c r="F53" s="12"/>
    </row>
    <row r="54" spans="1:9" ht="17.25">
      <c r="A54" s="109" t="s">
        <v>0</v>
      </c>
      <c r="B54" s="12"/>
      <c r="C54" s="12"/>
      <c r="D54" s="12"/>
      <c r="E54" s="12"/>
      <c r="F54" s="12"/>
      <c r="G54" s="12"/>
      <c r="H54" s="12"/>
      <c r="I54" s="12"/>
    </row>
    <row r="55" spans="1:9" ht="17.25">
      <c r="A55" s="109" t="s">
        <v>0</v>
      </c>
      <c r="B55" s="12"/>
      <c r="C55" s="12"/>
      <c r="D55" s="12"/>
      <c r="E55" s="12"/>
      <c r="F55" s="12"/>
      <c r="G55" s="12"/>
      <c r="H55" s="12"/>
      <c r="I55" s="12"/>
    </row>
    <row r="56" spans="1:9" ht="16.5">
      <c r="A56" s="12"/>
      <c r="B56" s="12"/>
      <c r="C56" s="12"/>
      <c r="D56" s="12"/>
      <c r="E56" s="12"/>
      <c r="F56" s="12"/>
      <c r="G56" s="12"/>
      <c r="H56" s="12"/>
      <c r="I56" s="12"/>
    </row>
    <row r="57" spans="1:9" ht="16.5">
      <c r="A57" s="12"/>
      <c r="B57" s="12"/>
      <c r="C57" s="12"/>
      <c r="D57" s="12"/>
      <c r="E57" s="12"/>
      <c r="F57" s="12"/>
      <c r="G57" s="12"/>
      <c r="H57" s="12"/>
      <c r="I57" s="12"/>
    </row>
    <row r="58" spans="1:9" ht="16.5">
      <c r="A58" s="12"/>
      <c r="B58" s="12"/>
      <c r="C58" s="12"/>
      <c r="D58" s="12"/>
      <c r="E58" s="12"/>
      <c r="F58" s="12"/>
      <c r="G58" s="12"/>
      <c r="H58" s="12"/>
      <c r="I58" s="12"/>
    </row>
    <row r="59" spans="1:9" ht="16.5">
      <c r="A59" s="12"/>
      <c r="B59" s="12"/>
      <c r="C59" s="12"/>
      <c r="D59" s="12"/>
      <c r="E59" s="12"/>
      <c r="F59" s="12"/>
      <c r="G59" s="12"/>
      <c r="H59" s="12"/>
      <c r="I59" s="12"/>
    </row>
    <row r="60" spans="1:9" ht="16.5">
      <c r="A60" s="12"/>
      <c r="B60" s="12"/>
      <c r="C60" s="12"/>
      <c r="D60" s="12" t="s">
        <v>0</v>
      </c>
      <c r="E60" s="12"/>
      <c r="F60" s="12"/>
      <c r="G60" s="12"/>
      <c r="H60" s="12"/>
      <c r="I60" s="12"/>
    </row>
    <row r="61" spans="1:9" ht="16.5">
      <c r="A61" s="12"/>
      <c r="B61" s="12"/>
      <c r="C61" s="12"/>
      <c r="D61" s="12" t="s">
        <v>0</v>
      </c>
      <c r="E61" s="12"/>
      <c r="F61" s="12"/>
      <c r="G61" s="12"/>
      <c r="H61" s="12"/>
      <c r="I61" s="12"/>
    </row>
    <row r="62" spans="1:9" ht="16.5">
      <c r="A62" s="12"/>
      <c r="B62" s="12"/>
      <c r="C62" s="12"/>
      <c r="D62" s="12"/>
      <c r="E62" s="12"/>
      <c r="F62" s="12"/>
      <c r="G62" s="12"/>
      <c r="H62" s="12"/>
      <c r="I62" s="12"/>
    </row>
    <row r="63" spans="1:9" ht="16.5">
      <c r="A63" s="12"/>
      <c r="B63" s="12"/>
      <c r="C63" s="12"/>
      <c r="D63" s="12"/>
      <c r="E63" s="12"/>
      <c r="F63" s="12"/>
      <c r="G63" s="12"/>
      <c r="H63" s="12"/>
      <c r="I63" s="12"/>
    </row>
    <row r="64" spans="1:9" ht="16.5">
      <c r="A64" s="12"/>
      <c r="B64" s="12"/>
      <c r="C64" s="12"/>
      <c r="D64" s="12"/>
      <c r="E64" s="12"/>
      <c r="F64" s="12"/>
      <c r="G64" s="12"/>
      <c r="H64" s="12"/>
      <c r="I64" s="12"/>
    </row>
    <row r="65" spans="1:9" ht="16.5">
      <c r="A65" s="12"/>
      <c r="B65" s="12"/>
      <c r="C65" s="12"/>
      <c r="D65" s="12"/>
      <c r="E65" s="12"/>
      <c r="F65" s="12"/>
      <c r="G65" s="12"/>
      <c r="H65" s="12"/>
      <c r="I65" s="12"/>
    </row>
    <row r="66" spans="1:9" ht="16.5">
      <c r="A66" s="12"/>
      <c r="B66" s="12"/>
      <c r="C66" s="12"/>
      <c r="D66" s="12"/>
      <c r="E66" s="12"/>
      <c r="F66" s="12"/>
      <c r="G66" s="12"/>
      <c r="H66" s="12"/>
      <c r="I66" s="12"/>
    </row>
    <row r="67" spans="1:9" ht="16.5">
      <c r="A67" s="12"/>
      <c r="B67" s="12"/>
      <c r="C67" s="12"/>
      <c r="D67" s="12"/>
      <c r="E67" s="12"/>
      <c r="F67" s="12"/>
      <c r="G67" s="12"/>
      <c r="H67" s="12"/>
      <c r="I67" s="12"/>
    </row>
    <row r="68" spans="1:9" ht="16.5">
      <c r="A68" s="12"/>
      <c r="B68" s="12"/>
      <c r="C68" s="12"/>
      <c r="D68" s="12"/>
      <c r="E68" s="12"/>
      <c r="F68" s="12"/>
      <c r="G68" s="12"/>
      <c r="H68" s="12"/>
      <c r="I68" s="12"/>
    </row>
    <row r="69" spans="1:9" ht="16.5">
      <c r="A69" s="12"/>
      <c r="B69" s="12"/>
      <c r="C69" s="12"/>
      <c r="D69" s="12"/>
      <c r="E69" s="12"/>
      <c r="F69" s="12"/>
      <c r="G69" s="12"/>
      <c r="H69" s="12"/>
      <c r="I69" s="12"/>
    </row>
    <row r="70" spans="1:9" ht="16.5">
      <c r="A70" s="12"/>
      <c r="B70" s="12"/>
      <c r="C70" s="12"/>
      <c r="D70" s="12"/>
      <c r="E70" s="12"/>
      <c r="F70" s="12"/>
      <c r="G70" s="12"/>
      <c r="H70" s="12"/>
      <c r="I70" s="12"/>
    </row>
    <row r="71" spans="1:9" ht="16.5">
      <c r="A71" s="12"/>
      <c r="B71" s="12"/>
      <c r="C71" s="12"/>
      <c r="D71" s="12"/>
      <c r="E71" s="12"/>
      <c r="F71" s="12"/>
      <c r="G71" s="12"/>
      <c r="H71" s="12"/>
      <c r="I71" s="12"/>
    </row>
    <row r="72" spans="1:9" ht="16.5">
      <c r="A72" s="12"/>
      <c r="B72" s="12"/>
      <c r="C72" s="12"/>
      <c r="D72" s="12"/>
      <c r="E72" s="12"/>
      <c r="F72" s="12"/>
      <c r="G72" s="12"/>
      <c r="H72" s="12"/>
      <c r="I72" s="12"/>
    </row>
    <row r="73" spans="1:9" ht="16.5">
      <c r="A73" s="12"/>
      <c r="B73" s="12"/>
      <c r="C73" s="12"/>
      <c r="D73" s="12"/>
      <c r="E73" s="12"/>
      <c r="F73" s="12"/>
      <c r="G73" s="12"/>
      <c r="H73" s="12"/>
      <c r="I73" s="12"/>
    </row>
    <row r="74" spans="1:9" ht="16.5">
      <c r="A74" s="12"/>
      <c r="B74" s="12"/>
      <c r="C74" s="12"/>
      <c r="D74" s="12"/>
      <c r="E74" s="12"/>
      <c r="F74" s="12"/>
      <c r="G74" s="12"/>
      <c r="H74" s="12"/>
      <c r="I74" s="12"/>
    </row>
    <row r="75" spans="1:9" ht="16.5">
      <c r="A75" s="12"/>
      <c r="B75" s="12"/>
      <c r="C75" s="12"/>
      <c r="D75" s="12"/>
      <c r="E75" s="12"/>
      <c r="F75" s="12"/>
      <c r="G75" s="12"/>
      <c r="H75" s="12"/>
      <c r="I75" s="12"/>
    </row>
    <row r="76" spans="1:9" ht="16.5">
      <c r="A76" s="12"/>
      <c r="B76" s="12"/>
      <c r="C76" s="12"/>
      <c r="D76" s="12"/>
      <c r="E76" s="12"/>
      <c r="F76" s="12"/>
      <c r="G76" s="12"/>
      <c r="H76" s="12"/>
      <c r="I76" s="12"/>
    </row>
    <row r="77" spans="1:9" ht="16.5">
      <c r="A77" s="12"/>
      <c r="B77" s="12"/>
      <c r="C77" s="12"/>
      <c r="D77" s="12"/>
      <c r="E77" s="12"/>
      <c r="F77" s="12"/>
      <c r="G77" s="12"/>
      <c r="H77" s="12"/>
      <c r="I77" s="12"/>
    </row>
    <row r="78" spans="1:9" ht="16.5">
      <c r="A78" s="12"/>
      <c r="B78" s="12"/>
      <c r="C78" s="12"/>
      <c r="D78" s="12"/>
      <c r="E78" s="12"/>
      <c r="F78" s="12"/>
      <c r="G78" s="12"/>
      <c r="H78" s="12"/>
      <c r="I78" s="12"/>
    </row>
    <row r="79" spans="1:9" ht="16.5">
      <c r="A79" s="12"/>
      <c r="B79" s="12"/>
      <c r="C79" s="12"/>
      <c r="D79" s="12"/>
      <c r="E79" s="12"/>
      <c r="F79" s="12"/>
      <c r="G79" s="12"/>
      <c r="H79" s="12"/>
      <c r="I79" s="12"/>
    </row>
    <row r="80" spans="1:9" ht="16.5">
      <c r="A80" s="12"/>
      <c r="B80" s="12"/>
      <c r="C80" s="12"/>
      <c r="D80" s="12"/>
      <c r="E80" s="12"/>
      <c r="F80" s="12"/>
      <c r="G80" s="12"/>
      <c r="H80" s="12"/>
      <c r="I80" s="12"/>
    </row>
    <row r="81" spans="1:9" ht="16.5">
      <c r="A81" s="12"/>
      <c r="B81" s="12"/>
      <c r="C81" s="12"/>
      <c r="D81" s="12"/>
      <c r="E81" s="12"/>
      <c r="F81" s="12"/>
      <c r="G81" s="12"/>
      <c r="H81" s="12"/>
      <c r="I81" s="12"/>
    </row>
    <row r="82" spans="1:9" ht="16.5">
      <c r="A82" s="12"/>
      <c r="B82" s="12"/>
      <c r="C82" s="12"/>
      <c r="D82" s="12"/>
      <c r="E82" s="12"/>
      <c r="F82" s="12"/>
      <c r="G82" s="12"/>
      <c r="H82" s="12"/>
      <c r="I82" s="12"/>
    </row>
    <row r="83" spans="1:9" ht="16.5">
      <c r="A83" s="12"/>
      <c r="B83" s="12"/>
      <c r="C83" s="12"/>
      <c r="D83" s="12"/>
      <c r="E83" s="12"/>
      <c r="F83" s="12"/>
      <c r="G83" s="12"/>
      <c r="H83" s="12"/>
      <c r="I83" s="12"/>
    </row>
    <row r="84" spans="1:9" ht="16.5">
      <c r="A84" s="12"/>
      <c r="B84" s="12"/>
      <c r="C84" s="12"/>
      <c r="D84" s="12"/>
      <c r="E84" s="12"/>
      <c r="F84" s="12"/>
      <c r="G84" s="12"/>
      <c r="H84" s="12"/>
      <c r="I84" s="12"/>
    </row>
    <row r="85" spans="1:9" ht="16.5">
      <c r="A85" s="12"/>
      <c r="B85" s="12"/>
      <c r="C85" s="12"/>
      <c r="D85" s="12"/>
      <c r="E85" s="12"/>
      <c r="F85" s="12"/>
      <c r="G85" s="12"/>
      <c r="H85" s="12"/>
      <c r="I85" s="12"/>
    </row>
    <row r="86" spans="1:9" ht="16.5">
      <c r="A86" s="12"/>
      <c r="B86" s="12"/>
      <c r="C86" s="12"/>
      <c r="D86" s="12"/>
      <c r="E86" s="12"/>
      <c r="F86" s="12"/>
      <c r="G86" s="12"/>
      <c r="H86" s="12"/>
      <c r="I86" s="12"/>
    </row>
    <row r="87" spans="1:9" ht="16.5">
      <c r="A87" s="12"/>
      <c r="B87" s="12"/>
      <c r="C87" s="12"/>
      <c r="D87" s="12"/>
      <c r="E87" s="12"/>
      <c r="F87" s="12"/>
      <c r="G87" s="12"/>
      <c r="H87" s="12"/>
      <c r="I87" s="12"/>
    </row>
    <row r="88" spans="1:9" ht="16.5">
      <c r="A88" s="12"/>
      <c r="B88" s="12"/>
      <c r="C88" s="12"/>
      <c r="D88" s="12"/>
      <c r="E88" s="12"/>
      <c r="F88" s="12"/>
      <c r="G88" s="12"/>
      <c r="H88" s="12"/>
      <c r="I88" s="12"/>
    </row>
    <row r="89" spans="1:9" ht="16.5">
      <c r="A89" s="12"/>
      <c r="B89" s="12"/>
      <c r="C89" s="12"/>
      <c r="D89" s="12"/>
      <c r="E89" s="12"/>
      <c r="F89" s="12"/>
      <c r="G89" s="12"/>
      <c r="H89" s="12"/>
      <c r="I89" s="12"/>
    </row>
    <row r="90" spans="1:9" ht="16.5">
      <c r="A90" s="12"/>
      <c r="B90" s="12"/>
      <c r="C90" s="12"/>
      <c r="D90" s="12"/>
      <c r="E90" s="12"/>
      <c r="F90" s="12"/>
      <c r="G90" s="12"/>
      <c r="H90" s="12"/>
      <c r="I90" s="12"/>
    </row>
    <row r="91" spans="1:9" ht="16.5">
      <c r="A91" s="12"/>
      <c r="B91" s="12"/>
      <c r="C91" s="12"/>
      <c r="D91" s="12"/>
      <c r="E91" s="12"/>
      <c r="F91" s="12"/>
      <c r="G91" s="12"/>
      <c r="H91" s="12"/>
      <c r="I91" s="12"/>
    </row>
    <row r="92" spans="1:9" ht="16.5">
      <c r="A92" s="12"/>
      <c r="B92" s="12"/>
      <c r="C92" s="12"/>
      <c r="D92" s="12"/>
      <c r="E92" s="12"/>
      <c r="F92" s="12"/>
      <c r="G92" s="12"/>
      <c r="H92" s="12"/>
      <c r="I92" s="12"/>
    </row>
    <row r="93" spans="1:9" ht="16.5">
      <c r="A93" s="12"/>
      <c r="B93" s="12"/>
      <c r="C93" s="12"/>
      <c r="D93" s="12"/>
      <c r="E93" s="12"/>
      <c r="F93" s="12"/>
      <c r="G93" s="12"/>
      <c r="H93" s="12"/>
      <c r="I93" s="12"/>
    </row>
    <row r="94" spans="1:9" ht="16.5">
      <c r="A94" s="12"/>
      <c r="B94" s="12"/>
      <c r="C94" s="12"/>
      <c r="D94" s="12"/>
      <c r="E94" s="12"/>
      <c r="F94" s="12"/>
      <c r="G94" s="12"/>
      <c r="H94" s="12"/>
      <c r="I94" s="12"/>
    </row>
    <row r="95" spans="1:9" ht="16.5">
      <c r="A95" s="12"/>
      <c r="B95" s="12"/>
      <c r="C95" s="12"/>
      <c r="D95" s="12"/>
      <c r="E95" s="12"/>
      <c r="F95" s="12"/>
      <c r="G95" s="12"/>
      <c r="H95" s="12"/>
      <c r="I95" s="12"/>
    </row>
    <row r="96" spans="1:9" ht="16.5">
      <c r="A96" s="12"/>
      <c r="B96" s="12"/>
      <c r="C96" s="12"/>
      <c r="D96" s="12"/>
      <c r="E96" s="12"/>
      <c r="F96" s="12"/>
      <c r="G96" s="12"/>
      <c r="H96" s="12"/>
      <c r="I96" s="12"/>
    </row>
    <row r="97" spans="1:9" ht="16.5">
      <c r="A97" s="12"/>
      <c r="B97" s="12"/>
      <c r="C97" s="12"/>
      <c r="D97" s="12"/>
      <c r="E97" s="12"/>
      <c r="F97" s="12"/>
      <c r="G97" s="12"/>
      <c r="H97" s="12"/>
      <c r="I97" s="12"/>
    </row>
    <row r="98" spans="1:9" ht="16.5">
      <c r="A98" s="12"/>
      <c r="B98" s="12"/>
      <c r="C98" s="12"/>
      <c r="D98" s="12"/>
      <c r="E98" s="12"/>
      <c r="F98" s="12"/>
      <c r="G98" s="12"/>
      <c r="H98" s="12"/>
      <c r="I98" s="12"/>
    </row>
    <row r="99" spans="1:9" ht="16.5">
      <c r="A99" s="12"/>
      <c r="B99" s="12"/>
      <c r="C99" s="12"/>
      <c r="D99" s="12"/>
      <c r="E99" s="12"/>
      <c r="F99" s="12"/>
      <c r="G99" s="12"/>
      <c r="H99" s="12"/>
      <c r="I99" s="12"/>
    </row>
    <row r="100" spans="1:9" ht="16.5">
      <c r="A100" s="12"/>
      <c r="B100" s="12"/>
      <c r="C100" s="12"/>
      <c r="D100" s="12"/>
      <c r="E100" s="12"/>
      <c r="F100" s="12"/>
      <c r="G100" s="12"/>
      <c r="H100" s="12"/>
      <c r="I100" s="12"/>
    </row>
    <row r="101" spans="1:9" ht="16.5">
      <c r="A101" s="12"/>
      <c r="B101" s="12"/>
      <c r="C101" s="12"/>
      <c r="D101" s="12"/>
      <c r="E101" s="12"/>
      <c r="F101" s="12"/>
      <c r="G101" s="12"/>
      <c r="H101" s="12"/>
      <c r="I101" s="12"/>
    </row>
    <row r="102" spans="1:9" ht="16.5">
      <c r="A102" s="12"/>
      <c r="B102" s="12"/>
      <c r="C102" s="12"/>
      <c r="D102" s="12"/>
      <c r="E102" s="12"/>
      <c r="F102" s="12"/>
      <c r="G102" s="12"/>
      <c r="H102" s="12"/>
      <c r="I102" s="12"/>
    </row>
    <row r="103" spans="1:9" ht="16.5">
      <c r="A103" s="12"/>
      <c r="B103" s="12"/>
      <c r="C103" s="12"/>
      <c r="D103" s="12"/>
      <c r="E103" s="12"/>
      <c r="F103" s="12"/>
      <c r="G103" s="12"/>
      <c r="H103" s="12"/>
      <c r="I103" s="12"/>
    </row>
    <row r="104" spans="1:9" ht="16.5">
      <c r="A104" s="12"/>
      <c r="B104" s="12"/>
      <c r="C104" s="12"/>
      <c r="D104" s="12"/>
      <c r="E104" s="12"/>
      <c r="F104" s="12"/>
      <c r="G104" s="12"/>
      <c r="H104" s="12"/>
      <c r="I104" s="12"/>
    </row>
    <row r="105" spans="1:9" ht="16.5">
      <c r="A105" s="12"/>
      <c r="B105" s="12"/>
      <c r="C105" s="12"/>
      <c r="D105" s="12"/>
      <c r="E105" s="12"/>
      <c r="F105" s="12"/>
      <c r="G105" s="12"/>
      <c r="H105" s="12"/>
      <c r="I105" s="12"/>
    </row>
    <row r="106" spans="1:9" ht="16.5">
      <c r="A106" s="12"/>
      <c r="B106" s="12"/>
      <c r="C106" s="12"/>
      <c r="D106" s="12"/>
      <c r="E106" s="12"/>
      <c r="F106" s="12"/>
      <c r="G106" s="12"/>
      <c r="H106" s="12"/>
      <c r="I106" s="12"/>
    </row>
  </sheetData>
  <pageMargins left="0.25" right="0.25" top="0.75" bottom="0.75" header="0.3" footer="0.3"/>
  <pageSetup scale="4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EEAA8-BBA3-479C-8851-708BD7E9A4CD}">
  <sheetPr>
    <tabColor rgb="FF92D050"/>
  </sheetPr>
  <dimension ref="A1:K46"/>
  <sheetViews>
    <sheetView view="pageBreakPreview" zoomScale="70" zoomScaleNormal="80" zoomScaleSheetLayoutView="70" workbookViewId="0">
      <selection activeCell="K39" sqref="K39"/>
    </sheetView>
  </sheetViews>
  <sheetFormatPr defaultRowHeight="15"/>
  <cols>
    <col min="1" max="1" width="47.42578125" customWidth="1"/>
    <col min="2" max="2" width="10.85546875" bestFit="1" customWidth="1"/>
    <col min="3" max="3" width="19.140625" bestFit="1" customWidth="1"/>
    <col min="4" max="4" width="15.28515625" customWidth="1"/>
    <col min="5" max="5" width="27.140625" customWidth="1"/>
    <col min="6" max="6" width="22" customWidth="1"/>
    <col min="7" max="7" width="29.28515625" customWidth="1"/>
    <col min="8" max="8" width="37" customWidth="1"/>
    <col min="9" max="9" width="24.5703125" customWidth="1"/>
    <col min="10" max="10" width="24.140625" customWidth="1"/>
    <col min="12" max="12" width="10.5703125" customWidth="1"/>
  </cols>
  <sheetData>
    <row r="1" spans="1:11" ht="26.25">
      <c r="A1" s="24" t="s">
        <v>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7.25">
      <c r="A2" s="25" t="s">
        <v>9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6.5">
      <c r="A3" s="26" t="s">
        <v>441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6.5">
      <c r="A4" s="26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7.25" thickBot="1">
      <c r="A5" s="12"/>
      <c r="B5" s="12"/>
      <c r="C5" s="12"/>
      <c r="D5" s="12"/>
      <c r="E5" s="12"/>
      <c r="F5" s="12"/>
      <c r="G5" s="12"/>
      <c r="H5" s="27"/>
      <c r="I5" s="12"/>
      <c r="J5" s="12"/>
      <c r="K5" s="12"/>
    </row>
    <row r="6" spans="1:11" ht="18" thickBot="1">
      <c r="A6" s="241" t="str">
        <f>+'S&amp;D'!A12</f>
        <v>Electric Wholesale (non-regulated) Power Generator</v>
      </c>
      <c r="B6" s="176"/>
      <c r="C6" s="12"/>
      <c r="D6" s="29"/>
      <c r="E6" s="29"/>
      <c r="F6" s="29"/>
      <c r="G6" s="30" t="s">
        <v>0</v>
      </c>
      <c r="H6" s="29"/>
      <c r="I6" s="12"/>
      <c r="J6" s="12"/>
      <c r="K6" s="12"/>
    </row>
    <row r="7" spans="1:11" ht="26.25">
      <c r="A7" s="31"/>
      <c r="B7" s="12"/>
      <c r="C7" s="12"/>
      <c r="D7" s="12"/>
      <c r="E7" s="12"/>
      <c r="F7" s="32" t="s">
        <v>369</v>
      </c>
      <c r="G7" s="12"/>
      <c r="H7" s="12"/>
      <c r="I7" s="12"/>
      <c r="J7" s="12"/>
      <c r="K7" s="12"/>
    </row>
    <row r="8" spans="1:11" ht="21" thickBot="1">
      <c r="A8" s="31"/>
      <c r="B8" s="12"/>
      <c r="C8" s="12"/>
      <c r="D8" s="29"/>
      <c r="E8" s="29"/>
      <c r="F8" s="33" t="s">
        <v>442</v>
      </c>
      <c r="G8" s="29"/>
      <c r="H8" s="29"/>
      <c r="I8" s="12"/>
      <c r="J8" s="12"/>
      <c r="K8" s="12"/>
    </row>
    <row r="9" spans="1:11" ht="17.25" thickBot="1">
      <c r="A9" s="34" t="s">
        <v>0</v>
      </c>
      <c r="B9" s="34" t="s">
        <v>0</v>
      </c>
      <c r="C9" s="34" t="s">
        <v>0</v>
      </c>
      <c r="D9" s="29"/>
      <c r="E9" s="34"/>
      <c r="F9" s="34" t="s">
        <v>0</v>
      </c>
      <c r="G9" s="34"/>
      <c r="H9" s="29"/>
      <c r="I9" s="29"/>
      <c r="J9" s="29"/>
      <c r="K9" s="12"/>
    </row>
    <row r="10" spans="1:11" ht="16.5">
      <c r="A10" s="35" t="s">
        <v>0</v>
      </c>
      <c r="B10" s="35" t="s">
        <v>3</v>
      </c>
      <c r="C10" s="35" t="s">
        <v>5</v>
      </c>
      <c r="D10" s="35" t="s">
        <v>168</v>
      </c>
      <c r="E10" s="35" t="s">
        <v>12</v>
      </c>
      <c r="F10" s="35" t="s">
        <v>180</v>
      </c>
      <c r="G10" s="35" t="s">
        <v>181</v>
      </c>
      <c r="H10" s="35" t="s">
        <v>181</v>
      </c>
      <c r="I10" s="35" t="s">
        <v>177</v>
      </c>
      <c r="J10" s="35" t="s">
        <v>177</v>
      </c>
      <c r="K10" s="12"/>
    </row>
    <row r="11" spans="1:11" ht="16.5">
      <c r="A11" s="35" t="s">
        <v>2</v>
      </c>
      <c r="B11" s="35" t="s">
        <v>4</v>
      </c>
      <c r="C11" s="35" t="s">
        <v>6</v>
      </c>
      <c r="D11" s="35" t="s">
        <v>209</v>
      </c>
      <c r="E11" s="35" t="s">
        <v>14</v>
      </c>
      <c r="F11" s="35" t="s">
        <v>350</v>
      </c>
      <c r="G11" s="35" t="s">
        <v>210</v>
      </c>
      <c r="H11" s="35" t="s">
        <v>211</v>
      </c>
      <c r="I11" s="35" t="s">
        <v>171</v>
      </c>
      <c r="J11" s="35" t="s">
        <v>175</v>
      </c>
      <c r="K11" s="12"/>
    </row>
    <row r="12" spans="1:11" ht="16.5">
      <c r="A12" s="35"/>
      <c r="B12" s="35"/>
      <c r="C12" s="35"/>
      <c r="D12" s="35"/>
      <c r="E12" s="35"/>
      <c r="F12" s="36" t="s">
        <v>0</v>
      </c>
      <c r="G12" s="36" t="s">
        <v>502</v>
      </c>
      <c r="H12" s="36" t="s">
        <v>502</v>
      </c>
      <c r="I12" s="35"/>
      <c r="J12" s="35"/>
      <c r="K12" s="12"/>
    </row>
    <row r="13" spans="1:11" ht="17.25" thickBot="1">
      <c r="A13" s="37" t="s">
        <v>0</v>
      </c>
      <c r="B13" s="38" t="s">
        <v>101</v>
      </c>
      <c r="C13" s="38" t="s">
        <v>102</v>
      </c>
      <c r="D13" s="38" t="s">
        <v>103</v>
      </c>
      <c r="E13" s="38" t="s">
        <v>104</v>
      </c>
      <c r="F13" s="38" t="s">
        <v>105</v>
      </c>
      <c r="G13" s="38" t="s">
        <v>106</v>
      </c>
      <c r="H13" s="38" t="s">
        <v>107</v>
      </c>
      <c r="I13" s="38" t="s">
        <v>178</v>
      </c>
      <c r="J13" s="38" t="s">
        <v>179</v>
      </c>
      <c r="K13" s="12"/>
    </row>
    <row r="14" spans="1:11" ht="16.5">
      <c r="A14" s="39" t="s">
        <v>7</v>
      </c>
      <c r="B14" s="39" t="s">
        <v>7</v>
      </c>
      <c r="C14" s="39" t="s">
        <v>7</v>
      </c>
      <c r="D14" s="40" t="s">
        <v>125</v>
      </c>
      <c r="E14" s="40"/>
      <c r="F14" s="39" t="s">
        <v>7</v>
      </c>
      <c r="G14" s="39" t="s">
        <v>7</v>
      </c>
      <c r="H14" s="39" t="s">
        <v>7</v>
      </c>
      <c r="I14" s="39" t="s">
        <v>0</v>
      </c>
      <c r="J14" s="39" t="s">
        <v>0</v>
      </c>
      <c r="K14" s="12"/>
    </row>
    <row r="15" spans="1:11" ht="16.5">
      <c r="A15" s="35"/>
      <c r="B15" s="35"/>
      <c r="C15" s="35"/>
      <c r="D15" s="35"/>
      <c r="E15" s="35"/>
      <c r="F15" s="35"/>
      <c r="G15" s="35"/>
      <c r="H15" s="12"/>
      <c r="I15" s="12"/>
      <c r="J15" s="12"/>
      <c r="K15" s="12"/>
    </row>
    <row r="16" spans="1:11" ht="16.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7.25">
      <c r="A17" s="44" t="str">
        <f>+'S&amp;D'!A22</f>
        <v>AES CORPORATION</v>
      </c>
      <c r="B17" s="35" t="str">
        <f>+'S&amp;D'!B22</f>
        <v>AES</v>
      </c>
      <c r="C17" s="35" t="str">
        <f>+'S&amp;D'!C22</f>
        <v>Power Electric</v>
      </c>
      <c r="D17" s="60">
        <f>+'S&amp;D'!G22</f>
        <v>12.87</v>
      </c>
      <c r="E17" s="61">
        <f>+'S&amp;D'!D38</f>
        <v>9151525842.0299988</v>
      </c>
      <c r="F17" s="54">
        <f>+'Dividends '!H16</f>
        <v>5.5167055167055168E-2</v>
      </c>
      <c r="G17" s="54">
        <v>0.03</v>
      </c>
      <c r="H17" s="284">
        <v>0</v>
      </c>
      <c r="I17" s="326">
        <f t="shared" ref="I17" si="0">+F17+G17</f>
        <v>8.5167055167055167E-2</v>
      </c>
      <c r="J17" s="326">
        <f t="shared" ref="J17" si="1">+F17+H17</f>
        <v>5.5167055167055168E-2</v>
      </c>
      <c r="K17" s="12"/>
    </row>
    <row r="18" spans="1:11" ht="17.25">
      <c r="A18" s="44" t="str">
        <f>+'S&amp;D'!A23</f>
        <v>DOMINION ENERGY INC</v>
      </c>
      <c r="B18" s="35" t="str">
        <f>+'S&amp;D'!B23</f>
        <v>D</v>
      </c>
      <c r="C18" s="35" t="str">
        <f>+'S&amp;D'!C23</f>
        <v>Electric - East</v>
      </c>
      <c r="D18" s="60">
        <f>+'S&amp;D'!G23</f>
        <v>53.86</v>
      </c>
      <c r="E18" s="61">
        <f>+'S&amp;D'!D39</f>
        <v>45888720000</v>
      </c>
      <c r="F18" s="54">
        <f>+'Dividends '!H17</f>
        <v>4.9572966951355366E-2</v>
      </c>
      <c r="G18" s="54">
        <v>5.0000000000000001E-3</v>
      </c>
      <c r="H18" s="54">
        <v>3.5000000000000003E-2</v>
      </c>
      <c r="I18" s="326">
        <f t="shared" ref="I18:I19" si="2">+F18+G18</f>
        <v>5.4572966951355363E-2</v>
      </c>
      <c r="J18" s="326">
        <f t="shared" ref="J18:J19" si="3">+F18+H18</f>
        <v>8.4572966951355369E-2</v>
      </c>
      <c r="K18" s="12"/>
    </row>
    <row r="19" spans="1:11" ht="17.25">
      <c r="A19" s="44" t="str">
        <f>+'S&amp;D'!A24</f>
        <v>CONSTELLATION ENERGY GENERATION LLC</v>
      </c>
      <c r="B19" s="35" t="str">
        <f>+'S&amp;D'!B24</f>
        <v>CEG</v>
      </c>
      <c r="C19" s="35" t="str">
        <f>+'S&amp;D'!C24</f>
        <v>Power Electric</v>
      </c>
      <c r="D19" s="60">
        <f>+'S&amp;D'!G24</f>
        <v>223.71</v>
      </c>
      <c r="E19" s="61">
        <f>+'S&amp;D'!D40</f>
        <v>70021230000</v>
      </c>
      <c r="F19" s="54">
        <f>+'Dividends '!H18</f>
        <v>7.5991238657190105E-3</v>
      </c>
      <c r="G19" s="54">
        <v>0.14000000000000001</v>
      </c>
      <c r="H19" s="54">
        <v>0.17</v>
      </c>
      <c r="I19" s="326">
        <f t="shared" si="2"/>
        <v>0.14759912386571902</v>
      </c>
      <c r="J19" s="326">
        <f t="shared" si="3"/>
        <v>0.17759912386571902</v>
      </c>
      <c r="K19" s="12"/>
    </row>
    <row r="20" spans="1:11" ht="17.25">
      <c r="A20" s="44" t="str">
        <f>+'S&amp;D'!A25</f>
        <v>NEXTERA ENERGY INC</v>
      </c>
      <c r="B20" s="35" t="str">
        <f>+'S&amp;D'!B25</f>
        <v>NEE</v>
      </c>
      <c r="C20" s="35" t="str">
        <f>+'S&amp;D'!C25</f>
        <v>Electric - East</v>
      </c>
      <c r="D20" s="60">
        <f>+'S&amp;D'!G25</f>
        <v>71.69</v>
      </c>
      <c r="E20" s="61">
        <f>+'S&amp;D'!D41</f>
        <v>147107880000</v>
      </c>
      <c r="F20" s="54">
        <f>+'Dividends '!H19</f>
        <v>3.487236713628121E-2</v>
      </c>
      <c r="G20" s="54">
        <v>9.5000000000000001E-2</v>
      </c>
      <c r="H20" s="54">
        <v>8.5000000000000006E-2</v>
      </c>
      <c r="I20" s="326">
        <f t="shared" ref="I20:I21" si="4">+F20+G20</f>
        <v>0.1298723671362812</v>
      </c>
      <c r="J20" s="326">
        <f t="shared" ref="J20:J21" si="5">+F20+H20</f>
        <v>0.11987236713628122</v>
      </c>
      <c r="K20" s="12"/>
    </row>
    <row r="21" spans="1:11" ht="17.25">
      <c r="A21" s="44" t="str">
        <f>+'S&amp;D'!A26</f>
        <v>NRG ENERGY</v>
      </c>
      <c r="B21" s="35" t="str">
        <f>+'S&amp;D'!B26</f>
        <v>NRG</v>
      </c>
      <c r="C21" s="35" t="str">
        <f>+'S&amp;D'!C26</f>
        <v>Power Electric</v>
      </c>
      <c r="D21" s="60">
        <f>+'S&amp;D'!G26</f>
        <v>90.22</v>
      </c>
      <c r="E21" s="61">
        <f>+'S&amp;D'!D42</f>
        <v>17918089238.66</v>
      </c>
      <c r="F21" s="54">
        <f>+'Dividends '!H20</f>
        <v>2.0837951673686544E-2</v>
      </c>
      <c r="G21" s="54">
        <v>7.0000000000000007E-2</v>
      </c>
      <c r="H21" s="54">
        <v>0.185</v>
      </c>
      <c r="I21" s="326">
        <f t="shared" si="4"/>
        <v>9.0837951673686551E-2</v>
      </c>
      <c r="J21" s="326">
        <f t="shared" si="5"/>
        <v>0.20583795167368654</v>
      </c>
      <c r="K21" s="12"/>
    </row>
    <row r="22" spans="1:11" ht="17.25">
      <c r="A22" s="44" t="str">
        <f>+'S&amp;D'!A27</f>
        <v>SOUTHERN COMPANY</v>
      </c>
      <c r="B22" s="35" t="str">
        <f>+'S&amp;D'!B27</f>
        <v>SO</v>
      </c>
      <c r="C22" s="35" t="str">
        <f>+'S&amp;D'!C27</f>
        <v>Electric - East</v>
      </c>
      <c r="D22" s="60">
        <f>+'S&amp;D'!G27</f>
        <v>82.32</v>
      </c>
      <c r="E22" s="61">
        <f>+'S&amp;D'!D43</f>
        <v>90469680000</v>
      </c>
      <c r="F22" s="54">
        <f>+'Dividends '!H21</f>
        <v>3.7050534499514093E-2</v>
      </c>
      <c r="G22" s="54">
        <v>3.5000000000000003E-2</v>
      </c>
      <c r="H22" s="54">
        <v>6.5000000000000002E-2</v>
      </c>
      <c r="I22" s="326">
        <f>+F22+G22</f>
        <v>7.2050534499514096E-2</v>
      </c>
      <c r="J22" s="326">
        <f>+F22+H22</f>
        <v>0.1020505344995141</v>
      </c>
      <c r="K22" s="12"/>
    </row>
    <row r="23" spans="1:11" ht="18" thickBot="1">
      <c r="A23" s="44" t="str">
        <f>+'S&amp;D'!A28</f>
        <v>VISTRA ENERGY CORPORATION</v>
      </c>
      <c r="B23" s="35" t="str">
        <f>+'S&amp;D'!B28</f>
        <v>VST</v>
      </c>
      <c r="C23" s="35" t="str">
        <f>+'S&amp;D'!C28</f>
        <v>Power Electric</v>
      </c>
      <c r="D23" s="60">
        <f>+'S&amp;D'!G28</f>
        <v>137.87</v>
      </c>
      <c r="E23" s="61">
        <f>+'S&amp;D'!D44</f>
        <v>46841926306.090004</v>
      </c>
      <c r="F23" s="327">
        <f>+'Dividends '!H22</f>
        <v>8.7038514542685137E-3</v>
      </c>
      <c r="G23" s="327">
        <v>0.115</v>
      </c>
      <c r="H23" s="328" t="s">
        <v>503</v>
      </c>
      <c r="I23" s="329">
        <f>+F23+G23</f>
        <v>0.12370385145426852</v>
      </c>
      <c r="J23" s="329" t="s">
        <v>438</v>
      </c>
      <c r="K23" s="12"/>
    </row>
    <row r="24" spans="1:11" ht="17.25" thickTop="1">
      <c r="A24" s="12"/>
      <c r="B24" s="12"/>
      <c r="C24" s="14" t="s">
        <v>0</v>
      </c>
      <c r="D24" s="15" t="s">
        <v>0</v>
      </c>
      <c r="E24" s="15" t="s">
        <v>53</v>
      </c>
      <c r="F24" s="381">
        <f>MAX(F17:F23)</f>
        <v>5.5167055167055168E-2</v>
      </c>
      <c r="G24" s="271">
        <f t="shared" ref="G24:J24" si="6">MAX(G17:G23)</f>
        <v>0.14000000000000001</v>
      </c>
      <c r="H24" s="16">
        <f t="shared" si="6"/>
        <v>0.185</v>
      </c>
      <c r="I24" s="16">
        <f t="shared" si="6"/>
        <v>0.14759912386571902</v>
      </c>
      <c r="J24" s="16">
        <f t="shared" si="6"/>
        <v>0.20583795167368654</v>
      </c>
      <c r="K24" s="12"/>
    </row>
    <row r="25" spans="1:11" ht="16.5">
      <c r="A25" s="12"/>
      <c r="B25" s="12"/>
      <c r="C25" s="14"/>
      <c r="D25" s="15"/>
      <c r="E25" s="15" t="s">
        <v>54</v>
      </c>
      <c r="F25" s="382">
        <f>MIN(F17:F23)</f>
        <v>7.5991238657190105E-3</v>
      </c>
      <c r="G25" s="296">
        <f t="shared" ref="G25:J25" si="7">MIN(G17:G23)</f>
        <v>5.0000000000000001E-3</v>
      </c>
      <c r="H25" s="295">
        <f t="shared" si="7"/>
        <v>0</v>
      </c>
      <c r="I25" s="295">
        <f t="shared" si="7"/>
        <v>5.4572966951355363E-2</v>
      </c>
      <c r="J25" s="295">
        <f t="shared" si="7"/>
        <v>5.5167055167055168E-2</v>
      </c>
      <c r="K25" s="12"/>
    </row>
    <row r="26" spans="1:11" ht="16.5">
      <c r="A26" s="12"/>
      <c r="B26" s="12"/>
      <c r="D26" s="17" t="s">
        <v>0</v>
      </c>
      <c r="E26" s="14" t="s">
        <v>18</v>
      </c>
      <c r="F26" s="56">
        <f>MEDIAN(F17:F23)</f>
        <v>3.487236713628121E-2</v>
      </c>
      <c r="G26" s="50">
        <f>MEDIAN(G17:G23)</f>
        <v>7.0000000000000007E-2</v>
      </c>
      <c r="H26" s="50">
        <f>MEDIAN(H17:H23)</f>
        <v>7.5000000000000011E-2</v>
      </c>
      <c r="I26" s="51">
        <f>MEDIAN(I17:I23)</f>
        <v>9.0837951673686551E-2</v>
      </c>
      <c r="J26" s="51">
        <f>MEDIAN(J17:J23)</f>
        <v>0.11096145081789766</v>
      </c>
      <c r="K26" s="12"/>
    </row>
    <row r="27" spans="1:11" ht="16.5">
      <c r="A27" s="12"/>
      <c r="B27" s="12"/>
      <c r="D27" s="21" t="s">
        <v>0</v>
      </c>
      <c r="E27" s="14" t="s">
        <v>377</v>
      </c>
      <c r="F27" s="56">
        <f>AVERAGE(F17:F23)</f>
        <v>3.0543407249697129E-2</v>
      </c>
      <c r="G27" s="56">
        <f>AVERAGE(G17:G23)</f>
        <v>6.9999999999999993E-2</v>
      </c>
      <c r="H27" s="50">
        <f>AVERAGE(H17:H23)</f>
        <v>9.0000000000000011E-2</v>
      </c>
      <c r="I27" s="51">
        <f>AVERAGE(I17:I23)</f>
        <v>0.10054340724969713</v>
      </c>
      <c r="J27" s="51">
        <f>AVERAGE(J17:J23)</f>
        <v>0.12418333321560189</v>
      </c>
      <c r="K27" s="12"/>
    </row>
    <row r="28" spans="1:11" ht="16.5">
      <c r="A28" s="12"/>
      <c r="B28" s="12"/>
      <c r="C28" s="14"/>
      <c r="D28" s="21"/>
      <c r="E28" s="22"/>
      <c r="F28" s="18"/>
      <c r="G28" s="18"/>
      <c r="H28" s="19"/>
      <c r="I28" s="20"/>
      <c r="J28" s="20"/>
      <c r="K28" s="12"/>
    </row>
    <row r="29" spans="1:11" ht="17.25" thickBo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ht="27" thickBot="1">
      <c r="A30" s="12"/>
      <c r="B30" s="12"/>
      <c r="C30" s="12"/>
      <c r="D30" s="12"/>
      <c r="E30" s="12"/>
      <c r="F30" s="12"/>
      <c r="G30" s="173" t="s">
        <v>183</v>
      </c>
      <c r="H30" s="175"/>
      <c r="I30" s="342">
        <v>0.10050000000000001</v>
      </c>
      <c r="J30" s="12"/>
      <c r="K30" s="12"/>
    </row>
    <row r="31" spans="1:11" ht="17.25" thickBo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 ht="27" thickBot="1">
      <c r="A32" s="12"/>
      <c r="B32" s="12"/>
      <c r="C32" s="12"/>
      <c r="D32" s="12"/>
      <c r="E32" s="12"/>
      <c r="F32" s="12"/>
      <c r="G32" s="173" t="s">
        <v>182</v>
      </c>
      <c r="H32" s="176"/>
      <c r="I32" s="342">
        <v>0.1242</v>
      </c>
      <c r="J32" s="12"/>
      <c r="K32" s="12"/>
    </row>
    <row r="33" spans="1:10" ht="16.5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spans="1:10" ht="26.25">
      <c r="A34" s="24" t="s">
        <v>342</v>
      </c>
      <c r="B34" s="12"/>
      <c r="C34" s="24" t="s">
        <v>343</v>
      </c>
      <c r="D34" s="12"/>
      <c r="E34" s="12"/>
      <c r="F34" s="12"/>
      <c r="G34" s="12"/>
      <c r="H34" s="12"/>
      <c r="I34" s="12"/>
      <c r="J34" s="12"/>
    </row>
    <row r="35" spans="1:10" ht="17.25">
      <c r="A35" s="63" t="s">
        <v>344</v>
      </c>
      <c r="B35" s="12"/>
      <c r="C35" s="63" t="s">
        <v>344</v>
      </c>
      <c r="D35" s="12"/>
      <c r="E35" s="12"/>
      <c r="F35" s="12"/>
      <c r="G35" s="12"/>
      <c r="H35" s="12"/>
      <c r="I35" s="12"/>
      <c r="J35" s="12"/>
    </row>
    <row r="36" spans="1:10" ht="17.25">
      <c r="A36" s="63" t="s">
        <v>345</v>
      </c>
      <c r="B36" s="12"/>
      <c r="C36" s="63" t="s">
        <v>346</v>
      </c>
      <c r="D36" s="12"/>
      <c r="E36" s="12"/>
      <c r="F36" s="12"/>
      <c r="G36" s="12"/>
      <c r="H36" s="12"/>
      <c r="I36" s="12"/>
      <c r="J36" s="12"/>
    </row>
    <row r="37" spans="1:10" ht="16.5">
      <c r="A37" s="44"/>
      <c r="B37" s="12"/>
      <c r="C37" s="44"/>
      <c r="D37" s="12"/>
      <c r="E37" s="12"/>
      <c r="F37" s="12"/>
      <c r="G37" s="12"/>
      <c r="H37" s="12"/>
      <c r="I37" s="12"/>
      <c r="J37" s="12"/>
    </row>
    <row r="38" spans="1:10" ht="16.5">
      <c r="A38" s="44"/>
      <c r="B38" s="12"/>
      <c r="C38" s="44"/>
      <c r="D38" s="12"/>
      <c r="E38" s="12"/>
      <c r="F38" s="12"/>
      <c r="G38" s="12"/>
      <c r="H38" s="12"/>
      <c r="I38" s="12"/>
      <c r="J38" s="12"/>
    </row>
    <row r="39" spans="1:10" ht="26.25">
      <c r="A39" s="24" t="s">
        <v>206</v>
      </c>
      <c r="B39" s="12"/>
      <c r="C39" s="24" t="s">
        <v>206</v>
      </c>
      <c r="D39" s="12"/>
      <c r="E39" s="12"/>
      <c r="F39" s="12"/>
      <c r="G39" s="12"/>
      <c r="H39" s="12"/>
      <c r="I39" s="12"/>
      <c r="J39" s="12"/>
    </row>
    <row r="40" spans="1:10" ht="16.5">
      <c r="A40" s="44"/>
      <c r="B40" s="12"/>
      <c r="C40" s="44"/>
      <c r="D40" s="12"/>
      <c r="E40" s="12"/>
      <c r="F40" s="12"/>
      <c r="H40" s="12"/>
      <c r="I40" s="12"/>
      <c r="J40" s="12"/>
    </row>
    <row r="41" spans="1:10" ht="17.25">
      <c r="A41" s="63" t="s">
        <v>207</v>
      </c>
      <c r="B41" s="12"/>
      <c r="C41" s="63" t="s">
        <v>207</v>
      </c>
      <c r="D41" s="12"/>
      <c r="E41" s="12"/>
      <c r="F41" s="12"/>
      <c r="G41" s="12"/>
      <c r="H41" s="12"/>
      <c r="I41" s="12"/>
      <c r="J41" s="12"/>
    </row>
    <row r="42" spans="1:10" ht="17.25">
      <c r="A42" s="63" t="s">
        <v>205</v>
      </c>
      <c r="B42" s="12"/>
      <c r="C42" s="63" t="s">
        <v>205</v>
      </c>
      <c r="D42" s="12"/>
      <c r="E42" s="12"/>
      <c r="F42" s="12"/>
      <c r="G42" s="12"/>
      <c r="H42" s="12"/>
      <c r="I42" s="12"/>
      <c r="J42" s="12"/>
    </row>
    <row r="43" spans="1:10" ht="17.25">
      <c r="A43" s="63" t="s">
        <v>208</v>
      </c>
      <c r="B43" s="12"/>
      <c r="C43" s="63" t="s">
        <v>208</v>
      </c>
      <c r="D43" s="12"/>
      <c r="E43" s="12"/>
      <c r="F43" s="12"/>
      <c r="G43" s="12"/>
      <c r="H43" s="12"/>
      <c r="I43" s="12"/>
      <c r="J43" s="12"/>
    </row>
    <row r="44" spans="1:10" ht="17.25">
      <c r="A44" s="63" t="s">
        <v>347</v>
      </c>
      <c r="B44" s="12"/>
      <c r="C44" s="63" t="s">
        <v>348</v>
      </c>
      <c r="D44" s="12"/>
      <c r="E44" s="12"/>
      <c r="F44" s="12"/>
      <c r="G44" s="12"/>
      <c r="H44" s="12"/>
      <c r="I44" s="12"/>
      <c r="J44" s="12"/>
    </row>
    <row r="45" spans="1:10" ht="17.25">
      <c r="A45" s="63"/>
      <c r="B45" s="12"/>
      <c r="C45" s="63"/>
      <c r="D45" s="12"/>
      <c r="E45" s="12"/>
      <c r="F45" s="12"/>
      <c r="G45" s="12"/>
      <c r="H45" s="12"/>
      <c r="I45" s="12"/>
      <c r="J45" s="12"/>
    </row>
    <row r="46" spans="1:10" ht="17.25">
      <c r="A46" s="63"/>
      <c r="B46" s="12"/>
      <c r="C46" s="63"/>
      <c r="D46" s="12"/>
      <c r="E46" s="12"/>
      <c r="F46" s="12"/>
      <c r="G46" s="12"/>
      <c r="H46" s="12"/>
      <c r="I46" s="12"/>
      <c r="J46" s="12"/>
    </row>
  </sheetData>
  <phoneticPr fontId="85" type="noConversion"/>
  <pageMargins left="0.25" right="0.25" top="0.75" bottom="0.75" header="0.3" footer="0.3"/>
  <pageSetup scale="5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150D5-3409-4DE1-88B0-B66A1BCAC2E5}">
  <sheetPr>
    <tabColor rgb="FF92D050"/>
  </sheetPr>
  <dimension ref="A1:K113"/>
  <sheetViews>
    <sheetView view="pageBreakPreview" topLeftCell="A11" zoomScale="70" zoomScaleNormal="80" zoomScaleSheetLayoutView="70" workbookViewId="0">
      <selection activeCell="E25" sqref="E25"/>
    </sheetView>
  </sheetViews>
  <sheetFormatPr defaultRowHeight="15"/>
  <cols>
    <col min="1" max="1" width="50.28515625" customWidth="1"/>
    <col min="2" max="2" width="16.7109375" customWidth="1"/>
    <col min="3" max="3" width="24.5703125" customWidth="1"/>
    <col min="4" max="4" width="26.5703125" customWidth="1"/>
    <col min="5" max="5" width="30.7109375" customWidth="1"/>
    <col min="6" max="6" width="22.42578125" customWidth="1"/>
    <col min="7" max="7" width="27" customWidth="1"/>
    <col min="8" max="8" width="43" customWidth="1"/>
    <col min="9" max="9" width="15.28515625" customWidth="1"/>
    <col min="10" max="10" width="24.5703125" customWidth="1"/>
    <col min="11" max="11" width="24.140625" customWidth="1"/>
    <col min="13" max="13" width="10.5703125" customWidth="1"/>
  </cols>
  <sheetData>
    <row r="1" spans="1:9" ht="26.25">
      <c r="A1" s="24" t="s">
        <v>1</v>
      </c>
      <c r="B1" s="12"/>
      <c r="C1" s="12"/>
      <c r="D1" s="12"/>
      <c r="E1" s="12"/>
      <c r="F1" s="12"/>
      <c r="G1" s="12"/>
      <c r="H1" s="12"/>
      <c r="I1" s="12"/>
    </row>
    <row r="2" spans="1:9" ht="17.25">
      <c r="A2" s="25" t="s">
        <v>9</v>
      </c>
      <c r="B2" s="12"/>
      <c r="C2" s="12"/>
      <c r="D2" s="12"/>
      <c r="E2" s="12"/>
      <c r="F2" s="12"/>
      <c r="G2" s="12"/>
      <c r="H2" s="12"/>
      <c r="I2" s="12"/>
    </row>
    <row r="3" spans="1:9" ht="16.5">
      <c r="A3" s="26" t="s">
        <v>441</v>
      </c>
      <c r="B3" s="12"/>
      <c r="C3" s="12"/>
      <c r="D3" s="12"/>
      <c r="E3" s="12"/>
      <c r="F3" s="12"/>
      <c r="G3" s="12"/>
      <c r="H3" s="12"/>
      <c r="I3" s="12"/>
    </row>
    <row r="4" spans="1:9" ht="16.5">
      <c r="A4" s="26"/>
      <c r="B4" s="12"/>
      <c r="C4" s="12"/>
      <c r="D4" s="12"/>
      <c r="E4" s="12"/>
      <c r="F4" s="12"/>
      <c r="G4" s="12"/>
      <c r="H4" s="12"/>
      <c r="I4" s="12"/>
    </row>
    <row r="5" spans="1:9" ht="17.25" thickBot="1">
      <c r="A5" s="12"/>
      <c r="B5" s="12"/>
      <c r="C5" s="12"/>
      <c r="D5" s="12"/>
      <c r="E5" s="12"/>
      <c r="F5" s="12"/>
      <c r="G5" s="12"/>
      <c r="H5" s="12"/>
      <c r="I5" s="27"/>
    </row>
    <row r="6" spans="1:9" ht="21" thickBot="1">
      <c r="A6" s="239" t="str">
        <f>+'S&amp;D'!A12</f>
        <v>Electric Wholesale (non-regulated) Power Generator</v>
      </c>
      <c r="B6" s="176"/>
      <c r="C6" s="12"/>
      <c r="D6" s="12"/>
      <c r="E6" s="12"/>
      <c r="F6" s="12"/>
      <c r="G6" s="12"/>
      <c r="H6" s="12"/>
      <c r="I6" s="12"/>
    </row>
    <row r="7" spans="1:9" ht="20.25">
      <c r="A7" s="31"/>
      <c r="B7" s="12"/>
      <c r="C7" s="12"/>
      <c r="D7" s="12"/>
      <c r="E7" s="12"/>
      <c r="F7" s="12"/>
      <c r="G7" s="12"/>
      <c r="H7" s="12"/>
      <c r="I7" s="12"/>
    </row>
    <row r="8" spans="1:9" ht="21" thickBot="1">
      <c r="A8" s="31"/>
      <c r="B8" s="12"/>
      <c r="C8" s="12"/>
      <c r="D8" s="29"/>
      <c r="E8" s="29"/>
      <c r="F8" s="29"/>
      <c r="G8" s="12"/>
      <c r="H8" s="12"/>
      <c r="I8" s="12"/>
    </row>
    <row r="9" spans="1:9" ht="26.25">
      <c r="A9" s="31"/>
      <c r="B9" s="12"/>
      <c r="C9" s="12"/>
      <c r="D9" s="12"/>
      <c r="E9" s="32" t="s">
        <v>184</v>
      </c>
      <c r="F9" s="12"/>
      <c r="G9" s="12"/>
      <c r="H9" s="12"/>
      <c r="I9" s="12"/>
    </row>
    <row r="10" spans="1:9" ht="21" thickBot="1">
      <c r="A10" s="31"/>
      <c r="B10" s="12"/>
      <c r="C10" s="12"/>
      <c r="D10" s="29"/>
      <c r="E10" s="33" t="s">
        <v>442</v>
      </c>
      <c r="F10" s="29"/>
      <c r="G10" s="12"/>
      <c r="H10" s="12"/>
      <c r="I10" s="12"/>
    </row>
    <row r="11" spans="1:9" ht="20.25">
      <c r="A11" s="31"/>
      <c r="B11" s="12"/>
      <c r="C11" s="12"/>
      <c r="D11" s="12"/>
      <c r="E11" s="12"/>
      <c r="F11" s="35"/>
      <c r="G11" s="35"/>
      <c r="H11" s="12"/>
      <c r="I11" s="12"/>
    </row>
    <row r="12" spans="1:9" ht="20.25">
      <c r="A12" s="31"/>
      <c r="B12" s="12"/>
      <c r="C12" s="12"/>
      <c r="D12" s="12"/>
      <c r="E12" s="12"/>
      <c r="F12" s="35"/>
      <c r="G12" s="35"/>
      <c r="H12" s="12"/>
      <c r="I12" s="12"/>
    </row>
    <row r="13" spans="1:9" ht="45.75" customHeight="1" thickBot="1">
      <c r="A13" s="34" t="s">
        <v>0</v>
      </c>
      <c r="B13" s="34" t="s">
        <v>0</v>
      </c>
      <c r="C13" s="34" t="s">
        <v>0</v>
      </c>
      <c r="D13" s="29"/>
      <c r="E13" s="29"/>
      <c r="F13" s="34" t="s">
        <v>0</v>
      </c>
      <c r="G13" s="34"/>
      <c r="H13" s="34"/>
      <c r="I13" s="12"/>
    </row>
    <row r="14" spans="1:9" ht="16.5">
      <c r="A14" s="35" t="s">
        <v>0</v>
      </c>
      <c r="B14" s="35" t="s">
        <v>3</v>
      </c>
      <c r="C14" s="35" t="s">
        <v>5</v>
      </c>
      <c r="D14" s="35" t="s">
        <v>180</v>
      </c>
      <c r="E14" s="35" t="s">
        <v>181</v>
      </c>
      <c r="F14" s="35" t="s">
        <v>185</v>
      </c>
      <c r="G14" s="35" t="s">
        <v>19</v>
      </c>
      <c r="H14" s="35" t="s">
        <v>188</v>
      </c>
      <c r="I14" s="12"/>
    </row>
    <row r="15" spans="1:9" ht="16.5">
      <c r="A15" s="35" t="s">
        <v>2</v>
      </c>
      <c r="B15" s="35" t="s">
        <v>4</v>
      </c>
      <c r="C15" s="35" t="s">
        <v>6</v>
      </c>
      <c r="D15" s="35" t="s">
        <v>350</v>
      </c>
      <c r="E15" s="35" t="s">
        <v>187</v>
      </c>
      <c r="F15" s="35" t="s">
        <v>135</v>
      </c>
      <c r="G15" s="35" t="s">
        <v>186</v>
      </c>
      <c r="H15" s="35" t="s">
        <v>176</v>
      </c>
      <c r="I15" s="12"/>
    </row>
    <row r="16" spans="1:9" ht="16.5">
      <c r="A16" s="35"/>
      <c r="B16" s="35" t="s">
        <v>0</v>
      </c>
      <c r="C16" s="35" t="s">
        <v>0</v>
      </c>
      <c r="D16" s="35" t="s">
        <v>0</v>
      </c>
      <c r="E16" s="35" t="s">
        <v>186</v>
      </c>
      <c r="F16" s="36" t="s">
        <v>0</v>
      </c>
      <c r="G16" s="35" t="s">
        <v>192</v>
      </c>
      <c r="H16" s="36" t="s">
        <v>193</v>
      </c>
      <c r="I16" s="12"/>
    </row>
    <row r="17" spans="1:11" ht="18" customHeight="1" thickBot="1">
      <c r="A17" s="67" t="s">
        <v>0</v>
      </c>
      <c r="B17" s="38" t="s">
        <v>0</v>
      </c>
      <c r="C17" s="38" t="s">
        <v>0</v>
      </c>
      <c r="D17" s="33" t="s">
        <v>190</v>
      </c>
      <c r="E17" s="33" t="s">
        <v>191</v>
      </c>
      <c r="F17" s="33" t="s">
        <v>189</v>
      </c>
      <c r="G17" s="35" t="s">
        <v>106</v>
      </c>
      <c r="H17" s="145"/>
      <c r="I17" s="12"/>
    </row>
    <row r="18" spans="1:11" ht="16.5">
      <c r="A18" s="39" t="s">
        <v>0</v>
      </c>
      <c r="B18" s="39" t="s">
        <v>0</v>
      </c>
      <c r="C18" s="39" t="s">
        <v>0</v>
      </c>
      <c r="D18" s="39" t="s">
        <v>7</v>
      </c>
      <c r="E18" s="39" t="s">
        <v>7</v>
      </c>
      <c r="F18" s="39" t="s">
        <v>0</v>
      </c>
      <c r="G18" s="68" t="s">
        <v>0</v>
      </c>
      <c r="H18" s="39" t="s">
        <v>0</v>
      </c>
      <c r="I18" s="12"/>
    </row>
    <row r="19" spans="1:11" ht="16.5">
      <c r="A19" s="35"/>
      <c r="B19" s="35"/>
      <c r="C19" s="35"/>
      <c r="D19" s="35"/>
      <c r="E19" s="12"/>
      <c r="F19" s="35"/>
      <c r="G19" s="12"/>
      <c r="H19" s="12"/>
      <c r="I19" s="12"/>
      <c r="J19" t="s">
        <v>0</v>
      </c>
      <c r="K19" t="s">
        <v>0</v>
      </c>
    </row>
    <row r="20" spans="1:11" ht="16.5">
      <c r="A20" s="12"/>
      <c r="B20" s="12"/>
      <c r="C20" s="12"/>
      <c r="D20" s="12"/>
      <c r="E20" s="12"/>
      <c r="F20" s="12"/>
      <c r="G20" s="12"/>
      <c r="H20" s="12" t="s">
        <v>0</v>
      </c>
      <c r="I20" s="12"/>
      <c r="J20" t="s">
        <v>0</v>
      </c>
      <c r="K20" t="s">
        <v>0</v>
      </c>
    </row>
    <row r="21" spans="1:11" ht="17.25">
      <c r="A21" s="44" t="str">
        <f>+'S&amp;D'!A22</f>
        <v>AES CORPORATION</v>
      </c>
      <c r="B21" s="35" t="str">
        <f>+'S&amp;D'!B22</f>
        <v>AES</v>
      </c>
      <c r="C21" s="35" t="str">
        <f>+'S&amp;D'!C22</f>
        <v>Power Electric</v>
      </c>
      <c r="D21" s="66">
        <f>+'Dividends '!H16</f>
        <v>5.5167055167055168E-2</v>
      </c>
      <c r="E21" s="66">
        <f>+'Single Stage Div Growth Model'!H17</f>
        <v>0</v>
      </c>
      <c r="F21" s="178">
        <f>+'Growth &amp; Inflation Rates'!$F$57</f>
        <v>4.3400000000000001E-2</v>
      </c>
      <c r="G21" s="66">
        <f t="shared" ref="G21" si="0">(F21+E21)/2</f>
        <v>2.1700000000000001E-2</v>
      </c>
      <c r="H21" s="66">
        <f t="shared" ref="H21:H26" si="1">D21*(1+(0.5*G21))+(0.67*E21)+(0.33*F21)</f>
        <v>7.0087617715617723E-2</v>
      </c>
      <c r="I21" s="12"/>
      <c r="J21" t="s">
        <v>0</v>
      </c>
      <c r="K21" t="s">
        <v>0</v>
      </c>
    </row>
    <row r="22" spans="1:11" ht="17.25">
      <c r="A22" s="44" t="str">
        <f>+'S&amp;D'!A23</f>
        <v>DOMINION ENERGY INC</v>
      </c>
      <c r="B22" s="35" t="str">
        <f>+'S&amp;D'!B23</f>
        <v>D</v>
      </c>
      <c r="C22" s="35" t="str">
        <f>+'S&amp;D'!C23</f>
        <v>Electric - East</v>
      </c>
      <c r="D22" s="66">
        <f>+'Dividends '!H17</f>
        <v>4.9572966951355366E-2</v>
      </c>
      <c r="E22" s="66">
        <f>+'Single Stage Div Growth Model'!H18</f>
        <v>3.5000000000000003E-2</v>
      </c>
      <c r="F22" s="178">
        <f>+'Growth &amp; Inflation Rates'!$F$57</f>
        <v>4.3400000000000001E-2</v>
      </c>
      <c r="G22" s="66">
        <f t="shared" ref="G22:G26" si="2">(F22+E22)/2</f>
        <v>3.9199999999999999E-2</v>
      </c>
      <c r="H22" s="66">
        <f t="shared" si="1"/>
        <v>8.8316597103601943E-2</v>
      </c>
      <c r="I22" s="12"/>
      <c r="J22" t="s">
        <v>0</v>
      </c>
      <c r="K22" t="s">
        <v>0</v>
      </c>
    </row>
    <row r="23" spans="1:11" ht="17.25">
      <c r="A23" s="44" t="str">
        <f>+'S&amp;D'!A24</f>
        <v>CONSTELLATION ENERGY GENERATION LLC</v>
      </c>
      <c r="B23" s="35" t="str">
        <f>+'S&amp;D'!B24</f>
        <v>CEG</v>
      </c>
      <c r="C23" s="35" t="str">
        <f>+'S&amp;D'!C24</f>
        <v>Power Electric</v>
      </c>
      <c r="D23" s="66">
        <f>+'Dividends '!H18</f>
        <v>7.5991238657190105E-3</v>
      </c>
      <c r="E23" s="66">
        <f>+'Single Stage Div Growth Model'!H19</f>
        <v>0.17</v>
      </c>
      <c r="F23" s="178">
        <f>+'Growth &amp; Inflation Rates'!$F$57</f>
        <v>4.3400000000000001E-2</v>
      </c>
      <c r="G23" s="66">
        <f t="shared" si="2"/>
        <v>0.1067</v>
      </c>
      <c r="H23" s="66">
        <f t="shared" si="1"/>
        <v>0.13622653712395513</v>
      </c>
      <c r="I23" s="12"/>
      <c r="J23" t="s">
        <v>0</v>
      </c>
      <c r="K23" t="s">
        <v>0</v>
      </c>
    </row>
    <row r="24" spans="1:11" ht="17.25">
      <c r="A24" s="44" t="str">
        <f>+'S&amp;D'!A25</f>
        <v>NEXTERA ENERGY INC</v>
      </c>
      <c r="B24" s="35" t="str">
        <f>+'S&amp;D'!B25</f>
        <v>NEE</v>
      </c>
      <c r="C24" s="35" t="str">
        <f>+'S&amp;D'!C25</f>
        <v>Electric - East</v>
      </c>
      <c r="D24" s="66">
        <f>+'Dividends '!H19</f>
        <v>3.487236713628121E-2</v>
      </c>
      <c r="E24" s="66">
        <f>+'Single Stage Div Growth Model'!H20</f>
        <v>8.5000000000000006E-2</v>
      </c>
      <c r="F24" s="178">
        <f>+'Growth &amp; Inflation Rates'!$F$57</f>
        <v>4.3400000000000001E-2</v>
      </c>
      <c r="G24" s="66">
        <f t="shared" ref="G24" si="3">(F24+E24)/2</f>
        <v>6.4200000000000007E-2</v>
      </c>
      <c r="H24" s="66">
        <f t="shared" ref="H24" si="4">D24*(1+(0.5*G24))+(0.67*E24)+(0.33*F24)</f>
        <v>0.10726377012135585</v>
      </c>
      <c r="I24" s="12"/>
    </row>
    <row r="25" spans="1:11" ht="17.25">
      <c r="A25" s="44" t="str">
        <f>+'S&amp;D'!A26</f>
        <v>NRG ENERGY</v>
      </c>
      <c r="B25" s="35" t="str">
        <f>+'S&amp;D'!B26</f>
        <v>NRG</v>
      </c>
      <c r="C25" s="35" t="str">
        <f>+'S&amp;D'!C26</f>
        <v>Power Electric</v>
      </c>
      <c r="D25" s="66">
        <f>+'Dividends '!H20</f>
        <v>2.0837951673686544E-2</v>
      </c>
      <c r="E25" s="66">
        <f>+'Single Stage Div Growth Model'!H21</f>
        <v>0.185</v>
      </c>
      <c r="F25" s="178">
        <f>+'Growth &amp; Inflation Rates'!$F$57</f>
        <v>4.3400000000000001E-2</v>
      </c>
      <c r="G25" s="66">
        <f t="shared" si="2"/>
        <v>0.1142</v>
      </c>
      <c r="H25" s="66">
        <f t="shared" si="1"/>
        <v>0.16029979871425404</v>
      </c>
      <c r="I25" s="12"/>
      <c r="J25" t="s">
        <v>0</v>
      </c>
      <c r="K25" t="s">
        <v>0</v>
      </c>
    </row>
    <row r="26" spans="1:11" ht="17.25">
      <c r="A26" s="44" t="str">
        <f>+'S&amp;D'!A27</f>
        <v>SOUTHERN COMPANY</v>
      </c>
      <c r="B26" s="35" t="str">
        <f>+'S&amp;D'!B27</f>
        <v>SO</v>
      </c>
      <c r="C26" s="35" t="str">
        <f>+'S&amp;D'!C27</f>
        <v>Electric - East</v>
      </c>
      <c r="D26" s="66">
        <f>+'Dividends '!H21</f>
        <v>3.7050534499514093E-2</v>
      </c>
      <c r="E26" s="66">
        <f>+'Single Stage Div Growth Model'!H22</f>
        <v>6.5000000000000002E-2</v>
      </c>
      <c r="F26" s="178">
        <f>+'Growth &amp; Inflation Rates'!$F$57</f>
        <v>4.3400000000000001E-2</v>
      </c>
      <c r="G26" s="66">
        <f t="shared" si="2"/>
        <v>5.4199999999999998E-2</v>
      </c>
      <c r="H26" s="66">
        <f t="shared" si="1"/>
        <v>9.5926603984450937E-2</v>
      </c>
      <c r="I26" s="12"/>
      <c r="J26" t="s">
        <v>0</v>
      </c>
      <c r="K26" t="s">
        <v>0</v>
      </c>
    </row>
    <row r="27" spans="1:11" ht="18" thickBot="1">
      <c r="A27" s="44" t="str">
        <f>+'S&amp;D'!A28</f>
        <v>VISTRA ENERGY CORPORATION</v>
      </c>
      <c r="B27" s="35" t="str">
        <f>+'S&amp;D'!B28</f>
        <v>VST</v>
      </c>
      <c r="C27" s="35" t="str">
        <f>+'S&amp;D'!C28</f>
        <v>Power Electric</v>
      </c>
      <c r="D27" s="66">
        <f>+'Dividends '!H22</f>
        <v>8.7038514542685137E-3</v>
      </c>
      <c r="E27" s="66" t="str">
        <f>+'Single Stage Div Growth Model'!H23</f>
        <v>NMF</v>
      </c>
      <c r="F27" s="178">
        <f>+'Growth &amp; Inflation Rates'!$F$57</f>
        <v>4.3400000000000001E-2</v>
      </c>
      <c r="G27" s="66" t="s">
        <v>438</v>
      </c>
      <c r="H27" s="458" t="s">
        <v>438</v>
      </c>
      <c r="I27" s="12"/>
      <c r="J27" s="11" t="s">
        <v>0</v>
      </c>
      <c r="K27" t="s">
        <v>0</v>
      </c>
    </row>
    <row r="28" spans="1:11" ht="17.25" thickTop="1">
      <c r="A28" s="12"/>
      <c r="B28" s="12"/>
      <c r="C28" s="12"/>
      <c r="D28" s="12"/>
      <c r="E28" s="12"/>
      <c r="F28" s="12"/>
      <c r="G28" s="168" t="s">
        <v>53</v>
      </c>
      <c r="H28" s="56">
        <f>MAX(H21:H27)</f>
        <v>0.16029979871425404</v>
      </c>
      <c r="I28" s="12"/>
    </row>
    <row r="29" spans="1:11" ht="16.5">
      <c r="A29" s="12"/>
      <c r="B29" s="12"/>
      <c r="C29" s="14" t="s">
        <v>0</v>
      </c>
      <c r="D29" s="15" t="s">
        <v>0</v>
      </c>
      <c r="E29" s="15" t="s">
        <v>0</v>
      </c>
      <c r="F29" s="16" t="s">
        <v>0</v>
      </c>
      <c r="G29" s="16" t="s">
        <v>54</v>
      </c>
      <c r="H29" s="265">
        <f>MIN(H21:H27)</f>
        <v>7.0087617715617723E-2</v>
      </c>
      <c r="I29" s="12"/>
    </row>
    <row r="30" spans="1:11" ht="16.5">
      <c r="A30" s="12"/>
      <c r="B30" s="12"/>
      <c r="D30" s="56" t="s">
        <v>0</v>
      </c>
      <c r="E30" s="50" t="s">
        <v>0</v>
      </c>
      <c r="F30" s="50" t="s">
        <v>0</v>
      </c>
      <c r="G30" s="14" t="s">
        <v>18</v>
      </c>
      <c r="H30" s="51">
        <f>MEDIAN(H21:H27)</f>
        <v>0.10159518705290339</v>
      </c>
      <c r="I30" s="12"/>
    </row>
    <row r="31" spans="1:11" ht="16.5">
      <c r="A31" s="12"/>
      <c r="B31" s="12"/>
      <c r="D31" s="56" t="s">
        <v>0</v>
      </c>
      <c r="E31" s="50" t="s">
        <v>0</v>
      </c>
      <c r="F31" s="56" t="s">
        <v>0</v>
      </c>
      <c r="G31" s="14" t="s">
        <v>377</v>
      </c>
      <c r="H31" s="51">
        <f>AVERAGE(H21:H27)</f>
        <v>0.10968682079387261</v>
      </c>
      <c r="I31" s="12"/>
    </row>
    <row r="32" spans="1:11" ht="16.5">
      <c r="A32" s="12"/>
      <c r="B32" s="12"/>
      <c r="C32" s="14"/>
      <c r="D32" s="18"/>
      <c r="E32" s="19"/>
      <c r="F32" s="18"/>
      <c r="G32" s="20"/>
      <c r="H32" s="20"/>
      <c r="I32" s="12"/>
    </row>
    <row r="33" spans="1:9" ht="17.25" thickBot="1">
      <c r="A33" s="12"/>
      <c r="B33" s="12"/>
      <c r="C33" s="12"/>
      <c r="D33" s="12"/>
      <c r="E33" s="12"/>
      <c r="F33" s="12"/>
      <c r="G33" s="12"/>
      <c r="H33" s="12"/>
      <c r="I33" s="12"/>
    </row>
    <row r="34" spans="1:9" ht="27" thickBot="1">
      <c r="A34" s="12"/>
      <c r="B34" s="12"/>
      <c r="C34" s="12"/>
      <c r="D34" s="12"/>
      <c r="F34" s="173"/>
      <c r="G34" s="174" t="s">
        <v>238</v>
      </c>
      <c r="H34" s="297">
        <v>0.10970000000000001</v>
      </c>
      <c r="I34" s="12"/>
    </row>
    <row r="35" spans="1:9" ht="16.5">
      <c r="A35" s="12"/>
      <c r="B35" s="12"/>
      <c r="C35" s="12"/>
      <c r="D35" s="12"/>
      <c r="E35" s="12"/>
      <c r="F35" s="12"/>
      <c r="G35" s="12"/>
      <c r="H35" s="12"/>
      <c r="I35" s="12"/>
    </row>
    <row r="36" spans="1:9" ht="27">
      <c r="A36" s="24" t="s">
        <v>298</v>
      </c>
      <c r="B36" s="12"/>
      <c r="C36" s="12"/>
      <c r="D36" s="12"/>
      <c r="E36" s="12"/>
      <c r="F36" s="12"/>
      <c r="G36" s="23" t="s">
        <v>0</v>
      </c>
      <c r="H36" s="12"/>
      <c r="I36" s="12"/>
    </row>
    <row r="37" spans="1:9" ht="16.5">
      <c r="A37" s="44"/>
      <c r="B37" s="12"/>
      <c r="C37" s="12"/>
      <c r="D37" s="12"/>
      <c r="E37" s="12"/>
      <c r="F37" s="12"/>
      <c r="G37" s="12"/>
      <c r="H37" s="12"/>
      <c r="I37" s="12"/>
    </row>
    <row r="38" spans="1:9" ht="17.25">
      <c r="A38" s="63" t="s">
        <v>207</v>
      </c>
      <c r="B38" s="12"/>
      <c r="C38" s="12"/>
      <c r="D38" s="12"/>
      <c r="E38" s="12"/>
      <c r="F38" s="12"/>
      <c r="G38" s="12"/>
      <c r="H38" s="12"/>
      <c r="I38" s="12"/>
    </row>
    <row r="39" spans="1:9" ht="17.25">
      <c r="A39" s="63" t="s">
        <v>299</v>
      </c>
      <c r="B39" s="12"/>
      <c r="C39" s="12"/>
      <c r="D39" s="12"/>
      <c r="E39" s="12"/>
      <c r="F39" s="12"/>
      <c r="G39" s="12"/>
      <c r="H39" s="12"/>
      <c r="I39" s="12"/>
    </row>
    <row r="40" spans="1:9" ht="17.25">
      <c r="A40" s="63" t="s">
        <v>300</v>
      </c>
      <c r="B40" s="12"/>
      <c r="C40" s="12"/>
      <c r="D40" s="12"/>
      <c r="E40" s="12"/>
      <c r="F40" s="12"/>
      <c r="G40" s="12"/>
      <c r="H40" s="12"/>
      <c r="I40" s="12"/>
    </row>
    <row r="41" spans="1:9" ht="17.25">
      <c r="A41" s="63" t="s">
        <v>301</v>
      </c>
      <c r="B41" s="12"/>
      <c r="C41" s="12"/>
      <c r="D41" s="12"/>
      <c r="E41" s="12"/>
      <c r="F41" s="12"/>
      <c r="G41" s="12"/>
      <c r="H41" s="12"/>
      <c r="I41" s="12"/>
    </row>
    <row r="42" spans="1:9" ht="17.25">
      <c r="A42" s="63" t="s">
        <v>302</v>
      </c>
      <c r="B42" s="12"/>
      <c r="C42" s="12"/>
      <c r="D42" s="12"/>
      <c r="E42" s="12"/>
      <c r="F42" s="12"/>
      <c r="G42" s="12"/>
      <c r="H42" s="12"/>
      <c r="I42" s="12"/>
    </row>
    <row r="43" spans="1:9" ht="16.5">
      <c r="A43" s="12"/>
      <c r="B43" s="12"/>
      <c r="C43" s="12"/>
      <c r="D43" s="12"/>
      <c r="E43" s="12"/>
      <c r="F43" s="12"/>
      <c r="G43" s="12"/>
      <c r="H43" s="12"/>
      <c r="I43" s="12"/>
    </row>
    <row r="44" spans="1:9" ht="16.5">
      <c r="A44" s="44" t="s">
        <v>0</v>
      </c>
      <c r="B44" s="12"/>
      <c r="C44" s="12"/>
      <c r="D44" s="12"/>
      <c r="E44" s="12"/>
      <c r="F44" s="12"/>
      <c r="G44" s="12"/>
      <c r="H44" s="12"/>
      <c r="I44" s="12"/>
    </row>
    <row r="45" spans="1:9" ht="16.5">
      <c r="A45" s="44"/>
      <c r="B45" s="12"/>
      <c r="C45" s="12"/>
      <c r="D45" s="12"/>
      <c r="E45" s="12"/>
      <c r="F45" s="12"/>
      <c r="G45" s="12"/>
      <c r="H45" s="12"/>
      <c r="I45" s="12"/>
    </row>
    <row r="46" spans="1:9" ht="16.5">
      <c r="A46" s="12"/>
      <c r="B46" s="12"/>
      <c r="C46" s="12"/>
      <c r="D46" s="12"/>
      <c r="E46" s="12"/>
      <c r="F46" s="12"/>
      <c r="G46" s="12"/>
      <c r="H46" s="12"/>
      <c r="I46" s="12"/>
    </row>
    <row r="47" spans="1:9" ht="16.5">
      <c r="A47" s="12"/>
      <c r="B47" s="12"/>
      <c r="C47" s="12"/>
      <c r="D47" s="12"/>
      <c r="E47" s="12"/>
      <c r="F47" s="12"/>
      <c r="G47" s="12"/>
      <c r="H47" s="12"/>
      <c r="I47" s="12"/>
    </row>
    <row r="48" spans="1:9" ht="16.5">
      <c r="A48" s="12"/>
      <c r="B48" s="12"/>
      <c r="C48" s="12"/>
      <c r="D48" s="12"/>
      <c r="E48" s="12"/>
      <c r="F48" s="12"/>
      <c r="G48" s="12"/>
      <c r="H48" s="12"/>
      <c r="I48" s="12"/>
    </row>
    <row r="49" spans="1:9" ht="16.5">
      <c r="A49" s="12"/>
      <c r="B49" s="12"/>
      <c r="C49" s="12"/>
      <c r="D49" s="12"/>
      <c r="E49" s="12"/>
      <c r="F49" s="12"/>
      <c r="G49" s="12"/>
      <c r="H49" s="12"/>
      <c r="I49" s="12"/>
    </row>
    <row r="50" spans="1:9" ht="16.5">
      <c r="C50" s="12"/>
      <c r="D50" s="12"/>
      <c r="E50" s="12"/>
      <c r="F50" s="12"/>
      <c r="G50" s="12"/>
      <c r="H50" s="12"/>
      <c r="I50" s="12"/>
    </row>
    <row r="51" spans="1:9" ht="16.5">
      <c r="C51" s="12"/>
      <c r="D51" s="12"/>
      <c r="E51" s="12"/>
      <c r="F51" s="12"/>
      <c r="G51" s="12"/>
      <c r="H51" s="12"/>
      <c r="I51" s="12"/>
    </row>
    <row r="52" spans="1:9" ht="16.5">
      <c r="C52" s="12"/>
      <c r="D52" s="12"/>
      <c r="E52" s="12"/>
      <c r="F52" s="12"/>
      <c r="G52" s="12"/>
      <c r="H52" s="12"/>
      <c r="I52" s="12"/>
    </row>
    <row r="53" spans="1:9" ht="16.5">
      <c r="C53" s="12"/>
      <c r="D53" s="12"/>
      <c r="E53" s="12"/>
      <c r="F53" s="12"/>
      <c r="G53" s="12"/>
      <c r="H53" s="12"/>
      <c r="I53" s="12"/>
    </row>
    <row r="54" spans="1:9" ht="16.5">
      <c r="C54" s="12"/>
      <c r="D54" s="12"/>
      <c r="E54" s="12"/>
      <c r="F54" s="12"/>
      <c r="G54" s="12"/>
      <c r="H54" s="12"/>
      <c r="I54" s="12"/>
    </row>
    <row r="55" spans="1:9" ht="16.5">
      <c r="C55" s="12"/>
      <c r="D55" s="12"/>
      <c r="E55" s="12"/>
      <c r="F55" s="12"/>
      <c r="G55" s="12"/>
      <c r="H55" s="12"/>
      <c r="I55" s="12"/>
    </row>
    <row r="56" spans="1:9" ht="16.5">
      <c r="C56" s="12"/>
      <c r="D56" s="12"/>
      <c r="E56" s="12"/>
      <c r="F56" s="12"/>
      <c r="G56" s="12"/>
      <c r="H56" s="12"/>
      <c r="I56" s="12"/>
    </row>
    <row r="57" spans="1:9" ht="16.5">
      <c r="A57" s="12"/>
      <c r="B57" s="12"/>
      <c r="C57" s="12"/>
      <c r="D57" s="12"/>
      <c r="E57" s="12"/>
      <c r="F57" s="12"/>
      <c r="G57" s="12"/>
      <c r="H57" s="12"/>
      <c r="I57" s="12"/>
    </row>
    <row r="58" spans="1:9" ht="16.5">
      <c r="A58" s="12"/>
      <c r="B58" s="12"/>
      <c r="C58" s="12"/>
      <c r="D58" s="12"/>
      <c r="E58" s="12"/>
      <c r="F58" s="12"/>
      <c r="G58" s="12"/>
      <c r="H58" s="12"/>
      <c r="I58" s="12"/>
    </row>
    <row r="59" spans="1:9" ht="16.5">
      <c r="A59" s="12"/>
      <c r="B59" s="12"/>
      <c r="C59" s="12"/>
      <c r="D59" s="12"/>
      <c r="E59" s="12"/>
      <c r="F59" s="12"/>
      <c r="G59" s="12"/>
      <c r="H59" s="12"/>
      <c r="I59" s="12"/>
    </row>
    <row r="60" spans="1:9" ht="16.5">
      <c r="A60" s="12"/>
      <c r="B60" s="12"/>
      <c r="C60" s="12"/>
      <c r="D60" s="12"/>
      <c r="E60" s="12"/>
      <c r="F60" s="12"/>
      <c r="G60" s="12"/>
      <c r="H60" s="12"/>
      <c r="I60" s="12"/>
    </row>
    <row r="61" spans="1:9" ht="16.5">
      <c r="A61" s="12"/>
      <c r="B61" s="12"/>
      <c r="C61" s="12"/>
      <c r="D61" s="12"/>
      <c r="E61" s="12"/>
      <c r="F61" s="12"/>
      <c r="G61" s="12"/>
      <c r="H61" s="12"/>
      <c r="I61" s="12"/>
    </row>
    <row r="62" spans="1:9" ht="16.5">
      <c r="A62" s="12"/>
      <c r="B62" s="12"/>
      <c r="C62" s="12"/>
      <c r="D62" s="12"/>
      <c r="E62" s="12"/>
      <c r="F62" s="12"/>
      <c r="G62" s="12"/>
      <c r="H62" s="12"/>
      <c r="I62" s="12"/>
    </row>
    <row r="63" spans="1:9" ht="16.5">
      <c r="A63" s="12"/>
      <c r="B63" s="12"/>
      <c r="C63" s="12"/>
      <c r="D63" s="12"/>
      <c r="E63" s="12"/>
      <c r="F63" s="12"/>
      <c r="G63" s="12"/>
      <c r="H63" s="12"/>
      <c r="I63" s="12"/>
    </row>
    <row r="64" spans="1:9" ht="16.5">
      <c r="A64" s="12"/>
      <c r="B64" s="12"/>
      <c r="C64" s="12"/>
      <c r="D64" s="12"/>
      <c r="E64" s="12"/>
      <c r="F64" s="12"/>
      <c r="G64" s="12"/>
      <c r="H64" s="12"/>
      <c r="I64" s="12"/>
    </row>
    <row r="65" spans="1:9" ht="16.5">
      <c r="A65" s="12"/>
      <c r="B65" s="12"/>
      <c r="C65" s="12"/>
      <c r="D65" s="12"/>
      <c r="E65" s="12"/>
      <c r="F65" s="12"/>
      <c r="G65" s="12"/>
      <c r="H65" s="12"/>
      <c r="I65" s="12"/>
    </row>
    <row r="66" spans="1:9" ht="16.5">
      <c r="A66" s="12"/>
      <c r="B66" s="12"/>
      <c r="C66" s="12"/>
      <c r="D66" s="12"/>
      <c r="E66" s="12"/>
      <c r="F66" s="12"/>
      <c r="G66" s="12"/>
      <c r="H66" s="12"/>
      <c r="I66" s="12"/>
    </row>
    <row r="67" spans="1:9" ht="16.5">
      <c r="A67" s="12"/>
      <c r="B67" s="12"/>
      <c r="C67" s="12"/>
      <c r="D67" s="12"/>
      <c r="E67" s="12"/>
      <c r="F67" s="12"/>
      <c r="G67" s="12"/>
      <c r="H67" s="12"/>
      <c r="I67" s="12"/>
    </row>
    <row r="68" spans="1:9" ht="16.5">
      <c r="A68" s="12"/>
      <c r="B68" s="12"/>
      <c r="C68" s="12"/>
      <c r="D68" s="12"/>
      <c r="E68" s="12"/>
      <c r="F68" s="12"/>
      <c r="G68" s="12"/>
      <c r="H68" s="12"/>
      <c r="I68" s="12"/>
    </row>
    <row r="69" spans="1:9" ht="16.5">
      <c r="A69" s="12"/>
      <c r="B69" s="12"/>
      <c r="C69" s="12"/>
      <c r="D69" s="12"/>
      <c r="E69" s="12"/>
      <c r="F69" s="12"/>
      <c r="G69" s="12"/>
      <c r="H69" s="12"/>
      <c r="I69" s="12"/>
    </row>
    <row r="70" spans="1:9" ht="16.5">
      <c r="A70" s="12"/>
      <c r="B70" s="12"/>
      <c r="C70" s="12"/>
      <c r="D70" s="12"/>
      <c r="E70" s="12"/>
      <c r="F70" s="12"/>
      <c r="G70" s="12"/>
      <c r="H70" s="12"/>
      <c r="I70" s="12"/>
    </row>
    <row r="71" spans="1:9" ht="16.5">
      <c r="A71" s="12"/>
      <c r="B71" s="12"/>
      <c r="C71" s="12"/>
      <c r="D71" s="12"/>
      <c r="E71" s="12"/>
      <c r="F71" s="12"/>
      <c r="G71" s="12"/>
      <c r="H71" s="12"/>
      <c r="I71" s="12"/>
    </row>
    <row r="72" spans="1:9" ht="16.5">
      <c r="A72" s="12"/>
      <c r="B72" s="12"/>
      <c r="C72" s="12"/>
      <c r="D72" s="12"/>
      <c r="E72" s="12"/>
      <c r="F72" s="12"/>
      <c r="G72" s="12"/>
      <c r="H72" s="12"/>
      <c r="I72" s="12"/>
    </row>
    <row r="73" spans="1:9" ht="16.5">
      <c r="A73" s="12"/>
      <c r="B73" s="12"/>
      <c r="C73" s="12"/>
      <c r="D73" s="12"/>
      <c r="E73" s="12"/>
      <c r="F73" s="12"/>
      <c r="G73" s="12"/>
      <c r="H73" s="12"/>
      <c r="I73" s="12"/>
    </row>
    <row r="74" spans="1:9" ht="16.5">
      <c r="A74" s="12"/>
      <c r="B74" s="12"/>
      <c r="C74" s="12"/>
      <c r="D74" s="12"/>
      <c r="E74" s="12"/>
      <c r="F74" s="12"/>
      <c r="G74" s="12"/>
      <c r="H74" s="12"/>
      <c r="I74" s="12"/>
    </row>
    <row r="75" spans="1:9" ht="16.5">
      <c r="A75" s="12"/>
      <c r="B75" s="12"/>
      <c r="C75" s="12"/>
      <c r="D75" s="12"/>
      <c r="E75" s="12"/>
      <c r="F75" s="12"/>
      <c r="G75" s="12"/>
      <c r="H75" s="12"/>
      <c r="I75" s="12"/>
    </row>
    <row r="76" spans="1:9" ht="16.5">
      <c r="A76" s="12"/>
      <c r="B76" s="12"/>
      <c r="C76" s="12"/>
      <c r="D76" s="12"/>
      <c r="E76" s="12"/>
      <c r="F76" s="12"/>
      <c r="G76" s="12"/>
      <c r="H76" s="12"/>
      <c r="I76" s="12"/>
    </row>
    <row r="77" spans="1:9" ht="16.5">
      <c r="A77" s="12"/>
      <c r="B77" s="12"/>
      <c r="C77" s="12"/>
      <c r="D77" s="12"/>
      <c r="E77" s="12"/>
      <c r="F77" s="12"/>
      <c r="G77" s="12"/>
      <c r="H77" s="12"/>
      <c r="I77" s="12"/>
    </row>
    <row r="78" spans="1:9" ht="16.5">
      <c r="A78" s="12"/>
      <c r="B78" s="12"/>
      <c r="C78" s="12"/>
      <c r="D78" s="12"/>
      <c r="E78" s="12"/>
      <c r="F78" s="12"/>
      <c r="G78" s="12"/>
      <c r="H78" s="12"/>
      <c r="I78" s="12"/>
    </row>
    <row r="79" spans="1:9" ht="16.5">
      <c r="A79" s="12"/>
      <c r="B79" s="12"/>
      <c r="C79" s="12"/>
      <c r="D79" s="12"/>
      <c r="E79" s="12"/>
      <c r="F79" s="12"/>
      <c r="G79" s="12"/>
      <c r="H79" s="12"/>
      <c r="I79" s="12"/>
    </row>
    <row r="80" spans="1:9" ht="16.5">
      <c r="A80" s="12"/>
      <c r="B80" s="12"/>
      <c r="C80" s="12"/>
      <c r="D80" s="12"/>
      <c r="E80" s="12"/>
      <c r="F80" s="12"/>
      <c r="G80" s="12"/>
      <c r="H80" s="12"/>
      <c r="I80" s="12"/>
    </row>
    <row r="81" spans="1:9" ht="16.5">
      <c r="A81" s="12"/>
      <c r="B81" s="12"/>
      <c r="C81" s="12"/>
      <c r="D81" s="12"/>
      <c r="E81" s="12"/>
      <c r="F81" s="12"/>
      <c r="G81" s="12"/>
      <c r="H81" s="12"/>
      <c r="I81" s="12"/>
    </row>
    <row r="82" spans="1:9" ht="16.5">
      <c r="A82" s="12"/>
      <c r="B82" s="12"/>
      <c r="C82" s="12"/>
      <c r="D82" s="12"/>
      <c r="E82" s="12"/>
      <c r="F82" s="12"/>
      <c r="G82" s="12"/>
      <c r="H82" s="12"/>
      <c r="I82" s="12"/>
    </row>
    <row r="83" spans="1:9" ht="16.5">
      <c r="A83" s="12"/>
      <c r="B83" s="12"/>
      <c r="C83" s="12"/>
      <c r="D83" s="12"/>
      <c r="E83" s="12"/>
      <c r="F83" s="12"/>
      <c r="G83" s="12"/>
      <c r="H83" s="12"/>
      <c r="I83" s="12"/>
    </row>
    <row r="84" spans="1:9" ht="16.5">
      <c r="A84" s="12"/>
      <c r="B84" s="12"/>
      <c r="C84" s="12"/>
      <c r="D84" s="12"/>
      <c r="E84" s="12"/>
      <c r="F84" s="12"/>
      <c r="G84" s="12"/>
      <c r="H84" s="12"/>
      <c r="I84" s="12"/>
    </row>
    <row r="85" spans="1:9" ht="16.5">
      <c r="A85" s="12"/>
      <c r="B85" s="12"/>
      <c r="C85" s="12"/>
      <c r="D85" s="12"/>
      <c r="E85" s="12"/>
      <c r="F85" s="12"/>
      <c r="G85" s="12"/>
      <c r="H85" s="12"/>
      <c r="I85" s="12"/>
    </row>
    <row r="86" spans="1:9" ht="16.5">
      <c r="A86" s="12"/>
      <c r="B86" s="12"/>
      <c r="C86" s="12"/>
      <c r="D86" s="12"/>
      <c r="E86" s="12"/>
      <c r="F86" s="12"/>
      <c r="G86" s="12"/>
      <c r="H86" s="12"/>
      <c r="I86" s="12"/>
    </row>
    <row r="87" spans="1:9" ht="16.5">
      <c r="A87" s="12"/>
      <c r="B87" s="12"/>
      <c r="C87" s="12"/>
      <c r="D87" s="12"/>
      <c r="E87" s="12"/>
      <c r="F87" s="12"/>
      <c r="G87" s="12"/>
      <c r="H87" s="12"/>
      <c r="I87" s="12"/>
    </row>
    <row r="88" spans="1:9" ht="16.5">
      <c r="A88" s="12"/>
      <c r="B88" s="12"/>
      <c r="C88" s="12"/>
      <c r="D88" s="12"/>
      <c r="E88" s="12"/>
      <c r="F88" s="12"/>
      <c r="G88" s="12"/>
      <c r="H88" s="12"/>
      <c r="I88" s="12"/>
    </row>
    <row r="89" spans="1:9" ht="16.5">
      <c r="A89" s="12"/>
      <c r="B89" s="12"/>
      <c r="C89" s="12"/>
      <c r="D89" s="12"/>
      <c r="E89" s="12"/>
      <c r="F89" s="12"/>
      <c r="G89" s="12"/>
      <c r="H89" s="12"/>
      <c r="I89" s="12"/>
    </row>
    <row r="90" spans="1:9" ht="16.5">
      <c r="A90" s="12"/>
      <c r="B90" s="12"/>
      <c r="C90" s="12"/>
      <c r="D90" s="12"/>
      <c r="E90" s="12"/>
      <c r="F90" s="12"/>
      <c r="G90" s="12"/>
      <c r="H90" s="12"/>
      <c r="I90" s="12"/>
    </row>
    <row r="91" spans="1:9" ht="16.5">
      <c r="A91" s="12"/>
      <c r="B91" s="12"/>
      <c r="C91" s="12"/>
      <c r="D91" s="12"/>
      <c r="E91" s="12"/>
      <c r="F91" s="12"/>
      <c r="G91" s="12"/>
      <c r="H91" s="12"/>
      <c r="I91" s="12"/>
    </row>
    <row r="92" spans="1:9" ht="16.5">
      <c r="A92" s="12"/>
      <c r="B92" s="12"/>
      <c r="C92" s="12"/>
      <c r="D92" s="12"/>
      <c r="E92" s="12"/>
      <c r="F92" s="12"/>
      <c r="G92" s="12"/>
      <c r="H92" s="12"/>
      <c r="I92" s="12"/>
    </row>
    <row r="93" spans="1:9" ht="16.5">
      <c r="A93" s="12"/>
      <c r="B93" s="12"/>
      <c r="C93" s="12"/>
      <c r="D93" s="12"/>
      <c r="E93" s="12"/>
      <c r="F93" s="12"/>
      <c r="G93" s="12"/>
      <c r="H93" s="12"/>
      <c r="I93" s="12"/>
    </row>
    <row r="94" spans="1:9" ht="16.5">
      <c r="A94" s="12"/>
      <c r="B94" s="12"/>
      <c r="C94" s="12"/>
      <c r="D94" s="12"/>
      <c r="E94" s="12"/>
      <c r="F94" s="12"/>
      <c r="G94" s="12"/>
      <c r="H94" s="12"/>
      <c r="I94" s="12"/>
    </row>
    <row r="95" spans="1:9" ht="16.5">
      <c r="A95" s="12"/>
      <c r="B95" s="12"/>
      <c r="C95" s="12"/>
      <c r="D95" s="12"/>
      <c r="E95" s="12"/>
      <c r="F95" s="12"/>
      <c r="G95" s="12"/>
      <c r="H95" s="12"/>
      <c r="I95" s="12"/>
    </row>
    <row r="96" spans="1:9" ht="16.5">
      <c r="A96" s="12"/>
      <c r="B96" s="12"/>
      <c r="C96" s="12"/>
      <c r="D96" s="12"/>
      <c r="E96" s="12"/>
      <c r="F96" s="12"/>
      <c r="G96" s="12"/>
      <c r="H96" s="12"/>
      <c r="I96" s="12"/>
    </row>
    <row r="97" spans="1:9" ht="16.5">
      <c r="A97" s="12"/>
      <c r="B97" s="12"/>
      <c r="C97" s="12"/>
      <c r="D97" s="12"/>
      <c r="E97" s="12"/>
      <c r="F97" s="12"/>
      <c r="G97" s="12"/>
      <c r="H97" s="12"/>
      <c r="I97" s="12"/>
    </row>
    <row r="98" spans="1:9" ht="16.5">
      <c r="A98" s="12"/>
      <c r="B98" s="12"/>
      <c r="C98" s="12"/>
      <c r="D98" s="12"/>
      <c r="E98" s="12"/>
      <c r="F98" s="12"/>
      <c r="G98" s="12"/>
      <c r="H98" s="12"/>
      <c r="I98" s="12"/>
    </row>
    <row r="99" spans="1:9" ht="16.5">
      <c r="A99" s="12"/>
      <c r="B99" s="12"/>
      <c r="C99" s="12"/>
      <c r="D99" s="12"/>
      <c r="E99" s="12"/>
      <c r="F99" s="12"/>
      <c r="G99" s="12"/>
      <c r="H99" s="12"/>
      <c r="I99" s="12"/>
    </row>
    <row r="100" spans="1:9" ht="16.5">
      <c r="A100" s="12"/>
      <c r="B100" s="12"/>
      <c r="C100" s="12"/>
      <c r="D100" s="12"/>
      <c r="E100" s="12"/>
      <c r="F100" s="12"/>
      <c r="G100" s="12"/>
      <c r="H100" s="12"/>
      <c r="I100" s="12"/>
    </row>
    <row r="101" spans="1:9" ht="16.5">
      <c r="A101" s="12"/>
      <c r="B101" s="12"/>
      <c r="C101" s="12"/>
      <c r="D101" s="12"/>
      <c r="E101" s="12"/>
      <c r="F101" s="12"/>
      <c r="G101" s="12"/>
      <c r="H101" s="12"/>
      <c r="I101" s="12"/>
    </row>
    <row r="102" spans="1:9" ht="16.5">
      <c r="A102" s="12"/>
      <c r="B102" s="12"/>
      <c r="C102" s="12"/>
      <c r="D102" s="12"/>
      <c r="E102" s="12"/>
      <c r="F102" s="12"/>
      <c r="G102" s="12"/>
      <c r="H102" s="12"/>
      <c r="I102" s="12"/>
    </row>
    <row r="103" spans="1:9" ht="16.5">
      <c r="A103" s="12"/>
      <c r="B103" s="12"/>
      <c r="C103" s="12"/>
      <c r="D103" s="12"/>
      <c r="E103" s="12"/>
      <c r="F103" s="12"/>
      <c r="G103" s="12"/>
      <c r="H103" s="12"/>
      <c r="I103" s="12"/>
    </row>
    <row r="104" spans="1:9" ht="16.5">
      <c r="A104" s="12"/>
      <c r="B104" s="12"/>
      <c r="C104" s="12"/>
      <c r="D104" s="12"/>
      <c r="E104" s="12"/>
      <c r="F104" s="12"/>
      <c r="G104" s="12"/>
      <c r="H104" s="12"/>
      <c r="I104" s="12"/>
    </row>
    <row r="105" spans="1:9" ht="16.5">
      <c r="A105" s="12"/>
      <c r="B105" s="12"/>
      <c r="C105" s="12"/>
      <c r="D105" s="12"/>
      <c r="E105" s="12"/>
      <c r="F105" s="12"/>
      <c r="G105" s="12"/>
      <c r="H105" s="12"/>
      <c r="I105" s="12"/>
    </row>
    <row r="106" spans="1:9" ht="16.5">
      <c r="A106" s="12"/>
      <c r="B106" s="12"/>
      <c r="C106" s="12"/>
      <c r="D106" s="12"/>
      <c r="E106" s="12"/>
      <c r="F106" s="12"/>
      <c r="G106" s="12"/>
      <c r="H106" s="12"/>
      <c r="I106" s="12"/>
    </row>
    <row r="107" spans="1:9" ht="16.5">
      <c r="A107" s="12"/>
      <c r="B107" s="12"/>
      <c r="C107" s="12"/>
      <c r="D107" s="12"/>
      <c r="E107" s="12"/>
      <c r="F107" s="12"/>
      <c r="G107" s="12"/>
      <c r="H107" s="12"/>
      <c r="I107" s="12"/>
    </row>
    <row r="108" spans="1:9" ht="16.5">
      <c r="A108" s="12"/>
      <c r="B108" s="12"/>
      <c r="C108" s="12"/>
      <c r="D108" s="12"/>
      <c r="E108" s="12"/>
      <c r="F108" s="12"/>
      <c r="G108" s="12"/>
      <c r="H108" s="12"/>
      <c r="I108" s="12"/>
    </row>
    <row r="109" spans="1:9" ht="16.5">
      <c r="A109" s="12"/>
      <c r="B109" s="12"/>
      <c r="C109" s="12"/>
      <c r="D109" s="12"/>
      <c r="E109" s="12"/>
      <c r="F109" s="12"/>
      <c r="G109" s="12"/>
      <c r="H109" s="12"/>
      <c r="I109" s="12"/>
    </row>
    <row r="110" spans="1:9" ht="16.5">
      <c r="A110" s="12"/>
      <c r="B110" s="12"/>
      <c r="C110" s="12"/>
      <c r="D110" s="12"/>
      <c r="E110" s="12"/>
      <c r="F110" s="12"/>
      <c r="G110" s="12"/>
      <c r="H110" s="12"/>
      <c r="I110" s="12"/>
    </row>
    <row r="111" spans="1:9" ht="16.5">
      <c r="A111" s="12"/>
      <c r="B111" s="12"/>
      <c r="C111" s="12"/>
      <c r="D111" s="12"/>
      <c r="E111" s="12"/>
      <c r="F111" s="12"/>
      <c r="G111" s="12"/>
      <c r="H111" s="12"/>
      <c r="I111" s="12"/>
    </row>
    <row r="112" spans="1:9" ht="16.5">
      <c r="A112" s="12"/>
      <c r="B112" s="12"/>
      <c r="C112" s="12"/>
      <c r="D112" s="12"/>
      <c r="E112" s="12"/>
      <c r="F112" s="12"/>
      <c r="G112" s="12"/>
      <c r="H112" s="12"/>
      <c r="I112" s="12"/>
    </row>
    <row r="113" spans="1:9" ht="16.5">
      <c r="A113" s="12"/>
      <c r="B113" s="12"/>
      <c r="C113" s="12"/>
      <c r="D113" s="12"/>
      <c r="E113" s="12"/>
      <c r="F113" s="12"/>
      <c r="G113" s="12"/>
      <c r="H113" s="12"/>
      <c r="I113" s="12"/>
    </row>
  </sheetData>
  <pageMargins left="0.25" right="0.25" top="0.75" bottom="0.75" header="0.3" footer="0.3"/>
  <pageSetup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A9282-6164-4F23-8F00-A2369B6B55B2}">
  <sheetPr>
    <tabColor rgb="FF92D050"/>
  </sheetPr>
  <dimension ref="A1:N45"/>
  <sheetViews>
    <sheetView view="pageBreakPreview" zoomScale="70" zoomScaleNormal="80" zoomScaleSheetLayoutView="70" workbookViewId="0">
      <selection activeCell="G18" sqref="G18"/>
    </sheetView>
  </sheetViews>
  <sheetFormatPr defaultRowHeight="15"/>
  <cols>
    <col min="1" max="1" width="21.5703125" customWidth="1"/>
    <col min="2" max="2" width="38.42578125" customWidth="1"/>
    <col min="3" max="3" width="25" customWidth="1"/>
    <col min="4" max="4" width="28.85546875" customWidth="1"/>
    <col min="5" max="5" width="22.42578125" customWidth="1"/>
    <col min="6" max="6" width="22.7109375" customWidth="1"/>
    <col min="7" max="7" width="25" customWidth="1"/>
    <col min="8" max="8" width="26.7109375" customWidth="1"/>
    <col min="9" max="9" width="21.5703125" customWidth="1"/>
    <col min="10" max="10" width="21.28515625" customWidth="1"/>
    <col min="11" max="11" width="4.42578125" customWidth="1"/>
    <col min="12" max="12" width="22.7109375" customWidth="1"/>
    <col min="13" max="13" width="17.28515625" customWidth="1"/>
  </cols>
  <sheetData>
    <row r="1" spans="1:14" ht="26.25">
      <c r="A1" s="24" t="s">
        <v>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7.25">
      <c r="A2" s="63" t="s">
        <v>9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6.5">
      <c r="A3" s="26" t="s">
        <v>441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6.5">
      <c r="A4" s="12"/>
      <c r="C4" s="12"/>
      <c r="D4" s="12"/>
      <c r="E4" s="27" t="s">
        <v>0</v>
      </c>
      <c r="F4" s="12"/>
      <c r="G4" s="12"/>
      <c r="H4" s="12"/>
      <c r="I4" s="12"/>
      <c r="J4" s="12"/>
      <c r="K4" s="12"/>
      <c r="L4" s="12"/>
      <c r="M4" s="12"/>
      <c r="N4" s="12"/>
    </row>
    <row r="5" spans="1:14" ht="18" thickBot="1">
      <c r="A5" s="6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21" thickBot="1">
      <c r="A6" s="239" t="str">
        <f>+'S&amp;D'!A12</f>
        <v>Electric Wholesale (non-regulated) Power Generator</v>
      </c>
      <c r="B6" s="262"/>
      <c r="C6" s="176"/>
      <c r="D6" s="12"/>
      <c r="E6" s="12"/>
      <c r="F6" s="12"/>
      <c r="G6" s="12"/>
      <c r="H6" s="12"/>
    </row>
    <row r="7" spans="1:14" ht="18" thickBot="1">
      <c r="A7" s="63"/>
      <c r="C7" s="29"/>
      <c r="D7" s="29"/>
      <c r="E7" s="29"/>
      <c r="F7" s="29"/>
      <c r="G7" s="29"/>
      <c r="H7" s="12"/>
    </row>
    <row r="8" spans="1:14" ht="26.25">
      <c r="C8" s="12"/>
      <c r="D8" s="12"/>
      <c r="E8" s="32" t="s">
        <v>330</v>
      </c>
      <c r="F8" s="12"/>
      <c r="G8" s="12"/>
      <c r="H8" s="12"/>
    </row>
    <row r="9" spans="1:14" ht="21" thickBot="1">
      <c r="B9" s="31"/>
      <c r="C9" s="29"/>
      <c r="D9" s="29"/>
      <c r="E9" s="33" t="s">
        <v>442</v>
      </c>
      <c r="F9" s="29"/>
      <c r="G9" s="29"/>
      <c r="H9" s="12"/>
    </row>
    <row r="10" spans="1:14" ht="17.25" thickBot="1">
      <c r="B10" s="34" t="s">
        <v>0</v>
      </c>
      <c r="C10" s="34" t="s">
        <v>0</v>
      </c>
      <c r="D10" s="34" t="s">
        <v>0</v>
      </c>
      <c r="E10" s="34" t="s">
        <v>0</v>
      </c>
      <c r="F10" s="34" t="s">
        <v>0</v>
      </c>
      <c r="G10" s="34" t="s">
        <v>0</v>
      </c>
      <c r="H10" s="29"/>
    </row>
    <row r="11" spans="1:14" ht="16.5">
      <c r="B11" s="35" t="s">
        <v>0</v>
      </c>
      <c r="C11" s="35" t="s">
        <v>3</v>
      </c>
      <c r="D11" s="35" t="s">
        <v>0</v>
      </c>
      <c r="E11" s="35" t="s">
        <v>331</v>
      </c>
      <c r="F11" s="35" t="s">
        <v>234</v>
      </c>
      <c r="G11" s="35" t="s">
        <v>332</v>
      </c>
      <c r="H11" s="35" t="s">
        <v>332</v>
      </c>
    </row>
    <row r="12" spans="1:14" ht="17.25" thickBot="1">
      <c r="B12" s="37" t="s">
        <v>2</v>
      </c>
      <c r="C12" s="37" t="s">
        <v>4</v>
      </c>
      <c r="D12" s="37" t="s">
        <v>28</v>
      </c>
      <c r="E12" s="37" t="s">
        <v>170</v>
      </c>
      <c r="F12" s="37" t="s">
        <v>333</v>
      </c>
      <c r="G12" s="37" t="s">
        <v>349</v>
      </c>
      <c r="H12" s="37" t="s">
        <v>29</v>
      </c>
    </row>
    <row r="13" spans="1:14">
      <c r="B13" s="39" t="s">
        <v>0</v>
      </c>
      <c r="C13" s="39" t="s">
        <v>0</v>
      </c>
      <c r="D13" s="40" t="s">
        <v>125</v>
      </c>
      <c r="E13" s="39" t="s">
        <v>126</v>
      </c>
      <c r="F13" s="39" t="s">
        <v>0</v>
      </c>
      <c r="G13" s="39" t="s">
        <v>126</v>
      </c>
      <c r="H13" s="39" t="s">
        <v>0</v>
      </c>
    </row>
    <row r="14" spans="1:14" ht="16.5">
      <c r="B14" s="35"/>
      <c r="C14" s="35"/>
      <c r="D14" s="35"/>
      <c r="E14" s="35"/>
      <c r="F14" s="35"/>
      <c r="G14" s="35"/>
      <c r="H14" s="35"/>
    </row>
    <row r="15" spans="1:14" ht="16.5">
      <c r="B15" s="12"/>
      <c r="C15" s="12"/>
      <c r="D15" s="12"/>
      <c r="E15" s="12"/>
      <c r="F15" s="12"/>
      <c r="G15" s="12"/>
      <c r="H15" s="12"/>
    </row>
    <row r="16" spans="1:14" ht="17.25">
      <c r="B16" s="63" t="str">
        <f>+'S&amp;D'!A22</f>
        <v>AES CORPORATION</v>
      </c>
      <c r="C16" s="90" t="str">
        <f>+'S&amp;D'!B22</f>
        <v>AES</v>
      </c>
      <c r="D16" s="167">
        <f>+'S&amp;D'!G22</f>
        <v>12.87</v>
      </c>
      <c r="E16" s="268">
        <v>18.55</v>
      </c>
      <c r="F16" s="72">
        <f>D16/E16</f>
        <v>0.69380053908355788</v>
      </c>
      <c r="G16" s="268">
        <v>5.8</v>
      </c>
      <c r="H16" s="303">
        <f>D16/G16</f>
        <v>2.2189655172413794</v>
      </c>
    </row>
    <row r="17" spans="1:8" ht="17.25">
      <c r="B17" s="63" t="str">
        <f>+'S&amp;D'!A23</f>
        <v>DOMINION ENERGY INC</v>
      </c>
      <c r="C17" s="90" t="str">
        <f>+'S&amp;D'!B23</f>
        <v>D</v>
      </c>
      <c r="D17" s="167">
        <f>+'S&amp;D'!G23</f>
        <v>53.86</v>
      </c>
      <c r="E17" s="268">
        <v>18.95</v>
      </c>
      <c r="F17" s="303">
        <f t="shared" ref="F17:F21" si="0">D17/E17</f>
        <v>2.8422163588390501</v>
      </c>
      <c r="G17" s="268">
        <v>31.75</v>
      </c>
      <c r="H17" s="72">
        <f t="shared" ref="H17:H22" si="1">D17/G17</f>
        <v>1.6963779527559055</v>
      </c>
    </row>
    <row r="18" spans="1:8" ht="17.25">
      <c r="B18" s="63" t="str">
        <f>+'S&amp;D'!A24</f>
        <v>CONSTELLATION ENERGY GENERATION LLC</v>
      </c>
      <c r="C18" s="90" t="str">
        <f>+'S&amp;D'!B24</f>
        <v>CEG</v>
      </c>
      <c r="D18" s="167">
        <f>+'S&amp;D'!G24</f>
        <v>223.71</v>
      </c>
      <c r="E18" s="268">
        <v>77.2</v>
      </c>
      <c r="F18" s="72">
        <f t="shared" si="0"/>
        <v>2.8977979274611401</v>
      </c>
      <c r="G18" s="268">
        <v>47.8</v>
      </c>
      <c r="H18" s="72">
        <f t="shared" si="1"/>
        <v>4.6801255230125527</v>
      </c>
    </row>
    <row r="19" spans="1:8" ht="17.25">
      <c r="B19" s="63" t="str">
        <f>+'S&amp;D'!A25</f>
        <v>NEXTERA ENERGY INC</v>
      </c>
      <c r="C19" s="90" t="str">
        <f>+'S&amp;D'!B25</f>
        <v>NEE</v>
      </c>
      <c r="D19" s="167">
        <f>+'S&amp;D'!G25</f>
        <v>71.69</v>
      </c>
      <c r="E19" s="268">
        <v>14.55</v>
      </c>
      <c r="F19" s="72">
        <f>D19/E19</f>
        <v>4.9271477663230234</v>
      </c>
      <c r="G19" s="268">
        <v>26.05</v>
      </c>
      <c r="H19" s="72">
        <f t="shared" ref="H19" si="2">D19/G19</f>
        <v>2.7520153550863724</v>
      </c>
    </row>
    <row r="20" spans="1:8" ht="17.25">
      <c r="B20" s="63" t="str">
        <f>+'S&amp;D'!A26</f>
        <v>NRG ENERGY</v>
      </c>
      <c r="C20" s="90" t="str">
        <f>+'S&amp;D'!B26</f>
        <v>NRG</v>
      </c>
      <c r="D20" s="167">
        <f>+'S&amp;D'!G26</f>
        <v>90.22</v>
      </c>
      <c r="E20" s="268">
        <v>160.5</v>
      </c>
      <c r="F20" s="72">
        <f>D20/E20</f>
        <v>0.5621183800623053</v>
      </c>
      <c r="G20" s="268">
        <v>14.6</v>
      </c>
      <c r="H20" s="72">
        <f t="shared" si="1"/>
        <v>6.1794520547945204</v>
      </c>
    </row>
    <row r="21" spans="1:8" ht="17.25">
      <c r="B21" s="63" t="str">
        <f>+'S&amp;D'!A27</f>
        <v>SOUTHERN COMPANY</v>
      </c>
      <c r="C21" s="90" t="str">
        <f>+'S&amp;D'!B27</f>
        <v>SO</v>
      </c>
      <c r="D21" s="167">
        <f>+'S&amp;D'!G27</f>
        <v>82.32</v>
      </c>
      <c r="E21" s="268">
        <v>24.9</v>
      </c>
      <c r="F21" s="72">
        <f t="shared" si="0"/>
        <v>3.3060240963855421</v>
      </c>
      <c r="G21" s="268">
        <v>31.75</v>
      </c>
      <c r="H21" s="72">
        <f t="shared" si="1"/>
        <v>2.5927559055118108</v>
      </c>
    </row>
    <row r="22" spans="1:8" ht="17.25">
      <c r="B22" s="63" t="str">
        <f>+'S&amp;D'!A28</f>
        <v>VISTRA ENERGY CORPORATION</v>
      </c>
      <c r="C22" s="90" t="str">
        <f>+'S&amp;D'!B28</f>
        <v>VST</v>
      </c>
      <c r="D22" s="167">
        <f>+'S&amp;D'!G28</f>
        <v>137.87</v>
      </c>
      <c r="E22" s="268">
        <v>58.55</v>
      </c>
      <c r="F22" s="72">
        <f t="shared" ref="F22" si="3">D22/E22</f>
        <v>2.3547395388556791</v>
      </c>
      <c r="G22" s="268">
        <v>18.95</v>
      </c>
      <c r="H22" s="72">
        <f t="shared" si="1"/>
        <v>7.2754617414248024</v>
      </c>
    </row>
    <row r="23" spans="1:8" ht="10.5" customHeight="1" thickBot="1">
      <c r="B23" s="12"/>
      <c r="C23" s="71"/>
      <c r="D23" s="71"/>
      <c r="E23" s="71"/>
      <c r="F23" s="71"/>
      <c r="G23" s="71"/>
      <c r="H23" s="71"/>
    </row>
    <row r="24" spans="1:8" ht="17.25" thickTop="1">
      <c r="B24" s="12"/>
      <c r="D24" s="14" t="s">
        <v>53</v>
      </c>
      <c r="E24" s="16">
        <f>MAX(E16:E22)</f>
        <v>160.5</v>
      </c>
      <c r="F24" s="275">
        <f t="shared" ref="F24:H24" si="4">MAX(F16:F22)</f>
        <v>4.9271477663230234</v>
      </c>
      <c r="G24" s="16">
        <f t="shared" si="4"/>
        <v>47.8</v>
      </c>
      <c r="H24" s="16">
        <f t="shared" si="4"/>
        <v>7.2754617414248024</v>
      </c>
    </row>
    <row r="25" spans="1:8" ht="16.5">
      <c r="B25" s="12"/>
      <c r="D25" s="14" t="s">
        <v>54</v>
      </c>
      <c r="E25" s="295">
        <f>MIN(E16:E22)</f>
        <v>14.55</v>
      </c>
      <c r="F25" s="278">
        <f t="shared" ref="F25:H25" si="5">MIN(F16:F22)</f>
        <v>0.5621183800623053</v>
      </c>
      <c r="G25" s="295">
        <f t="shared" si="5"/>
        <v>5.8</v>
      </c>
      <c r="H25" s="295">
        <f t="shared" si="5"/>
        <v>1.6963779527559055</v>
      </c>
    </row>
    <row r="26" spans="1:8" ht="16.5">
      <c r="B26" s="12"/>
      <c r="D26" s="14" t="s">
        <v>18</v>
      </c>
      <c r="E26" s="57" t="s">
        <v>0</v>
      </c>
      <c r="F26" s="21">
        <f>MEDIAN(F16:F22)</f>
        <v>2.8422163588390501</v>
      </c>
      <c r="G26" s="57" t="s">
        <v>0</v>
      </c>
      <c r="H26" s="21">
        <f>MEDIAN(H16:H22)</f>
        <v>2.7520153550863724</v>
      </c>
    </row>
    <row r="27" spans="1:8" ht="16.5">
      <c r="B27" s="12"/>
      <c r="D27" s="14" t="s">
        <v>377</v>
      </c>
      <c r="E27" s="73" t="s">
        <v>0</v>
      </c>
      <c r="F27" s="21">
        <f>AVERAGE(F16:F22)</f>
        <v>2.5119778010014713</v>
      </c>
      <c r="G27" s="73" t="s">
        <v>0</v>
      </c>
      <c r="H27" s="21">
        <f>AVERAGE(H16:H22)</f>
        <v>3.9135934356896209</v>
      </c>
    </row>
    <row r="28" spans="1:8" ht="17.25" thickBot="1">
      <c r="B28" s="12"/>
      <c r="C28" s="12"/>
      <c r="D28" s="12"/>
      <c r="E28" s="12"/>
      <c r="F28" s="12"/>
      <c r="G28" s="12"/>
      <c r="H28" s="12"/>
    </row>
    <row r="29" spans="1:8" ht="27" thickBot="1">
      <c r="B29" s="75" t="s">
        <v>0</v>
      </c>
      <c r="C29" s="12"/>
      <c r="D29" s="24" t="s">
        <v>131</v>
      </c>
      <c r="E29" s="24"/>
      <c r="F29" s="343">
        <v>2.5099999999999998</v>
      </c>
      <c r="G29" s="298"/>
      <c r="H29" s="343">
        <v>3.91</v>
      </c>
    </row>
    <row r="30" spans="1:8" ht="16.5">
      <c r="B30" s="75" t="s">
        <v>0</v>
      </c>
      <c r="C30" s="12"/>
      <c r="D30" s="12"/>
      <c r="E30" s="12"/>
      <c r="F30" s="12"/>
      <c r="G30" s="12"/>
      <c r="H30" s="12"/>
    </row>
    <row r="31" spans="1:8" ht="16.5">
      <c r="B31" s="75"/>
      <c r="C31" s="12"/>
      <c r="D31" s="12"/>
      <c r="E31" s="12"/>
      <c r="F31" s="12"/>
      <c r="G31" s="12"/>
      <c r="H31" s="12"/>
    </row>
    <row r="32" spans="1:8" ht="17.25">
      <c r="A32" s="109" t="s">
        <v>334</v>
      </c>
      <c r="B32" s="75"/>
      <c r="C32" s="12"/>
      <c r="D32" s="12"/>
      <c r="E32" s="12"/>
      <c r="F32" s="12"/>
      <c r="G32" s="12"/>
      <c r="H32" s="12"/>
    </row>
    <row r="33" spans="1:8" ht="17.25">
      <c r="A33" s="109" t="s">
        <v>335</v>
      </c>
      <c r="B33" s="75"/>
      <c r="C33" s="12"/>
      <c r="D33" s="12"/>
      <c r="E33" s="12"/>
      <c r="F33" s="12"/>
      <c r="G33" s="12"/>
      <c r="H33" s="12"/>
    </row>
    <row r="34" spans="1:8" ht="16.5">
      <c r="H34" s="12"/>
    </row>
    <row r="35" spans="1:8" ht="17.25">
      <c r="A35" s="109" t="s">
        <v>336</v>
      </c>
      <c r="H35" s="12"/>
    </row>
    <row r="36" spans="1:8" ht="17.25">
      <c r="A36" s="109" t="s">
        <v>337</v>
      </c>
    </row>
    <row r="37" spans="1:8" ht="17.25">
      <c r="A37" s="109" t="s">
        <v>338</v>
      </c>
    </row>
    <row r="43" spans="1:8" ht="17.25">
      <c r="A43" s="109"/>
      <c r="C43" s="249" t="s">
        <v>0</v>
      </c>
    </row>
    <row r="44" spans="1:8" ht="17.25">
      <c r="C44" s="249" t="s">
        <v>0</v>
      </c>
    </row>
    <row r="45" spans="1:8" ht="17.25">
      <c r="C45" s="249" t="s">
        <v>0</v>
      </c>
    </row>
  </sheetData>
  <pageMargins left="0.25" right="0.25" top="0.75" bottom="0.75" header="0.3" footer="0.3"/>
  <pageSetup scale="45" orientation="landscape" r:id="rId1"/>
  <rowBreaks count="1" manualBreakCount="1">
    <brk id="38" max="8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"/>
  <sheetViews>
    <sheetView workbookViewId="0">
      <selection activeCell="Z13" sqref="Z13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K31"/>
  <sheetViews>
    <sheetView view="pageBreakPreview" zoomScale="80" zoomScaleNormal="80" zoomScaleSheetLayoutView="80" workbookViewId="0">
      <selection activeCell="G30" sqref="G30"/>
    </sheetView>
  </sheetViews>
  <sheetFormatPr defaultRowHeight="15"/>
  <cols>
    <col min="1" max="1" width="22.28515625" customWidth="1"/>
    <col min="2" max="2" width="39.7109375" customWidth="1"/>
    <col min="3" max="3" width="16.85546875" customWidth="1"/>
    <col min="4" max="4" width="35.28515625" customWidth="1"/>
    <col min="5" max="5" width="18" customWidth="1"/>
    <col min="6" max="6" width="20.85546875" bestFit="1" customWidth="1"/>
    <col min="7" max="7" width="22" customWidth="1"/>
    <col min="8" max="8" width="23.7109375" customWidth="1"/>
  </cols>
  <sheetData>
    <row r="1" spans="1:11" ht="26.25">
      <c r="A1" s="24" t="s">
        <v>1</v>
      </c>
      <c r="C1" s="12"/>
      <c r="D1" s="12"/>
      <c r="E1" s="12"/>
      <c r="F1" s="12"/>
      <c r="G1" s="12"/>
      <c r="H1" s="12"/>
      <c r="I1" s="12"/>
      <c r="J1" s="12"/>
      <c r="K1" s="12"/>
    </row>
    <row r="2" spans="1:11" ht="17.25">
      <c r="A2" s="25" t="s">
        <v>9</v>
      </c>
      <c r="C2" s="12"/>
      <c r="D2" s="12"/>
      <c r="E2" s="12"/>
      <c r="F2" s="12"/>
      <c r="G2" s="12"/>
      <c r="H2" s="12"/>
      <c r="I2" s="12"/>
      <c r="J2" s="12"/>
      <c r="K2" s="12"/>
    </row>
    <row r="3" spans="1:11" ht="17.25" customHeight="1">
      <c r="A3" s="26" t="s">
        <v>441</v>
      </c>
      <c r="C3" s="12"/>
      <c r="D3" s="12"/>
      <c r="E3" s="12"/>
      <c r="F3" s="12"/>
      <c r="G3" s="12"/>
      <c r="H3" s="12"/>
      <c r="I3" s="12"/>
      <c r="J3" s="12"/>
      <c r="K3" s="12"/>
    </row>
    <row r="4" spans="1:11" ht="17.25" customHeight="1">
      <c r="B4" s="26"/>
      <c r="C4" s="12"/>
      <c r="D4" s="12"/>
      <c r="E4" s="12"/>
      <c r="F4" s="12"/>
      <c r="G4" s="12"/>
      <c r="H4" s="12"/>
      <c r="I4" s="12"/>
      <c r="J4" s="12"/>
      <c r="K4" s="12"/>
    </row>
    <row r="5" spans="1:11" ht="17.25" customHeight="1">
      <c r="B5" s="141"/>
      <c r="C5" s="12"/>
      <c r="D5" s="12"/>
      <c r="E5" s="12"/>
      <c r="F5" s="12"/>
      <c r="G5" s="12"/>
      <c r="H5" s="12"/>
      <c r="I5" s="12"/>
      <c r="J5" s="12"/>
      <c r="K5" s="12"/>
    </row>
    <row r="6" spans="1:11" ht="17.25" customHeight="1">
      <c r="B6" s="141"/>
      <c r="C6" s="12"/>
      <c r="D6" s="12"/>
      <c r="E6" s="12"/>
      <c r="F6" s="12"/>
      <c r="G6" s="12"/>
      <c r="H6" s="12"/>
      <c r="I6" s="12"/>
      <c r="J6" s="12"/>
      <c r="K6" s="12"/>
    </row>
    <row r="7" spans="1:11" ht="17.25" customHeight="1">
      <c r="B7" s="141"/>
      <c r="C7" s="12"/>
      <c r="D7" s="12"/>
      <c r="E7" s="12"/>
      <c r="F7" s="12"/>
      <c r="G7" s="12"/>
      <c r="H7" s="12"/>
      <c r="I7" s="12"/>
      <c r="J7" s="12"/>
      <c r="K7" s="12"/>
    </row>
    <row r="8" spans="1:11" ht="16.5">
      <c r="B8" s="26"/>
      <c r="C8" s="12"/>
      <c r="D8" s="12"/>
      <c r="E8" s="12"/>
      <c r="F8" s="12"/>
      <c r="G8" s="12"/>
      <c r="H8" s="12"/>
      <c r="I8" s="12"/>
      <c r="J8" s="12"/>
      <c r="K8" s="12"/>
    </row>
    <row r="9" spans="1:11" ht="20.25">
      <c r="B9" s="12"/>
      <c r="C9" s="12"/>
      <c r="D9" s="78" t="s">
        <v>0</v>
      </c>
      <c r="E9" s="12"/>
      <c r="F9" s="12"/>
      <c r="G9" s="12"/>
      <c r="H9" s="12"/>
      <c r="I9" s="12"/>
      <c r="J9" s="12"/>
      <c r="K9" s="12"/>
    </row>
    <row r="10" spans="1:11" ht="20.25">
      <c r="B10" s="12"/>
      <c r="C10" s="12"/>
      <c r="D10" s="78" t="s">
        <v>76</v>
      </c>
      <c r="E10" s="12"/>
      <c r="F10" s="12"/>
      <c r="G10" s="12"/>
      <c r="H10" s="12"/>
      <c r="I10" s="12"/>
      <c r="J10" s="12"/>
      <c r="K10" s="12"/>
    </row>
    <row r="11" spans="1:11" ht="16.5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6.5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16.5">
      <c r="B13" s="12"/>
      <c r="C13" s="12"/>
      <c r="D13" s="12"/>
      <c r="E13" s="27"/>
      <c r="F13" s="12"/>
      <c r="G13" s="12"/>
      <c r="H13" s="12"/>
      <c r="I13" s="12"/>
      <c r="J13" s="12"/>
      <c r="K13" s="12"/>
    </row>
    <row r="14" spans="1:11" ht="16.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17.25" thickBot="1">
      <c r="B15" s="12"/>
      <c r="C15" s="29"/>
      <c r="D15" s="29"/>
      <c r="E15" s="29"/>
      <c r="F15" s="12"/>
      <c r="G15" s="12"/>
      <c r="H15" s="12"/>
      <c r="I15" s="12"/>
      <c r="J15" s="12"/>
      <c r="K15" s="12"/>
    </row>
    <row r="16" spans="1:11" ht="26.25">
      <c r="B16" s="12"/>
      <c r="C16" s="12"/>
      <c r="D16" s="32" t="str">
        <f>+'S&amp;D'!A12</f>
        <v>Electric Wholesale (non-regulated) Power Generator</v>
      </c>
      <c r="E16" s="12"/>
      <c r="F16" s="12"/>
      <c r="G16" s="12"/>
      <c r="H16" s="12"/>
      <c r="I16" s="12"/>
      <c r="J16" s="12"/>
      <c r="K16" s="12"/>
    </row>
    <row r="17" spans="2:11" ht="17.25" thickBot="1">
      <c r="B17" s="12"/>
      <c r="C17" s="29"/>
      <c r="D17" s="37" t="s">
        <v>0</v>
      </c>
      <c r="E17" s="29"/>
      <c r="F17" s="12"/>
      <c r="G17" s="12"/>
      <c r="H17" s="12"/>
      <c r="I17" s="12"/>
      <c r="J17" s="12"/>
      <c r="K17" s="12"/>
    </row>
    <row r="18" spans="2:11" ht="17.25" thickBot="1">
      <c r="B18" s="29"/>
      <c r="C18" s="29"/>
      <c r="D18" s="37" t="s">
        <v>0</v>
      </c>
      <c r="E18" s="29"/>
      <c r="F18" s="29"/>
      <c r="G18" s="29"/>
      <c r="H18" s="12"/>
      <c r="I18" s="12"/>
      <c r="J18" s="12"/>
      <c r="K18" s="12"/>
    </row>
    <row r="19" spans="2:11" ht="16.5">
      <c r="B19" s="35" t="s">
        <v>32</v>
      </c>
      <c r="C19" s="35" t="s">
        <v>33</v>
      </c>
      <c r="D19" s="35" t="s">
        <v>34</v>
      </c>
      <c r="E19" s="35" t="s">
        <v>80</v>
      </c>
      <c r="F19" s="35" t="s">
        <v>34</v>
      </c>
      <c r="G19" s="35" t="s">
        <v>35</v>
      </c>
      <c r="H19" s="12"/>
      <c r="I19" s="12"/>
      <c r="J19" s="12"/>
      <c r="K19" s="12"/>
    </row>
    <row r="20" spans="2:11" ht="17.25" thickBot="1">
      <c r="B20" s="37" t="s">
        <v>33</v>
      </c>
      <c r="C20" s="37" t="s">
        <v>36</v>
      </c>
      <c r="D20" s="37" t="s">
        <v>37</v>
      </c>
      <c r="E20" s="37" t="s">
        <v>23</v>
      </c>
      <c r="F20" s="37" t="s">
        <v>38</v>
      </c>
      <c r="G20" s="37" t="s">
        <v>39</v>
      </c>
      <c r="H20" s="12"/>
      <c r="I20" s="12"/>
      <c r="J20" s="12"/>
      <c r="K20" s="12"/>
    </row>
    <row r="21" spans="2:11" ht="16.5">
      <c r="B21" s="39" t="s">
        <v>0</v>
      </c>
      <c r="C21" s="39" t="s">
        <v>0</v>
      </c>
      <c r="D21" s="39" t="s">
        <v>0</v>
      </c>
      <c r="E21" s="39" t="s">
        <v>0</v>
      </c>
      <c r="F21" s="39" t="s">
        <v>0</v>
      </c>
      <c r="G21" s="39" t="s">
        <v>0</v>
      </c>
      <c r="H21" s="12"/>
      <c r="I21" s="12"/>
      <c r="J21" s="12"/>
      <c r="K21" s="12"/>
    </row>
    <row r="22" spans="2:11" ht="16.5">
      <c r="B22" s="35"/>
      <c r="C22" s="35"/>
      <c r="D22" s="35"/>
      <c r="E22" s="35"/>
      <c r="F22" s="35"/>
      <c r="G22" s="35"/>
      <c r="H22" s="12"/>
      <c r="I22" s="12"/>
      <c r="J22" s="12"/>
      <c r="K22" s="12"/>
    </row>
    <row r="23" spans="2:11" ht="17.25">
      <c r="B23" s="90" t="s">
        <v>40</v>
      </c>
      <c r="C23" s="133">
        <f>'S&amp;D'!J50</f>
        <v>0.62</v>
      </c>
      <c r="D23" s="133">
        <f>+'Indicated Yield Equity Rate '!D52</f>
        <v>9.98E-2</v>
      </c>
      <c r="E23" s="104" t="s">
        <v>41</v>
      </c>
      <c r="F23" s="133">
        <f>+D23</f>
        <v>9.98E-2</v>
      </c>
      <c r="G23" s="134">
        <f>+F23*C23</f>
        <v>6.1876E-2</v>
      </c>
      <c r="H23" s="12"/>
      <c r="I23" s="12"/>
      <c r="J23" s="12"/>
      <c r="K23" s="12"/>
    </row>
    <row r="24" spans="2:11" ht="17.25">
      <c r="B24" s="90" t="s">
        <v>0</v>
      </c>
      <c r="C24" s="104" t="s">
        <v>0</v>
      </c>
      <c r="D24" s="104" t="s">
        <v>0</v>
      </c>
      <c r="E24" s="104" t="s">
        <v>0</v>
      </c>
      <c r="F24" s="135" t="s">
        <v>0</v>
      </c>
      <c r="G24" s="122" t="s">
        <v>0</v>
      </c>
      <c r="H24" s="12"/>
      <c r="I24" s="12"/>
      <c r="J24" s="12"/>
      <c r="K24" s="12"/>
    </row>
    <row r="25" spans="2:11" ht="17.25">
      <c r="B25" s="90" t="s">
        <v>42</v>
      </c>
      <c r="C25" s="133">
        <f>'S&amp;D'!K50</f>
        <v>0.38</v>
      </c>
      <c r="D25" s="133">
        <f>+Debt!J29</f>
        <v>6.25E-2</v>
      </c>
      <c r="E25" s="133">
        <v>0.26</v>
      </c>
      <c r="F25" s="133">
        <f>+D25*(1-E25)</f>
        <v>4.6249999999999999E-2</v>
      </c>
      <c r="G25" s="134">
        <f>+C25*F25</f>
        <v>1.7575E-2</v>
      </c>
      <c r="H25" s="12"/>
      <c r="I25" s="12"/>
      <c r="J25" s="12"/>
      <c r="K25" s="12"/>
    </row>
    <row r="26" spans="2:11" ht="18" thickBot="1">
      <c r="B26" s="98" t="s">
        <v>0</v>
      </c>
      <c r="C26" s="98" t="s">
        <v>0</v>
      </c>
      <c r="D26" s="98" t="s">
        <v>0</v>
      </c>
      <c r="E26" s="98" t="s">
        <v>0</v>
      </c>
      <c r="F26" s="136" t="s">
        <v>0</v>
      </c>
      <c r="G26" s="137" t="s">
        <v>0</v>
      </c>
      <c r="H26" s="12"/>
      <c r="I26" s="12"/>
      <c r="J26" s="12"/>
      <c r="K26" s="12"/>
    </row>
    <row r="27" spans="2:11" ht="17.25">
      <c r="B27" s="90" t="s">
        <v>83</v>
      </c>
      <c r="C27" s="138">
        <f>+C23+C25</f>
        <v>1</v>
      </c>
      <c r="D27" s="90" t="s">
        <v>0</v>
      </c>
      <c r="E27" s="90" t="s">
        <v>0</v>
      </c>
      <c r="F27" s="139" t="s">
        <v>0</v>
      </c>
      <c r="G27" s="134">
        <f>+G23+G25</f>
        <v>7.9450999999999994E-2</v>
      </c>
      <c r="H27" s="12"/>
      <c r="I27" s="12"/>
      <c r="J27" s="12"/>
      <c r="K27" s="12"/>
    </row>
    <row r="28" spans="2:11" ht="18" thickBot="1">
      <c r="B28" s="63"/>
      <c r="C28" s="63"/>
      <c r="D28" s="63"/>
      <c r="E28" s="63"/>
      <c r="F28" s="63"/>
      <c r="G28" s="140"/>
      <c r="H28" s="12"/>
      <c r="I28" s="12"/>
      <c r="J28" s="12"/>
      <c r="K28" s="12"/>
    </row>
    <row r="29" spans="2:11" ht="18" thickBot="1">
      <c r="B29" s="12"/>
      <c r="C29" s="12"/>
      <c r="D29" s="12"/>
      <c r="E29" s="12"/>
      <c r="F29" s="185" t="s">
        <v>86</v>
      </c>
      <c r="G29" s="170">
        <v>7.9500000000000001E-2</v>
      </c>
      <c r="H29" s="12"/>
      <c r="I29" s="12"/>
      <c r="J29" s="12"/>
      <c r="K29" s="12"/>
    </row>
    <row r="30" spans="2:11" ht="16.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ht="16.5">
      <c r="B31" s="12"/>
      <c r="C31" s="12"/>
      <c r="D31" s="12"/>
      <c r="E31" s="12"/>
      <c r="F31" s="12"/>
      <c r="G31" s="12"/>
      <c r="H31" s="12"/>
      <c r="I31" s="12"/>
      <c r="J31" s="12"/>
      <c r="K31" s="12"/>
    </row>
  </sheetData>
  <pageMargins left="0.25" right="0.25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5631F-B284-4F75-B05C-C409AB53D71E}">
  <sheetPr>
    <tabColor rgb="FF92D050"/>
    <pageSetUpPr fitToPage="1"/>
  </sheetPr>
  <dimension ref="A1:K64"/>
  <sheetViews>
    <sheetView view="pageBreakPreview" topLeftCell="A25" zoomScale="80" zoomScaleNormal="80" zoomScaleSheetLayoutView="80" workbookViewId="0">
      <selection activeCell="G62" sqref="G62"/>
    </sheetView>
  </sheetViews>
  <sheetFormatPr defaultRowHeight="15"/>
  <cols>
    <col min="1" max="1" width="17.28515625" customWidth="1"/>
    <col min="2" max="2" width="31.7109375" customWidth="1"/>
    <col min="3" max="3" width="16.5703125" customWidth="1"/>
    <col min="4" max="4" width="35.28515625" customWidth="1"/>
    <col min="5" max="5" width="14.85546875" customWidth="1"/>
    <col min="6" max="6" width="25.85546875" customWidth="1"/>
    <col min="7" max="7" width="24.140625" customWidth="1"/>
    <col min="8" max="8" width="17.7109375" customWidth="1"/>
  </cols>
  <sheetData>
    <row r="1" spans="1:11" ht="26.25">
      <c r="A1" s="24" t="s">
        <v>1</v>
      </c>
      <c r="C1" s="12"/>
      <c r="D1" s="12"/>
      <c r="E1" s="12"/>
      <c r="F1" s="12"/>
      <c r="G1" s="12"/>
      <c r="H1" s="12"/>
      <c r="I1" s="12"/>
      <c r="J1" s="12"/>
      <c r="K1" s="12"/>
    </row>
    <row r="2" spans="1:11" ht="17.25">
      <c r="A2" s="25" t="s">
        <v>9</v>
      </c>
      <c r="C2" s="12"/>
      <c r="D2" s="12"/>
      <c r="E2" s="12"/>
      <c r="F2" s="12"/>
      <c r="G2" s="12"/>
      <c r="H2" s="12"/>
      <c r="I2" s="12"/>
      <c r="J2" s="12"/>
      <c r="K2" s="12"/>
    </row>
    <row r="3" spans="1:11" ht="16.5">
      <c r="A3" s="26" t="s">
        <v>441</v>
      </c>
      <c r="C3" s="12"/>
      <c r="D3" s="12"/>
      <c r="E3" s="12"/>
      <c r="F3" s="12"/>
      <c r="G3" s="12"/>
      <c r="H3" s="12"/>
      <c r="I3" s="12"/>
      <c r="J3" s="12"/>
      <c r="K3" s="12"/>
    </row>
    <row r="4" spans="1:11" ht="16.5">
      <c r="B4" s="26"/>
      <c r="C4" s="12"/>
      <c r="D4" s="12"/>
      <c r="E4" s="12"/>
      <c r="F4" s="12"/>
      <c r="G4" s="12"/>
      <c r="H4" s="12"/>
      <c r="I4" s="12"/>
      <c r="J4" s="12"/>
      <c r="K4" s="12"/>
    </row>
    <row r="5" spans="1:11" ht="16.5">
      <c r="B5" s="26"/>
      <c r="C5" s="12"/>
      <c r="D5" s="12"/>
      <c r="E5" s="12"/>
      <c r="F5" s="12"/>
      <c r="G5" s="12"/>
      <c r="H5" s="12"/>
      <c r="I5" s="12"/>
      <c r="J5" s="12"/>
      <c r="K5" s="12"/>
    </row>
    <row r="6" spans="1:11" ht="16.5">
      <c r="B6" s="26"/>
      <c r="C6" s="12"/>
      <c r="D6" s="12"/>
      <c r="E6" s="12"/>
      <c r="F6" s="12"/>
      <c r="G6" s="12"/>
      <c r="H6" s="12"/>
      <c r="I6" s="12"/>
      <c r="J6" s="12"/>
      <c r="K6" s="12"/>
    </row>
    <row r="7" spans="1:11" ht="16.5">
      <c r="B7" s="26"/>
      <c r="C7" s="12"/>
      <c r="D7" s="12"/>
      <c r="E7" s="12"/>
      <c r="F7" s="12"/>
      <c r="G7" s="12"/>
      <c r="H7" s="12"/>
      <c r="I7" s="12"/>
      <c r="J7" s="12"/>
      <c r="K7" s="12"/>
    </row>
    <row r="8" spans="1:11" ht="16.5">
      <c r="B8" s="26"/>
      <c r="C8" s="12"/>
      <c r="D8" s="12"/>
      <c r="E8" s="12"/>
      <c r="F8" s="12"/>
      <c r="G8" s="12"/>
      <c r="H8" s="12"/>
      <c r="I8" s="12"/>
      <c r="J8" s="12"/>
      <c r="K8" s="12"/>
    </row>
    <row r="9" spans="1:11" ht="16.5">
      <c r="B9" s="26"/>
      <c r="C9" s="12"/>
      <c r="D9" s="12"/>
      <c r="E9" s="12"/>
      <c r="F9" s="12"/>
      <c r="G9" s="12"/>
      <c r="H9" s="12"/>
      <c r="I9" s="12"/>
      <c r="J9" s="12"/>
      <c r="K9" s="12"/>
    </row>
    <row r="10" spans="1:11" ht="20.25">
      <c r="B10" s="12"/>
      <c r="C10" s="12"/>
      <c r="D10" s="78" t="s">
        <v>0</v>
      </c>
      <c r="E10" s="12"/>
      <c r="F10" s="12"/>
      <c r="G10" s="12"/>
      <c r="H10" s="12"/>
      <c r="I10" s="12"/>
      <c r="J10" s="12"/>
      <c r="K10" s="12"/>
    </row>
    <row r="11" spans="1:11" ht="20.25">
      <c r="B11" s="12"/>
      <c r="C11" s="12"/>
      <c r="D11" s="78" t="s">
        <v>75</v>
      </c>
      <c r="E11" s="12"/>
      <c r="F11" s="12"/>
      <c r="G11" s="12"/>
      <c r="H11" s="12"/>
      <c r="I11" s="12"/>
      <c r="J11" s="12"/>
      <c r="K11" s="12"/>
    </row>
    <row r="12" spans="1:11" ht="16.5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16.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7.25" thickBot="1">
      <c r="B14" s="12"/>
      <c r="C14" s="29"/>
      <c r="D14" s="29"/>
      <c r="E14" s="29"/>
      <c r="F14" s="12"/>
      <c r="G14" s="12"/>
      <c r="H14" s="12"/>
      <c r="I14" s="12"/>
      <c r="J14" s="12"/>
      <c r="K14" s="12"/>
    </row>
    <row r="15" spans="1:11" ht="26.25">
      <c r="B15" s="12"/>
      <c r="C15" s="12"/>
      <c r="D15" s="32" t="str">
        <f>+'S&amp;D'!A12</f>
        <v>Electric Wholesale (non-regulated) Power Generator</v>
      </c>
      <c r="E15" s="12"/>
      <c r="F15" s="12"/>
      <c r="G15" s="12"/>
      <c r="H15" s="12"/>
      <c r="I15" s="12"/>
      <c r="J15" s="12"/>
      <c r="K15" s="12"/>
    </row>
    <row r="16" spans="1:11" ht="21" thickBot="1">
      <c r="B16" s="12"/>
      <c r="C16" s="29"/>
      <c r="D16" s="132" t="s">
        <v>82</v>
      </c>
      <c r="E16" s="29"/>
      <c r="F16" s="12"/>
      <c r="G16" s="12"/>
      <c r="H16" s="12"/>
      <c r="I16" s="12"/>
      <c r="J16" s="12"/>
      <c r="K16" s="12"/>
    </row>
    <row r="17" spans="2:11" ht="16.5">
      <c r="H17" s="12"/>
      <c r="I17" s="12"/>
      <c r="J17" s="12"/>
      <c r="K17" s="12"/>
    </row>
    <row r="18" spans="2:11" ht="17.25" thickBot="1">
      <c r="B18" s="29"/>
      <c r="C18" s="29"/>
      <c r="D18" s="37" t="s">
        <v>0</v>
      </c>
      <c r="E18" s="29"/>
      <c r="F18" s="29"/>
      <c r="G18" s="29"/>
      <c r="H18" s="12"/>
      <c r="I18" s="12"/>
      <c r="J18" s="12"/>
      <c r="K18" s="12"/>
    </row>
    <row r="19" spans="2:11" ht="16.5">
      <c r="B19" s="35" t="s">
        <v>32</v>
      </c>
      <c r="C19" s="35" t="s">
        <v>33</v>
      </c>
      <c r="D19" s="35" t="s">
        <v>79</v>
      </c>
      <c r="E19" s="35" t="s">
        <v>80</v>
      </c>
      <c r="F19" s="35" t="s">
        <v>78</v>
      </c>
      <c r="G19" s="35" t="s">
        <v>35</v>
      </c>
      <c r="H19" s="12"/>
      <c r="I19" s="12"/>
      <c r="J19" s="12"/>
      <c r="K19" s="12"/>
    </row>
    <row r="20" spans="2:11" ht="17.25" thickBot="1">
      <c r="B20" s="37" t="s">
        <v>33</v>
      </c>
      <c r="C20" s="37" t="s">
        <v>36</v>
      </c>
      <c r="D20" s="37" t="s">
        <v>37</v>
      </c>
      <c r="E20" s="37" t="s">
        <v>23</v>
      </c>
      <c r="F20" s="37" t="s">
        <v>38</v>
      </c>
      <c r="G20" s="37" t="s">
        <v>81</v>
      </c>
      <c r="H20" s="12"/>
      <c r="I20" s="12"/>
      <c r="J20" s="12"/>
      <c r="K20" s="12"/>
    </row>
    <row r="21" spans="2:11" ht="16.5">
      <c r="B21" s="39" t="s">
        <v>0</v>
      </c>
      <c r="C21" s="39" t="s">
        <v>0</v>
      </c>
      <c r="D21" s="39" t="s">
        <v>0</v>
      </c>
      <c r="E21" s="39" t="s">
        <v>0</v>
      </c>
      <c r="F21" s="39" t="s">
        <v>0</v>
      </c>
      <c r="G21" s="39" t="s">
        <v>0</v>
      </c>
      <c r="H21" s="12"/>
      <c r="I21" s="12"/>
      <c r="J21" s="12"/>
      <c r="K21" s="12"/>
    </row>
    <row r="22" spans="2:11" ht="16.5">
      <c r="B22" s="35"/>
      <c r="C22" s="35"/>
      <c r="D22" s="35"/>
      <c r="E22" s="35"/>
      <c r="F22" s="35"/>
      <c r="G22" s="35"/>
      <c r="H22" s="12"/>
      <c r="I22" s="12"/>
      <c r="J22" s="12"/>
      <c r="K22" s="12"/>
    </row>
    <row r="23" spans="2:11" ht="17.25">
      <c r="B23" s="90" t="s">
        <v>40</v>
      </c>
      <c r="C23" s="133">
        <f>'S&amp;D'!J50</f>
        <v>0.62</v>
      </c>
      <c r="D23" s="133">
        <f>+'Direct NOPAT'!J33</f>
        <v>7.2849999999999998E-2</v>
      </c>
      <c r="E23" s="104" t="s">
        <v>41</v>
      </c>
      <c r="F23" s="133">
        <f>+D23</f>
        <v>7.2849999999999998E-2</v>
      </c>
      <c r="G23" s="134">
        <f>+F23*C23</f>
        <v>4.5166999999999999E-2</v>
      </c>
      <c r="H23" s="12"/>
      <c r="I23" s="12"/>
      <c r="J23" s="12"/>
      <c r="K23" s="12"/>
    </row>
    <row r="24" spans="2:11" ht="17.25">
      <c r="B24" s="90" t="s">
        <v>0</v>
      </c>
      <c r="C24" s="104" t="s">
        <v>0</v>
      </c>
      <c r="D24" s="104" t="s">
        <v>0</v>
      </c>
      <c r="E24" s="104" t="s">
        <v>0</v>
      </c>
      <c r="F24" s="135" t="s">
        <v>0</v>
      </c>
      <c r="G24" s="122" t="s">
        <v>0</v>
      </c>
      <c r="H24" s="12"/>
      <c r="I24" s="12"/>
      <c r="J24" s="12"/>
      <c r="K24" s="12"/>
    </row>
    <row r="25" spans="2:11" ht="17.25">
      <c r="B25" s="90" t="s">
        <v>42</v>
      </c>
      <c r="C25" s="133">
        <f>'S&amp;D'!K50</f>
        <v>0.38</v>
      </c>
      <c r="D25" s="133">
        <f>+Debt!J29</f>
        <v>6.25E-2</v>
      </c>
      <c r="E25" s="133">
        <v>0.26</v>
      </c>
      <c r="F25" s="133">
        <f>+D25*(1-E25)</f>
        <v>4.6249999999999999E-2</v>
      </c>
      <c r="G25" s="134">
        <f>+C25*F25</f>
        <v>1.7575E-2</v>
      </c>
      <c r="H25" s="12"/>
      <c r="I25" s="12"/>
      <c r="J25" s="12"/>
      <c r="K25" s="12"/>
    </row>
    <row r="26" spans="2:11" ht="18" thickBot="1">
      <c r="B26" s="98" t="s">
        <v>0</v>
      </c>
      <c r="C26" s="98" t="s">
        <v>0</v>
      </c>
      <c r="D26" s="98" t="s">
        <v>0</v>
      </c>
      <c r="E26" s="98" t="s">
        <v>0</v>
      </c>
      <c r="F26" s="136" t="s">
        <v>0</v>
      </c>
      <c r="G26" s="137" t="s">
        <v>0</v>
      </c>
      <c r="H26" s="12"/>
      <c r="I26" s="12"/>
      <c r="J26" s="12"/>
      <c r="K26" s="12"/>
    </row>
    <row r="27" spans="2:11" ht="17.25">
      <c r="B27" s="90" t="s">
        <v>43</v>
      </c>
      <c r="C27" s="138">
        <f>+C23+C25</f>
        <v>1</v>
      </c>
      <c r="D27" s="90" t="s">
        <v>0</v>
      </c>
      <c r="E27" s="90" t="s">
        <v>0</v>
      </c>
      <c r="F27" s="139" t="s">
        <v>0</v>
      </c>
      <c r="G27" s="134">
        <f>+G23+G25</f>
        <v>6.2741999999999992E-2</v>
      </c>
      <c r="H27" s="12"/>
      <c r="I27" s="12"/>
      <c r="J27" s="12"/>
      <c r="K27" s="12"/>
    </row>
    <row r="28" spans="2:11" ht="18" thickBot="1">
      <c r="B28" s="63"/>
      <c r="C28" s="63"/>
      <c r="D28" s="63"/>
      <c r="E28" s="63"/>
      <c r="F28" s="63"/>
      <c r="G28" s="140"/>
      <c r="H28" s="12"/>
      <c r="I28" s="12"/>
      <c r="J28" s="12"/>
      <c r="K28" s="12"/>
    </row>
    <row r="29" spans="2:11" ht="18" thickBot="1">
      <c r="B29" s="12"/>
      <c r="C29" s="12"/>
      <c r="D29" s="12"/>
      <c r="E29" s="12"/>
      <c r="F29" s="185" t="s">
        <v>86</v>
      </c>
      <c r="G29" s="170">
        <v>6.2700000000000006E-2</v>
      </c>
      <c r="H29" s="12"/>
      <c r="I29" s="12"/>
      <c r="J29" s="12"/>
      <c r="K29" s="12"/>
    </row>
    <row r="30" spans="2:11" ht="18" thickBot="1">
      <c r="B30" s="12"/>
      <c r="C30" s="12"/>
      <c r="D30" s="12"/>
      <c r="E30" s="12"/>
      <c r="F30" s="139"/>
      <c r="G30" s="134"/>
      <c r="H30" s="12"/>
      <c r="I30" s="12"/>
      <c r="J30" s="12"/>
      <c r="K30" s="12"/>
    </row>
    <row r="31" spans="2:11" ht="18" thickBot="1">
      <c r="B31" s="12"/>
      <c r="C31" s="12"/>
      <c r="D31" s="12"/>
      <c r="E31" s="12"/>
      <c r="F31" s="185" t="s">
        <v>235</v>
      </c>
      <c r="G31" s="214">
        <f>1/G29</f>
        <v>15.948963317384369</v>
      </c>
      <c r="H31" s="12"/>
      <c r="I31" s="12"/>
      <c r="J31" s="12"/>
      <c r="K31" s="12"/>
    </row>
    <row r="32" spans="2:11" ht="17.25">
      <c r="B32" s="12"/>
      <c r="C32" s="12"/>
      <c r="D32" s="12"/>
      <c r="E32" s="12"/>
      <c r="F32" s="139"/>
      <c r="G32" s="134"/>
      <c r="H32" s="12"/>
      <c r="I32" s="12"/>
      <c r="J32" s="12"/>
      <c r="K32" s="12"/>
    </row>
    <row r="33" spans="1:11" ht="17.25">
      <c r="B33" s="12"/>
      <c r="C33" s="12"/>
      <c r="D33" s="12"/>
      <c r="E33" s="12"/>
      <c r="F33" s="139"/>
      <c r="G33" s="134"/>
      <c r="H33" s="12"/>
      <c r="I33" s="12"/>
      <c r="J33" s="12"/>
      <c r="K33" s="12"/>
    </row>
    <row r="34" spans="1:11" ht="26.25">
      <c r="A34" s="24" t="s">
        <v>1</v>
      </c>
      <c r="C34" s="12"/>
      <c r="D34" s="12"/>
      <c r="E34" s="12"/>
      <c r="F34" s="139"/>
      <c r="G34" s="134"/>
      <c r="H34" s="12"/>
      <c r="I34" s="12"/>
      <c r="J34" s="12"/>
      <c r="K34" s="12"/>
    </row>
    <row r="35" spans="1:11" ht="17.25">
      <c r="A35" s="25" t="s">
        <v>9</v>
      </c>
      <c r="C35" s="12"/>
      <c r="D35" s="12"/>
      <c r="E35" s="12"/>
      <c r="F35" s="139"/>
      <c r="G35" s="134"/>
      <c r="H35" s="12"/>
      <c r="I35" s="12"/>
      <c r="J35" s="12"/>
      <c r="K35" s="12"/>
    </row>
    <row r="36" spans="1:11" ht="17.25">
      <c r="A36" s="26" t="s">
        <v>441</v>
      </c>
      <c r="C36" s="12"/>
      <c r="D36" s="12"/>
      <c r="E36" s="12"/>
      <c r="F36" s="139"/>
      <c r="G36" s="134"/>
      <c r="H36" s="12"/>
      <c r="I36" s="12"/>
      <c r="J36" s="12"/>
      <c r="K36" s="12"/>
    </row>
    <row r="37" spans="1:11" ht="17.25">
      <c r="A37" s="26"/>
      <c r="C37" s="12"/>
      <c r="D37" s="12"/>
      <c r="E37" s="12"/>
      <c r="F37" s="139"/>
      <c r="G37" s="134"/>
      <c r="H37" s="12"/>
      <c r="I37" s="12"/>
      <c r="J37" s="12"/>
      <c r="K37" s="12"/>
    </row>
    <row r="38" spans="1:11" ht="17.25">
      <c r="A38" s="26"/>
      <c r="C38" s="12"/>
      <c r="D38" s="12"/>
      <c r="E38" s="12"/>
      <c r="F38" s="139"/>
      <c r="G38" s="134"/>
      <c r="H38" s="12"/>
      <c r="I38" s="12"/>
      <c r="J38" s="12"/>
      <c r="K38" s="12"/>
    </row>
    <row r="39" spans="1:11" ht="17.25">
      <c r="A39" s="26"/>
      <c r="C39" s="12"/>
      <c r="D39" s="12"/>
      <c r="E39" s="12"/>
      <c r="F39" s="139"/>
      <c r="G39" s="134"/>
      <c r="H39" s="12"/>
      <c r="I39" s="12"/>
      <c r="J39" s="12"/>
      <c r="K39" s="12"/>
    </row>
    <row r="40" spans="1:11" ht="17.25">
      <c r="A40" s="26"/>
      <c r="C40" s="12"/>
      <c r="D40" s="12"/>
      <c r="E40" s="12"/>
      <c r="F40" s="139"/>
      <c r="G40" s="134"/>
      <c r="H40" s="12"/>
      <c r="I40" s="12"/>
      <c r="J40" s="12"/>
      <c r="K40" s="12"/>
    </row>
    <row r="41" spans="1:11" ht="17.25">
      <c r="A41" s="26"/>
      <c r="C41" s="12"/>
      <c r="D41" s="12"/>
      <c r="E41" s="12"/>
      <c r="F41" s="139"/>
      <c r="G41" s="134"/>
      <c r="H41" s="12"/>
      <c r="I41" s="12"/>
      <c r="J41" s="12"/>
      <c r="K41" s="12"/>
    </row>
    <row r="42" spans="1:11" ht="17.25">
      <c r="A42" s="26"/>
      <c r="C42" s="12"/>
      <c r="D42" s="12"/>
      <c r="E42" s="12"/>
      <c r="F42" s="139"/>
      <c r="G42" s="134"/>
      <c r="H42" s="12"/>
      <c r="I42" s="12"/>
      <c r="J42" s="12"/>
      <c r="K42" s="12"/>
    </row>
    <row r="43" spans="1:11" ht="17.25">
      <c r="A43" s="26"/>
      <c r="C43" s="12"/>
      <c r="D43" s="12"/>
      <c r="E43" s="12"/>
      <c r="F43" s="139"/>
      <c r="G43" s="134"/>
      <c r="H43" s="12"/>
      <c r="I43" s="12"/>
      <c r="J43" s="12"/>
      <c r="K43" s="12"/>
    </row>
    <row r="44" spans="1:11" ht="20.25">
      <c r="A44" s="26"/>
      <c r="C44" s="12"/>
      <c r="D44" s="78" t="s">
        <v>75</v>
      </c>
      <c r="E44" s="12"/>
      <c r="F44" s="139"/>
      <c r="G44" s="134"/>
      <c r="H44" s="12"/>
      <c r="I44" s="12"/>
      <c r="J44" s="12"/>
      <c r="K44" s="12"/>
    </row>
    <row r="45" spans="1:11" ht="20.25">
      <c r="A45" s="26"/>
      <c r="C45" s="12"/>
      <c r="D45" s="78"/>
      <c r="E45" s="12"/>
      <c r="F45" s="139"/>
      <c r="G45" s="134"/>
      <c r="H45" s="12"/>
      <c r="I45" s="12"/>
      <c r="J45" s="12"/>
      <c r="K45" s="12"/>
    </row>
    <row r="46" spans="1:11" ht="20.25">
      <c r="A46" s="26"/>
      <c r="C46" s="12"/>
      <c r="D46" s="78"/>
      <c r="E46" s="12"/>
      <c r="F46" s="139"/>
      <c r="G46" s="134"/>
      <c r="H46" s="12"/>
      <c r="I46" s="12"/>
      <c r="J46" s="12"/>
      <c r="K46" s="12"/>
    </row>
    <row r="47" spans="1:11" ht="17.25" thickBot="1">
      <c r="B47" s="12"/>
      <c r="C47" s="29"/>
      <c r="D47" s="29"/>
      <c r="E47" s="29"/>
      <c r="F47" s="12"/>
      <c r="G47" s="12"/>
      <c r="H47" s="12"/>
      <c r="I47" s="12"/>
      <c r="J47" s="12"/>
      <c r="K47" s="12"/>
    </row>
    <row r="48" spans="1:11" ht="26.25">
      <c r="B48" s="12"/>
      <c r="C48" s="12"/>
      <c r="D48" s="32" t="str">
        <f>+'S&amp;D'!A12</f>
        <v>Electric Wholesale (non-regulated) Power Generator</v>
      </c>
      <c r="E48" s="12"/>
      <c r="F48" s="12"/>
      <c r="G48" s="12"/>
      <c r="H48" s="12"/>
      <c r="I48" s="12"/>
      <c r="J48" s="12"/>
      <c r="K48" s="12"/>
    </row>
    <row r="49" spans="2:11" ht="21" thickBot="1">
      <c r="B49" s="12"/>
      <c r="C49" s="29"/>
      <c r="D49" s="132" t="s">
        <v>77</v>
      </c>
      <c r="E49" s="29"/>
      <c r="F49" s="12"/>
      <c r="G49" s="12"/>
      <c r="H49" s="12"/>
      <c r="I49" s="12"/>
      <c r="J49" s="12"/>
      <c r="K49" s="12"/>
    </row>
    <row r="50" spans="2:11" ht="16.5"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2:11" ht="17.25" thickBot="1">
      <c r="B51" s="29"/>
      <c r="C51" s="29"/>
      <c r="D51" s="37" t="s">
        <v>0</v>
      </c>
      <c r="E51" s="29"/>
      <c r="F51" s="29"/>
      <c r="G51" s="29"/>
      <c r="H51" s="12"/>
      <c r="I51" s="12"/>
      <c r="J51" s="12"/>
      <c r="K51" s="12"/>
    </row>
    <row r="52" spans="2:11" ht="16.5">
      <c r="B52" s="35" t="s">
        <v>32</v>
      </c>
      <c r="C52" s="35" t="s">
        <v>33</v>
      </c>
      <c r="D52" s="35" t="s">
        <v>79</v>
      </c>
      <c r="E52" s="35" t="s">
        <v>80</v>
      </c>
      <c r="F52" s="35" t="s">
        <v>78</v>
      </c>
      <c r="G52" s="35" t="s">
        <v>35</v>
      </c>
      <c r="H52" s="12"/>
      <c r="I52" s="12"/>
      <c r="J52" s="12"/>
      <c r="K52" s="12"/>
    </row>
    <row r="53" spans="2:11" ht="17.25" thickBot="1">
      <c r="B53" s="37" t="s">
        <v>33</v>
      </c>
      <c r="C53" s="37" t="s">
        <v>36</v>
      </c>
      <c r="D53" s="37" t="s">
        <v>37</v>
      </c>
      <c r="E53" s="37" t="s">
        <v>23</v>
      </c>
      <c r="F53" s="37" t="s">
        <v>38</v>
      </c>
      <c r="G53" s="37" t="s">
        <v>81</v>
      </c>
      <c r="H53" s="12"/>
      <c r="I53" s="12"/>
      <c r="J53" s="12"/>
      <c r="K53" s="12"/>
    </row>
    <row r="54" spans="2:11" ht="16.5">
      <c r="B54" s="39" t="s">
        <v>0</v>
      </c>
      <c r="C54" s="39" t="s">
        <v>0</v>
      </c>
      <c r="D54" s="39" t="s">
        <v>0</v>
      </c>
      <c r="E54" s="39" t="s">
        <v>0</v>
      </c>
      <c r="F54" s="39" t="s">
        <v>0</v>
      </c>
      <c r="G54" s="39" t="s">
        <v>0</v>
      </c>
      <c r="H54" s="12"/>
      <c r="I54" s="12"/>
      <c r="J54" s="12"/>
      <c r="K54" s="12"/>
    </row>
    <row r="55" spans="2:11" ht="16.5">
      <c r="B55" s="35"/>
      <c r="C55" s="35"/>
      <c r="D55" s="35"/>
      <c r="E55" s="35"/>
      <c r="F55" s="35"/>
      <c r="G55" s="35"/>
      <c r="H55" s="12"/>
      <c r="I55" s="12"/>
      <c r="J55" s="12"/>
      <c r="K55" s="12"/>
    </row>
    <row r="56" spans="2:11" ht="17.25">
      <c r="B56" s="90" t="s">
        <v>40</v>
      </c>
      <c r="C56" s="133">
        <f>'S&amp;D'!J50</f>
        <v>0.62</v>
      </c>
      <c r="D56" s="133">
        <f>+'Direct GCF'!M32</f>
        <v>0.13545000000000001</v>
      </c>
      <c r="E56" s="104" t="s">
        <v>41</v>
      </c>
      <c r="F56" s="133">
        <f>+D56</f>
        <v>0.13545000000000001</v>
      </c>
      <c r="G56" s="134">
        <f>+F56*C56</f>
        <v>8.3979000000000012E-2</v>
      </c>
      <c r="H56" s="12"/>
      <c r="I56" s="12"/>
      <c r="J56" s="12"/>
      <c r="K56" s="12"/>
    </row>
    <row r="57" spans="2:11" ht="17.25">
      <c r="B57" s="90" t="s">
        <v>0</v>
      </c>
      <c r="C57" s="104" t="s">
        <v>0</v>
      </c>
      <c r="D57" s="104" t="s">
        <v>0</v>
      </c>
      <c r="E57" s="104" t="s">
        <v>0</v>
      </c>
      <c r="F57" s="135" t="s">
        <v>0</v>
      </c>
      <c r="G57" s="122" t="s">
        <v>0</v>
      </c>
      <c r="H57" s="12"/>
      <c r="I57" s="12"/>
      <c r="J57" s="12"/>
      <c r="K57" s="12"/>
    </row>
    <row r="58" spans="2:11" ht="17.25">
      <c r="B58" s="90" t="s">
        <v>42</v>
      </c>
      <c r="C58" s="133">
        <f>'S&amp;D'!K50</f>
        <v>0.38</v>
      </c>
      <c r="D58" s="133">
        <f>+Debt!J29</f>
        <v>6.25E-2</v>
      </c>
      <c r="E58" s="133">
        <v>0.26</v>
      </c>
      <c r="F58" s="133">
        <f>+D58*(1-E58)</f>
        <v>4.6249999999999999E-2</v>
      </c>
      <c r="G58" s="134">
        <f>+C58*F58</f>
        <v>1.7575E-2</v>
      </c>
      <c r="H58" s="12"/>
      <c r="I58" s="12"/>
      <c r="J58" s="12"/>
      <c r="K58" s="12"/>
    </row>
    <row r="59" spans="2:11" ht="18" thickBot="1">
      <c r="B59" s="98" t="s">
        <v>0</v>
      </c>
      <c r="C59" s="98" t="s">
        <v>0</v>
      </c>
      <c r="D59" s="98" t="s">
        <v>0</v>
      </c>
      <c r="E59" s="98" t="s">
        <v>0</v>
      </c>
      <c r="F59" s="136" t="s">
        <v>0</v>
      </c>
      <c r="G59" s="137" t="s">
        <v>0</v>
      </c>
      <c r="H59" s="12"/>
      <c r="I59" s="12"/>
      <c r="J59" s="12"/>
      <c r="K59" s="12"/>
    </row>
    <row r="60" spans="2:11" ht="17.25">
      <c r="B60" s="90" t="s">
        <v>43</v>
      </c>
      <c r="C60" s="138">
        <f>+C56+C58</f>
        <v>1</v>
      </c>
      <c r="D60" s="90" t="s">
        <v>0</v>
      </c>
      <c r="E60" s="90" t="s">
        <v>0</v>
      </c>
      <c r="F60" s="139" t="s">
        <v>0</v>
      </c>
      <c r="G60" s="134">
        <f>+G56+G58</f>
        <v>0.10155400000000001</v>
      </c>
      <c r="H60" s="12"/>
      <c r="I60" s="12"/>
      <c r="J60" s="12"/>
      <c r="K60" s="12"/>
    </row>
    <row r="61" spans="2:11" ht="18" thickBot="1">
      <c r="B61" s="63"/>
      <c r="C61" s="63"/>
      <c r="D61" s="63"/>
      <c r="E61" s="63"/>
      <c r="F61" s="63"/>
      <c r="G61" s="140"/>
      <c r="H61" s="12"/>
      <c r="I61" s="12"/>
      <c r="J61" s="12"/>
      <c r="K61" s="12"/>
    </row>
    <row r="62" spans="2:11" ht="18" thickBot="1">
      <c r="B62" s="12"/>
      <c r="C62" s="12"/>
      <c r="D62" s="12"/>
      <c r="E62" s="12"/>
      <c r="F62" s="185" t="s">
        <v>86</v>
      </c>
      <c r="G62" s="170">
        <v>0.1016</v>
      </c>
      <c r="H62" s="12"/>
      <c r="I62" s="12"/>
      <c r="J62" s="12"/>
      <c r="K62" s="12"/>
    </row>
    <row r="63" spans="2:11" ht="15.75" thickBot="1"/>
    <row r="64" spans="2:11" ht="18" thickBot="1">
      <c r="F64" s="185" t="s">
        <v>235</v>
      </c>
      <c r="G64" s="214">
        <f>1/G62</f>
        <v>9.8425196850393704</v>
      </c>
    </row>
  </sheetData>
  <pageMargins left="0.25" right="0.25" top="0.75" bottom="0.75" header="0.3" footer="0.3"/>
  <pageSetup scale="72" fitToHeight="0" orientation="landscape" r:id="rId1"/>
  <rowBreaks count="1" manualBreakCount="1">
    <brk id="3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M89"/>
  <sheetViews>
    <sheetView view="pageBreakPreview" topLeftCell="A11" zoomScale="60" zoomScaleNormal="80" zoomScalePageLayoutView="70" workbookViewId="0">
      <pane xSplit="1" topLeftCell="B1" activePane="topRight" state="frozen"/>
      <selection activeCell="B39" sqref="B39"/>
      <selection pane="topRight" activeCell="H44" sqref="H44"/>
    </sheetView>
  </sheetViews>
  <sheetFormatPr defaultRowHeight="15"/>
  <cols>
    <col min="1" max="1" width="68.7109375" customWidth="1"/>
    <col min="2" max="2" width="11.5703125" bestFit="1" customWidth="1"/>
    <col min="3" max="3" width="23.7109375" customWidth="1"/>
    <col min="4" max="4" width="25.5703125" bestFit="1" customWidth="1"/>
    <col min="5" max="5" width="28" customWidth="1"/>
    <col min="6" max="6" width="25.7109375" customWidth="1"/>
    <col min="7" max="7" width="26.42578125" customWidth="1"/>
    <col min="8" max="8" width="31.85546875" customWidth="1"/>
    <col min="9" max="9" width="31.5703125" customWidth="1"/>
    <col min="10" max="10" width="30.85546875" customWidth="1"/>
    <col min="11" max="11" width="31.42578125" customWidth="1"/>
    <col min="12" max="12" width="25.85546875" bestFit="1" customWidth="1"/>
    <col min="13" max="13" width="30.140625" bestFit="1" customWidth="1"/>
    <col min="14" max="14" width="9.140625" customWidth="1"/>
  </cols>
  <sheetData>
    <row r="1" spans="1:12" ht="26.25">
      <c r="A1" s="24" t="s">
        <v>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2" ht="17.25">
      <c r="A2" s="25" t="s">
        <v>9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2" ht="16.5">
      <c r="A3" s="26" t="s">
        <v>441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16.5">
      <c r="A4" s="26"/>
      <c r="B4" s="12"/>
      <c r="C4" s="12"/>
      <c r="D4" s="12"/>
      <c r="E4" s="12"/>
      <c r="F4" s="183" t="s">
        <v>0</v>
      </c>
      <c r="G4" s="12"/>
      <c r="H4" s="12"/>
      <c r="I4" s="12"/>
      <c r="J4" s="12"/>
      <c r="K4" s="12"/>
    </row>
    <row r="5" spans="1:12" ht="16.5">
      <c r="B5" s="12"/>
      <c r="C5" s="12"/>
      <c r="D5" s="12"/>
      <c r="E5" s="27"/>
      <c r="F5" s="183" t="s">
        <v>0</v>
      </c>
      <c r="G5" s="12"/>
      <c r="H5" s="12"/>
      <c r="I5" s="12"/>
      <c r="J5" s="12"/>
      <c r="K5" s="12" t="s">
        <v>0</v>
      </c>
    </row>
    <row r="6" spans="1:12" ht="16.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2" ht="16.5">
      <c r="A7" s="12"/>
      <c r="B7" s="35"/>
      <c r="C7" s="35"/>
      <c r="D7" s="35"/>
      <c r="E7" s="35"/>
      <c r="F7" s="35"/>
      <c r="G7" s="14"/>
      <c r="H7" s="44"/>
      <c r="I7" s="44"/>
      <c r="J7" s="85"/>
      <c r="K7" s="85"/>
      <c r="L7" s="3"/>
    </row>
    <row r="8" spans="1:12" ht="16.5">
      <c r="A8" s="86"/>
      <c r="B8" s="35"/>
      <c r="C8" s="35"/>
      <c r="D8" s="35"/>
      <c r="E8" s="35"/>
      <c r="F8" s="35"/>
      <c r="G8" s="14"/>
      <c r="H8" s="44"/>
      <c r="I8" s="44"/>
      <c r="J8" s="85"/>
      <c r="K8" s="85"/>
      <c r="L8" s="3"/>
    </row>
    <row r="9" spans="1:12" ht="16.5">
      <c r="A9" s="86"/>
      <c r="B9" s="35"/>
      <c r="C9" s="35"/>
      <c r="D9" s="35"/>
      <c r="E9" s="35"/>
      <c r="F9" s="35"/>
      <c r="G9" s="14"/>
      <c r="H9" s="44"/>
      <c r="I9" s="44"/>
      <c r="J9" s="85"/>
      <c r="K9" s="85"/>
      <c r="L9" s="3"/>
    </row>
    <row r="10" spans="1:12" ht="16.5">
      <c r="A10" s="44"/>
      <c r="D10" s="44"/>
      <c r="E10" s="44"/>
      <c r="F10" s="44"/>
      <c r="G10" s="44"/>
      <c r="H10" s="44"/>
      <c r="I10" s="44"/>
      <c r="J10" s="44"/>
      <c r="K10" s="44"/>
      <c r="L10" s="2"/>
    </row>
    <row r="11" spans="1:12" ht="17.25" thickBot="1">
      <c r="A11" s="44"/>
      <c r="D11" s="44"/>
      <c r="E11" s="87"/>
      <c r="F11" s="29"/>
      <c r="G11" s="87"/>
      <c r="H11" s="44"/>
      <c r="I11" s="44"/>
      <c r="J11" s="44"/>
      <c r="K11" s="44"/>
      <c r="L11" s="2"/>
    </row>
    <row r="12" spans="1:12" ht="27" thickBot="1">
      <c r="A12" s="28" t="s">
        <v>383</v>
      </c>
      <c r="D12" s="44"/>
      <c r="E12" s="44"/>
      <c r="F12" s="32" t="s">
        <v>87</v>
      </c>
      <c r="G12" s="44"/>
      <c r="H12" s="44"/>
      <c r="I12" s="44"/>
      <c r="J12" s="44"/>
      <c r="K12" s="12"/>
    </row>
    <row r="13" spans="1:12" ht="21" thickBot="1">
      <c r="A13" s="31"/>
      <c r="D13" s="44"/>
      <c r="E13" s="87"/>
      <c r="F13" s="37" t="s">
        <v>442</v>
      </c>
      <c r="G13" s="87"/>
      <c r="H13" s="44"/>
      <c r="I13" s="44"/>
      <c r="J13" s="44" t="s">
        <v>0</v>
      </c>
      <c r="K13" s="12"/>
    </row>
    <row r="14" spans="1:12" ht="20.25">
      <c r="A14" s="31"/>
      <c r="B14" s="44"/>
      <c r="C14" s="44"/>
      <c r="D14" s="44"/>
      <c r="E14" s="44"/>
      <c r="F14" s="13" t="s">
        <v>0</v>
      </c>
      <c r="G14" s="44"/>
      <c r="H14" s="44"/>
      <c r="I14" s="44"/>
      <c r="J14" s="44"/>
      <c r="K14" s="12"/>
    </row>
    <row r="15" spans="1:12" ht="17.25" thickBot="1">
      <c r="A15" s="42" t="s">
        <v>0</v>
      </c>
      <c r="B15" s="42" t="s">
        <v>0</v>
      </c>
      <c r="C15" s="42" t="s">
        <v>0</v>
      </c>
      <c r="D15" s="42"/>
      <c r="E15" s="42"/>
      <c r="F15" s="42"/>
      <c r="G15" s="42" t="s">
        <v>0</v>
      </c>
      <c r="H15" s="87"/>
      <c r="I15" s="87"/>
      <c r="J15" s="87"/>
      <c r="K15" s="12"/>
    </row>
    <row r="16" spans="1:12" ht="17.25">
      <c r="A16" s="88"/>
      <c r="B16" s="89"/>
      <c r="C16" s="230"/>
      <c r="D16" s="91" t="s">
        <v>13</v>
      </c>
      <c r="E16" s="92" t="s">
        <v>13</v>
      </c>
      <c r="F16" s="91" t="s">
        <v>13</v>
      </c>
      <c r="G16" s="229" t="s">
        <v>244</v>
      </c>
      <c r="H16" s="357" t="s">
        <v>444</v>
      </c>
      <c r="I16" s="357" t="s">
        <v>444</v>
      </c>
      <c r="J16" s="357" t="s">
        <v>444</v>
      </c>
      <c r="K16" s="12"/>
    </row>
    <row r="17" spans="1:13" ht="17.25">
      <c r="A17" s="88" t="s">
        <v>0</v>
      </c>
      <c r="B17" s="89" t="s">
        <v>3</v>
      </c>
      <c r="C17" s="89" t="s">
        <v>5</v>
      </c>
      <c r="D17" s="91" t="s">
        <v>10</v>
      </c>
      <c r="E17" s="92" t="s">
        <v>10</v>
      </c>
      <c r="F17" s="91" t="s">
        <v>19</v>
      </c>
      <c r="G17" s="354" t="s">
        <v>444</v>
      </c>
      <c r="H17" s="89" t="s">
        <v>12</v>
      </c>
      <c r="I17" s="94" t="s">
        <v>11</v>
      </c>
      <c r="J17" s="95" t="s">
        <v>155</v>
      </c>
      <c r="K17" s="12"/>
    </row>
    <row r="18" spans="1:13" ht="17.25">
      <c r="A18" s="88" t="s">
        <v>2</v>
      </c>
      <c r="B18" s="89" t="s">
        <v>4</v>
      </c>
      <c r="C18" s="89" t="s">
        <v>6</v>
      </c>
      <c r="D18" s="91" t="s">
        <v>53</v>
      </c>
      <c r="E18" s="92" t="s">
        <v>54</v>
      </c>
      <c r="F18" s="91" t="s">
        <v>10</v>
      </c>
      <c r="G18" s="354" t="s">
        <v>10</v>
      </c>
      <c r="H18" s="89" t="s">
        <v>85</v>
      </c>
      <c r="I18" s="358"/>
      <c r="J18" s="95" t="s">
        <v>436</v>
      </c>
      <c r="K18" s="12" t="s">
        <v>0</v>
      </c>
    </row>
    <row r="19" spans="1:13" ht="18" thickBot="1">
      <c r="A19" s="96" t="s">
        <v>0</v>
      </c>
      <c r="B19" s="97" t="s">
        <v>0</v>
      </c>
      <c r="C19" s="97" t="s">
        <v>0</v>
      </c>
      <c r="D19" s="97" t="s">
        <v>0</v>
      </c>
      <c r="E19" s="98" t="s">
        <v>0</v>
      </c>
      <c r="F19" s="97" t="s">
        <v>0</v>
      </c>
      <c r="G19" s="96" t="s">
        <v>0</v>
      </c>
      <c r="H19" s="99" t="s">
        <v>74</v>
      </c>
      <c r="I19" s="99" t="s">
        <v>73</v>
      </c>
      <c r="J19" s="99" t="s">
        <v>73</v>
      </c>
      <c r="K19" s="12" t="s">
        <v>0</v>
      </c>
    </row>
    <row r="20" spans="1:13" ht="16.5">
      <c r="A20" s="100" t="s">
        <v>7</v>
      </c>
      <c r="B20" s="101" t="s">
        <v>7</v>
      </c>
      <c r="C20" s="101" t="s">
        <v>7</v>
      </c>
      <c r="D20" s="101" t="s">
        <v>7</v>
      </c>
      <c r="E20" s="43" t="s">
        <v>7</v>
      </c>
      <c r="F20" s="101" t="s">
        <v>15</v>
      </c>
      <c r="G20" s="100" t="s">
        <v>7</v>
      </c>
      <c r="H20" s="101" t="s">
        <v>8</v>
      </c>
      <c r="I20" s="101" t="s">
        <v>8</v>
      </c>
      <c r="J20" s="101" t="s">
        <v>8</v>
      </c>
      <c r="K20" s="12"/>
    </row>
    <row r="21" spans="1:13" ht="17.25">
      <c r="A21" s="88"/>
      <c r="B21" s="89"/>
      <c r="C21" s="89"/>
      <c r="D21" s="89"/>
      <c r="E21" s="90"/>
      <c r="F21" s="89"/>
      <c r="G21" s="88"/>
      <c r="H21" s="89"/>
      <c r="I21" s="102"/>
      <c r="J21" s="102"/>
      <c r="K21" s="12"/>
    </row>
    <row r="22" spans="1:13" ht="17.25">
      <c r="A22" s="103" t="s">
        <v>354</v>
      </c>
      <c r="B22" s="80" t="s">
        <v>355</v>
      </c>
      <c r="C22" s="90" t="s">
        <v>417</v>
      </c>
      <c r="D22" s="105">
        <v>19</v>
      </c>
      <c r="E22" s="60">
        <v>12.24</v>
      </c>
      <c r="F22" s="105">
        <f>AVERAGE(D22,E22)</f>
        <v>15.620000000000001</v>
      </c>
      <c r="G22" s="355">
        <v>12.87</v>
      </c>
      <c r="H22" s="286">
        <v>711074269</v>
      </c>
      <c r="I22" s="428">
        <v>0</v>
      </c>
      <c r="J22" s="286">
        <f>4805000000+20626000000+899000000+2688000000</f>
        <v>29018000000</v>
      </c>
      <c r="K22" s="12" t="s">
        <v>0</v>
      </c>
    </row>
    <row r="23" spans="1:13" ht="17.25">
      <c r="A23" s="106" t="s">
        <v>356</v>
      </c>
      <c r="B23" s="80" t="s">
        <v>103</v>
      </c>
      <c r="C23" s="90" t="s">
        <v>416</v>
      </c>
      <c r="D23" s="105">
        <v>61.97</v>
      </c>
      <c r="E23" s="60">
        <v>52.44</v>
      </c>
      <c r="F23" s="105">
        <f t="shared" ref="F23:F28" si="0">AVERAGE(D23,E23)</f>
        <v>57.204999999999998</v>
      </c>
      <c r="G23" s="355">
        <v>53.86</v>
      </c>
      <c r="H23" s="286">
        <v>852000000</v>
      </c>
      <c r="I23" s="286">
        <v>991000000</v>
      </c>
      <c r="J23" s="286">
        <v>33034000000</v>
      </c>
      <c r="K23" s="361" t="s">
        <v>0</v>
      </c>
      <c r="L23" s="4" t="s">
        <v>0</v>
      </c>
    </row>
    <row r="24" spans="1:13" ht="17.25">
      <c r="A24" s="106" t="s">
        <v>431</v>
      </c>
      <c r="B24" s="80" t="s">
        <v>428</v>
      </c>
      <c r="C24" s="90" t="s">
        <v>417</v>
      </c>
      <c r="D24" s="105">
        <v>288.75</v>
      </c>
      <c r="E24" s="60">
        <v>219.64</v>
      </c>
      <c r="F24" s="105">
        <f t="shared" si="0"/>
        <v>254.19499999999999</v>
      </c>
      <c r="G24" s="355">
        <v>223.71</v>
      </c>
      <c r="H24" s="286">
        <v>313000000</v>
      </c>
      <c r="I24" s="428">
        <v>0</v>
      </c>
      <c r="J24" s="286">
        <f>7384000000+1028000000</f>
        <v>8412000000</v>
      </c>
    </row>
    <row r="25" spans="1:13" ht="17.25">
      <c r="A25" s="363" t="s">
        <v>367</v>
      </c>
      <c r="B25" s="80" t="s">
        <v>366</v>
      </c>
      <c r="C25" s="90" t="s">
        <v>416</v>
      </c>
      <c r="D25" s="105">
        <v>86</v>
      </c>
      <c r="E25" s="60">
        <v>72.680000000000007</v>
      </c>
      <c r="F25" s="105">
        <f>AVERAGE(D25,E25)</f>
        <v>79.34</v>
      </c>
      <c r="G25" s="355">
        <v>71.69</v>
      </c>
      <c r="H25" s="286">
        <v>2052000000</v>
      </c>
      <c r="I25" s="428">
        <v>0</v>
      </c>
      <c r="J25" s="286">
        <f>61405000000+6901000000</f>
        <v>68306000000</v>
      </c>
    </row>
    <row r="26" spans="1:13" ht="17.25">
      <c r="A26" s="106" t="s">
        <v>357</v>
      </c>
      <c r="B26" s="80" t="s">
        <v>358</v>
      </c>
      <c r="C26" s="90" t="s">
        <v>417</v>
      </c>
      <c r="D26" s="105">
        <v>103.14</v>
      </c>
      <c r="E26" s="60">
        <v>84.09</v>
      </c>
      <c r="F26" s="105">
        <f t="shared" si="0"/>
        <v>93.615000000000009</v>
      </c>
      <c r="G26" s="355">
        <v>90.22</v>
      </c>
      <c r="H26" s="286">
        <v>198604403</v>
      </c>
      <c r="I26" s="286">
        <v>650000000</v>
      </c>
      <c r="J26" s="286">
        <f>9812000000+996000000</f>
        <v>10808000000</v>
      </c>
      <c r="K26" s="12"/>
    </row>
    <row r="27" spans="1:13" ht="17.25">
      <c r="A27" s="106" t="s">
        <v>359</v>
      </c>
      <c r="B27" s="80" t="s">
        <v>55</v>
      </c>
      <c r="C27" s="90" t="s">
        <v>416</v>
      </c>
      <c r="D27" s="105">
        <v>94.45</v>
      </c>
      <c r="E27" s="60">
        <v>81.38</v>
      </c>
      <c r="F27" s="105">
        <f t="shared" si="0"/>
        <v>87.914999999999992</v>
      </c>
      <c r="G27" s="456">
        <v>82.32</v>
      </c>
      <c r="H27" s="286">
        <f>1100000000-1000000</f>
        <v>1099000000</v>
      </c>
      <c r="I27" s="286">
        <v>0</v>
      </c>
      <c r="J27" s="286">
        <f>58768000000</f>
        <v>58768000000</v>
      </c>
      <c r="L27" t="s">
        <v>0</v>
      </c>
    </row>
    <row r="28" spans="1:13" ht="18" thickBot="1">
      <c r="A28" s="107" t="s">
        <v>360</v>
      </c>
      <c r="B28" s="81" t="s">
        <v>361</v>
      </c>
      <c r="C28" s="97" t="s">
        <v>417</v>
      </c>
      <c r="D28" s="287">
        <v>168.67</v>
      </c>
      <c r="E28" s="288">
        <v>111.5</v>
      </c>
      <c r="F28" s="287">
        <f t="shared" si="0"/>
        <v>140.08499999999998</v>
      </c>
      <c r="G28" s="356">
        <v>137.87</v>
      </c>
      <c r="H28" s="289">
        <v>339754307</v>
      </c>
      <c r="I28" s="289">
        <v>2476000000</v>
      </c>
      <c r="J28" s="289">
        <f>15418000000+880000000</f>
        <v>16298000000</v>
      </c>
      <c r="K28" s="12"/>
      <c r="M28" s="10" t="s">
        <v>0</v>
      </c>
    </row>
    <row r="29" spans="1:13" ht="17.25">
      <c r="A29" s="109"/>
      <c r="B29" s="109"/>
      <c r="C29" s="109"/>
      <c r="D29" s="109"/>
      <c r="E29" s="109"/>
      <c r="F29" s="109"/>
      <c r="G29" s="109"/>
      <c r="H29" s="301" t="s">
        <v>0</v>
      </c>
      <c r="I29" s="109" t="s">
        <v>0</v>
      </c>
      <c r="J29" s="109"/>
      <c r="K29" s="12" t="s">
        <v>0</v>
      </c>
    </row>
    <row r="30" spans="1:13" ht="17.25">
      <c r="A30" s="109"/>
      <c r="B30" s="109"/>
      <c r="C30" s="109"/>
      <c r="D30" s="109"/>
      <c r="E30" s="109"/>
      <c r="F30" s="109"/>
      <c r="G30" s="109"/>
      <c r="H30" s="109"/>
      <c r="I30" s="109" t="s">
        <v>0</v>
      </c>
      <c r="J30" s="109" t="s">
        <v>0</v>
      </c>
      <c r="K30" s="12" t="s">
        <v>0</v>
      </c>
    </row>
    <row r="31" spans="1:13" ht="18" thickBot="1">
      <c r="A31" s="110" t="s">
        <v>0</v>
      </c>
      <c r="B31" s="111"/>
      <c r="C31" s="111"/>
      <c r="D31" s="111"/>
      <c r="E31" s="111"/>
      <c r="F31" s="29"/>
      <c r="G31" s="111"/>
      <c r="H31" s="111"/>
      <c r="I31" s="111"/>
      <c r="J31" s="109"/>
      <c r="K31" s="109"/>
      <c r="L31" s="4"/>
    </row>
    <row r="32" spans="1:13" ht="17.25">
      <c r="A32" s="112"/>
      <c r="B32" s="365"/>
      <c r="C32" s="365"/>
      <c r="D32" s="365"/>
      <c r="E32" s="357" t="s">
        <v>0</v>
      </c>
      <c r="F32" s="357" t="s">
        <v>0</v>
      </c>
      <c r="G32" s="371"/>
      <c r="H32" s="195"/>
      <c r="I32" s="113"/>
      <c r="J32" s="112"/>
      <c r="K32" s="365"/>
      <c r="L32" s="4"/>
    </row>
    <row r="33" spans="1:12" ht="17.25">
      <c r="A33" s="88"/>
      <c r="B33" s="89"/>
      <c r="C33" s="89"/>
      <c r="D33" s="366" t="s">
        <v>444</v>
      </c>
      <c r="E33" s="366" t="s">
        <v>444</v>
      </c>
      <c r="F33" s="366" t="s">
        <v>444</v>
      </c>
      <c r="G33" s="366" t="s">
        <v>444</v>
      </c>
      <c r="H33" s="366" t="s">
        <v>444</v>
      </c>
      <c r="I33" s="93" t="s">
        <v>444</v>
      </c>
      <c r="J33" s="354" t="s">
        <v>444</v>
      </c>
      <c r="K33" s="366" t="s">
        <v>444</v>
      </c>
      <c r="L33" s="5"/>
    </row>
    <row r="34" spans="1:12" ht="17.25">
      <c r="A34" s="88" t="s">
        <v>0</v>
      </c>
      <c r="B34" s="89" t="s">
        <v>3</v>
      </c>
      <c r="C34" s="89" t="s">
        <v>5</v>
      </c>
      <c r="D34" s="89" t="s">
        <v>12</v>
      </c>
      <c r="E34" s="95" t="s">
        <v>154</v>
      </c>
      <c r="F34" s="95" t="s">
        <v>280</v>
      </c>
      <c r="G34" s="95" t="s">
        <v>362</v>
      </c>
      <c r="H34" s="89" t="s">
        <v>212</v>
      </c>
      <c r="I34" s="104" t="s">
        <v>16</v>
      </c>
      <c r="J34" s="290" t="s">
        <v>17</v>
      </c>
      <c r="K34" s="95" t="s">
        <v>60</v>
      </c>
      <c r="L34" s="5"/>
    </row>
    <row r="35" spans="1:12" ht="18" thickBot="1">
      <c r="A35" s="96" t="s">
        <v>2</v>
      </c>
      <c r="B35" s="97" t="s">
        <v>4</v>
      </c>
      <c r="C35" s="97" t="s">
        <v>6</v>
      </c>
      <c r="D35" s="97" t="s">
        <v>14</v>
      </c>
      <c r="E35" s="97" t="s">
        <v>14</v>
      </c>
      <c r="F35" s="97" t="s">
        <v>293</v>
      </c>
      <c r="G35" s="97" t="s">
        <v>293</v>
      </c>
      <c r="H35" s="97" t="s">
        <v>14</v>
      </c>
      <c r="I35" s="98" t="s">
        <v>435</v>
      </c>
      <c r="J35" s="96" t="s">
        <v>0</v>
      </c>
      <c r="K35" s="97" t="s">
        <v>363</v>
      </c>
      <c r="L35" s="1"/>
    </row>
    <row r="36" spans="1:12" ht="15.75">
      <c r="A36" s="246" t="s">
        <v>7</v>
      </c>
      <c r="B36" s="247" t="s">
        <v>7</v>
      </c>
      <c r="C36" s="247" t="s">
        <v>7</v>
      </c>
      <c r="D36" s="247" t="s">
        <v>15</v>
      </c>
      <c r="E36" s="247" t="s">
        <v>8</v>
      </c>
      <c r="F36" s="247" t="s">
        <v>8</v>
      </c>
      <c r="G36" s="247" t="s">
        <v>8</v>
      </c>
      <c r="H36" s="247" t="s">
        <v>8</v>
      </c>
      <c r="I36" s="281" t="s">
        <v>15</v>
      </c>
      <c r="J36" s="246" t="s">
        <v>15</v>
      </c>
      <c r="K36" s="247" t="s">
        <v>15</v>
      </c>
      <c r="L36" s="5"/>
    </row>
    <row r="37" spans="1:12" ht="17.25">
      <c r="A37" s="88"/>
      <c r="B37" s="89"/>
      <c r="C37" s="89"/>
      <c r="D37" s="369"/>
      <c r="E37" s="369"/>
      <c r="F37" s="369"/>
      <c r="G37" s="369"/>
      <c r="H37" s="369"/>
      <c r="I37" s="63"/>
      <c r="J37" s="103"/>
      <c r="K37" s="102"/>
      <c r="L37" s="4"/>
    </row>
    <row r="38" spans="1:12" ht="17.25">
      <c r="A38" s="103" t="str">
        <f t="shared" ref="A38:C44" si="1">+A22</f>
        <v>AES CORPORATION</v>
      </c>
      <c r="B38" s="89" t="str">
        <f t="shared" si="1"/>
        <v>AES</v>
      </c>
      <c r="C38" s="89" t="str">
        <f t="shared" si="1"/>
        <v>Power Electric</v>
      </c>
      <c r="D38" s="370">
        <f t="shared" ref="D38:D44" si="2">(+H22)*G22</f>
        <v>9151525842.0299988</v>
      </c>
      <c r="E38" s="370">
        <f>(1/1)*I22</f>
        <v>0</v>
      </c>
      <c r="F38" s="370">
        <v>418000000</v>
      </c>
      <c r="G38" s="370">
        <v>571000000</v>
      </c>
      <c r="H38" s="370">
        <f>J22*((23066+4538)/(22743+5704))</f>
        <v>28158078953.84399</v>
      </c>
      <c r="I38" s="282">
        <f>+D38+E38+F38+G38+H38</f>
        <v>38298604795.873993</v>
      </c>
      <c r="J38" s="291">
        <f t="shared" ref="J38:J44" si="3">(+D38)/I38</f>
        <v>0.2389519380877268</v>
      </c>
      <c r="K38" s="367">
        <f>(+E38+F38+G38+H38)/I38</f>
        <v>0.76104806191227314</v>
      </c>
      <c r="L38" s="4"/>
    </row>
    <row r="39" spans="1:12" ht="17.25">
      <c r="A39" s="106" t="str">
        <f t="shared" si="1"/>
        <v>DOMINION ENERGY INC</v>
      </c>
      <c r="B39" s="89" t="str">
        <f t="shared" si="1"/>
        <v>D</v>
      </c>
      <c r="C39" s="89" t="str">
        <f t="shared" si="1"/>
        <v>Electric - East</v>
      </c>
      <c r="D39" s="370">
        <f t="shared" si="2"/>
        <v>45888720000</v>
      </c>
      <c r="E39" s="370">
        <f>(194.8/200)*I23</f>
        <v>965234000.00000012</v>
      </c>
      <c r="F39" s="370">
        <v>588000000</v>
      </c>
      <c r="G39" s="370">
        <v>276000000</v>
      </c>
      <c r="H39" s="370">
        <f>(32167/34533)*J23</f>
        <v>30770702748.096024</v>
      </c>
      <c r="I39" s="282">
        <f t="shared" ref="I39:I42" si="4">+D39+E39+F39+G39+H39</f>
        <v>78488656748.096024</v>
      </c>
      <c r="J39" s="291">
        <f t="shared" si="3"/>
        <v>0.58465416406955095</v>
      </c>
      <c r="K39" s="367">
        <f t="shared" ref="K39:K42" si="5">(+E39+F39+G39+H39)/I39</f>
        <v>0.41534583593044905</v>
      </c>
      <c r="L39" s="4"/>
    </row>
    <row r="40" spans="1:12" ht="17.25">
      <c r="A40" s="106" t="str">
        <f t="shared" si="1"/>
        <v>CONSTELLATION ENERGY GENERATION LLC</v>
      </c>
      <c r="B40" s="89" t="str">
        <f t="shared" si="1"/>
        <v>CEG</v>
      </c>
      <c r="C40" s="89" t="str">
        <f t="shared" si="1"/>
        <v>Power Electric</v>
      </c>
      <c r="D40" s="370">
        <f t="shared" si="2"/>
        <v>70021230000</v>
      </c>
      <c r="E40" s="370">
        <f>(1/1)*I24</f>
        <v>0</v>
      </c>
      <c r="F40" s="370">
        <v>436000000</v>
      </c>
      <c r="G40" s="370">
        <v>0</v>
      </c>
      <c r="H40" s="370">
        <f>(8521/8412)*J24</f>
        <v>8521000000.000001</v>
      </c>
      <c r="I40" s="282">
        <f t="shared" si="4"/>
        <v>78978230000</v>
      </c>
      <c r="J40" s="291">
        <f t="shared" si="3"/>
        <v>0.88658900053850287</v>
      </c>
      <c r="K40" s="367">
        <f t="shared" si="5"/>
        <v>0.11341099946149717</v>
      </c>
      <c r="L40" s="4"/>
    </row>
    <row r="41" spans="1:12" ht="17.25">
      <c r="A41" s="106" t="str">
        <f t="shared" si="1"/>
        <v>NEXTERA ENERGY INC</v>
      </c>
      <c r="B41" s="89" t="str">
        <f t="shared" si="1"/>
        <v>NEE</v>
      </c>
      <c r="C41" s="89" t="str">
        <f t="shared" si="1"/>
        <v>Electric - East</v>
      </c>
      <c r="D41" s="370">
        <f t="shared" si="2"/>
        <v>147107880000</v>
      </c>
      <c r="E41" s="370">
        <f>(1/1)*I25</f>
        <v>0</v>
      </c>
      <c r="F41" s="370">
        <v>396000000</v>
      </c>
      <c r="G41" s="370">
        <v>0</v>
      </c>
      <c r="H41" s="370">
        <f>(64103/68306)*J25</f>
        <v>64103000000</v>
      </c>
      <c r="I41" s="282">
        <f t="shared" ref="I41" si="6">+D41+E41+F41+G41+H41</f>
        <v>211606880000</v>
      </c>
      <c r="J41" s="291">
        <f t="shared" ref="J41" si="7">(+D41)/I41</f>
        <v>0.69519422052817947</v>
      </c>
      <c r="K41" s="367">
        <f t="shared" ref="K41" si="8">(+E41+F41+G41+H41)/I41</f>
        <v>0.30480577947182058</v>
      </c>
      <c r="L41" s="4"/>
    </row>
    <row r="42" spans="1:12" ht="17.25">
      <c r="A42" s="106" t="str">
        <f t="shared" si="1"/>
        <v>NRG ENERGY</v>
      </c>
      <c r="B42" s="89" t="str">
        <f t="shared" si="1"/>
        <v>NRG</v>
      </c>
      <c r="C42" s="89" t="str">
        <f t="shared" si="1"/>
        <v>Power Electric</v>
      </c>
      <c r="D42" s="370">
        <f t="shared" si="2"/>
        <v>17918089238.66</v>
      </c>
      <c r="E42" s="370">
        <f>(1/1)*I26</f>
        <v>650000000</v>
      </c>
      <c r="F42" s="370">
        <v>151000000</v>
      </c>
      <c r="G42" s="370">
        <v>0</v>
      </c>
      <c r="H42" s="370">
        <f>(10761000000/10880000000)*J26</f>
        <v>10689787500</v>
      </c>
      <c r="I42" s="282">
        <f t="shared" si="4"/>
        <v>29408876738.66</v>
      </c>
      <c r="J42" s="291">
        <f t="shared" si="3"/>
        <v>0.60927485935242931</v>
      </c>
      <c r="K42" s="367">
        <f t="shared" si="5"/>
        <v>0.39072514064757075</v>
      </c>
      <c r="L42" s="4"/>
    </row>
    <row r="43" spans="1:12" ht="17.25">
      <c r="A43" s="106" t="str">
        <f t="shared" si="1"/>
        <v>SOUTHERN COMPANY</v>
      </c>
      <c r="B43" s="89" t="str">
        <f t="shared" si="1"/>
        <v>SO</v>
      </c>
      <c r="C43" s="89" t="str">
        <f>+C27</f>
        <v>Electric - East</v>
      </c>
      <c r="D43" s="370">
        <f t="shared" si="2"/>
        <v>90469680000</v>
      </c>
      <c r="E43" s="370">
        <f>(1/1)*I27</f>
        <v>0</v>
      </c>
      <c r="F43" s="370">
        <v>1386000000</v>
      </c>
      <c r="G43" s="370">
        <v>254000000</v>
      </c>
      <c r="H43" s="286">
        <f>(55/59.4)*J27</f>
        <v>54414814814.814812</v>
      </c>
      <c r="I43" s="282">
        <f>+D43+E43+F43+G43+H43</f>
        <v>146524494814.81482</v>
      </c>
      <c r="J43" s="291">
        <f t="shared" si="3"/>
        <v>0.61743724224635765</v>
      </c>
      <c r="K43" s="367">
        <f>(+E43+F43+G43+H43)/I43</f>
        <v>0.38256275775364224</v>
      </c>
      <c r="L43" s="4"/>
    </row>
    <row r="44" spans="1:12" ht="18" thickBot="1">
      <c r="A44" s="107" t="str">
        <f t="shared" si="1"/>
        <v>VISTRA ENERGY CORPORATION</v>
      </c>
      <c r="B44" s="97" t="str">
        <f t="shared" si="1"/>
        <v>VST</v>
      </c>
      <c r="C44" s="97" t="str">
        <f t="shared" si="1"/>
        <v>Power Electric</v>
      </c>
      <c r="D44" s="372">
        <f t="shared" si="2"/>
        <v>46841926306.090004</v>
      </c>
      <c r="E44" s="372">
        <f>(1/1)*I28</f>
        <v>2476000000</v>
      </c>
      <c r="F44" s="372">
        <v>106000000</v>
      </c>
      <c r="G44" s="372">
        <v>153000000</v>
      </c>
      <c r="H44" s="289">
        <f>(2478/2435)*J28</f>
        <v>16585808624.22998</v>
      </c>
      <c r="I44" s="108">
        <f>+D44+E44+F44+G44+H44</f>
        <v>66162734930.319984</v>
      </c>
      <c r="J44" s="315">
        <f t="shared" si="3"/>
        <v>0.70798050224831388</v>
      </c>
      <c r="K44" s="368">
        <f>(+E44+F44+G44+H44)/I44</f>
        <v>0.29201949775168612</v>
      </c>
      <c r="L44" s="4" t="s">
        <v>0</v>
      </c>
    </row>
    <row r="45" spans="1:12" ht="17.25">
      <c r="A45" s="12"/>
      <c r="B45" s="12"/>
      <c r="C45" s="12"/>
      <c r="D45" s="12"/>
      <c r="E45" s="12"/>
      <c r="F45" s="12"/>
      <c r="H45" s="12" t="s">
        <v>0</v>
      </c>
      <c r="I45" s="118" t="s">
        <v>53</v>
      </c>
      <c r="J45" s="122">
        <v>0.81230000000000002</v>
      </c>
      <c r="K45" s="122">
        <v>0.67959999999999998</v>
      </c>
    </row>
    <row r="46" spans="1:12" ht="17.25">
      <c r="G46" s="117" t="s">
        <v>0</v>
      </c>
      <c r="I46" s="276" t="s">
        <v>54</v>
      </c>
      <c r="J46" s="277">
        <v>0.32040000000000002</v>
      </c>
      <c r="K46" s="277">
        <v>0.18770000000000001</v>
      </c>
    </row>
    <row r="47" spans="1:12" ht="17.25">
      <c r="G47" s="117" t="s">
        <v>0</v>
      </c>
      <c r="H47" s="12" t="s">
        <v>0</v>
      </c>
      <c r="I47" s="14" t="s">
        <v>18</v>
      </c>
      <c r="J47" s="120">
        <f>MEDIAN(J38:J44)</f>
        <v>0.61743724224635765</v>
      </c>
      <c r="K47" s="121">
        <f>MEDIAN(K38:K44)</f>
        <v>0.38256275775364224</v>
      </c>
    </row>
    <row r="48" spans="1:12" ht="17.25">
      <c r="E48" t="s">
        <v>0</v>
      </c>
      <c r="F48" t="s">
        <v>0</v>
      </c>
      <c r="H48" s="12" t="s">
        <v>0</v>
      </c>
      <c r="I48" s="14" t="s">
        <v>377</v>
      </c>
      <c r="J48" s="120">
        <f>AVERAGE(J38:J44)</f>
        <v>0.62001170386729443</v>
      </c>
      <c r="K48" s="121">
        <f>AVERAGE(K38:K44)</f>
        <v>0.37998829613270552</v>
      </c>
    </row>
    <row r="49" spans="1:11" ht="18" thickBot="1">
      <c r="D49" t="s">
        <v>0</v>
      </c>
      <c r="F49" t="s">
        <v>0</v>
      </c>
      <c r="H49" s="12"/>
      <c r="I49" s="12"/>
      <c r="J49" s="63"/>
      <c r="K49" s="63"/>
    </row>
    <row r="50" spans="1:11" ht="27" thickBot="1">
      <c r="H50" s="12"/>
      <c r="I50" s="184" t="s">
        <v>214</v>
      </c>
      <c r="J50" s="344">
        <v>0.62</v>
      </c>
      <c r="K50" s="345">
        <v>0.38</v>
      </c>
    </row>
    <row r="51" spans="1:11" ht="17.25">
      <c r="E51" s="119"/>
      <c r="F51" s="12"/>
      <c r="G51" s="12"/>
      <c r="H51" s="12"/>
      <c r="I51" s="63"/>
      <c r="J51" s="63" t="s">
        <v>0</v>
      </c>
      <c r="K51" s="12"/>
    </row>
    <row r="52" spans="1:11" ht="16.5">
      <c r="E52" s="119"/>
      <c r="F52" s="12"/>
      <c r="G52" s="12"/>
      <c r="H52" s="12"/>
      <c r="I52" s="12"/>
      <c r="J52" s="12"/>
      <c r="K52" s="12"/>
    </row>
    <row r="53" spans="1:11" ht="16.5">
      <c r="E53" s="119"/>
      <c r="F53" s="12"/>
      <c r="G53" s="12"/>
      <c r="H53" s="12"/>
      <c r="I53" s="12"/>
      <c r="J53" s="12"/>
      <c r="K53" s="12"/>
    </row>
    <row r="54" spans="1:11" ht="26.25">
      <c r="A54" s="23" t="s">
        <v>84</v>
      </c>
      <c r="B54" s="12"/>
      <c r="C54" s="75"/>
      <c r="D54" s="123"/>
      <c r="E54" s="119"/>
      <c r="F54" s="12"/>
      <c r="G54" s="12"/>
      <c r="H54" s="12"/>
      <c r="I54" s="12"/>
      <c r="J54" s="12"/>
      <c r="K54" s="12"/>
    </row>
    <row r="55" spans="1:11" ht="16.5">
      <c r="A55" s="86" t="s">
        <v>66</v>
      </c>
      <c r="B55" s="12"/>
      <c r="C55" s="75"/>
      <c r="D55" s="123"/>
      <c r="E55" s="119"/>
      <c r="F55" s="12"/>
      <c r="G55" s="12"/>
      <c r="H55" s="12"/>
      <c r="I55" s="12"/>
      <c r="J55" s="12"/>
      <c r="K55" s="12"/>
    </row>
    <row r="56" spans="1:11" ht="16.5">
      <c r="A56" s="12" t="s">
        <v>157</v>
      </c>
    </row>
    <row r="57" spans="1:11" ht="16.5">
      <c r="A57" s="12" t="s">
        <v>365</v>
      </c>
      <c r="J57" s="364"/>
    </row>
    <row r="58" spans="1:11" ht="16.5">
      <c r="A58" s="12" t="s">
        <v>156</v>
      </c>
    </row>
    <row r="59" spans="1:11" ht="16.5">
      <c r="A59" s="12" t="s">
        <v>364</v>
      </c>
    </row>
    <row r="62" spans="1:11" ht="26.25">
      <c r="A62" s="350" t="s">
        <v>430</v>
      </c>
      <c r="H62" s="12" t="s">
        <v>0</v>
      </c>
      <c r="I62" t="s">
        <v>0</v>
      </c>
    </row>
    <row r="63" spans="1:11" ht="16.5">
      <c r="A63" s="351" t="s">
        <v>407</v>
      </c>
    </row>
    <row r="64" spans="1:11" ht="17.25">
      <c r="A64" s="352" t="s">
        <v>432</v>
      </c>
    </row>
    <row r="65" spans="1:8" ht="17.25">
      <c r="A65" s="352" t="s">
        <v>434</v>
      </c>
      <c r="H65" t="s">
        <v>0</v>
      </c>
    </row>
    <row r="66" spans="1:8" ht="17.25">
      <c r="A66" s="352" t="s">
        <v>370</v>
      </c>
      <c r="H66" t="s">
        <v>0</v>
      </c>
    </row>
    <row r="67" spans="1:8" ht="17.25">
      <c r="A67" s="352" t="s">
        <v>429</v>
      </c>
      <c r="H67" t="s">
        <v>0</v>
      </c>
    </row>
    <row r="68" spans="1:8" ht="16.5">
      <c r="A68" s="353" t="s">
        <v>433</v>
      </c>
      <c r="H68" t="s">
        <v>0</v>
      </c>
    </row>
    <row r="69" spans="1:8" ht="16.5">
      <c r="A69" s="353" t="s">
        <v>426</v>
      </c>
    </row>
    <row r="72" spans="1:8" ht="26.25">
      <c r="A72" s="362" t="s">
        <v>406</v>
      </c>
    </row>
    <row r="73" spans="1:8" ht="16.5">
      <c r="A73" s="349" t="s">
        <v>418</v>
      </c>
    </row>
    <row r="74" spans="1:8" ht="16.5">
      <c r="A74" s="44" t="s">
        <v>408</v>
      </c>
    </row>
    <row r="75" spans="1:8" ht="17.25">
      <c r="A75" s="140" t="s">
        <v>419</v>
      </c>
    </row>
    <row r="76" spans="1:8" ht="17.25">
      <c r="A76" s="140" t="s">
        <v>420</v>
      </c>
    </row>
    <row r="77" spans="1:8" ht="16.5">
      <c r="A77" s="44" t="s">
        <v>409</v>
      </c>
    </row>
    <row r="78" spans="1:8" ht="16.5">
      <c r="A78" s="349" t="s">
        <v>421</v>
      </c>
    </row>
    <row r="79" spans="1:8" ht="16.5">
      <c r="A79" s="349" t="s">
        <v>427</v>
      </c>
    </row>
    <row r="80" spans="1:8" ht="16.5">
      <c r="A80" s="44" t="s">
        <v>422</v>
      </c>
    </row>
    <row r="81" spans="1:1" ht="16.5">
      <c r="A81" s="44" t="s">
        <v>423</v>
      </c>
    </row>
    <row r="82" spans="1:1" ht="16.5">
      <c r="A82" s="44" t="s">
        <v>410</v>
      </c>
    </row>
    <row r="83" spans="1:1" ht="16.5">
      <c r="A83" s="349" t="s">
        <v>411</v>
      </c>
    </row>
    <row r="84" spans="1:1" ht="17.25">
      <c r="A84" s="140" t="s">
        <v>412</v>
      </c>
    </row>
    <row r="85" spans="1:1" ht="16.5">
      <c r="A85" s="126" t="s">
        <v>413</v>
      </c>
    </row>
    <row r="86" spans="1:1" ht="16.5">
      <c r="A86" s="44" t="s">
        <v>424</v>
      </c>
    </row>
    <row r="87" spans="1:1" ht="16.5">
      <c r="A87" s="126" t="s">
        <v>414</v>
      </c>
    </row>
    <row r="88" spans="1:1" ht="16.5">
      <c r="A88" s="126" t="s">
        <v>425</v>
      </c>
    </row>
    <row r="89" spans="1:1" ht="16.5">
      <c r="A89" s="44" t="s">
        <v>415</v>
      </c>
    </row>
  </sheetData>
  <pageMargins left="0.25" right="0.25" top="0.75" bottom="0.75" header="0.3" footer="0.3"/>
  <pageSetup scale="32" orientation="landscape" r:id="rId1"/>
  <rowBreaks count="1" manualBreakCount="1">
    <brk id="50" max="11" man="1"/>
  </rowBreaks>
  <colBreaks count="1" manualBreakCount="1">
    <brk id="11" max="90" man="1"/>
  </colBreaks>
  <ignoredErrors>
    <ignoredError sqref="E39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FF50-7DB7-41D1-AD2F-655311479817}">
  <sheetPr>
    <tabColor rgb="FF92D050"/>
    <pageSetUpPr fitToPage="1"/>
  </sheetPr>
  <dimension ref="A1:J60"/>
  <sheetViews>
    <sheetView view="pageBreakPreview" topLeftCell="A14" zoomScale="70" zoomScaleNormal="80" zoomScaleSheetLayoutView="70" zoomScalePageLayoutView="70" workbookViewId="0">
      <pane xSplit="1" topLeftCell="B1" activePane="topRight" state="frozen"/>
      <selection activeCell="B39" sqref="B39"/>
      <selection pane="topRight" activeCell="G29" sqref="G29"/>
    </sheetView>
  </sheetViews>
  <sheetFormatPr defaultRowHeight="15"/>
  <cols>
    <col min="1" max="1" width="69.42578125" customWidth="1"/>
    <col min="2" max="2" width="13.42578125" customWidth="1"/>
    <col min="3" max="3" width="20.42578125" bestFit="1" customWidth="1"/>
    <col min="4" max="4" width="30.140625" customWidth="1"/>
    <col min="5" max="5" width="28" customWidth="1"/>
    <col min="6" max="6" width="29.140625" customWidth="1"/>
    <col min="7" max="7" width="23.42578125" customWidth="1"/>
    <col min="8" max="8" width="12.85546875" customWidth="1"/>
    <col min="9" max="9" width="25.85546875" bestFit="1" customWidth="1"/>
    <col min="10" max="10" width="30.140625" bestFit="1" customWidth="1"/>
    <col min="11" max="11" width="9.140625" customWidth="1"/>
  </cols>
  <sheetData>
    <row r="1" spans="1:9" ht="26.25">
      <c r="A1" s="24" t="s">
        <v>1</v>
      </c>
      <c r="B1" s="12"/>
      <c r="C1" s="12"/>
      <c r="D1" s="12"/>
      <c r="E1" s="12"/>
      <c r="F1" s="12"/>
      <c r="G1" s="12"/>
      <c r="H1" s="12"/>
    </row>
    <row r="2" spans="1:9" ht="17.25">
      <c r="A2" s="25" t="s">
        <v>9</v>
      </c>
      <c r="B2" s="12"/>
      <c r="C2" s="12"/>
      <c r="D2" s="12"/>
      <c r="E2" s="12"/>
      <c r="F2" s="12"/>
      <c r="G2" s="12"/>
      <c r="H2" s="12"/>
    </row>
    <row r="3" spans="1:9" ht="16.5">
      <c r="A3" s="26" t="s">
        <v>441</v>
      </c>
      <c r="B3" s="12"/>
      <c r="C3" s="12"/>
      <c r="D3" s="12"/>
      <c r="E3" s="12"/>
      <c r="F3" s="12"/>
      <c r="G3" s="12"/>
      <c r="H3" s="12"/>
    </row>
    <row r="4" spans="1:9" ht="16.5">
      <c r="A4" s="26"/>
      <c r="B4" s="12"/>
      <c r="C4" s="12"/>
      <c r="D4" s="12"/>
      <c r="E4" s="12"/>
      <c r="F4" s="183" t="s">
        <v>0</v>
      </c>
      <c r="G4" s="12"/>
      <c r="H4" s="12"/>
    </row>
    <row r="5" spans="1:9" ht="16.5">
      <c r="B5" s="12"/>
      <c r="C5" s="12"/>
      <c r="D5" s="12"/>
      <c r="E5" s="27"/>
      <c r="F5" s="183" t="s">
        <v>0</v>
      </c>
      <c r="G5" s="12"/>
      <c r="H5" s="12" t="s">
        <v>0</v>
      </c>
    </row>
    <row r="6" spans="1:9" ht="16.5">
      <c r="A6" s="86"/>
      <c r="B6" s="35"/>
      <c r="C6" s="35"/>
      <c r="D6" s="35"/>
      <c r="E6" s="35"/>
      <c r="F6" s="35"/>
      <c r="G6" s="14"/>
      <c r="H6" s="85"/>
      <c r="I6" s="3"/>
    </row>
    <row r="7" spans="1:9" ht="16.5">
      <c r="A7" s="44"/>
      <c r="B7" s="44"/>
      <c r="C7" s="44"/>
      <c r="D7" s="44"/>
      <c r="E7" s="44"/>
      <c r="F7" s="44"/>
      <c r="G7" s="44"/>
      <c r="H7" s="44"/>
      <c r="I7" s="2"/>
    </row>
    <row r="8" spans="1:9" ht="17.25" thickBot="1">
      <c r="A8" s="44"/>
      <c r="B8" s="44"/>
      <c r="C8" s="44"/>
      <c r="D8" s="87"/>
      <c r="E8" s="29"/>
      <c r="F8" s="87"/>
      <c r="H8" s="44"/>
      <c r="I8" s="2"/>
    </row>
    <row r="9" spans="1:9" ht="27" thickBot="1">
      <c r="A9" s="28" t="str">
        <f>+'S&amp;D'!A12</f>
        <v>Electric Wholesale (non-regulated) Power Generator</v>
      </c>
      <c r="B9" s="44"/>
      <c r="C9" s="44"/>
      <c r="D9" s="44"/>
      <c r="E9" s="32" t="s">
        <v>291</v>
      </c>
      <c r="F9" s="44"/>
      <c r="H9" s="12"/>
    </row>
    <row r="10" spans="1:9" ht="21" thickBot="1">
      <c r="A10" s="31"/>
      <c r="B10" s="44"/>
      <c r="C10" s="44"/>
      <c r="D10" s="87"/>
      <c r="E10" s="37" t="s">
        <v>442</v>
      </c>
      <c r="F10" s="87"/>
      <c r="H10" s="12"/>
    </row>
    <row r="11" spans="1:9" ht="20.25">
      <c r="A11" s="31"/>
      <c r="B11" s="44"/>
      <c r="C11" s="44"/>
      <c r="D11" s="44"/>
      <c r="E11" s="35"/>
      <c r="F11" s="44"/>
      <c r="H11" s="12"/>
    </row>
    <row r="12" spans="1:9" ht="20.25">
      <c r="A12" s="31"/>
      <c r="B12" s="44"/>
      <c r="C12" s="44"/>
      <c r="D12" s="44"/>
      <c r="E12" s="35"/>
      <c r="F12" s="44"/>
      <c r="H12" s="12"/>
    </row>
    <row r="13" spans="1:9" ht="20.25">
      <c r="A13" s="31"/>
      <c r="B13" s="44"/>
      <c r="C13" s="44"/>
      <c r="D13" s="44"/>
      <c r="E13" s="35"/>
      <c r="F13" s="44"/>
      <c r="H13" s="12"/>
    </row>
    <row r="14" spans="1:9" ht="20.25">
      <c r="A14" s="31"/>
      <c r="B14" s="44"/>
      <c r="C14" s="44"/>
      <c r="D14" s="44"/>
      <c r="E14" s="13" t="s">
        <v>0</v>
      </c>
      <c r="F14" s="44"/>
      <c r="H14" s="12"/>
    </row>
    <row r="15" spans="1:9" ht="17.25" thickBot="1">
      <c r="A15" s="42" t="s">
        <v>0</v>
      </c>
      <c r="B15" s="42" t="s">
        <v>0</v>
      </c>
      <c r="C15" s="42" t="s">
        <v>0</v>
      </c>
      <c r="D15" s="42"/>
      <c r="E15" s="42"/>
      <c r="F15" s="42"/>
      <c r="H15" s="12"/>
    </row>
    <row r="16" spans="1:9" ht="17.25">
      <c r="A16" s="88"/>
      <c r="B16" s="89"/>
      <c r="C16" s="90"/>
      <c r="D16" s="215" t="s">
        <v>0</v>
      </c>
      <c r="E16" s="216" t="s">
        <v>0</v>
      </c>
      <c r="F16" s="215" t="s">
        <v>0</v>
      </c>
      <c r="H16" s="12"/>
    </row>
    <row r="17" spans="1:10" ht="17.25">
      <c r="A17" s="88" t="s">
        <v>0</v>
      </c>
      <c r="B17" s="89" t="s">
        <v>3</v>
      </c>
      <c r="C17" s="90" t="s">
        <v>5</v>
      </c>
      <c r="D17" s="91" t="s">
        <v>281</v>
      </c>
      <c r="E17" s="217" t="s">
        <v>73</v>
      </c>
      <c r="F17" s="91" t="s">
        <v>283</v>
      </c>
      <c r="H17" s="12"/>
    </row>
    <row r="18" spans="1:10" ht="17.25">
      <c r="A18" s="88"/>
      <c r="B18" s="89" t="s">
        <v>4</v>
      </c>
      <c r="C18" s="90" t="s">
        <v>6</v>
      </c>
      <c r="D18" s="91" t="s">
        <v>292</v>
      </c>
      <c r="E18" s="217" t="s">
        <v>292</v>
      </c>
      <c r="F18" s="91" t="s">
        <v>136</v>
      </c>
      <c r="H18" s="12"/>
    </row>
    <row r="19" spans="1:10" ht="18" thickBot="1">
      <c r="A19" s="96" t="s">
        <v>2</v>
      </c>
      <c r="B19" s="97" t="s">
        <v>0</v>
      </c>
      <c r="C19" s="98" t="s">
        <v>0</v>
      </c>
      <c r="D19" s="97" t="s">
        <v>0</v>
      </c>
      <c r="E19" s="115" t="s">
        <v>0</v>
      </c>
      <c r="F19" s="97" t="s">
        <v>0</v>
      </c>
      <c r="H19" s="12"/>
    </row>
    <row r="20" spans="1:10" ht="16.5">
      <c r="A20" s="246" t="s">
        <v>7</v>
      </c>
      <c r="B20" s="247" t="s">
        <v>7</v>
      </c>
      <c r="C20" s="248" t="s">
        <v>7</v>
      </c>
      <c r="D20" s="247" t="s">
        <v>7</v>
      </c>
      <c r="E20" s="116" t="s">
        <v>282</v>
      </c>
      <c r="F20" s="101"/>
      <c r="H20" s="12"/>
    </row>
    <row r="21" spans="1:10" ht="17.25">
      <c r="A21" s="88"/>
      <c r="B21" s="89"/>
      <c r="C21" s="218"/>
      <c r="D21" s="89"/>
      <c r="E21" s="218"/>
      <c r="F21" s="89"/>
      <c r="H21" s="12"/>
    </row>
    <row r="22" spans="1:10" ht="17.25">
      <c r="A22" s="103" t="str">
        <f>+'S&amp;D'!A22</f>
        <v>AES CORPORATION</v>
      </c>
      <c r="B22" s="88" t="str">
        <f>+'S&amp;D'!B22</f>
        <v>AES</v>
      </c>
      <c r="C22" s="89" t="str">
        <f>+'S&amp;D'!C22</f>
        <v>Power Electric</v>
      </c>
      <c r="D22" s="232">
        <f>+'S&amp;D'!D38</f>
        <v>9151525842.0299988</v>
      </c>
      <c r="E22" s="234">
        <f>7704000000-4060000000</f>
        <v>3644000000</v>
      </c>
      <c r="F22" s="105">
        <f>+D22/E22</f>
        <v>2.5113956756394069</v>
      </c>
      <c r="H22" s="12"/>
    </row>
    <row r="23" spans="1:10" ht="17.25">
      <c r="A23" s="103" t="str">
        <f>+'S&amp;D'!A23</f>
        <v>DOMINION ENERGY INC</v>
      </c>
      <c r="B23" s="88" t="str">
        <f>+'S&amp;D'!B23</f>
        <v>D</v>
      </c>
      <c r="C23" s="89" t="str">
        <f>+'S&amp;D'!C23</f>
        <v>Electric - East</v>
      </c>
      <c r="D23" s="232">
        <f>+'S&amp;D'!D39</f>
        <v>45888720000</v>
      </c>
      <c r="E23" s="234">
        <v>27253000000</v>
      </c>
      <c r="F23" s="105">
        <f t="shared" ref="F23:F28" si="0">+D23/E23</f>
        <v>1.6838043518144792</v>
      </c>
      <c r="H23" s="12"/>
    </row>
    <row r="24" spans="1:10" ht="17.25">
      <c r="A24" s="103" t="str">
        <f>+'S&amp;D'!A24</f>
        <v>CONSTELLATION ENERGY GENERATION LLC</v>
      </c>
      <c r="B24" s="88" t="str">
        <f>+'S&amp;D'!B24</f>
        <v>CEG</v>
      </c>
      <c r="C24" s="89" t="str">
        <f>+'S&amp;D'!C24</f>
        <v>Power Electric</v>
      </c>
      <c r="D24" s="232">
        <f>+'S&amp;D'!D40</f>
        <v>70021230000</v>
      </c>
      <c r="E24" s="234">
        <v>13210000000</v>
      </c>
      <c r="F24" s="105">
        <f t="shared" si="0"/>
        <v>5.300623012869039</v>
      </c>
      <c r="G24" t="s">
        <v>0</v>
      </c>
      <c r="H24" s="12"/>
    </row>
    <row r="25" spans="1:10" ht="17.25">
      <c r="A25" s="103" t="str">
        <f>+'S&amp;D'!A25</f>
        <v>NEXTERA ENERGY INC</v>
      </c>
      <c r="B25" s="88" t="str">
        <f>+'S&amp;D'!B25</f>
        <v>NEE</v>
      </c>
      <c r="C25" s="89" t="str">
        <f>+'S&amp;D'!C25</f>
        <v>Electric - East</v>
      </c>
      <c r="D25" s="232">
        <f>+'S&amp;D'!D41</f>
        <v>147107880000</v>
      </c>
      <c r="E25" s="234">
        <v>47468000000</v>
      </c>
      <c r="F25" s="105">
        <f t="shared" ref="F25" si="1">+D25/E25</f>
        <v>3.0990958119153955</v>
      </c>
      <c r="H25" s="12"/>
    </row>
    <row r="26" spans="1:10" ht="17.25">
      <c r="A26" s="103" t="str">
        <f>+'S&amp;D'!A26</f>
        <v>NRG ENERGY</v>
      </c>
      <c r="B26" s="88" t="str">
        <f>+'S&amp;D'!B26</f>
        <v>NRG</v>
      </c>
      <c r="C26" s="89" t="str">
        <f>+'S&amp;D'!C26</f>
        <v>Power Electric</v>
      </c>
      <c r="D26" s="232">
        <f>+'S&amp;D'!D42</f>
        <v>17918089238.66</v>
      </c>
      <c r="E26" s="234">
        <v>2478000000</v>
      </c>
      <c r="F26" s="105">
        <f t="shared" si="0"/>
        <v>7.2308673279499596</v>
      </c>
      <c r="H26" s="12"/>
    </row>
    <row r="27" spans="1:10" ht="17.25">
      <c r="A27" s="103" t="str">
        <f>+'S&amp;D'!A27</f>
        <v>SOUTHERN COMPANY</v>
      </c>
      <c r="B27" s="88" t="str">
        <f>+'S&amp;D'!B27</f>
        <v>SO</v>
      </c>
      <c r="C27" s="89" t="str">
        <f>+'S&amp;D'!C27</f>
        <v>Electric - East</v>
      </c>
      <c r="D27" s="232">
        <f>+'S&amp;D'!D43</f>
        <v>90469680000</v>
      </c>
      <c r="E27" s="234">
        <v>33208000000</v>
      </c>
      <c r="F27" s="105">
        <f t="shared" si="0"/>
        <v>2.7243338954468803</v>
      </c>
      <c r="H27" s="12"/>
    </row>
    <row r="28" spans="1:10" ht="18" thickBot="1">
      <c r="A28" s="107" t="str">
        <f>+'S&amp;D'!A28</f>
        <v>VISTRA ENERGY CORPORATION</v>
      </c>
      <c r="B28" s="96" t="str">
        <f>+'S&amp;D'!B28</f>
        <v>VST</v>
      </c>
      <c r="C28" s="97" t="str">
        <f>+'S&amp;D'!C28</f>
        <v>Power Electric</v>
      </c>
      <c r="D28" s="233">
        <f>+'S&amp;D'!D44</f>
        <v>46841926306.090004</v>
      </c>
      <c r="E28" s="234">
        <v>5570000000</v>
      </c>
      <c r="F28" s="105">
        <f t="shared" si="0"/>
        <v>8.4096815630323167</v>
      </c>
      <c r="H28" s="12"/>
      <c r="J28" s="10" t="s">
        <v>0</v>
      </c>
    </row>
    <row r="29" spans="1:10" ht="27" customHeight="1" thickBot="1">
      <c r="A29" s="109"/>
      <c r="B29" s="109"/>
      <c r="C29" s="109"/>
      <c r="D29" s="109"/>
      <c r="E29" s="244" t="s">
        <v>290</v>
      </c>
      <c r="F29" s="330">
        <f>AVERAGE(F22:F28)</f>
        <v>4.4228288055239258</v>
      </c>
      <c r="H29" s="12"/>
    </row>
    <row r="30" spans="1:10" ht="17.25">
      <c r="A30" s="109"/>
      <c r="B30" s="109"/>
      <c r="C30" s="109"/>
      <c r="D30" s="109"/>
      <c r="E30" s="227"/>
      <c r="F30" s="228"/>
      <c r="H30" s="12"/>
    </row>
    <row r="31" spans="1:10" ht="17.25">
      <c r="A31" s="109"/>
      <c r="B31" s="109"/>
      <c r="C31" s="109"/>
      <c r="D31" s="109"/>
      <c r="E31" s="227"/>
      <c r="F31" s="228"/>
      <c r="H31" s="12"/>
    </row>
    <row r="32" spans="1:10" ht="17.25">
      <c r="A32" s="109"/>
      <c r="B32" s="109"/>
      <c r="C32" s="109"/>
      <c r="D32" s="109"/>
      <c r="E32" s="227"/>
      <c r="F32" s="228"/>
      <c r="H32" s="12"/>
    </row>
    <row r="33" spans="1:8" ht="18" thickBot="1">
      <c r="A33" s="109"/>
      <c r="B33" s="109"/>
      <c r="C33" s="109"/>
      <c r="D33" s="109"/>
      <c r="E33" s="109"/>
      <c r="F33" s="109"/>
      <c r="H33" s="12"/>
    </row>
    <row r="34" spans="1:8" ht="17.25">
      <c r="A34" s="229"/>
      <c r="B34" s="230"/>
      <c r="C34" s="231"/>
      <c r="D34" s="215" t="s">
        <v>0</v>
      </c>
      <c r="E34" s="216" t="s">
        <v>0</v>
      </c>
      <c r="F34" s="215" t="s">
        <v>0</v>
      </c>
      <c r="H34" s="12"/>
    </row>
    <row r="35" spans="1:8" ht="17.25">
      <c r="A35" s="88" t="s">
        <v>0</v>
      </c>
      <c r="B35" s="89" t="s">
        <v>3</v>
      </c>
      <c r="C35" s="90" t="s">
        <v>5</v>
      </c>
      <c r="D35" s="91" t="s">
        <v>281</v>
      </c>
      <c r="E35" s="217" t="s">
        <v>73</v>
      </c>
      <c r="F35" s="91" t="s">
        <v>283</v>
      </c>
      <c r="H35" s="12"/>
    </row>
    <row r="36" spans="1:8" ht="17.25">
      <c r="A36" s="88"/>
      <c r="B36" s="89" t="s">
        <v>4</v>
      </c>
      <c r="C36" s="90" t="s">
        <v>6</v>
      </c>
      <c r="D36" s="91" t="s">
        <v>284</v>
      </c>
      <c r="E36" s="217" t="s">
        <v>284</v>
      </c>
      <c r="F36" s="91" t="s">
        <v>136</v>
      </c>
    </row>
    <row r="37" spans="1:8" ht="18" thickBot="1">
      <c r="A37" s="96" t="s">
        <v>2</v>
      </c>
      <c r="B37" s="97" t="s">
        <v>0</v>
      </c>
      <c r="C37" s="98" t="s">
        <v>0</v>
      </c>
      <c r="D37" s="97" t="s">
        <v>0</v>
      </c>
      <c r="E37" s="115" t="s">
        <v>0</v>
      </c>
      <c r="F37" s="97" t="s">
        <v>0</v>
      </c>
    </row>
    <row r="38" spans="1:8">
      <c r="A38" s="246" t="s">
        <v>7</v>
      </c>
      <c r="B38" s="247" t="s">
        <v>7</v>
      </c>
      <c r="C38" s="281" t="s">
        <v>7</v>
      </c>
      <c r="D38" s="247" t="s">
        <v>282</v>
      </c>
      <c r="E38" s="116" t="s">
        <v>282</v>
      </c>
      <c r="F38" s="101"/>
    </row>
    <row r="39" spans="1:8" ht="17.25">
      <c r="A39" s="88"/>
      <c r="B39" s="89"/>
      <c r="C39" s="90"/>
      <c r="D39" s="89"/>
      <c r="E39" s="218"/>
      <c r="F39" s="89"/>
    </row>
    <row r="40" spans="1:8" ht="17.25">
      <c r="A40" s="103" t="str">
        <f>+'S&amp;D'!A22</f>
        <v>AES CORPORATION</v>
      </c>
      <c r="B40" s="88" t="str">
        <f>+'S&amp;D'!B22</f>
        <v>AES</v>
      </c>
      <c r="C40" s="88" t="str">
        <f>+'S&amp;D'!C22</f>
        <v>Power Electric</v>
      </c>
      <c r="D40" s="232">
        <f>+'S&amp;D'!H38</f>
        <v>28158078953.84399</v>
      </c>
      <c r="E40" s="234">
        <f>+'S&amp;D'!J22</f>
        <v>29018000000</v>
      </c>
      <c r="F40" s="105">
        <f>+D40/E40</f>
        <v>0.97036594368474705</v>
      </c>
    </row>
    <row r="41" spans="1:8" ht="17.25">
      <c r="A41" s="103" t="str">
        <f>+'S&amp;D'!A23</f>
        <v>DOMINION ENERGY INC</v>
      </c>
      <c r="B41" s="88" t="str">
        <f>+'S&amp;D'!B23</f>
        <v>D</v>
      </c>
      <c r="C41" s="88" t="str">
        <f>+'S&amp;D'!C23</f>
        <v>Electric - East</v>
      </c>
      <c r="D41" s="232">
        <f>+'S&amp;D'!H39</f>
        <v>30770702748.096024</v>
      </c>
      <c r="E41" s="234">
        <f>+'S&amp;D'!J23</f>
        <v>33034000000</v>
      </c>
      <c r="F41" s="105">
        <f t="shared" ref="F41:F46" si="2">+D41/E41</f>
        <v>0.93148582515275247</v>
      </c>
    </row>
    <row r="42" spans="1:8" ht="17.25">
      <c r="A42" s="103" t="str">
        <f>+'S&amp;D'!A24</f>
        <v>CONSTELLATION ENERGY GENERATION LLC</v>
      </c>
      <c r="B42" s="88" t="str">
        <f>+'S&amp;D'!B24</f>
        <v>CEG</v>
      </c>
      <c r="C42" s="88" t="str">
        <f>+'S&amp;D'!C24</f>
        <v>Power Electric</v>
      </c>
      <c r="D42" s="232">
        <f>+'S&amp;D'!H40</f>
        <v>8521000000.000001</v>
      </c>
      <c r="E42" s="234">
        <f>+'S&amp;D'!J24</f>
        <v>8412000000</v>
      </c>
      <c r="F42" s="105">
        <f t="shared" si="2"/>
        <v>1.0129576795054684</v>
      </c>
    </row>
    <row r="43" spans="1:8" ht="17.25">
      <c r="A43" s="103" t="str">
        <f>+'S&amp;D'!A25</f>
        <v>NEXTERA ENERGY INC</v>
      </c>
      <c r="B43" s="88" t="str">
        <f>+'S&amp;D'!B25</f>
        <v>NEE</v>
      </c>
      <c r="C43" s="88" t="str">
        <f>+'S&amp;D'!C25</f>
        <v>Electric - East</v>
      </c>
      <c r="D43" s="232">
        <f>+'S&amp;D'!H41</f>
        <v>64103000000</v>
      </c>
      <c r="E43" s="234">
        <f>+'S&amp;D'!J25</f>
        <v>68306000000</v>
      </c>
      <c r="F43" s="105">
        <f t="shared" ref="F43" si="3">+D43/E43</f>
        <v>0.9384680701548912</v>
      </c>
    </row>
    <row r="44" spans="1:8" ht="17.25">
      <c r="A44" s="103" t="str">
        <f>+'S&amp;D'!A26</f>
        <v>NRG ENERGY</v>
      </c>
      <c r="B44" s="88" t="str">
        <f>+'S&amp;D'!B26</f>
        <v>NRG</v>
      </c>
      <c r="C44" s="88" t="str">
        <f>+'S&amp;D'!C26</f>
        <v>Power Electric</v>
      </c>
      <c r="D44" s="232">
        <f>+'S&amp;D'!H42</f>
        <v>10689787500</v>
      </c>
      <c r="E44" s="234">
        <f>+'S&amp;D'!J26</f>
        <v>10808000000</v>
      </c>
      <c r="F44" s="105">
        <f t="shared" si="2"/>
        <v>0.98906249999999996</v>
      </c>
    </row>
    <row r="45" spans="1:8" ht="17.25">
      <c r="A45" s="103" t="str">
        <f>+'S&amp;D'!A27</f>
        <v>SOUTHERN COMPANY</v>
      </c>
      <c r="B45" s="88" t="str">
        <f>+'S&amp;D'!B27</f>
        <v>SO</v>
      </c>
      <c r="C45" s="88" t="str">
        <f>+'S&amp;D'!C27</f>
        <v>Electric - East</v>
      </c>
      <c r="D45" s="232">
        <f>+'S&amp;D'!H43</f>
        <v>54414814814.814812</v>
      </c>
      <c r="E45" s="234">
        <f>+'S&amp;D'!J27</f>
        <v>58768000000</v>
      </c>
      <c r="F45" s="105">
        <f t="shared" si="2"/>
        <v>0.92592592592592582</v>
      </c>
    </row>
    <row r="46" spans="1:8" ht="18" thickBot="1">
      <c r="A46" s="107" t="str">
        <f>+'S&amp;D'!A28</f>
        <v>VISTRA ENERGY CORPORATION</v>
      </c>
      <c r="B46" s="96" t="str">
        <f>+'S&amp;D'!B28</f>
        <v>VST</v>
      </c>
      <c r="C46" s="96" t="str">
        <f>+'S&amp;D'!C28</f>
        <v>Power Electric</v>
      </c>
      <c r="D46" s="233">
        <f>+'S&amp;D'!H44</f>
        <v>16585808624.22998</v>
      </c>
      <c r="E46" s="234">
        <f>+'S&amp;D'!J28</f>
        <v>16298000000</v>
      </c>
      <c r="F46" s="105">
        <f t="shared" si="2"/>
        <v>1.0176591375770021</v>
      </c>
    </row>
    <row r="47" spans="1:8" ht="27.75" customHeight="1" thickBot="1">
      <c r="E47" s="244" t="s">
        <v>290</v>
      </c>
      <c r="F47" s="330">
        <f>AVERAGE(F40:F46)</f>
        <v>0.96941786885725534</v>
      </c>
    </row>
    <row r="52" spans="1:6">
      <c r="C52" s="219" t="s">
        <v>285</v>
      </c>
      <c r="D52" s="219" t="s">
        <v>286</v>
      </c>
      <c r="E52" s="219"/>
    </row>
    <row r="53" spans="1:6">
      <c r="A53" s="221"/>
      <c r="B53" s="221"/>
      <c r="C53" s="220" t="s">
        <v>36</v>
      </c>
      <c r="D53" s="220" t="s">
        <v>287</v>
      </c>
      <c r="E53" s="220" t="s">
        <v>288</v>
      </c>
    </row>
    <row r="54" spans="1:6" ht="17.25">
      <c r="A54" s="90" t="s">
        <v>40</v>
      </c>
      <c r="B54" s="133" t="s">
        <v>0</v>
      </c>
      <c r="C54" s="133">
        <f>+'Yield CapRate'!C23</f>
        <v>0.62</v>
      </c>
      <c r="D54" s="225">
        <f>+F29</f>
        <v>4.4228288055239258</v>
      </c>
      <c r="E54" s="226">
        <f>+C54*D54</f>
        <v>2.742153859424834</v>
      </c>
      <c r="F54" s="134" t="s">
        <v>0</v>
      </c>
    </row>
    <row r="55" spans="1:6" ht="17.25">
      <c r="A55" s="222" t="s">
        <v>42</v>
      </c>
      <c r="B55" s="223" t="str">
        <f>'S&amp;D'!J35</f>
        <v xml:space="preserve"> </v>
      </c>
      <c r="C55" s="223">
        <f>+'Yield CapRate'!C25</f>
        <v>0.38</v>
      </c>
      <c r="D55" s="224">
        <f>+F47</f>
        <v>0.96941786885725534</v>
      </c>
      <c r="E55" s="224">
        <f>+C55*D55</f>
        <v>0.36837879016575703</v>
      </c>
      <c r="F55" s="134" t="s">
        <v>0</v>
      </c>
    </row>
    <row r="56" spans="1:6" ht="17.25">
      <c r="D56" s="118" t="s">
        <v>289</v>
      </c>
      <c r="E56" s="245">
        <f>+E54+E55</f>
        <v>3.1105326495905912</v>
      </c>
    </row>
    <row r="59" spans="1:6" ht="20.25">
      <c r="A59" s="31" t="s">
        <v>378</v>
      </c>
    </row>
    <row r="60" spans="1:6" ht="20.25">
      <c r="A60" s="31" t="s">
        <v>351</v>
      </c>
    </row>
  </sheetData>
  <pageMargins left="0.25" right="0.25" top="0.75" bottom="0.75" header="0.3" footer="0.3"/>
  <pageSetup scale="48" orientation="landscape" r:id="rId1"/>
  <rowBreaks count="1" manualBreakCount="1">
    <brk id="33" max="6" man="1"/>
  </rowBreaks>
  <colBreaks count="1" manualBreakCount="1">
    <brk id="8" max="71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1145E-BF36-4A2C-868C-9B0DC0104C72}">
  <sheetPr>
    <tabColor rgb="FF92D050"/>
  </sheetPr>
  <dimension ref="A1:L76"/>
  <sheetViews>
    <sheetView view="pageBreakPreview" zoomScale="70" zoomScaleNormal="80" zoomScaleSheetLayoutView="70" workbookViewId="0">
      <selection activeCell="L34" sqref="L34"/>
    </sheetView>
  </sheetViews>
  <sheetFormatPr defaultRowHeight="15"/>
  <cols>
    <col min="1" max="1" width="45.140625" customWidth="1"/>
    <col min="2" max="2" width="10.85546875" bestFit="1" customWidth="1"/>
    <col min="3" max="3" width="13" customWidth="1"/>
    <col min="4" max="4" width="23.42578125" customWidth="1"/>
    <col min="5" max="5" width="22.28515625" customWidth="1"/>
    <col min="6" max="6" width="26.5703125" customWidth="1"/>
    <col min="7" max="7" width="26.42578125" customWidth="1"/>
    <col min="8" max="8" width="23.85546875" customWidth="1"/>
    <col min="9" max="9" width="15" customWidth="1"/>
    <col min="10" max="10" width="14.140625" bestFit="1" customWidth="1"/>
    <col min="11" max="11" width="16.7109375" customWidth="1"/>
    <col min="12" max="12" width="23.140625" customWidth="1"/>
  </cols>
  <sheetData>
    <row r="1" spans="1:12" ht="26.25">
      <c r="A1" s="24" t="s">
        <v>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7.25">
      <c r="A2" s="25" t="s">
        <v>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6.5">
      <c r="A3" s="26" t="s">
        <v>441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6.5">
      <c r="A4" s="26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6.5">
      <c r="A5" s="26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ht="16.5">
      <c r="A6" s="26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17.25" thickBot="1">
      <c r="A7" s="12"/>
      <c r="B7" s="12"/>
      <c r="C7" s="12"/>
      <c r="D7" s="12"/>
      <c r="E7" s="12"/>
      <c r="F7" s="29"/>
      <c r="G7" s="29"/>
      <c r="H7" s="30" t="s">
        <v>0</v>
      </c>
      <c r="I7" s="12"/>
      <c r="J7" s="12"/>
      <c r="K7" s="12"/>
      <c r="L7" s="12"/>
    </row>
    <row r="8" spans="1:12" ht="27" thickBot="1">
      <c r="A8" s="239" t="str">
        <f>+'S&amp;D'!A12</f>
        <v>Electric Wholesale (non-regulated) Power Generator</v>
      </c>
      <c r="B8" s="240"/>
      <c r="C8" s="176"/>
      <c r="D8" s="12"/>
      <c r="E8" s="12"/>
      <c r="F8" s="12"/>
      <c r="G8" s="32" t="s">
        <v>88</v>
      </c>
      <c r="H8" s="12"/>
      <c r="I8" s="12"/>
      <c r="J8" s="12"/>
      <c r="K8" s="12"/>
      <c r="L8" s="12"/>
    </row>
    <row r="9" spans="1:12" ht="20.25">
      <c r="A9" s="31"/>
      <c r="B9" s="12"/>
      <c r="C9" s="12"/>
      <c r="D9" s="12"/>
      <c r="E9" s="12"/>
      <c r="F9" s="12"/>
      <c r="G9" s="90" t="s">
        <v>89</v>
      </c>
      <c r="H9" s="12"/>
      <c r="I9" s="12"/>
      <c r="J9" s="12"/>
      <c r="K9" s="12"/>
      <c r="L9" s="12"/>
    </row>
    <row r="10" spans="1:12" ht="18" customHeight="1" thickBot="1">
      <c r="A10" s="41" t="s">
        <v>0</v>
      </c>
      <c r="B10" s="41" t="s">
        <v>0</v>
      </c>
      <c r="C10" s="41" t="s">
        <v>0</v>
      </c>
      <c r="D10" s="12"/>
      <c r="E10" s="12"/>
      <c r="F10" s="34" t="s">
        <v>0</v>
      </c>
      <c r="G10" s="37" t="s">
        <v>442</v>
      </c>
      <c r="H10" s="34" t="s">
        <v>0</v>
      </c>
      <c r="I10" s="41" t="s">
        <v>0</v>
      </c>
      <c r="J10" s="12"/>
      <c r="K10" s="12"/>
      <c r="L10" s="12"/>
    </row>
    <row r="11" spans="1:12" ht="18" customHeight="1">
      <c r="A11" s="41"/>
      <c r="B11" s="41"/>
      <c r="C11" s="41"/>
      <c r="D11" s="12"/>
      <c r="E11" s="12"/>
      <c r="J11" s="12"/>
      <c r="K11" s="12"/>
      <c r="L11" s="12"/>
    </row>
    <row r="12" spans="1:12" ht="18" customHeight="1">
      <c r="A12" s="41"/>
      <c r="B12" s="41"/>
      <c r="C12" s="41"/>
      <c r="D12" s="12"/>
      <c r="E12" s="12"/>
      <c r="G12" s="13" t="s">
        <v>0</v>
      </c>
      <c r="J12" s="12"/>
      <c r="K12" s="12"/>
      <c r="L12" s="12"/>
    </row>
    <row r="13" spans="1:12" ht="17.25" thickBot="1">
      <c r="A13" s="34"/>
      <c r="B13" s="34"/>
      <c r="C13" s="34"/>
      <c r="D13" s="34"/>
      <c r="E13" s="37"/>
      <c r="F13" s="34"/>
      <c r="G13" s="34"/>
      <c r="H13" s="34"/>
      <c r="I13" s="34"/>
      <c r="J13" s="29"/>
      <c r="K13" s="29"/>
      <c r="L13" s="29"/>
    </row>
    <row r="14" spans="1:12" ht="15" customHeight="1" thickBot="1">
      <c r="A14" s="34" t="s">
        <v>24</v>
      </c>
      <c r="B14" s="34" t="s">
        <v>101</v>
      </c>
      <c r="C14" s="34" t="s">
        <v>102</v>
      </c>
      <c r="D14" s="42" t="s">
        <v>103</v>
      </c>
      <c r="E14" s="34" t="s">
        <v>104</v>
      </c>
      <c r="F14" s="34" t="s">
        <v>105</v>
      </c>
      <c r="G14" s="34" t="s">
        <v>106</v>
      </c>
      <c r="H14" s="34" t="s">
        <v>107</v>
      </c>
      <c r="I14" s="34" t="s">
        <v>108</v>
      </c>
      <c r="J14" s="34" t="s">
        <v>109</v>
      </c>
      <c r="K14" s="34" t="s">
        <v>110</v>
      </c>
      <c r="L14" s="34" t="s">
        <v>118</v>
      </c>
    </row>
    <row r="15" spans="1:12" ht="16.5">
      <c r="A15" s="35" t="s">
        <v>0</v>
      </c>
      <c r="B15" s="35" t="s">
        <v>3</v>
      </c>
      <c r="C15" s="35" t="s">
        <v>90</v>
      </c>
      <c r="D15" s="35" t="s">
        <v>93</v>
      </c>
      <c r="E15" s="35" t="s">
        <v>93</v>
      </c>
      <c r="F15" s="35" t="s">
        <v>94</v>
      </c>
      <c r="G15" s="35" t="s">
        <v>97</v>
      </c>
      <c r="H15" s="35" t="s">
        <v>99</v>
      </c>
      <c r="I15" s="35" t="s">
        <v>121</v>
      </c>
      <c r="J15" s="35" t="s">
        <v>121</v>
      </c>
      <c r="K15" s="35" t="s">
        <v>114</v>
      </c>
      <c r="L15" s="35" t="s">
        <v>116</v>
      </c>
    </row>
    <row r="16" spans="1:12" ht="17.25" thickBot="1">
      <c r="A16" s="37" t="s">
        <v>2</v>
      </c>
      <c r="B16" s="37" t="s">
        <v>4</v>
      </c>
      <c r="C16" s="37" t="s">
        <v>91</v>
      </c>
      <c r="D16" s="37" t="s">
        <v>96</v>
      </c>
      <c r="E16" s="37" t="s">
        <v>95</v>
      </c>
      <c r="F16" s="37" t="s">
        <v>19</v>
      </c>
      <c r="G16" s="37" t="s">
        <v>98</v>
      </c>
      <c r="H16" s="37" t="s">
        <v>100</v>
      </c>
      <c r="I16" s="37" t="s">
        <v>0</v>
      </c>
      <c r="J16" s="37" t="s">
        <v>0</v>
      </c>
      <c r="K16" s="37" t="s">
        <v>115</v>
      </c>
      <c r="L16" s="37" t="s">
        <v>97</v>
      </c>
    </row>
    <row r="17" spans="1:12">
      <c r="A17" s="43" t="s">
        <v>7</v>
      </c>
      <c r="B17" s="43" t="s">
        <v>7</v>
      </c>
      <c r="C17" s="43" t="s">
        <v>92</v>
      </c>
      <c r="D17" s="43" t="s">
        <v>246</v>
      </c>
      <c r="E17" s="43" t="s">
        <v>246</v>
      </c>
      <c r="F17" s="43" t="s">
        <v>119</v>
      </c>
      <c r="G17" s="43" t="s">
        <v>245</v>
      </c>
      <c r="H17" s="43" t="s">
        <v>111</v>
      </c>
      <c r="I17" s="43" t="s">
        <v>112</v>
      </c>
      <c r="J17" s="43" t="s">
        <v>113</v>
      </c>
      <c r="K17" s="43" t="s">
        <v>120</v>
      </c>
      <c r="L17" s="43" t="s">
        <v>117</v>
      </c>
    </row>
    <row r="18" spans="1:12" ht="16.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ht="16.5">
      <c r="A19" s="12"/>
      <c r="B19" s="12"/>
      <c r="C19" s="12"/>
      <c r="D19" s="12" t="s">
        <v>0</v>
      </c>
      <c r="E19" s="12" t="s">
        <v>0</v>
      </c>
      <c r="F19" s="12" t="s">
        <v>0</v>
      </c>
      <c r="G19" s="12" t="s">
        <v>0</v>
      </c>
      <c r="H19" s="12"/>
      <c r="I19" s="12"/>
      <c r="J19" s="12"/>
      <c r="K19" s="12"/>
      <c r="L19" s="12"/>
    </row>
    <row r="20" spans="1:12" ht="22.5" customHeight="1">
      <c r="A20" s="63" t="str">
        <f>+'S&amp;D'!A22</f>
        <v>AES CORPORATION</v>
      </c>
      <c r="B20" s="90" t="str">
        <f>+'S&amp;D'!B22</f>
        <v>AES</v>
      </c>
      <c r="C20" s="66">
        <f>+'Growth &amp; Inflation Rates'!$D$57</f>
        <v>2.3E-2</v>
      </c>
      <c r="D20" s="273">
        <f>33166000000+8701000000</f>
        <v>41867000000</v>
      </c>
      <c r="E20" s="273">
        <f>29958000000+8602000000</f>
        <v>38560000000</v>
      </c>
      <c r="F20" s="129">
        <f>(D20+E20)/2</f>
        <v>40213500000</v>
      </c>
      <c r="G20" s="129">
        <v>1264000000</v>
      </c>
      <c r="H20" s="18">
        <f t="shared" ref="H20:H25" si="0">+F20/G20</f>
        <v>31.814477848101266</v>
      </c>
      <c r="I20" s="45">
        <f>+C20*H20</f>
        <v>0.73173299050632912</v>
      </c>
      <c r="J20" s="46">
        <f>1/(1+C20)^H20</f>
        <v>0.485078325858674</v>
      </c>
      <c r="K20" s="130">
        <f>(G20*I20)/(1-J20)</f>
        <v>1796215903.2096751</v>
      </c>
      <c r="L20" s="131">
        <f>+K20/G20</f>
        <v>1.4210568854506922</v>
      </c>
    </row>
    <row r="21" spans="1:12" ht="22.5" customHeight="1">
      <c r="A21" s="63" t="str">
        <f>+'S&amp;D'!A23</f>
        <v>DOMINION ENERGY INC</v>
      </c>
      <c r="B21" s="90" t="str">
        <f>+'S&amp;D'!B23</f>
        <v>D</v>
      </c>
      <c r="C21" s="66">
        <f>+'Growth &amp; Inflation Rates'!$D$57</f>
        <v>2.3E-2</v>
      </c>
      <c r="D21" s="273">
        <v>94844000000</v>
      </c>
      <c r="E21" s="273">
        <v>83417000000</v>
      </c>
      <c r="F21" s="129">
        <f t="shared" ref="F21:F26" si="1">(D21+E21)/2</f>
        <v>89130500000</v>
      </c>
      <c r="G21" s="129">
        <v>2345000000</v>
      </c>
      <c r="H21" s="18">
        <f t="shared" si="0"/>
        <v>38.008742004264391</v>
      </c>
      <c r="I21" s="45">
        <f t="shared" ref="I21:I26" si="2">+C21*H21</f>
        <v>0.87420106609808101</v>
      </c>
      <c r="J21" s="46">
        <f t="shared" ref="J21:J26" si="3">1/(1+C21)^H21</f>
        <v>0.42134668956343818</v>
      </c>
      <c r="K21" s="130">
        <f t="shared" ref="K21:K26" si="4">(G21*I21)/(1-J21)</f>
        <v>3542711089.742816</v>
      </c>
      <c r="L21" s="131">
        <f t="shared" ref="L21:L26" si="5">+K21/G21</f>
        <v>1.5107509977581304</v>
      </c>
    </row>
    <row r="22" spans="1:12" ht="22.5" customHeight="1">
      <c r="A22" s="63" t="str">
        <f>+'S&amp;D'!A24</f>
        <v>CONSTELLATION ENERGY GENERATION LLC</v>
      </c>
      <c r="B22" s="90" t="str">
        <f>+'S&amp;D'!B24</f>
        <v>CEG</v>
      </c>
      <c r="C22" s="66">
        <f>+'Growth &amp; Inflation Rates'!$D$57</f>
        <v>2.3E-2</v>
      </c>
      <c r="D22" s="273">
        <f>21235000000+18088000000</f>
        <v>39323000000</v>
      </c>
      <c r="E22" s="273">
        <v>39539000000</v>
      </c>
      <c r="F22" s="129">
        <f>(D22+E22)/2</f>
        <v>39431000000</v>
      </c>
      <c r="G22" s="129">
        <v>1123000000</v>
      </c>
      <c r="H22" s="18">
        <f t="shared" si="0"/>
        <v>35.112199465716827</v>
      </c>
      <c r="I22" s="45">
        <f t="shared" si="2"/>
        <v>0.807580587711487</v>
      </c>
      <c r="J22" s="46">
        <f t="shared" si="3"/>
        <v>0.45003343354058734</v>
      </c>
      <c r="K22" s="130">
        <f t="shared" si="4"/>
        <v>1649032969.1103683</v>
      </c>
      <c r="L22" s="131">
        <f t="shared" si="5"/>
        <v>1.4684176038382619</v>
      </c>
    </row>
    <row r="23" spans="1:12" ht="22.5" customHeight="1">
      <c r="A23" s="63" t="str">
        <f>+'S&amp;D'!A25</f>
        <v>NEXTERA ENERGY INC</v>
      </c>
      <c r="B23" s="90" t="str">
        <f>+'S&amp;D'!B25</f>
        <v>NEE</v>
      </c>
      <c r="C23" s="66">
        <f>+'Growth &amp; Inflation Rates'!$D$57</f>
        <v>2.3E-2</v>
      </c>
      <c r="D23" s="273">
        <f>125776000000+26900000000</f>
        <v>152676000000</v>
      </c>
      <c r="E23" s="273">
        <v>159265000000</v>
      </c>
      <c r="F23" s="129">
        <f>(D23+E23)/2</f>
        <v>155970500000</v>
      </c>
      <c r="G23" s="129">
        <v>5879000000</v>
      </c>
      <c r="H23" s="18">
        <f t="shared" si="0"/>
        <v>26.530107161081816</v>
      </c>
      <c r="I23" s="45">
        <f t="shared" ref="I23" si="6">+C23*H23</f>
        <v>0.61019246470488175</v>
      </c>
      <c r="J23" s="46">
        <f t="shared" ref="J23" si="7">1/(1+C23)^H23</f>
        <v>0.54701392158510909</v>
      </c>
      <c r="K23" s="130">
        <f t="shared" ref="K23" si="8">(G23*I23)/(1-J23)</f>
        <v>7919275383.8107243</v>
      </c>
      <c r="L23" s="131">
        <f t="shared" ref="L23" si="9">+K23/G23</f>
        <v>1.3470446306873149</v>
      </c>
    </row>
    <row r="24" spans="1:12" ht="22.5" customHeight="1">
      <c r="A24" s="63" t="str">
        <f>+'S&amp;D'!A26</f>
        <v>NRG ENERGY</v>
      </c>
      <c r="B24" s="90" t="str">
        <f>+'S&amp;D'!B26</f>
        <v>NRG</v>
      </c>
      <c r="C24" s="66">
        <f>+'Growth &amp; Inflation Rates'!$D$57</f>
        <v>2.3E-2</v>
      </c>
      <c r="D24" s="273">
        <v>3529000000</v>
      </c>
      <c r="E24" s="273">
        <v>3058000000</v>
      </c>
      <c r="F24" s="129">
        <f t="shared" si="1"/>
        <v>3293500000</v>
      </c>
      <c r="G24" s="129">
        <v>1403000000</v>
      </c>
      <c r="H24" s="18">
        <f t="shared" si="0"/>
        <v>2.3474697077690663</v>
      </c>
      <c r="I24" s="45">
        <f t="shared" si="2"/>
        <v>5.3991803278688522E-2</v>
      </c>
      <c r="J24" s="46">
        <f t="shared" si="3"/>
        <v>0.94801945306102264</v>
      </c>
      <c r="K24" s="130">
        <f t="shared" si="4"/>
        <v>1457285551.2453036</v>
      </c>
      <c r="L24" s="131">
        <f t="shared" si="5"/>
        <v>1.0386924812867453</v>
      </c>
    </row>
    <row r="25" spans="1:12" ht="22.5" customHeight="1">
      <c r="A25" s="63" t="str">
        <f>+'S&amp;D'!A27</f>
        <v>SOUTHERN COMPANY</v>
      </c>
      <c r="B25" s="90" t="str">
        <f>+'S&amp;D'!B27</f>
        <v>SO</v>
      </c>
      <c r="C25" s="66">
        <f>+'Growth &amp; Inflation Rates'!$D$57</f>
        <v>2.3E-2</v>
      </c>
      <c r="D25" s="273">
        <v>3529000000</v>
      </c>
      <c r="E25" s="273">
        <f>128428000000+499000000+858000000+7784000000</f>
        <v>137569000000</v>
      </c>
      <c r="F25" s="129">
        <f t="shared" si="1"/>
        <v>70549000000</v>
      </c>
      <c r="G25" s="273">
        <v>4755000000</v>
      </c>
      <c r="H25" s="18">
        <f t="shared" si="0"/>
        <v>14.836803364879074</v>
      </c>
      <c r="I25" s="45">
        <f t="shared" si="2"/>
        <v>0.34124647739221869</v>
      </c>
      <c r="J25" s="46">
        <f t="shared" si="3"/>
        <v>0.71363668064762997</v>
      </c>
      <c r="K25" s="130">
        <f t="shared" si="4"/>
        <v>5666322780.6888132</v>
      </c>
      <c r="L25" s="131">
        <f t="shared" si="5"/>
        <v>1.1916556846874475</v>
      </c>
    </row>
    <row r="26" spans="1:12" ht="22.5" customHeight="1">
      <c r="A26" s="63" t="str">
        <f>+'S&amp;D'!A28</f>
        <v>VISTRA ENERGY CORPORATION</v>
      </c>
      <c r="B26" s="90" t="str">
        <f>+'S&amp;D'!B28</f>
        <v>VST</v>
      </c>
      <c r="C26" s="66">
        <f>+'Growth &amp; Inflation Rates'!$D$57</f>
        <v>2.3E-2</v>
      </c>
      <c r="D26" s="273">
        <f>23546000000+153000000+1060000000</f>
        <v>24759000000</v>
      </c>
      <c r="E26" s="273">
        <f>18028000000+160000000+379000000+522000000</f>
        <v>19089000000</v>
      </c>
      <c r="F26" s="129">
        <f t="shared" si="1"/>
        <v>21924000000</v>
      </c>
      <c r="G26" s="129">
        <v>1843000000</v>
      </c>
      <c r="H26" s="18">
        <f t="shared" ref="H26" si="10">+F26/G26</f>
        <v>11.895822029300055</v>
      </c>
      <c r="I26" s="45">
        <f t="shared" si="2"/>
        <v>0.27360390667390128</v>
      </c>
      <c r="J26" s="46">
        <f t="shared" si="3"/>
        <v>0.76299416892529059</v>
      </c>
      <c r="K26" s="130">
        <f t="shared" si="4"/>
        <v>2127593222.9745388</v>
      </c>
      <c r="L26" s="131">
        <f t="shared" si="5"/>
        <v>1.1544184606481491</v>
      </c>
    </row>
    <row r="27" spans="1:12" ht="22.5" customHeight="1" thickBot="1">
      <c r="A27" s="12"/>
      <c r="B27" s="12"/>
      <c r="D27" s="47"/>
      <c r="E27" s="47"/>
      <c r="F27" s="47"/>
      <c r="G27" s="47" t="s">
        <v>52</v>
      </c>
      <c r="H27" s="47"/>
      <c r="I27" s="47" t="s">
        <v>52</v>
      </c>
      <c r="J27" s="47"/>
      <c r="K27" s="47"/>
      <c r="L27" s="47"/>
    </row>
    <row r="28" spans="1:12" ht="22.5" customHeight="1" thickTop="1">
      <c r="A28" s="12"/>
      <c r="B28" s="12"/>
      <c r="D28" s="48" t="s">
        <v>0</v>
      </c>
      <c r="E28" s="35" t="s">
        <v>0</v>
      </c>
      <c r="F28" s="35"/>
      <c r="G28" s="48" t="s">
        <v>0</v>
      </c>
      <c r="H28" s="35"/>
      <c r="I28" s="48" t="s">
        <v>0</v>
      </c>
      <c r="J28" s="48" t="s">
        <v>0</v>
      </c>
      <c r="K28" s="14" t="s">
        <v>53</v>
      </c>
      <c r="L28" s="269">
        <f>MAX(L20:L26)</f>
        <v>1.5107509977581304</v>
      </c>
    </row>
    <row r="29" spans="1:12" ht="22.5" customHeight="1">
      <c r="B29" s="12"/>
      <c r="D29" s="35" t="s">
        <v>0</v>
      </c>
      <c r="E29" s="35" t="s">
        <v>0</v>
      </c>
      <c r="F29" s="35"/>
      <c r="G29" s="316" t="s">
        <v>0</v>
      </c>
      <c r="H29" s="35"/>
      <c r="I29" s="48"/>
      <c r="J29" s="48"/>
      <c r="K29" s="14" t="s">
        <v>54</v>
      </c>
      <c r="L29" s="270">
        <f>MIN(L20:L26)</f>
        <v>1.0386924812867453</v>
      </c>
    </row>
    <row r="30" spans="1:12" ht="22.5" customHeight="1">
      <c r="B30" s="12"/>
      <c r="C30" s="12"/>
      <c r="D30" s="274" t="s">
        <v>0</v>
      </c>
      <c r="E30" s="12" t="s">
        <v>0</v>
      </c>
      <c r="F30" s="12"/>
      <c r="G30" s="12" t="s">
        <v>0</v>
      </c>
      <c r="H30" s="12"/>
      <c r="I30" s="12"/>
      <c r="J30" s="12"/>
      <c r="K30" s="14" t="s">
        <v>18</v>
      </c>
      <c r="L30" s="55">
        <f>MEDIAN(L20:L26)</f>
        <v>1.3470446306873149</v>
      </c>
    </row>
    <row r="31" spans="1:12" ht="22.5" customHeight="1">
      <c r="A31" s="12"/>
      <c r="B31" s="12"/>
      <c r="C31" s="12"/>
      <c r="D31" s="12" t="s">
        <v>0</v>
      </c>
      <c r="E31" s="12"/>
      <c r="F31" s="12"/>
      <c r="G31" s="12"/>
      <c r="H31" s="12"/>
      <c r="I31" s="12"/>
      <c r="J31" s="12"/>
      <c r="K31" s="14" t="s">
        <v>377</v>
      </c>
      <c r="L31" s="55">
        <f>AVERAGE(L20:L26)</f>
        <v>1.3045766777652488</v>
      </c>
    </row>
    <row r="32" spans="1:12" ht="22.5" customHeight="1" thickBot="1">
      <c r="A32" s="12"/>
      <c r="B32" s="12"/>
      <c r="C32" s="12"/>
      <c r="D32" s="12"/>
      <c r="E32" s="12"/>
      <c r="F32" s="12"/>
      <c r="G32" s="12" t="s">
        <v>0</v>
      </c>
      <c r="H32" s="12"/>
      <c r="I32" s="12"/>
      <c r="J32" s="12"/>
      <c r="K32" s="12"/>
      <c r="L32" s="12"/>
    </row>
    <row r="33" spans="1:12" ht="22.5" customHeight="1" thickBo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82" t="s">
        <v>214</v>
      </c>
      <c r="L33" s="331">
        <v>1.3046</v>
      </c>
    </row>
    <row r="34" spans="1:12" ht="16.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16.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 ht="20.25">
      <c r="A36" s="31" t="s">
        <v>84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2" ht="16.5">
      <c r="A37" s="12" t="s">
        <v>257</v>
      </c>
    </row>
    <row r="38" spans="1:12" ht="16.5">
      <c r="A38" s="12"/>
    </row>
    <row r="39" spans="1:12" ht="16.5">
      <c r="A39" s="12" t="s">
        <v>352</v>
      </c>
    </row>
    <row r="40" spans="1:12" ht="20.25">
      <c r="A40" s="212"/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</row>
    <row r="41" spans="1:12" ht="26.25">
      <c r="A41" s="24" t="s">
        <v>1</v>
      </c>
      <c r="B41" s="12"/>
      <c r="C41" s="12"/>
      <c r="D41" s="12"/>
      <c r="E41" s="12"/>
      <c r="F41" s="12"/>
      <c r="G41" s="12"/>
      <c r="H41" s="12"/>
      <c r="I41" s="12"/>
      <c r="J41" s="12"/>
      <c r="K41" s="212"/>
      <c r="L41" s="212"/>
    </row>
    <row r="42" spans="1:12" ht="20.25">
      <c r="A42" s="25" t="s">
        <v>9</v>
      </c>
      <c r="B42" s="12"/>
      <c r="C42" s="12"/>
      <c r="D42" s="12"/>
      <c r="E42" s="12"/>
      <c r="F42" s="12"/>
      <c r="G42" s="12"/>
      <c r="H42" s="12"/>
      <c r="I42" s="12"/>
      <c r="J42" s="12"/>
      <c r="K42" s="212"/>
      <c r="L42" s="212"/>
    </row>
    <row r="43" spans="1:12" ht="20.25">
      <c r="A43" s="26" t="s">
        <v>441</v>
      </c>
      <c r="B43" s="12"/>
      <c r="C43" s="12"/>
      <c r="D43" s="12"/>
      <c r="E43" s="12"/>
      <c r="F43" s="12"/>
      <c r="G43" s="12"/>
      <c r="H43" s="12"/>
      <c r="I43" s="12"/>
      <c r="J43" s="12"/>
      <c r="K43" s="212"/>
      <c r="L43" s="212"/>
    </row>
    <row r="44" spans="1:12" ht="20.25">
      <c r="A44" s="26"/>
      <c r="B44" s="12"/>
      <c r="C44" s="12"/>
      <c r="D44" s="12"/>
      <c r="E44" s="12"/>
      <c r="F44" s="12"/>
      <c r="G44" s="12"/>
      <c r="H44" s="12"/>
      <c r="I44" s="12"/>
      <c r="J44" s="12"/>
      <c r="K44" s="212"/>
      <c r="L44" s="212"/>
    </row>
    <row r="45" spans="1:12" ht="20.25">
      <c r="A45" s="26"/>
      <c r="B45" s="12"/>
      <c r="C45" s="12"/>
      <c r="D45" s="12"/>
      <c r="E45" s="12"/>
      <c r="F45" s="12"/>
      <c r="G45" s="12"/>
      <c r="H45" s="12"/>
      <c r="I45" s="12"/>
      <c r="J45" s="12"/>
      <c r="K45" s="212"/>
      <c r="L45" s="212"/>
    </row>
    <row r="46" spans="1:12" ht="20.25">
      <c r="A46" s="26"/>
      <c r="B46" s="12"/>
      <c r="C46" s="12"/>
      <c r="D46" s="12"/>
      <c r="E46" s="12"/>
      <c r="F46" s="12"/>
      <c r="G46" s="12"/>
      <c r="H46" s="12"/>
      <c r="I46" s="12"/>
      <c r="J46" s="12"/>
      <c r="K46" s="212"/>
      <c r="L46" s="212"/>
    </row>
    <row r="47" spans="1:12" ht="21" thickBot="1">
      <c r="A47" s="12"/>
      <c r="B47" s="12"/>
      <c r="C47" s="12"/>
      <c r="D47" s="12"/>
      <c r="E47" s="12"/>
      <c r="F47" s="29"/>
      <c r="G47" s="29"/>
      <c r="H47" s="30" t="s">
        <v>0</v>
      </c>
      <c r="I47" s="12"/>
      <c r="J47" s="12"/>
      <c r="K47" s="212"/>
      <c r="L47" s="212"/>
    </row>
    <row r="48" spans="1:12" ht="27" thickBot="1">
      <c r="A48" s="28" t="s">
        <v>44</v>
      </c>
      <c r="B48" s="12"/>
      <c r="C48" s="12"/>
      <c r="D48" s="12"/>
      <c r="E48" s="12"/>
      <c r="F48" s="12"/>
      <c r="G48" s="32" t="s">
        <v>279</v>
      </c>
      <c r="H48" s="12"/>
      <c r="I48" s="12"/>
      <c r="J48" s="12"/>
      <c r="K48" s="212"/>
      <c r="L48" s="212"/>
    </row>
    <row r="49" spans="1:12" ht="21" thickBot="1">
      <c r="A49" s="41" t="s">
        <v>0</v>
      </c>
      <c r="B49" s="41" t="s">
        <v>0</v>
      </c>
      <c r="C49" s="41" t="s">
        <v>0</v>
      </c>
      <c r="D49" s="12"/>
      <c r="E49" s="12"/>
      <c r="F49" s="34" t="s">
        <v>0</v>
      </c>
      <c r="G49" s="37" t="s">
        <v>442</v>
      </c>
      <c r="H49" s="34" t="s">
        <v>0</v>
      </c>
      <c r="I49" s="41" t="s">
        <v>0</v>
      </c>
      <c r="J49" s="12"/>
      <c r="K49" s="212"/>
      <c r="L49" s="212"/>
    </row>
    <row r="50" spans="1:12" ht="20.25">
      <c r="A50" s="212"/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</row>
    <row r="51" spans="1:12" ht="20.25">
      <c r="A51" s="212"/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</row>
    <row r="52" spans="1:12" ht="20.25">
      <c r="A52" s="212"/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</row>
    <row r="53" spans="1:12" ht="16.5">
      <c r="A53" s="41"/>
      <c r="B53" s="41"/>
      <c r="C53" s="41"/>
      <c r="D53" s="12"/>
      <c r="E53" s="12"/>
      <c r="J53" s="12"/>
      <c r="K53" s="12"/>
      <c r="L53" s="12"/>
    </row>
    <row r="54" spans="1:12" ht="31.5">
      <c r="A54" s="206" t="s">
        <v>268</v>
      </c>
      <c r="B54" s="41"/>
      <c r="C54" s="208" t="s">
        <v>273</v>
      </c>
      <c r="D54" s="12"/>
      <c r="E54" s="12"/>
      <c r="J54" s="12"/>
      <c r="K54" s="12"/>
      <c r="L54" s="12"/>
    </row>
    <row r="55" spans="1:12" ht="31.5">
      <c r="A55" s="206" t="s">
        <v>272</v>
      </c>
      <c r="B55" s="41"/>
      <c r="C55" s="208" t="s">
        <v>278</v>
      </c>
      <c r="D55" s="12"/>
      <c r="E55" s="12"/>
      <c r="J55" s="12"/>
      <c r="K55" s="12"/>
      <c r="L55" s="12"/>
    </row>
    <row r="56" spans="1:12" ht="18.75" customHeight="1">
      <c r="A56" s="206"/>
      <c r="B56" s="41"/>
      <c r="C56" s="208"/>
      <c r="D56" s="12"/>
      <c r="E56" s="12"/>
      <c r="J56" s="12"/>
      <c r="K56" s="12"/>
      <c r="L56" s="12"/>
    </row>
    <row r="57" spans="1:12" ht="17.25">
      <c r="A57" s="207" t="s">
        <v>269</v>
      </c>
      <c r="B57" s="41"/>
      <c r="C57" s="41"/>
      <c r="D57" s="12"/>
      <c r="E57" s="12"/>
      <c r="J57" s="12"/>
      <c r="K57" s="12"/>
      <c r="L57" s="12"/>
    </row>
    <row r="58" spans="1:12" ht="17.25">
      <c r="A58" s="207" t="s">
        <v>270</v>
      </c>
      <c r="B58" s="41"/>
      <c r="C58" s="41"/>
      <c r="D58" s="12"/>
      <c r="E58" s="12"/>
      <c r="J58" s="12"/>
      <c r="K58" s="12"/>
      <c r="L58" s="12"/>
    </row>
    <row r="59" spans="1:12" ht="17.25">
      <c r="A59" s="207" t="s">
        <v>271</v>
      </c>
      <c r="B59" s="41"/>
      <c r="C59" s="41"/>
      <c r="D59" s="12"/>
      <c r="E59" s="12"/>
      <c r="J59" s="12"/>
      <c r="K59" s="12"/>
      <c r="L59" s="12"/>
    </row>
    <row r="65" spans="1:9" ht="31.5">
      <c r="A65" s="209" t="s">
        <v>277</v>
      </c>
      <c r="B65" s="109"/>
      <c r="C65" s="109"/>
      <c r="D65" s="109"/>
      <c r="E65" s="109"/>
      <c r="F65" s="109"/>
      <c r="G65" s="12"/>
      <c r="H65" s="12"/>
      <c r="I65" s="12"/>
    </row>
    <row r="66" spans="1:9" ht="17.25">
      <c r="A66" s="109"/>
      <c r="B66" s="109"/>
      <c r="C66" s="109"/>
      <c r="D66" s="109"/>
      <c r="E66" s="109"/>
      <c r="F66" s="109"/>
      <c r="G66" s="12"/>
      <c r="H66" s="12"/>
      <c r="I66" s="12"/>
    </row>
    <row r="67" spans="1:9" ht="18" thickBot="1">
      <c r="A67" s="210" t="s">
        <v>274</v>
      </c>
      <c r="B67" s="111"/>
      <c r="C67" s="111"/>
      <c r="D67" s="211" t="s">
        <v>276</v>
      </c>
      <c r="E67" s="111"/>
      <c r="F67" s="109"/>
      <c r="G67" s="12"/>
      <c r="H67" s="12"/>
      <c r="I67" s="12"/>
    </row>
    <row r="68" spans="1:9" ht="17.25">
      <c r="A68" s="109"/>
      <c r="B68" s="109"/>
      <c r="C68" s="109"/>
      <c r="D68" s="109" t="s">
        <v>275</v>
      </c>
      <c r="E68" s="109"/>
      <c r="F68" s="109"/>
      <c r="G68" s="12"/>
      <c r="H68" s="12"/>
      <c r="I68" s="12"/>
    </row>
    <row r="69" spans="1:9" ht="17.25">
      <c r="A69" s="109"/>
      <c r="B69" s="109"/>
      <c r="C69" s="109"/>
      <c r="D69" s="109"/>
      <c r="E69" s="109"/>
      <c r="F69" s="109"/>
      <c r="G69" s="12"/>
      <c r="H69" s="12"/>
      <c r="I69" s="12"/>
    </row>
    <row r="70" spans="1:9" ht="16.5">
      <c r="A70" s="12"/>
      <c r="B70" s="12"/>
      <c r="C70" s="12"/>
      <c r="D70" s="12"/>
      <c r="E70" s="12"/>
      <c r="F70" s="12"/>
      <c r="G70" s="12"/>
      <c r="H70" s="12"/>
      <c r="I70" s="12"/>
    </row>
    <row r="71" spans="1:9" ht="16.5">
      <c r="A71" s="12"/>
      <c r="B71" s="12"/>
      <c r="C71" s="12"/>
      <c r="D71" s="12"/>
      <c r="E71" s="12"/>
      <c r="F71" s="12"/>
      <c r="G71" s="12"/>
      <c r="H71" s="12"/>
      <c r="I71" s="12"/>
    </row>
    <row r="72" spans="1:9" ht="16.5">
      <c r="A72" s="12"/>
      <c r="B72" s="12"/>
      <c r="C72" s="12"/>
      <c r="D72" s="12"/>
      <c r="E72" s="12"/>
      <c r="F72" s="12"/>
      <c r="G72" s="12"/>
      <c r="H72" s="12"/>
      <c r="I72" s="12"/>
    </row>
    <row r="73" spans="1:9" ht="16.5">
      <c r="A73" s="12"/>
      <c r="B73" s="12"/>
      <c r="C73" s="12"/>
      <c r="D73" s="12"/>
      <c r="E73" s="12"/>
      <c r="F73" s="12"/>
      <c r="G73" s="12"/>
      <c r="H73" s="12"/>
      <c r="I73" s="12"/>
    </row>
    <row r="74" spans="1:9" ht="16.5">
      <c r="A74" s="12"/>
      <c r="B74" s="12"/>
      <c r="C74" s="12"/>
      <c r="D74" s="12"/>
      <c r="E74" s="12"/>
      <c r="F74" s="12"/>
      <c r="G74" s="12"/>
      <c r="H74" s="12"/>
      <c r="I74" s="12"/>
    </row>
    <row r="75" spans="1:9" ht="16.5">
      <c r="A75" s="12" t="s">
        <v>0</v>
      </c>
      <c r="B75" s="12"/>
      <c r="C75" s="12"/>
      <c r="D75" s="12"/>
      <c r="E75" s="12"/>
      <c r="F75" s="12"/>
      <c r="G75" s="12"/>
      <c r="H75" s="12"/>
      <c r="I75" s="12"/>
    </row>
    <row r="76" spans="1:9" ht="16.5">
      <c r="A76" s="12"/>
      <c r="B76" s="12"/>
      <c r="C76" s="12"/>
      <c r="D76" s="12"/>
      <c r="E76" s="12"/>
      <c r="F76" s="12"/>
      <c r="G76" s="12"/>
      <c r="H76" s="12"/>
      <c r="I76" s="12"/>
    </row>
  </sheetData>
  <pageMargins left="0.25" right="0.25" top="0.75" bottom="0.75" header="0.3" footer="0.3"/>
  <pageSetup scale="51" orientation="landscape" r:id="rId1"/>
  <rowBreaks count="1" manualBreakCount="1">
    <brk id="39" max="11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19DCF-8362-451B-93E3-8D44BC877730}">
  <sheetPr>
    <tabColor rgb="FF92D050"/>
  </sheetPr>
  <dimension ref="A1:H34"/>
  <sheetViews>
    <sheetView view="pageBreakPreview" zoomScale="60" zoomScaleNormal="80" workbookViewId="0">
      <selection activeCell="H31" sqref="H31"/>
    </sheetView>
  </sheetViews>
  <sheetFormatPr defaultRowHeight="15"/>
  <cols>
    <col min="1" max="1" width="52.85546875" customWidth="1"/>
    <col min="2" max="2" width="17" customWidth="1"/>
    <col min="3" max="3" width="27" customWidth="1"/>
    <col min="4" max="4" width="16.85546875" customWidth="1"/>
    <col min="5" max="5" width="25.7109375" customWidth="1"/>
    <col min="6" max="6" width="25" customWidth="1"/>
    <col min="7" max="7" width="21.28515625" customWidth="1"/>
    <col min="8" max="8" width="35" customWidth="1"/>
    <col min="9" max="9" width="14.140625" bestFit="1" customWidth="1"/>
    <col min="11" max="11" width="10.5703125" customWidth="1"/>
  </cols>
  <sheetData>
    <row r="1" spans="1:8" ht="26.25">
      <c r="A1" s="24" t="s">
        <v>1</v>
      </c>
      <c r="B1" s="12"/>
      <c r="C1" s="12"/>
      <c r="D1" s="12"/>
      <c r="E1" s="12"/>
      <c r="F1" s="12"/>
      <c r="G1" s="12"/>
      <c r="H1" s="12"/>
    </row>
    <row r="2" spans="1:8" ht="17.25">
      <c r="A2" s="25" t="s">
        <v>9</v>
      </c>
      <c r="B2" s="12"/>
      <c r="C2" s="12"/>
      <c r="D2" s="12"/>
      <c r="E2" s="12"/>
      <c r="F2" s="12"/>
      <c r="G2" s="12"/>
      <c r="H2" s="12"/>
    </row>
    <row r="3" spans="1:8" ht="16.5">
      <c r="A3" s="26" t="s">
        <v>441</v>
      </c>
      <c r="B3" s="12"/>
      <c r="C3" s="12"/>
      <c r="D3" s="12"/>
      <c r="E3" s="12"/>
      <c r="F3" s="12"/>
      <c r="G3" s="12"/>
      <c r="H3" s="12"/>
    </row>
    <row r="4" spans="1:8" ht="16.5">
      <c r="A4" s="26"/>
      <c r="B4" s="12"/>
      <c r="C4" s="12"/>
      <c r="D4" s="12"/>
      <c r="E4" s="12"/>
      <c r="F4" s="12"/>
      <c r="G4" s="12"/>
      <c r="H4" s="12"/>
    </row>
    <row r="5" spans="1:8" ht="16.5">
      <c r="A5" s="26"/>
      <c r="B5" s="12"/>
      <c r="C5" s="12"/>
      <c r="D5" s="12"/>
      <c r="E5" s="12"/>
      <c r="F5" s="12"/>
      <c r="G5" s="12"/>
      <c r="H5" s="12"/>
    </row>
    <row r="6" spans="1:8" ht="16.5">
      <c r="A6" s="26"/>
      <c r="B6" s="12"/>
      <c r="C6" s="12"/>
      <c r="D6" s="12"/>
      <c r="E6" s="12"/>
      <c r="F6" s="12"/>
      <c r="G6" s="12"/>
      <c r="H6" s="12"/>
    </row>
    <row r="7" spans="1:8" ht="17.25" thickBot="1">
      <c r="A7" s="12"/>
      <c r="B7" s="12"/>
      <c r="C7" s="12"/>
      <c r="H7" s="12"/>
    </row>
    <row r="8" spans="1:8" ht="21" thickBot="1">
      <c r="A8" s="239" t="str">
        <f>+'S&amp;D'!A12</f>
        <v>Electric Wholesale (non-regulated) Power Generator</v>
      </c>
      <c r="B8" s="176"/>
      <c r="C8" s="12"/>
      <c r="D8" s="29"/>
      <c r="E8" s="29"/>
      <c r="F8" s="29"/>
      <c r="H8" s="12"/>
    </row>
    <row r="9" spans="1:8" ht="26.25">
      <c r="A9" s="31"/>
      <c r="B9" s="12"/>
      <c r="C9" s="12"/>
      <c r="D9" s="12"/>
      <c r="E9" s="32" t="s">
        <v>130</v>
      </c>
      <c r="F9" s="32"/>
      <c r="H9" s="12"/>
    </row>
    <row r="10" spans="1:8" ht="21" thickBot="1">
      <c r="A10" s="31"/>
      <c r="B10" s="12"/>
      <c r="C10" s="12"/>
      <c r="D10" s="29"/>
      <c r="E10" s="37" t="s">
        <v>442</v>
      </c>
      <c r="F10" s="37"/>
      <c r="H10" s="12"/>
    </row>
    <row r="11" spans="1:8" ht="20.25">
      <c r="A11" s="31"/>
      <c r="B11" s="12"/>
      <c r="H11" s="12"/>
    </row>
    <row r="12" spans="1:8" ht="17.25" thickBot="1">
      <c r="A12" s="34" t="s">
        <v>0</v>
      </c>
      <c r="B12" s="34" t="s">
        <v>0</v>
      </c>
      <c r="C12" s="34" t="s">
        <v>0</v>
      </c>
      <c r="D12" s="34" t="s">
        <v>0</v>
      </c>
      <c r="E12" s="34" t="s">
        <v>0</v>
      </c>
      <c r="F12" s="34"/>
      <c r="G12" s="34"/>
      <c r="H12" s="29"/>
    </row>
    <row r="13" spans="1:8" ht="17.25">
      <c r="A13" s="90" t="s">
        <v>0</v>
      </c>
      <c r="B13" s="90" t="s">
        <v>3</v>
      </c>
      <c r="C13" s="90" t="s">
        <v>5</v>
      </c>
      <c r="D13" s="90" t="s">
        <v>21</v>
      </c>
      <c r="E13" s="166" t="s">
        <v>233</v>
      </c>
      <c r="F13" s="166" t="s">
        <v>316</v>
      </c>
      <c r="G13" s="90" t="s">
        <v>20</v>
      </c>
      <c r="H13" s="90" t="s">
        <v>151</v>
      </c>
    </row>
    <row r="14" spans="1:8" ht="18" thickBot="1">
      <c r="A14" s="98" t="s">
        <v>2</v>
      </c>
      <c r="B14" s="98" t="s">
        <v>4</v>
      </c>
      <c r="C14" s="98" t="s">
        <v>6</v>
      </c>
      <c r="D14" s="98" t="s">
        <v>23</v>
      </c>
      <c r="E14" s="98" t="s">
        <v>317</v>
      </c>
      <c r="F14" s="98" t="s">
        <v>195</v>
      </c>
      <c r="G14" s="98" t="s">
        <v>22</v>
      </c>
      <c r="H14" s="98" t="s">
        <v>128</v>
      </c>
    </row>
    <row r="15" spans="1:8">
      <c r="A15" s="39" t="s">
        <v>7</v>
      </c>
      <c r="B15" s="39" t="s">
        <v>7</v>
      </c>
      <c r="C15" s="39" t="s">
        <v>7</v>
      </c>
      <c r="D15" s="39" t="s">
        <v>7</v>
      </c>
      <c r="E15" s="202" t="s">
        <v>445</v>
      </c>
      <c r="F15" s="202" t="s">
        <v>445</v>
      </c>
      <c r="G15" s="39" t="s">
        <v>7</v>
      </c>
      <c r="H15" s="202" t="s">
        <v>445</v>
      </c>
    </row>
    <row r="16" spans="1:8" ht="16.5">
      <c r="A16" s="35"/>
      <c r="B16" s="35"/>
      <c r="C16" s="35"/>
      <c r="D16" s="35"/>
      <c r="G16" s="35"/>
      <c r="H16" s="35"/>
    </row>
    <row r="17" spans="1:8" ht="16.5">
      <c r="A17" s="12"/>
      <c r="B17" s="12"/>
      <c r="C17" s="12"/>
      <c r="D17" s="12"/>
      <c r="G17" s="12"/>
      <c r="H17" s="12"/>
    </row>
    <row r="18" spans="1:8" ht="20.25" customHeight="1">
      <c r="A18" s="63" t="str">
        <f>+'S&amp;D'!A22</f>
        <v>AES CORPORATION</v>
      </c>
      <c r="B18" s="90" t="str">
        <f>+'S&amp;D'!B22</f>
        <v>AES</v>
      </c>
      <c r="C18" s="90" t="str">
        <f>+'S&amp;D'!C22</f>
        <v>Power Electric</v>
      </c>
      <c r="D18" s="380">
        <v>0.15</v>
      </c>
      <c r="E18" s="133">
        <v>0.31</v>
      </c>
      <c r="F18" s="133">
        <v>0.245</v>
      </c>
      <c r="G18" s="90" t="s">
        <v>26</v>
      </c>
      <c r="H18" s="302">
        <v>1.1000000000000001</v>
      </c>
    </row>
    <row r="19" spans="1:8" ht="20.25" customHeight="1">
      <c r="A19" s="63" t="str">
        <f>+'S&amp;D'!A23</f>
        <v>DOMINION ENERGY INC</v>
      </c>
      <c r="B19" s="90" t="str">
        <f>+'S&amp;D'!B23</f>
        <v>D</v>
      </c>
      <c r="C19" s="90" t="str">
        <f>+'S&amp;D'!C23</f>
        <v>Electric - East</v>
      </c>
      <c r="D19" s="134">
        <v>0.17</v>
      </c>
      <c r="E19" s="133">
        <v>0.105</v>
      </c>
      <c r="F19" s="133">
        <v>0.03</v>
      </c>
      <c r="G19" s="90" t="s">
        <v>24</v>
      </c>
      <c r="H19" s="302">
        <v>0.9</v>
      </c>
    </row>
    <row r="20" spans="1:8" ht="20.25" customHeight="1">
      <c r="A20" s="63" t="str">
        <f>+'S&amp;D'!A24</f>
        <v>CONSTELLATION ENERGY GENERATION LLC</v>
      </c>
      <c r="B20" s="90" t="str">
        <f>+'S&amp;D'!B24</f>
        <v>CEG</v>
      </c>
      <c r="C20" s="90" t="str">
        <f>+'S&amp;D'!C24</f>
        <v>Power Electric</v>
      </c>
      <c r="D20" s="134">
        <v>0.15</v>
      </c>
      <c r="E20" s="133">
        <v>0.20499999999999999</v>
      </c>
      <c r="F20" s="133">
        <v>0.17499999999999999</v>
      </c>
      <c r="G20" s="90" t="s">
        <v>26</v>
      </c>
      <c r="H20" s="302">
        <v>1.1000000000000001</v>
      </c>
    </row>
    <row r="21" spans="1:8" ht="20.25" customHeight="1">
      <c r="A21" s="63" t="str">
        <f>+'S&amp;D'!A25</f>
        <v>NEXTERA ENERGY INC</v>
      </c>
      <c r="B21" s="90" t="str">
        <f>+'S&amp;D'!B25</f>
        <v>NEE</v>
      </c>
      <c r="C21" s="90" t="str">
        <f>+'S&amp;D'!C25</f>
        <v>Electric - East</v>
      </c>
      <c r="D21" s="134">
        <v>0.06</v>
      </c>
      <c r="E21" s="133">
        <v>0.14000000000000001</v>
      </c>
      <c r="F21" s="133">
        <v>5.5E-2</v>
      </c>
      <c r="G21" s="90" t="s">
        <v>51</v>
      </c>
      <c r="H21" s="302">
        <v>1.05</v>
      </c>
    </row>
    <row r="22" spans="1:8" ht="20.25" customHeight="1">
      <c r="A22" s="63" t="str">
        <f>+'S&amp;D'!A26</f>
        <v>NRG ENERGY</v>
      </c>
      <c r="B22" s="90" t="str">
        <f>+'S&amp;D'!B26</f>
        <v>NRG</v>
      </c>
      <c r="C22" s="90" t="str">
        <f>+'S&amp;D'!C26</f>
        <v>Power Electric</v>
      </c>
      <c r="D22" s="134">
        <v>0.28000000000000003</v>
      </c>
      <c r="E22" s="133">
        <v>0.38500000000000001</v>
      </c>
      <c r="F22" s="133">
        <v>0.26500000000000001</v>
      </c>
      <c r="G22" s="90" t="s">
        <v>25</v>
      </c>
      <c r="H22" s="302">
        <v>1.05</v>
      </c>
    </row>
    <row r="23" spans="1:8" ht="20.25" customHeight="1">
      <c r="A23" s="63" t="str">
        <f>+'S&amp;D'!A27</f>
        <v>SOUTHERN COMPANY</v>
      </c>
      <c r="B23" s="90" t="str">
        <f>+'S&amp;D'!B27</f>
        <v>SO</v>
      </c>
      <c r="C23" s="90" t="str">
        <f>+'S&amp;D'!C27</f>
        <v>Electric - East</v>
      </c>
      <c r="D23" s="134">
        <v>0.15</v>
      </c>
      <c r="E23" s="133">
        <v>0.13</v>
      </c>
      <c r="F23" s="133">
        <v>3.5000000000000003E-2</v>
      </c>
      <c r="G23" s="90" t="s">
        <v>24</v>
      </c>
      <c r="H23" s="302">
        <v>0.75</v>
      </c>
    </row>
    <row r="24" spans="1:8" ht="20.25" customHeight="1" thickBot="1">
      <c r="A24" s="63" t="str">
        <f>+'S&amp;D'!A28</f>
        <v>VISTRA ENERGY CORPORATION</v>
      </c>
      <c r="B24" s="90" t="str">
        <f>+'S&amp;D'!B28</f>
        <v>VST</v>
      </c>
      <c r="C24" s="90" t="str">
        <f>+'S&amp;D'!C28</f>
        <v>Power Electric</v>
      </c>
      <c r="D24" s="134">
        <v>0.23</v>
      </c>
      <c r="E24" s="133">
        <v>0.38500000000000001</v>
      </c>
      <c r="F24" s="133">
        <v>0.33</v>
      </c>
      <c r="G24" s="90" t="s">
        <v>25</v>
      </c>
      <c r="H24" s="305">
        <v>1</v>
      </c>
    </row>
    <row r="25" spans="1:8" ht="20.25" customHeight="1" thickTop="1">
      <c r="A25" s="109"/>
      <c r="B25" s="109"/>
      <c r="C25" s="4"/>
      <c r="D25" s="162" t="s">
        <v>0</v>
      </c>
      <c r="E25" s="4"/>
      <c r="F25" s="4"/>
      <c r="G25" s="118" t="s">
        <v>53</v>
      </c>
      <c r="H25" s="267">
        <f>MAX(H18:H24)</f>
        <v>1.1000000000000001</v>
      </c>
    </row>
    <row r="26" spans="1:8" ht="20.25" customHeight="1">
      <c r="A26" s="109"/>
      <c r="B26" s="109"/>
      <c r="C26" s="4"/>
      <c r="D26" s="162" t="s">
        <v>0</v>
      </c>
      <c r="E26" s="4"/>
      <c r="F26" s="4"/>
      <c r="G26" s="276" t="s">
        <v>54</v>
      </c>
      <c r="H26" s="283">
        <f>MIN(H18:H24)</f>
        <v>0.75</v>
      </c>
    </row>
    <row r="27" spans="1:8" ht="20.25" customHeight="1">
      <c r="A27" s="109"/>
      <c r="B27" s="109"/>
      <c r="C27" s="4"/>
      <c r="D27" s="163" t="s">
        <v>0</v>
      </c>
      <c r="E27" s="4"/>
      <c r="F27" s="4"/>
      <c r="G27" s="118" t="s">
        <v>18</v>
      </c>
      <c r="H27" s="164">
        <f>MEDIAN(H18:H24)</f>
        <v>1.05</v>
      </c>
    </row>
    <row r="28" spans="1:8" ht="20.25" customHeight="1">
      <c r="A28" s="109"/>
      <c r="B28" s="109"/>
      <c r="C28" s="4"/>
      <c r="D28" s="121" t="s">
        <v>0</v>
      </c>
      <c r="E28" s="4"/>
      <c r="F28" s="4"/>
      <c r="G28" s="118" t="s">
        <v>377</v>
      </c>
      <c r="H28" s="165">
        <f>AVERAGE(H18:H24)</f>
        <v>0.99285714285714288</v>
      </c>
    </row>
    <row r="29" spans="1:8" ht="20.25" customHeight="1" thickBot="1">
      <c r="A29" s="12"/>
      <c r="B29" s="12"/>
      <c r="C29" s="12"/>
      <c r="D29" s="12"/>
      <c r="G29" s="12"/>
      <c r="H29" s="12"/>
    </row>
    <row r="30" spans="1:8" ht="20.25" customHeight="1" thickBot="1">
      <c r="A30" s="12"/>
      <c r="B30" s="12"/>
      <c r="C30" s="12"/>
      <c r="D30" s="12"/>
      <c r="G30" s="182" t="s">
        <v>86</v>
      </c>
      <c r="H30" s="272">
        <v>0.99</v>
      </c>
    </row>
    <row r="33" spans="1:1" ht="17.25">
      <c r="A33" s="109" t="s">
        <v>318</v>
      </c>
    </row>
    <row r="34" spans="1:1" ht="17.25">
      <c r="A34" s="109" t="s">
        <v>319</v>
      </c>
    </row>
  </sheetData>
  <pageMargins left="0.25" right="0.25" top="0.75" bottom="0.75" header="0.3" footer="0.3"/>
  <pageSetup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596C7-3CA4-4A86-9548-2C135C060B79}">
  <sheetPr>
    <tabColor rgb="FF92D050"/>
  </sheetPr>
  <dimension ref="A1:K30"/>
  <sheetViews>
    <sheetView view="pageBreakPreview" zoomScale="60" zoomScaleNormal="80" workbookViewId="0">
      <selection activeCell="H19" sqref="H19"/>
    </sheetView>
  </sheetViews>
  <sheetFormatPr defaultRowHeight="15"/>
  <cols>
    <col min="1" max="1" width="56.28515625" customWidth="1"/>
    <col min="2" max="2" width="10.85546875" customWidth="1"/>
    <col min="3" max="3" width="23.7109375" customWidth="1"/>
    <col min="4" max="4" width="15.28515625" customWidth="1"/>
    <col min="5" max="5" width="16" customWidth="1"/>
    <col min="6" max="6" width="20" customWidth="1"/>
    <col min="7" max="7" width="16.5703125" customWidth="1"/>
    <col min="8" max="8" width="19.140625" customWidth="1"/>
    <col min="9" max="10" width="20.140625" customWidth="1"/>
    <col min="11" max="11" width="17.7109375" customWidth="1"/>
    <col min="12" max="12" width="23.7109375" customWidth="1"/>
  </cols>
  <sheetData>
    <row r="1" spans="1:11" ht="26.25">
      <c r="A1" s="24" t="s">
        <v>1</v>
      </c>
      <c r="B1" s="12"/>
      <c r="C1" s="12"/>
      <c r="D1" s="12"/>
      <c r="E1" s="12"/>
      <c r="F1" s="12"/>
      <c r="G1" s="12"/>
      <c r="H1" s="12"/>
      <c r="I1" s="12"/>
      <c r="J1" s="12"/>
    </row>
    <row r="2" spans="1:11" ht="17.25">
      <c r="A2" s="25" t="s">
        <v>9</v>
      </c>
      <c r="B2" s="12"/>
      <c r="C2" s="12"/>
      <c r="D2" s="12"/>
      <c r="E2" s="12"/>
      <c r="F2" s="12"/>
      <c r="G2" s="12"/>
      <c r="H2" s="12"/>
      <c r="I2" s="12"/>
      <c r="J2" s="12"/>
    </row>
    <row r="3" spans="1:11" ht="16.5">
      <c r="A3" s="26" t="s">
        <v>441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ht="16.5">
      <c r="A4" s="26"/>
      <c r="B4" s="12"/>
      <c r="C4" s="12"/>
      <c r="D4" s="12"/>
      <c r="E4" s="12"/>
      <c r="F4" s="12"/>
      <c r="G4" s="12"/>
      <c r="H4" s="12"/>
      <c r="I4" s="12"/>
      <c r="J4" s="12"/>
    </row>
    <row r="5" spans="1:11" ht="17.25" thickBot="1">
      <c r="A5" s="12"/>
      <c r="B5" s="12"/>
      <c r="C5" s="12"/>
      <c r="D5" s="12"/>
      <c r="E5" s="12"/>
      <c r="F5" s="12"/>
      <c r="G5" s="27"/>
      <c r="H5" s="12"/>
      <c r="I5" s="12"/>
      <c r="J5" s="12"/>
    </row>
    <row r="6" spans="1:11" ht="21" thickBot="1">
      <c r="A6" s="239" t="str">
        <f>+'S&amp;D'!A12</f>
        <v>Electric Wholesale (non-regulated) Power Generator</v>
      </c>
      <c r="B6" s="176"/>
      <c r="C6" s="12"/>
      <c r="D6" s="29"/>
      <c r="E6" s="29"/>
      <c r="F6" s="30" t="s">
        <v>0</v>
      </c>
      <c r="G6" s="12"/>
      <c r="H6" s="12"/>
      <c r="I6" s="12"/>
      <c r="J6" s="12"/>
    </row>
    <row r="7" spans="1:11" ht="26.25">
      <c r="A7" s="31"/>
      <c r="B7" s="12"/>
      <c r="C7" s="12"/>
      <c r="D7" s="12"/>
      <c r="E7" s="32" t="s">
        <v>264</v>
      </c>
      <c r="F7" s="12"/>
      <c r="G7" s="12"/>
      <c r="H7" s="12"/>
      <c r="I7" s="12"/>
      <c r="J7" s="12"/>
    </row>
    <row r="8" spans="1:11" ht="21" thickBot="1">
      <c r="A8" s="31"/>
      <c r="B8" s="12"/>
      <c r="C8" s="12"/>
      <c r="D8" s="29"/>
      <c r="E8" s="37" t="s">
        <v>442</v>
      </c>
      <c r="F8" s="29"/>
      <c r="G8" s="12"/>
      <c r="H8" s="12"/>
      <c r="I8" s="12"/>
      <c r="J8" s="12"/>
    </row>
    <row r="9" spans="1:11" ht="17.25" thickBot="1">
      <c r="A9" s="34" t="s">
        <v>0</v>
      </c>
      <c r="B9" s="34" t="s">
        <v>0</v>
      </c>
      <c r="C9" s="34" t="s">
        <v>0</v>
      </c>
      <c r="D9" s="34" t="s">
        <v>0</v>
      </c>
      <c r="E9" s="34" t="s">
        <v>0</v>
      </c>
      <c r="F9" s="34"/>
      <c r="G9" s="29"/>
      <c r="H9" s="29"/>
      <c r="I9" s="29"/>
      <c r="J9" s="29"/>
      <c r="K9" s="145"/>
    </row>
    <row r="10" spans="1:11" ht="16.5">
      <c r="A10" s="35" t="s">
        <v>0</v>
      </c>
      <c r="B10" s="35" t="s">
        <v>3</v>
      </c>
      <c r="C10" s="35" t="s">
        <v>5</v>
      </c>
      <c r="D10" s="35" t="s">
        <v>168</v>
      </c>
      <c r="E10" s="35" t="s">
        <v>175</v>
      </c>
      <c r="F10" s="35" t="s">
        <v>175</v>
      </c>
      <c r="G10" s="35" t="s">
        <v>175</v>
      </c>
      <c r="H10" s="35" t="s">
        <v>175</v>
      </c>
      <c r="I10" s="35" t="s">
        <v>175</v>
      </c>
      <c r="J10" s="35" t="s">
        <v>175</v>
      </c>
      <c r="K10" s="35" t="s">
        <v>261</v>
      </c>
    </row>
    <row r="11" spans="1:11" ht="16.5">
      <c r="A11" s="35"/>
      <c r="B11" s="35" t="s">
        <v>4</v>
      </c>
      <c r="C11" s="35" t="s">
        <v>6</v>
      </c>
      <c r="D11" s="35" t="s">
        <v>28</v>
      </c>
      <c r="E11" s="35" t="s">
        <v>170</v>
      </c>
      <c r="F11" s="35" t="s">
        <v>129</v>
      </c>
      <c r="G11" s="35" t="s">
        <v>170</v>
      </c>
      <c r="H11" s="35" t="s">
        <v>129</v>
      </c>
      <c r="I11" s="35" t="s">
        <v>170</v>
      </c>
      <c r="J11" s="35" t="s">
        <v>129</v>
      </c>
      <c r="K11" s="35" t="s">
        <v>186</v>
      </c>
    </row>
    <row r="12" spans="1:11" ht="17.25" thickBot="1">
      <c r="A12" s="37" t="s">
        <v>2</v>
      </c>
      <c r="B12" s="37" t="s">
        <v>0</v>
      </c>
      <c r="C12" s="37" t="s">
        <v>0</v>
      </c>
      <c r="D12" s="37" t="s">
        <v>0</v>
      </c>
      <c r="E12" s="37" t="s">
        <v>172</v>
      </c>
      <c r="F12" s="37" t="s">
        <v>172</v>
      </c>
      <c r="G12" s="37" t="s">
        <v>259</v>
      </c>
      <c r="H12" s="37" t="s">
        <v>259</v>
      </c>
      <c r="I12" s="37" t="s">
        <v>260</v>
      </c>
      <c r="J12" s="37" t="s">
        <v>260</v>
      </c>
      <c r="K12" s="204" t="s">
        <v>262</v>
      </c>
    </row>
    <row r="13" spans="1:11">
      <c r="A13" s="39" t="s">
        <v>7</v>
      </c>
      <c r="B13" s="39" t="s">
        <v>7</v>
      </c>
      <c r="C13" s="39" t="s">
        <v>7</v>
      </c>
      <c r="D13" s="40" t="s">
        <v>125</v>
      </c>
      <c r="E13" s="39" t="s">
        <v>7</v>
      </c>
      <c r="F13" s="39" t="s">
        <v>0</v>
      </c>
      <c r="G13" s="39" t="s">
        <v>7</v>
      </c>
      <c r="H13" s="39" t="s">
        <v>0</v>
      </c>
      <c r="I13" s="39" t="s">
        <v>7</v>
      </c>
      <c r="J13" s="39" t="s">
        <v>0</v>
      </c>
      <c r="K13" s="39" t="s">
        <v>0</v>
      </c>
    </row>
    <row r="14" spans="1:11" ht="16.5">
      <c r="A14" s="35"/>
      <c r="B14" s="35"/>
      <c r="C14" s="35"/>
      <c r="D14" s="35"/>
      <c r="E14" s="35"/>
      <c r="F14" s="35"/>
      <c r="G14" s="12"/>
      <c r="H14" s="12"/>
      <c r="I14" s="12"/>
      <c r="J14" s="12"/>
      <c r="K14" s="12"/>
    </row>
    <row r="15" spans="1:11" ht="16.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7.25">
      <c r="A16" s="63" t="str">
        <f>+'S&amp;D'!A22</f>
        <v>AES CORPORATION</v>
      </c>
      <c r="B16" s="90" t="str">
        <f>+'S&amp;D'!B22</f>
        <v>AES</v>
      </c>
      <c r="C16" s="90" t="str">
        <f>+'S&amp;D'!C22</f>
        <v>Power Electric</v>
      </c>
      <c r="D16" s="60">
        <f>+'S&amp;D'!G22</f>
        <v>12.87</v>
      </c>
      <c r="E16" s="303">
        <v>2.0499999999999998</v>
      </c>
      <c r="F16" s="54">
        <f>+E16/D16</f>
        <v>0.15928515928515929</v>
      </c>
      <c r="G16" s="303">
        <v>2.2000000000000002</v>
      </c>
      <c r="H16" s="54">
        <f>+G16/D16</f>
        <v>0.17094017094017097</v>
      </c>
      <c r="I16" s="303">
        <v>3.05</v>
      </c>
      <c r="J16" s="54">
        <f>+I16/D16</f>
        <v>0.23698523698523699</v>
      </c>
      <c r="K16" s="304">
        <f t="shared" ref="K16:K22" si="0">RATE(3,,-G16,I16)</f>
        <v>0.11504497834166394</v>
      </c>
    </row>
    <row r="17" spans="1:11" ht="17.25">
      <c r="A17" s="63" t="str">
        <f>+'S&amp;D'!A23</f>
        <v>DOMINION ENERGY INC</v>
      </c>
      <c r="B17" s="90" t="str">
        <f>+'S&amp;D'!B23</f>
        <v>D</v>
      </c>
      <c r="C17" s="90" t="str">
        <f>+'S&amp;D'!C23</f>
        <v>Electric - East</v>
      </c>
      <c r="D17" s="60">
        <f>+'S&amp;D'!G23</f>
        <v>53.86</v>
      </c>
      <c r="E17" s="303">
        <v>3.4</v>
      </c>
      <c r="F17" s="54">
        <f t="shared" ref="F17:F22" si="1">+E17/D17</f>
        <v>6.3126624582250282E-2</v>
      </c>
      <c r="G17" s="303">
        <v>3.6</v>
      </c>
      <c r="H17" s="54">
        <f t="shared" ref="H17:H22" si="2">+G17/D17</f>
        <v>6.6839955440029714E-2</v>
      </c>
      <c r="I17" s="303">
        <v>4.25</v>
      </c>
      <c r="J17" s="54">
        <f t="shared" ref="J17:J22" si="3">+I17/D17</f>
        <v>7.8908280727812849E-2</v>
      </c>
      <c r="K17" s="304">
        <f t="shared" si="0"/>
        <v>5.6887617564166271E-2</v>
      </c>
    </row>
    <row r="18" spans="1:11" ht="17.25">
      <c r="A18" s="63" t="str">
        <f>+'S&amp;D'!A24</f>
        <v>CONSTELLATION ENERGY GENERATION LLC</v>
      </c>
      <c r="B18" s="90" t="str">
        <f>+'S&amp;D'!B24</f>
        <v>CEG</v>
      </c>
      <c r="C18" s="90" t="str">
        <f>+'S&amp;D'!C24</f>
        <v>Power Electric</v>
      </c>
      <c r="D18" s="60">
        <f>+'S&amp;D'!G24</f>
        <v>223.71</v>
      </c>
      <c r="E18" s="303">
        <v>11</v>
      </c>
      <c r="F18" s="54">
        <f t="shared" si="1"/>
        <v>4.9170801484064192E-2</v>
      </c>
      <c r="G18" s="303">
        <v>11.4</v>
      </c>
      <c r="H18" s="54">
        <f t="shared" si="2"/>
        <v>5.0958830628939251E-2</v>
      </c>
      <c r="I18" s="303">
        <v>14.5</v>
      </c>
      <c r="J18" s="54">
        <f t="shared" si="3"/>
        <v>6.4816056501720981E-2</v>
      </c>
      <c r="K18" s="304">
        <f t="shared" si="0"/>
        <v>8.3480377285981261E-2</v>
      </c>
    </row>
    <row r="19" spans="1:11" ht="17.25">
      <c r="A19" s="63" t="str">
        <f>+'S&amp;D'!A25</f>
        <v>NEXTERA ENERGY INC</v>
      </c>
      <c r="B19" s="90" t="str">
        <f>+'S&amp;D'!B25</f>
        <v>NEE</v>
      </c>
      <c r="C19" s="90" t="str">
        <f>+'S&amp;D'!C25</f>
        <v>Electric - East</v>
      </c>
      <c r="D19" s="60">
        <f>+'S&amp;D'!G25</f>
        <v>71.69</v>
      </c>
      <c r="E19" s="303">
        <v>3.7</v>
      </c>
      <c r="F19" s="54">
        <f t="shared" si="1"/>
        <v>5.1611103361696199E-2</v>
      </c>
      <c r="G19" s="303">
        <v>4</v>
      </c>
      <c r="H19" s="54">
        <f t="shared" si="2"/>
        <v>5.5795787418049941E-2</v>
      </c>
      <c r="I19" s="303">
        <v>5.0999999999999996</v>
      </c>
      <c r="J19" s="54">
        <f t="shared" si="3"/>
        <v>7.1139628958013665E-2</v>
      </c>
      <c r="K19" s="304">
        <f t="shared" si="0"/>
        <v>8.4351442625100914E-2</v>
      </c>
    </row>
    <row r="20" spans="1:11" ht="17.25">
      <c r="A20" s="63" t="str">
        <f>+'S&amp;D'!A26</f>
        <v>NRG ENERGY</v>
      </c>
      <c r="B20" s="90" t="str">
        <f>+'S&amp;D'!B26</f>
        <v>NRG</v>
      </c>
      <c r="C20" s="90" t="str">
        <f>+'S&amp;D'!C26</f>
        <v>Power Electric</v>
      </c>
      <c r="D20" s="60">
        <f>+'S&amp;D'!G26</f>
        <v>90.22</v>
      </c>
      <c r="E20" s="303">
        <v>5</v>
      </c>
      <c r="F20" s="54">
        <f t="shared" si="1"/>
        <v>5.5420084238528046E-2</v>
      </c>
      <c r="G20" s="303">
        <v>6</v>
      </c>
      <c r="H20" s="54">
        <f t="shared" si="2"/>
        <v>6.6504101086233655E-2</v>
      </c>
      <c r="I20" s="303">
        <v>8.4</v>
      </c>
      <c r="J20" s="54">
        <f t="shared" si="3"/>
        <v>9.310574152072712E-2</v>
      </c>
      <c r="K20" s="304">
        <f t="shared" si="0"/>
        <v>0.11868894208140643</v>
      </c>
    </row>
    <row r="21" spans="1:11" ht="17.25">
      <c r="A21" s="63" t="str">
        <f>+'S&amp;D'!A27</f>
        <v>SOUTHERN COMPANY</v>
      </c>
      <c r="B21" s="90" t="str">
        <f>+'S&amp;D'!B27</f>
        <v>SO</v>
      </c>
      <c r="C21" s="90" t="str">
        <f>+'S&amp;D'!C27</f>
        <v>Electric - East</v>
      </c>
      <c r="D21" s="60">
        <f>+'S&amp;D'!G27</f>
        <v>82.32</v>
      </c>
      <c r="E21" s="303">
        <v>4.3</v>
      </c>
      <c r="F21" s="54">
        <f t="shared" si="1"/>
        <v>5.2235179786200195E-2</v>
      </c>
      <c r="G21" s="303">
        <v>4.5999999999999996</v>
      </c>
      <c r="H21" s="54">
        <f t="shared" si="2"/>
        <v>5.5879494655004858E-2</v>
      </c>
      <c r="I21" s="303">
        <v>5.6</v>
      </c>
      <c r="J21" s="54">
        <f t="shared" si="3"/>
        <v>6.8027210884353748E-2</v>
      </c>
      <c r="K21" s="304">
        <f t="shared" si="0"/>
        <v>6.7767583150540878E-2</v>
      </c>
    </row>
    <row r="22" spans="1:11" ht="17.25">
      <c r="A22" s="63" t="str">
        <f>+'S&amp;D'!A28</f>
        <v>VISTRA ENERGY CORPORATION</v>
      </c>
      <c r="B22" s="90" t="str">
        <f>+'S&amp;D'!B28</f>
        <v>VST</v>
      </c>
      <c r="C22" s="90" t="str">
        <f>+'S&amp;D'!C28</f>
        <v>Power Electric</v>
      </c>
      <c r="D22" s="60">
        <f>+'S&amp;D'!G28</f>
        <v>137.87</v>
      </c>
      <c r="E22" s="303">
        <v>8.3000000000000007</v>
      </c>
      <c r="F22" s="54">
        <f t="shared" si="1"/>
        <v>6.0201639225357227E-2</v>
      </c>
      <c r="G22" s="303">
        <v>8.4499999999999993</v>
      </c>
      <c r="H22" s="54">
        <f t="shared" si="2"/>
        <v>6.1289620657140775E-2</v>
      </c>
      <c r="I22" s="303">
        <v>12.15</v>
      </c>
      <c r="J22" s="54">
        <f t="shared" si="3"/>
        <v>8.8126495974468699E-2</v>
      </c>
      <c r="K22" s="304">
        <f t="shared" si="0"/>
        <v>0.12868613380997912</v>
      </c>
    </row>
    <row r="23" spans="1:11" ht="17.25" thickBot="1">
      <c r="A23" s="12"/>
      <c r="B23" s="12"/>
      <c r="C23" s="44"/>
      <c r="D23" s="47"/>
      <c r="E23" s="47"/>
      <c r="F23" s="47"/>
      <c r="G23" s="47"/>
      <c r="H23" s="47"/>
      <c r="I23" s="47"/>
      <c r="J23" s="47"/>
      <c r="K23" s="47"/>
    </row>
    <row r="24" spans="1:11" ht="17.25" thickTop="1">
      <c r="A24" s="12"/>
      <c r="B24" s="12"/>
      <c r="D24" s="14" t="s">
        <v>53</v>
      </c>
      <c r="E24" s="16">
        <f>MAX(E16:E22)</f>
        <v>11</v>
      </c>
      <c r="F24" s="269">
        <f t="shared" ref="F24:K24" si="4">MAX(F16:F22)</f>
        <v>0.15928515928515929</v>
      </c>
      <c r="G24" s="16">
        <f t="shared" si="4"/>
        <v>11.4</v>
      </c>
      <c r="H24" s="269">
        <f t="shared" si="4"/>
        <v>0.17094017094017097</v>
      </c>
      <c r="I24" s="16">
        <f t="shared" si="4"/>
        <v>14.5</v>
      </c>
      <c r="J24" s="269">
        <f t="shared" si="4"/>
        <v>0.23698523698523699</v>
      </c>
      <c r="K24" s="269">
        <f t="shared" si="4"/>
        <v>0.12868613380997912</v>
      </c>
    </row>
    <row r="25" spans="1:11" ht="16.5">
      <c r="A25" s="12"/>
      <c r="B25" s="12"/>
      <c r="D25" s="14" t="s">
        <v>54</v>
      </c>
      <c r="E25" s="295">
        <f>MIN(E16:E22)</f>
        <v>2.0499999999999998</v>
      </c>
      <c r="F25" s="270">
        <f t="shared" ref="F25:K25" si="5">MIN(F16:F22)</f>
        <v>4.9170801484064192E-2</v>
      </c>
      <c r="G25" s="295">
        <f t="shared" si="5"/>
        <v>2.2000000000000002</v>
      </c>
      <c r="H25" s="270">
        <f t="shared" si="5"/>
        <v>5.0958830628939251E-2</v>
      </c>
      <c r="I25" s="295">
        <f t="shared" si="5"/>
        <v>3.05</v>
      </c>
      <c r="J25" s="270">
        <f t="shared" si="5"/>
        <v>6.4816056501720981E-2</v>
      </c>
      <c r="K25" s="270">
        <f t="shared" si="5"/>
        <v>5.6887617564166271E-2</v>
      </c>
    </row>
    <row r="26" spans="1:11" ht="16.5">
      <c r="A26" s="12"/>
      <c r="B26" s="12"/>
      <c r="D26" s="14" t="s">
        <v>18</v>
      </c>
      <c r="E26" s="17">
        <f t="shared" ref="E26:K26" si="6">MEDIAN(E16:E22)</f>
        <v>4.3</v>
      </c>
      <c r="F26" s="55">
        <f t="shared" si="6"/>
        <v>5.5420084238528046E-2</v>
      </c>
      <c r="G26" s="17">
        <f t="shared" si="6"/>
        <v>4.5999999999999996</v>
      </c>
      <c r="H26" s="55">
        <f t="shared" si="6"/>
        <v>6.1289620657140775E-2</v>
      </c>
      <c r="I26" s="17">
        <f t="shared" si="6"/>
        <v>5.6</v>
      </c>
      <c r="J26" s="55">
        <f t="shared" si="6"/>
        <v>7.8908280727812849E-2</v>
      </c>
      <c r="K26" s="55">
        <f t="shared" si="6"/>
        <v>8.4351442625100914E-2</v>
      </c>
    </row>
    <row r="27" spans="1:11" ht="16.5">
      <c r="A27" s="12"/>
      <c r="B27" s="12"/>
      <c r="D27" s="14" t="s">
        <v>377</v>
      </c>
      <c r="E27" s="21">
        <f t="shared" ref="E27:K27" si="7">AVERAGE(E16:E22)</f>
        <v>5.3928571428571432</v>
      </c>
      <c r="F27" s="57">
        <f t="shared" si="7"/>
        <v>7.0150084566179341E-2</v>
      </c>
      <c r="G27" s="21">
        <f t="shared" si="7"/>
        <v>5.75</v>
      </c>
      <c r="H27" s="57">
        <f t="shared" si="7"/>
        <v>7.5458280117938453E-2</v>
      </c>
      <c r="I27" s="21">
        <f t="shared" si="7"/>
        <v>7.5785714285714283</v>
      </c>
      <c r="J27" s="57">
        <f t="shared" si="7"/>
        <v>0.10015837879319056</v>
      </c>
      <c r="K27" s="57">
        <f t="shared" si="7"/>
        <v>9.3558153551262693E-2</v>
      </c>
    </row>
    <row r="28" spans="1:11" ht="16.5">
      <c r="A28" s="12"/>
      <c r="B28" s="12"/>
      <c r="D28" s="12"/>
      <c r="E28" s="12"/>
      <c r="F28" s="12"/>
      <c r="G28" s="12"/>
      <c r="H28" s="12"/>
      <c r="I28" s="12"/>
      <c r="J28" s="12"/>
      <c r="K28" s="12"/>
    </row>
    <row r="29" spans="1:11" ht="26.25">
      <c r="A29" s="12"/>
      <c r="B29" s="12"/>
      <c r="C29" s="12"/>
      <c r="D29" s="12"/>
      <c r="E29" s="12"/>
      <c r="F29" s="49" t="s">
        <v>0</v>
      </c>
      <c r="G29" s="64" t="s">
        <v>0</v>
      </c>
      <c r="H29" s="12"/>
      <c r="I29" s="12"/>
      <c r="J29" s="12"/>
      <c r="K29" s="12"/>
    </row>
    <row r="30" spans="1:11" ht="18.75">
      <c r="A30" s="205" t="s">
        <v>263</v>
      </c>
    </row>
  </sheetData>
  <pageMargins left="0.25" right="0.25" top="0.75" bottom="0.75" header="0.3" footer="0.3"/>
  <pageSetup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0854-9225-4685-BC0B-402957CF1047}">
  <sheetPr>
    <tabColor rgb="FF92D050"/>
  </sheetPr>
  <dimension ref="A1:K30"/>
  <sheetViews>
    <sheetView view="pageBreakPreview" zoomScale="60" zoomScaleNormal="80" workbookViewId="0">
      <selection activeCell="K21" sqref="K21"/>
    </sheetView>
  </sheetViews>
  <sheetFormatPr defaultRowHeight="15"/>
  <cols>
    <col min="1" max="1" width="52.85546875" customWidth="1"/>
    <col min="2" max="2" width="15.28515625" customWidth="1"/>
    <col min="3" max="3" width="24.7109375" customWidth="1"/>
    <col min="4" max="4" width="15.28515625" customWidth="1"/>
    <col min="5" max="5" width="16" customWidth="1"/>
    <col min="6" max="6" width="20" customWidth="1"/>
    <col min="7" max="7" width="16.5703125" customWidth="1"/>
    <col min="8" max="8" width="19.140625" customWidth="1"/>
    <col min="9" max="10" width="20.140625" customWidth="1"/>
    <col min="11" max="11" width="17.7109375" customWidth="1"/>
    <col min="12" max="12" width="23.7109375" customWidth="1"/>
  </cols>
  <sheetData>
    <row r="1" spans="1:11" ht="26.25">
      <c r="A1" s="24" t="s">
        <v>1</v>
      </c>
      <c r="B1" s="12"/>
      <c r="C1" s="12"/>
      <c r="D1" s="12"/>
      <c r="E1" s="12"/>
      <c r="F1" s="12"/>
      <c r="G1" s="12"/>
      <c r="H1" s="12"/>
      <c r="I1" s="12"/>
      <c r="J1" s="12"/>
    </row>
    <row r="2" spans="1:11" ht="17.25">
      <c r="A2" s="25" t="s">
        <v>9</v>
      </c>
      <c r="B2" s="12"/>
      <c r="C2" s="12"/>
      <c r="D2" s="12"/>
      <c r="E2" s="12"/>
      <c r="F2" s="12"/>
      <c r="G2" s="12"/>
      <c r="H2" s="12"/>
      <c r="I2" s="12"/>
      <c r="J2" s="12"/>
    </row>
    <row r="3" spans="1:11" ht="16.5">
      <c r="A3" s="26" t="s">
        <v>441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ht="16.5">
      <c r="A4" s="26"/>
      <c r="B4" s="12"/>
      <c r="C4" s="12"/>
      <c r="D4" s="12"/>
      <c r="E4" s="12"/>
      <c r="F4" s="12"/>
      <c r="G4" s="12"/>
      <c r="H4" s="12"/>
      <c r="I4" s="12"/>
      <c r="J4" s="12"/>
    </row>
    <row r="5" spans="1:11" ht="17.25" thickBot="1">
      <c r="A5" s="12"/>
      <c r="B5" s="12"/>
      <c r="C5" s="12"/>
      <c r="D5" s="12"/>
      <c r="E5" s="12"/>
      <c r="F5" s="12"/>
      <c r="G5" s="27"/>
      <c r="H5" s="12"/>
      <c r="I5" s="12"/>
      <c r="J5" s="12"/>
    </row>
    <row r="6" spans="1:11" ht="21" thickBot="1">
      <c r="A6" s="239" t="str">
        <f>+'S&amp;D'!A12</f>
        <v>Electric Wholesale (non-regulated) Power Generator</v>
      </c>
      <c r="B6" s="176"/>
      <c r="C6" s="12"/>
      <c r="D6" s="29"/>
      <c r="E6" s="29"/>
      <c r="F6" s="30" t="s">
        <v>0</v>
      </c>
      <c r="G6" s="12"/>
      <c r="H6" s="12"/>
      <c r="I6" s="12"/>
      <c r="J6" s="12"/>
    </row>
    <row r="7" spans="1:11" ht="26.25">
      <c r="A7" s="31"/>
      <c r="B7" s="12"/>
      <c r="C7" s="12"/>
      <c r="D7" s="12"/>
      <c r="E7" s="32" t="s">
        <v>173</v>
      </c>
      <c r="F7" s="12"/>
      <c r="G7" s="12"/>
      <c r="H7" s="12"/>
      <c r="I7" s="12"/>
      <c r="J7" s="12"/>
    </row>
    <row r="8" spans="1:11" ht="21" thickBot="1">
      <c r="A8" s="31"/>
      <c r="B8" s="12"/>
      <c r="C8" s="12"/>
      <c r="D8" s="29"/>
      <c r="E8" s="37" t="s">
        <v>442</v>
      </c>
      <c r="F8" s="29"/>
      <c r="G8" s="12"/>
      <c r="H8" s="12"/>
      <c r="I8" s="12"/>
      <c r="J8" s="12"/>
    </row>
    <row r="9" spans="1:11" ht="17.25" thickBot="1">
      <c r="A9" s="34" t="s">
        <v>0</v>
      </c>
      <c r="B9" s="34" t="s">
        <v>0</v>
      </c>
      <c r="C9" s="34" t="s">
        <v>0</v>
      </c>
      <c r="D9" s="34" t="s">
        <v>0</v>
      </c>
      <c r="E9" s="34" t="s">
        <v>0</v>
      </c>
      <c r="F9" s="34"/>
      <c r="G9" s="29"/>
      <c r="H9" s="29"/>
      <c r="I9" s="29"/>
      <c r="J9" s="29"/>
      <c r="K9" s="145"/>
    </row>
    <row r="10" spans="1:11" ht="16.5">
      <c r="A10" s="35" t="s">
        <v>0</v>
      </c>
      <c r="B10" s="35" t="s">
        <v>3</v>
      </c>
      <c r="C10" s="35" t="s">
        <v>5</v>
      </c>
      <c r="D10" s="35" t="s">
        <v>168</v>
      </c>
      <c r="E10" s="35" t="s">
        <v>169</v>
      </c>
      <c r="F10" s="35" t="s">
        <v>171</v>
      </c>
      <c r="G10" s="35" t="s">
        <v>169</v>
      </c>
      <c r="H10" s="35" t="s">
        <v>171</v>
      </c>
      <c r="I10" s="35" t="s">
        <v>169</v>
      </c>
      <c r="J10" s="35" t="s">
        <v>171</v>
      </c>
      <c r="K10" s="35" t="s">
        <v>261</v>
      </c>
    </row>
    <row r="11" spans="1:11" ht="16.5">
      <c r="A11" s="35"/>
      <c r="B11" s="35" t="s">
        <v>4</v>
      </c>
      <c r="C11" s="35" t="s">
        <v>6</v>
      </c>
      <c r="D11" s="35" t="s">
        <v>28</v>
      </c>
      <c r="E11" s="35" t="s">
        <v>170</v>
      </c>
      <c r="F11" s="35" t="s">
        <v>129</v>
      </c>
      <c r="G11" s="35" t="s">
        <v>170</v>
      </c>
      <c r="H11" s="35" t="s">
        <v>129</v>
      </c>
      <c r="I11" s="35" t="s">
        <v>170</v>
      </c>
      <c r="J11" s="35" t="s">
        <v>129</v>
      </c>
      <c r="K11" s="35" t="s">
        <v>186</v>
      </c>
    </row>
    <row r="12" spans="1:11" ht="17.25" thickBot="1">
      <c r="A12" s="37" t="s">
        <v>2</v>
      </c>
      <c r="B12" s="37" t="s">
        <v>0</v>
      </c>
      <c r="C12" s="37" t="s">
        <v>0</v>
      </c>
      <c r="D12" s="37" t="s">
        <v>0</v>
      </c>
      <c r="E12" s="37" t="s">
        <v>172</v>
      </c>
      <c r="F12" s="37" t="s">
        <v>172</v>
      </c>
      <c r="G12" s="37" t="s">
        <v>259</v>
      </c>
      <c r="H12" s="37" t="s">
        <v>259</v>
      </c>
      <c r="I12" s="37" t="s">
        <v>260</v>
      </c>
      <c r="J12" s="37" t="s">
        <v>260</v>
      </c>
      <c r="K12" s="204" t="s">
        <v>262</v>
      </c>
    </row>
    <row r="13" spans="1:11">
      <c r="A13" s="39" t="s">
        <v>7</v>
      </c>
      <c r="B13" s="39" t="s">
        <v>7</v>
      </c>
      <c r="C13" s="39" t="s">
        <v>7</v>
      </c>
      <c r="D13" s="40" t="s">
        <v>125</v>
      </c>
      <c r="E13" s="39" t="s">
        <v>7</v>
      </c>
      <c r="F13" s="39" t="s">
        <v>0</v>
      </c>
      <c r="G13" s="39" t="s">
        <v>7</v>
      </c>
      <c r="H13" s="39" t="s">
        <v>0</v>
      </c>
      <c r="I13" s="39" t="s">
        <v>7</v>
      </c>
      <c r="J13" s="39" t="s">
        <v>0</v>
      </c>
      <c r="K13" s="39" t="s">
        <v>0</v>
      </c>
    </row>
    <row r="14" spans="1:11" ht="16.5">
      <c r="A14" s="35"/>
      <c r="B14" s="35"/>
      <c r="C14" s="35"/>
      <c r="D14" s="35"/>
      <c r="E14" s="35"/>
      <c r="F14" s="35"/>
      <c r="G14" s="12"/>
      <c r="H14" s="12"/>
      <c r="I14" s="12"/>
      <c r="J14" s="12"/>
      <c r="K14" s="12"/>
    </row>
    <row r="15" spans="1:11" ht="16.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7.25">
      <c r="A16" s="63" t="str">
        <f>+'S&amp;D'!A22</f>
        <v>AES CORPORATION</v>
      </c>
      <c r="B16" s="90" t="str">
        <f>+'S&amp;D'!B22</f>
        <v>AES</v>
      </c>
      <c r="C16" s="90" t="str">
        <f>+'S&amp;D'!C22</f>
        <v>Power Electric</v>
      </c>
      <c r="D16" s="60">
        <f>+'S&amp;D'!G22</f>
        <v>12.87</v>
      </c>
      <c r="E16" s="62">
        <v>0.7</v>
      </c>
      <c r="F16" s="66">
        <f>+E16/D16</f>
        <v>5.4390054390054392E-2</v>
      </c>
      <c r="G16" s="62">
        <v>0.71</v>
      </c>
      <c r="H16" s="66">
        <f>+G16/D16</f>
        <v>5.5167055167055168E-2</v>
      </c>
      <c r="I16" s="62">
        <v>0.85</v>
      </c>
      <c r="J16" s="66">
        <f>+I16/D16</f>
        <v>6.6045066045066048E-2</v>
      </c>
      <c r="K16" s="203">
        <f>RATE(3,,-G16,I16)</f>
        <v>6.1826416480780452E-2</v>
      </c>
    </row>
    <row r="17" spans="1:11" ht="17.25">
      <c r="A17" s="63" t="str">
        <f>+'S&amp;D'!A23</f>
        <v>DOMINION ENERGY INC</v>
      </c>
      <c r="B17" s="90" t="str">
        <f>+'S&amp;D'!B23</f>
        <v>D</v>
      </c>
      <c r="C17" s="90" t="str">
        <f>+'S&amp;D'!C23</f>
        <v>Electric - East</v>
      </c>
      <c r="D17" s="60">
        <f>+'S&amp;D'!G23</f>
        <v>53.86</v>
      </c>
      <c r="E17" s="62">
        <v>2.67</v>
      </c>
      <c r="F17" s="66">
        <f t="shared" ref="F17:F22" si="0">+E17/D17</f>
        <v>4.9572966951355366E-2</v>
      </c>
      <c r="G17" s="62">
        <v>2.67</v>
      </c>
      <c r="H17" s="66">
        <f>+G17/D17</f>
        <v>4.9572966951355366E-2</v>
      </c>
      <c r="I17" s="62">
        <v>2.67</v>
      </c>
      <c r="J17" s="66">
        <f>+I17/D17</f>
        <v>4.9572966951355366E-2</v>
      </c>
      <c r="K17" s="203">
        <f>RATE(3,,-G17,I17)</f>
        <v>4.5847207891273409E-14</v>
      </c>
    </row>
    <row r="18" spans="1:11" ht="17.25">
      <c r="A18" s="63" t="str">
        <f>+'S&amp;D'!A24</f>
        <v>CONSTELLATION ENERGY GENERATION LLC</v>
      </c>
      <c r="B18" s="90" t="str">
        <f>+'S&amp;D'!B24</f>
        <v>CEG</v>
      </c>
      <c r="C18" s="90" t="str">
        <f>+'S&amp;D'!C24</f>
        <v>Power Electric</v>
      </c>
      <c r="D18" s="60">
        <f>+'S&amp;D'!G24</f>
        <v>223.71</v>
      </c>
      <c r="E18" s="62">
        <v>1.55</v>
      </c>
      <c r="F18" s="66">
        <f t="shared" si="0"/>
        <v>6.9286129363908631E-3</v>
      </c>
      <c r="G18" s="62">
        <v>1.7</v>
      </c>
      <c r="H18" s="66">
        <f t="shared" ref="H18:H22" si="1">+G18/D18</f>
        <v>7.5991238657190105E-3</v>
      </c>
      <c r="I18" s="62">
        <v>2.27</v>
      </c>
      <c r="J18" s="66">
        <f t="shared" ref="J18:J22" si="2">+I18/D18</f>
        <v>1.0147065397165974E-2</v>
      </c>
      <c r="K18" s="203">
        <f t="shared" ref="K18:K22" si="3">RATE(3,,-G18,I18)</f>
        <v>0.1011816826345046</v>
      </c>
    </row>
    <row r="19" spans="1:11" ht="17.25">
      <c r="A19" s="63" t="str">
        <f>+'S&amp;D'!A25</f>
        <v>NEXTERA ENERGY INC</v>
      </c>
      <c r="B19" s="90" t="str">
        <f>+'S&amp;D'!B25</f>
        <v>NEE</v>
      </c>
      <c r="C19" s="90" t="str">
        <f>+'S&amp;D'!C25</f>
        <v>Electric - East</v>
      </c>
      <c r="D19" s="60">
        <f>+'S&amp;D'!G25</f>
        <v>71.69</v>
      </c>
      <c r="E19" s="62">
        <v>2.2599999999999998</v>
      </c>
      <c r="F19" s="66">
        <f t="shared" si="0"/>
        <v>3.1524619891198209E-2</v>
      </c>
      <c r="G19" s="62">
        <v>2.5</v>
      </c>
      <c r="H19" s="66">
        <f t="shared" si="1"/>
        <v>3.487236713628121E-2</v>
      </c>
      <c r="I19" s="62">
        <v>3.22</v>
      </c>
      <c r="J19" s="66">
        <f t="shared" si="2"/>
        <v>4.4915608871530205E-2</v>
      </c>
      <c r="K19" s="203">
        <f>RATE(3,,-G19,I19)</f>
        <v>8.8024365082959785E-2</v>
      </c>
    </row>
    <row r="20" spans="1:11" ht="17.25">
      <c r="A20" s="63" t="str">
        <f>+'S&amp;D'!A26</f>
        <v>NRG ENERGY</v>
      </c>
      <c r="B20" s="90" t="str">
        <f>+'S&amp;D'!B26</f>
        <v>NRG</v>
      </c>
      <c r="C20" s="90" t="str">
        <f>+'S&amp;D'!C26</f>
        <v>Power Electric</v>
      </c>
      <c r="D20" s="60">
        <f>+'S&amp;D'!G26</f>
        <v>90.22</v>
      </c>
      <c r="E20" s="62">
        <v>1.76</v>
      </c>
      <c r="F20" s="66">
        <f t="shared" si="0"/>
        <v>1.9507869651961871E-2</v>
      </c>
      <c r="G20" s="62">
        <v>1.88</v>
      </c>
      <c r="H20" s="66">
        <f t="shared" si="1"/>
        <v>2.0837951673686544E-2</v>
      </c>
      <c r="I20" s="62">
        <v>2.2599999999999998</v>
      </c>
      <c r="J20" s="66">
        <f t="shared" si="2"/>
        <v>2.5049878075814672E-2</v>
      </c>
      <c r="K20" s="203">
        <f t="shared" si="3"/>
        <v>6.3286247162367415E-2</v>
      </c>
    </row>
    <row r="21" spans="1:11" ht="17.25">
      <c r="A21" s="63" t="str">
        <f>+'S&amp;D'!A27</f>
        <v>SOUTHERN COMPANY</v>
      </c>
      <c r="B21" s="90" t="str">
        <f>+'S&amp;D'!B27</f>
        <v>SO</v>
      </c>
      <c r="C21" s="90" t="str">
        <f>+'S&amp;D'!C27</f>
        <v>Electric - East</v>
      </c>
      <c r="D21" s="60">
        <f>+'S&amp;D'!G27</f>
        <v>82.32</v>
      </c>
      <c r="E21" s="62">
        <v>2.96</v>
      </c>
      <c r="F21" s="66">
        <f t="shared" si="0"/>
        <v>3.5957240038872691E-2</v>
      </c>
      <c r="G21" s="62">
        <v>3.05</v>
      </c>
      <c r="H21" s="66">
        <f t="shared" si="1"/>
        <v>3.7050534499514093E-2</v>
      </c>
      <c r="I21" s="62">
        <v>3.1</v>
      </c>
      <c r="J21" s="66">
        <f t="shared" si="2"/>
        <v>3.7657920310981537E-2</v>
      </c>
      <c r="K21" s="203">
        <f t="shared" si="3"/>
        <v>5.4348893402377798E-3</v>
      </c>
    </row>
    <row r="22" spans="1:11" ht="17.25">
      <c r="A22" s="63" t="str">
        <f>+'S&amp;D'!A28</f>
        <v>VISTRA ENERGY CORPORATION</v>
      </c>
      <c r="B22" s="90" t="str">
        <f>+'S&amp;D'!B28</f>
        <v>VST</v>
      </c>
      <c r="C22" s="90" t="str">
        <f>+'S&amp;D'!C28</f>
        <v>Power Electric</v>
      </c>
      <c r="D22" s="60">
        <f>+'S&amp;D'!G28</f>
        <v>137.87</v>
      </c>
      <c r="E22" s="62">
        <v>0.98</v>
      </c>
      <c r="F22" s="66">
        <f t="shared" si="0"/>
        <v>7.1081453543192863E-3</v>
      </c>
      <c r="G22" s="62">
        <v>1.2</v>
      </c>
      <c r="H22" s="66">
        <f t="shared" si="1"/>
        <v>8.7038514542685137E-3</v>
      </c>
      <c r="I22" s="62">
        <v>1.54</v>
      </c>
      <c r="J22" s="66">
        <f t="shared" si="2"/>
        <v>1.1169942699644593E-2</v>
      </c>
      <c r="K22" s="203">
        <f t="shared" si="3"/>
        <v>8.6708735788777483E-2</v>
      </c>
    </row>
    <row r="23" spans="1:11" ht="17.25" thickBot="1">
      <c r="A23" s="12"/>
      <c r="B23" s="12"/>
      <c r="C23" s="44"/>
      <c r="D23" s="47"/>
      <c r="E23" s="47"/>
      <c r="F23" s="47"/>
      <c r="G23" s="47"/>
      <c r="H23" s="47"/>
      <c r="I23" s="47"/>
      <c r="J23" s="47"/>
      <c r="K23" s="47"/>
    </row>
    <row r="24" spans="1:11" ht="17.25" thickTop="1">
      <c r="A24" s="12"/>
      <c r="B24" s="12"/>
      <c r="D24" s="14" t="s">
        <v>53</v>
      </c>
      <c r="E24" s="16">
        <f>MAX(E16:E22)</f>
        <v>2.96</v>
      </c>
      <c r="F24" s="269">
        <f t="shared" ref="F24:K24" si="4">MAX(F16:F22)</f>
        <v>5.4390054390054392E-2</v>
      </c>
      <c r="G24" s="16">
        <f t="shared" si="4"/>
        <v>3.05</v>
      </c>
      <c r="H24" s="269">
        <f t="shared" si="4"/>
        <v>5.5167055167055168E-2</v>
      </c>
      <c r="I24" s="16">
        <f t="shared" si="4"/>
        <v>3.22</v>
      </c>
      <c r="J24" s="269">
        <f t="shared" si="4"/>
        <v>6.6045066045066048E-2</v>
      </c>
      <c r="K24" s="269">
        <f t="shared" si="4"/>
        <v>0.1011816826345046</v>
      </c>
    </row>
    <row r="25" spans="1:11" ht="16.5">
      <c r="A25" s="12"/>
      <c r="B25" s="12"/>
      <c r="D25" s="14" t="s">
        <v>54</v>
      </c>
      <c r="E25" s="295">
        <f>MIN(E16:E22)</f>
        <v>0.7</v>
      </c>
      <c r="F25" s="270">
        <f t="shared" ref="F25:K25" si="5">MIN(F16:F22)</f>
        <v>6.9286129363908631E-3</v>
      </c>
      <c r="G25" s="295">
        <f t="shared" si="5"/>
        <v>0.71</v>
      </c>
      <c r="H25" s="270">
        <f t="shared" si="5"/>
        <v>7.5991238657190105E-3</v>
      </c>
      <c r="I25" s="295">
        <f t="shared" si="5"/>
        <v>0.85</v>
      </c>
      <c r="J25" s="270">
        <f t="shared" si="5"/>
        <v>1.0147065397165974E-2</v>
      </c>
      <c r="K25" s="270">
        <f t="shared" si="5"/>
        <v>4.5847207891273409E-14</v>
      </c>
    </row>
    <row r="26" spans="1:11" ht="16.5">
      <c r="A26" s="12"/>
      <c r="B26" s="12"/>
      <c r="D26" s="14" t="s">
        <v>18</v>
      </c>
      <c r="E26" s="17">
        <f t="shared" ref="E26:K26" si="6">MEDIAN(E16:E22)</f>
        <v>1.76</v>
      </c>
      <c r="F26" s="55">
        <f t="shared" si="6"/>
        <v>3.1524619891198209E-2</v>
      </c>
      <c r="G26" s="17">
        <f t="shared" si="6"/>
        <v>1.88</v>
      </c>
      <c r="H26" s="55">
        <f t="shared" si="6"/>
        <v>3.487236713628121E-2</v>
      </c>
      <c r="I26" s="17">
        <f t="shared" si="6"/>
        <v>2.27</v>
      </c>
      <c r="J26" s="55">
        <f t="shared" si="6"/>
        <v>3.7657920310981537E-2</v>
      </c>
      <c r="K26" s="55">
        <f t="shared" si="6"/>
        <v>6.3286247162367415E-2</v>
      </c>
    </row>
    <row r="27" spans="1:11" ht="16.5">
      <c r="A27" s="12"/>
      <c r="B27" s="12"/>
      <c r="D27" s="14" t="s">
        <v>377</v>
      </c>
      <c r="E27" s="21">
        <f t="shared" ref="E27:K27" si="7">AVERAGE(E16:E22)</f>
        <v>1.8399999999999999</v>
      </c>
      <c r="F27" s="57">
        <f t="shared" si="7"/>
        <v>2.9284215602021813E-2</v>
      </c>
      <c r="G27" s="21">
        <f t="shared" si="7"/>
        <v>1.9585714285714286</v>
      </c>
      <c r="H27" s="57">
        <f t="shared" si="7"/>
        <v>3.0543407249697129E-2</v>
      </c>
      <c r="I27" s="21">
        <f t="shared" si="7"/>
        <v>2.2728571428571427</v>
      </c>
      <c r="J27" s="57">
        <f t="shared" si="7"/>
        <v>3.4936921193079763E-2</v>
      </c>
      <c r="K27" s="57">
        <f t="shared" si="7"/>
        <v>5.8066048069953337E-2</v>
      </c>
    </row>
    <row r="28" spans="1:11" ht="16.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ht="26.25">
      <c r="A29" s="12"/>
      <c r="B29" s="12"/>
      <c r="C29" s="12"/>
      <c r="D29" s="12"/>
      <c r="E29" s="12"/>
      <c r="F29" s="49" t="s">
        <v>0</v>
      </c>
      <c r="G29" s="64" t="s">
        <v>0</v>
      </c>
      <c r="H29" s="12"/>
      <c r="I29" s="12"/>
      <c r="J29" s="12"/>
      <c r="K29" s="12"/>
    </row>
    <row r="30" spans="1:11" ht="18.75">
      <c r="A30" s="205" t="s">
        <v>263</v>
      </c>
    </row>
  </sheetData>
  <pageMargins left="0.25" right="0.25" top="0.75" bottom="0.75" header="0.3" footer="0.3"/>
  <pageSetup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CFB36B36E7EE46B860E7832FBC9DDB" ma:contentTypeVersion="2" ma:contentTypeDescription="Create a new document." ma:contentTypeScope="" ma:versionID="2e3b4bac0c97e1a68d6ab173eaee7b3d">
  <xsd:schema xmlns:xsd="http://www.w3.org/2001/XMLSchema" xmlns:xs="http://www.w3.org/2001/XMLSchema" xmlns:p="http://schemas.microsoft.com/office/2006/metadata/properties" xmlns:ns2="f94b9277-b0a3-4d91-bade-04ea91219630" targetNamespace="http://schemas.microsoft.com/office/2006/metadata/properties" ma:root="true" ma:fieldsID="93ea9a64a9ab47897a537ad3dd05bc89" ns2:_="">
    <xsd:import namespace="f94b9277-b0a3-4d91-bade-04ea9121963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b9277-b0a3-4d91-bade-04ea912196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912260-78AB-48FD-8D18-62B11E3163AE}"/>
</file>

<file path=customXml/itemProps2.xml><?xml version="1.0" encoding="utf-8"?>
<ds:datastoreItem xmlns:ds="http://schemas.openxmlformats.org/officeDocument/2006/customXml" ds:itemID="{5B733B89-0D6C-4E2C-B9B8-8EAD868D2A1F}"/>
</file>

<file path=customXml/itemProps3.xml><?xml version="1.0" encoding="utf-8"?>
<ds:datastoreItem xmlns:ds="http://schemas.openxmlformats.org/officeDocument/2006/customXml" ds:itemID="{4E47CDC3-671B-4803-9217-166816C27F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18</vt:i4>
      </vt:variant>
    </vt:vector>
  </HeadingPairs>
  <TitlesOfParts>
    <vt:vector size="37" baseType="lpstr">
      <vt:lpstr>Cover Sheet</vt:lpstr>
      <vt:lpstr>Yield CapRate</vt:lpstr>
      <vt:lpstr>Direct CapRates</vt:lpstr>
      <vt:lpstr>S&amp;D</vt:lpstr>
      <vt:lpstr>Market to Book Ratios</vt:lpstr>
      <vt:lpstr>Maintenance CapEx</vt:lpstr>
      <vt:lpstr>Beta for CAPM</vt:lpstr>
      <vt:lpstr>Earnings</vt:lpstr>
      <vt:lpstr>Dividends </vt:lpstr>
      <vt:lpstr>Debt</vt:lpstr>
      <vt:lpstr>Direct GCF</vt:lpstr>
      <vt:lpstr>Direct NOPAT</vt:lpstr>
      <vt:lpstr>CAPM</vt:lpstr>
      <vt:lpstr>Growth &amp; Inflation Rates</vt:lpstr>
      <vt:lpstr>Indicated Yield Equity Rate </vt:lpstr>
      <vt:lpstr>Single Stage Div Growth Model</vt:lpstr>
      <vt:lpstr>Two-Stage Dividend Growth Model</vt:lpstr>
      <vt:lpstr>Multiples</vt:lpstr>
      <vt:lpstr>Info</vt:lpstr>
      <vt:lpstr>'Beta for CAPM'!Print_Area</vt:lpstr>
      <vt:lpstr>CAPM!Print_Area</vt:lpstr>
      <vt:lpstr>'Cover Sheet'!Print_Area</vt:lpstr>
      <vt:lpstr>Debt!Print_Area</vt:lpstr>
      <vt:lpstr>'Direct CapRates'!Print_Area</vt:lpstr>
      <vt:lpstr>'Direct GCF'!Print_Area</vt:lpstr>
      <vt:lpstr>'Direct NOPAT'!Print_Area</vt:lpstr>
      <vt:lpstr>'Dividends '!Print_Area</vt:lpstr>
      <vt:lpstr>Earnings!Print_Area</vt:lpstr>
      <vt:lpstr>'Growth &amp; Inflation Rates'!Print_Area</vt:lpstr>
      <vt:lpstr>'Indicated Yield Equity Rate '!Print_Area</vt:lpstr>
      <vt:lpstr>'Maintenance CapEx'!Print_Area</vt:lpstr>
      <vt:lpstr>'Market to Book Ratios'!Print_Area</vt:lpstr>
      <vt:lpstr>Multiples!Print_Area</vt:lpstr>
      <vt:lpstr>'S&amp;D'!Print_Area</vt:lpstr>
      <vt:lpstr>'Single Stage Div Growth Model'!Print_Area</vt:lpstr>
      <vt:lpstr>'Two-Stage Dividend Growth Model'!Print_Area</vt:lpstr>
      <vt:lpstr>'Yield CapRate'!Print_Area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Cap Rate Study - Electric Wholesale</dc:title>
  <dc:creator>%USERNAME%</dc:creator>
  <cp:lastModifiedBy>Sheeks, Ashley (DOR)</cp:lastModifiedBy>
  <cp:lastPrinted>2023-05-30T15:23:54Z</cp:lastPrinted>
  <dcterms:created xsi:type="dcterms:W3CDTF">2016-02-12T19:29:24Z</dcterms:created>
  <dcterms:modified xsi:type="dcterms:W3CDTF">2025-10-01T15:51:50Z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0x01010019CFB36B36E7EE46B860E7832FBC9DDB</vt:lpwstr>
  </property>
</Properties>
</file>