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95E18248-3ADC-4054-A98B-A450FCB9C1F5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CAPM" sheetId="34" r:id="rId13"/>
    <sheet name="Growth &amp; Inflation Rates " sheetId="38" r:id="rId14"/>
    <sheet name="Indicated Yield Equity Rate" sheetId="33" r:id="rId15"/>
    <sheet name="Single Stage Div Growth Model" sheetId="19" r:id="rId16"/>
    <sheet name="Two-Stage Div Growth Model" sheetId="20" r:id="rId17"/>
    <sheet name="Multiples" sheetId="25" r:id="rId18"/>
    <sheet name="Info" sheetId="9" r:id="rId19"/>
  </sheets>
  <definedNames>
    <definedName name="_xlnm.Print_Area" localSheetId="6">'Beta for CAPM'!$A$1:$H$36</definedName>
    <definedName name="_xlnm.Print_Area" localSheetId="12">CAPM!$A$1:$H$83</definedName>
    <definedName name="_xlnm.Print_Area" localSheetId="0">'Cover Sheet'!$A$1:$I$37</definedName>
    <definedName name="_xlnm.Print_Area" localSheetId="9">Debt!$A$1:$M$58</definedName>
    <definedName name="_xlnm.Print_Area" localSheetId="2">'Direct CapRates'!$A$1:$H$66</definedName>
    <definedName name="_xlnm.Print_Area" localSheetId="10">'Direct GCF'!$A$1:$N$38</definedName>
    <definedName name="_xlnm.Print_Area" localSheetId="11">'Direct NOPAT'!$A$1:$N$58</definedName>
    <definedName name="_xlnm.Print_Area" localSheetId="7">'Dividends '!$A$1:$K$30</definedName>
    <definedName name="_xlnm.Print_Area" localSheetId="8">Earnings!$A$1:$K$30</definedName>
    <definedName name="_xlnm.Print_Area" localSheetId="13">'Growth &amp; Inflation Rates '!$A$1:$I$109</definedName>
    <definedName name="_xlnm.Print_Area" localSheetId="14">'Indicated Yield Equity Rate'!$A$1:$F$52</definedName>
    <definedName name="_xlnm.Print_Area" localSheetId="5">'Maintenance CapEx'!$A$1:$L$75</definedName>
    <definedName name="_xlnm.Print_Area" localSheetId="4">'Market to Book Ratios'!$A$1:$G$58</definedName>
    <definedName name="_xlnm.Print_Area" localSheetId="17">Multiples!$A$1:$J$42</definedName>
    <definedName name="_xlnm.Print_Area" localSheetId="3">'S&amp;D'!$A$1:$L$90</definedName>
    <definedName name="_xlnm.Print_Area" localSheetId="15">'Single Stage Div Growth Model'!$A$1:$K$46</definedName>
    <definedName name="_xlnm.Print_Area" localSheetId="16">'Two-Stage Div Growth Model'!$A$1:$I$44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8" l="1"/>
  <c r="J17" i="8"/>
  <c r="J18" i="8"/>
  <c r="J19" i="8"/>
  <c r="J20" i="8"/>
  <c r="J15" i="8"/>
  <c r="J21" i="19"/>
  <c r="H31" i="5"/>
  <c r="G16" i="38" l="1"/>
  <c r="G15" i="38"/>
  <c r="F16" i="38"/>
  <c r="F15" i="38"/>
  <c r="A7" i="38"/>
  <c r="D58" i="10" l="1"/>
  <c r="D25" i="10"/>
  <c r="K25" i="27"/>
  <c r="I16" i="8"/>
  <c r="I17" i="8"/>
  <c r="I18" i="8"/>
  <c r="I19" i="8"/>
  <c r="I20" i="8"/>
  <c r="I15" i="8"/>
  <c r="J25" i="8" l="1"/>
  <c r="J24" i="8"/>
  <c r="I25" i="8"/>
  <c r="I24" i="8"/>
  <c r="I23" i="8"/>
  <c r="I22" i="8"/>
  <c r="J22" i="8"/>
  <c r="J23" i="8"/>
  <c r="G31" i="5"/>
  <c r="K16" i="17" l="1"/>
  <c r="C25" i="11"/>
  <c r="C24" i="11"/>
  <c r="C23" i="11"/>
  <c r="C22" i="11"/>
  <c r="C21" i="11"/>
  <c r="C20" i="11"/>
  <c r="F57" i="34"/>
  <c r="F56" i="34"/>
  <c r="F55" i="34"/>
  <c r="F53" i="34"/>
  <c r="F52" i="34"/>
  <c r="F50" i="34"/>
  <c r="F48" i="34"/>
  <c r="F46" i="34"/>
  <c r="F45" i="34"/>
  <c r="F44" i="34"/>
  <c r="F43" i="34"/>
  <c r="F41" i="34"/>
  <c r="F40" i="34"/>
  <c r="E31" i="34"/>
  <c r="E30" i="34"/>
  <c r="E29" i="34"/>
  <c r="E27" i="34"/>
  <c r="E26" i="34"/>
  <c r="E24" i="34"/>
  <c r="E22" i="34"/>
  <c r="E20" i="34"/>
  <c r="E19" i="34"/>
  <c r="E18" i="34"/>
  <c r="E17" i="34"/>
  <c r="E15" i="34"/>
  <c r="E14" i="34"/>
  <c r="F57" i="38"/>
  <c r="E54" i="38"/>
  <c r="D54" i="38"/>
  <c r="F54" i="38" s="1"/>
  <c r="E53" i="38"/>
  <c r="D53" i="38"/>
  <c r="F53" i="38" s="1"/>
  <c r="F52" i="38"/>
  <c r="E52" i="38"/>
  <c r="D52" i="38"/>
  <c r="E51" i="38"/>
  <c r="D51" i="38"/>
  <c r="F50" i="38"/>
  <c r="F48" i="38"/>
  <c r="F47" i="38"/>
  <c r="F46" i="38"/>
  <c r="F45" i="38"/>
  <c r="F44" i="38"/>
  <c r="F51" i="38" s="1"/>
  <c r="F43" i="38"/>
  <c r="F42" i="38"/>
  <c r="A15" i="38"/>
  <c r="G25" i="11"/>
  <c r="E26" i="29"/>
  <c r="I26" i="3"/>
  <c r="J26" i="3"/>
  <c r="F23" i="20" l="1"/>
  <c r="F25" i="20"/>
  <c r="F26" i="20"/>
  <c r="F21" i="20"/>
  <c r="F22" i="20"/>
  <c r="F24" i="20"/>
  <c r="E25" i="29"/>
  <c r="J25" i="3"/>
  <c r="E24" i="29"/>
  <c r="E23" i="29"/>
  <c r="E22" i="29" l="1"/>
  <c r="F27" i="3" l="1"/>
  <c r="F26" i="3"/>
  <c r="F25" i="3"/>
  <c r="F24" i="3"/>
  <c r="F23" i="3"/>
  <c r="F22" i="3"/>
  <c r="E40" i="29"/>
  <c r="E41" i="29"/>
  <c r="E42" i="29"/>
  <c r="E43" i="29"/>
  <c r="E44" i="29"/>
  <c r="E39" i="29"/>
  <c r="D40" i="29"/>
  <c r="D41" i="29"/>
  <c r="D42" i="29"/>
  <c r="D44" i="29"/>
  <c r="G23" i="8" l="1"/>
  <c r="G22" i="8"/>
  <c r="D43" i="29" l="1"/>
  <c r="H24" i="25" l="1"/>
  <c r="H23" i="25"/>
  <c r="E24" i="25"/>
  <c r="E23" i="25"/>
  <c r="H24" i="19" l="1"/>
  <c r="G24" i="19"/>
  <c r="H23" i="19"/>
  <c r="G23" i="19"/>
  <c r="J25" i="5" l="1"/>
  <c r="J24" i="5"/>
  <c r="D25" i="5"/>
  <c r="D24" i="5"/>
  <c r="I24" i="27" l="1"/>
  <c r="G24" i="27"/>
  <c r="E24" i="27"/>
  <c r="I23" i="27"/>
  <c r="G23" i="27"/>
  <c r="E23" i="27"/>
  <c r="I24" i="17"/>
  <c r="G24" i="17"/>
  <c r="I23" i="17"/>
  <c r="G23" i="17"/>
  <c r="E24" i="17"/>
  <c r="E23" i="17"/>
  <c r="H25" i="14"/>
  <c r="H24" i="14"/>
  <c r="D39" i="29" l="1"/>
  <c r="I25" i="27" l="1"/>
  <c r="B44" i="34" l="1"/>
  <c r="E44" i="34" s="1"/>
  <c r="A44" i="34"/>
  <c r="A6" i="25"/>
  <c r="A6" i="20"/>
  <c r="A6" i="19"/>
  <c r="A57" i="34" l="1"/>
  <c r="A56" i="34"/>
  <c r="A55" i="34"/>
  <c r="A46" i="34"/>
  <c r="A45" i="34"/>
  <c r="A43" i="34"/>
  <c r="A6" i="34" l="1"/>
  <c r="B56" i="34"/>
  <c r="E56" i="34" s="1"/>
  <c r="B46" i="34"/>
  <c r="E46" i="34" s="1"/>
  <c r="B45" i="34"/>
  <c r="E45" i="34" s="1"/>
  <c r="A6" i="33"/>
  <c r="A6" i="12"/>
  <c r="A6" i="5"/>
  <c r="A6" i="8"/>
  <c r="A6" i="27"/>
  <c r="A6" i="17"/>
  <c r="A8" i="14"/>
  <c r="A8" i="11"/>
  <c r="A16" i="6"/>
  <c r="D16" i="7"/>
  <c r="D15" i="10"/>
  <c r="A9" i="29"/>
  <c r="C14" i="34"/>
  <c r="B57" i="34"/>
  <c r="E57" i="34" s="1"/>
  <c r="B55" i="34"/>
  <c r="E55" i="34" s="1"/>
  <c r="B53" i="34"/>
  <c r="E53" i="34" s="1"/>
  <c r="B52" i="34"/>
  <c r="E52" i="34" s="1"/>
  <c r="B50" i="34"/>
  <c r="E50" i="34" s="1"/>
  <c r="B48" i="34"/>
  <c r="E48" i="34" s="1"/>
  <c r="B43" i="34"/>
  <c r="E43" i="34" s="1"/>
  <c r="B41" i="34"/>
  <c r="E41" i="34" s="1"/>
  <c r="B40" i="34"/>
  <c r="E40" i="34" l="1"/>
  <c r="C20" i="34"/>
  <c r="D20" i="34" s="1"/>
  <c r="F20" i="34" s="1"/>
  <c r="D19" i="33" s="1"/>
  <c r="C18" i="34"/>
  <c r="C29" i="34"/>
  <c r="C55" i="34" s="1"/>
  <c r="D55" i="34" s="1"/>
  <c r="G55" i="34" s="1"/>
  <c r="D37" i="33" s="1"/>
  <c r="C19" i="34"/>
  <c r="C17" i="34"/>
  <c r="C15" i="34"/>
  <c r="C30" i="34" s="1"/>
  <c r="C26" i="34"/>
  <c r="C40" i="34"/>
  <c r="C27" i="34"/>
  <c r="C31" i="34"/>
  <c r="C24" i="34"/>
  <c r="D14" i="34"/>
  <c r="F14" i="34" s="1"/>
  <c r="D14" i="33" s="1"/>
  <c r="C22" i="34"/>
  <c r="D29" i="34" l="1"/>
  <c r="F29" i="34" s="1"/>
  <c r="D24" i="33" s="1"/>
  <c r="D40" i="34"/>
  <c r="G40" i="34" s="1"/>
  <c r="D27" i="33" s="1"/>
  <c r="C46" i="34"/>
  <c r="D46" i="34" s="1"/>
  <c r="G46" i="34" s="1"/>
  <c r="D32" i="33" s="1"/>
  <c r="C44" i="34"/>
  <c r="D44" i="34" s="1"/>
  <c r="G44" i="34" s="1"/>
  <c r="D30" i="33" s="1"/>
  <c r="D18" i="34"/>
  <c r="F18" i="34" s="1"/>
  <c r="D17" i="33" s="1"/>
  <c r="C56" i="34"/>
  <c r="D56" i="34" s="1"/>
  <c r="G56" i="34" s="1"/>
  <c r="D38" i="33" s="1"/>
  <c r="D30" i="34"/>
  <c r="F30" i="34" s="1"/>
  <c r="D25" i="33" s="1"/>
  <c r="C45" i="34"/>
  <c r="D45" i="34" s="1"/>
  <c r="G45" i="34" s="1"/>
  <c r="D31" i="33" s="1"/>
  <c r="D19" i="34"/>
  <c r="F19" i="34" s="1"/>
  <c r="D18" i="33" s="1"/>
  <c r="C48" i="34"/>
  <c r="D48" i="34" s="1"/>
  <c r="G48" i="34" s="1"/>
  <c r="D33" i="33" s="1"/>
  <c r="D22" i="34"/>
  <c r="F22" i="34" s="1"/>
  <c r="D20" i="33" s="1"/>
  <c r="D31" i="34"/>
  <c r="F31" i="34" s="1"/>
  <c r="D26" i="33" s="1"/>
  <c r="C52" i="34"/>
  <c r="D52" i="34" s="1"/>
  <c r="G52" i="34" s="1"/>
  <c r="D35" i="33" s="1"/>
  <c r="D26" i="34"/>
  <c r="F26" i="34" s="1"/>
  <c r="D22" i="33" s="1"/>
  <c r="C57" i="34"/>
  <c r="D57" i="34" s="1"/>
  <c r="G57" i="34" s="1"/>
  <c r="D39" i="33" s="1"/>
  <c r="C53" i="34"/>
  <c r="D53" i="34" s="1"/>
  <c r="G53" i="34" s="1"/>
  <c r="D36" i="33" s="1"/>
  <c r="D27" i="34"/>
  <c r="F27" i="34" s="1"/>
  <c r="D23" i="33" s="1"/>
  <c r="C41" i="34"/>
  <c r="D41" i="34" s="1"/>
  <c r="G41" i="34" s="1"/>
  <c r="D28" i="33" s="1"/>
  <c r="D15" i="34"/>
  <c r="F15" i="34" s="1"/>
  <c r="D15" i="33" s="1"/>
  <c r="D24" i="34"/>
  <c r="F24" i="34" s="1"/>
  <c r="D21" i="33" s="1"/>
  <c r="C50" i="34"/>
  <c r="D50" i="34" s="1"/>
  <c r="G50" i="34" s="1"/>
  <c r="D34" i="33" s="1"/>
  <c r="C43" i="34"/>
  <c r="D43" i="34" s="1"/>
  <c r="G43" i="34" s="1"/>
  <c r="D29" i="33" s="1"/>
  <c r="D17" i="34"/>
  <c r="F17" i="34" s="1"/>
  <c r="D16" i="33" s="1"/>
  <c r="D23" i="7" l="1"/>
  <c r="D43" i="33"/>
  <c r="D42" i="33"/>
  <c r="D41" i="33"/>
  <c r="D40" i="33"/>
  <c r="D46" i="33" l="1"/>
  <c r="D45" i="33"/>
  <c r="A45" i="12" l="1"/>
  <c r="C45" i="12"/>
  <c r="D45" i="12"/>
  <c r="E45" i="12"/>
  <c r="A46" i="12"/>
  <c r="C46" i="12"/>
  <c r="D46" i="12"/>
  <c r="E46" i="12"/>
  <c r="A47" i="12"/>
  <c r="C47" i="12"/>
  <c r="D47" i="12"/>
  <c r="E47" i="12"/>
  <c r="A48" i="12"/>
  <c r="C48" i="12"/>
  <c r="D48" i="12"/>
  <c r="E48" i="12"/>
  <c r="A49" i="12"/>
  <c r="C49" i="12"/>
  <c r="D49" i="12"/>
  <c r="E49" i="12"/>
  <c r="A50" i="12"/>
  <c r="C50" i="12"/>
  <c r="D50" i="12"/>
  <c r="E50" i="12"/>
  <c r="E55" i="12" l="1"/>
  <c r="E53" i="12"/>
  <c r="E52" i="12"/>
  <c r="F47" i="12"/>
  <c r="G47" i="12" s="1"/>
  <c r="F46" i="12"/>
  <c r="G46" i="12" s="1"/>
  <c r="F45" i="12"/>
  <c r="F49" i="12"/>
  <c r="G49" i="12" s="1"/>
  <c r="F48" i="12"/>
  <c r="G48" i="12" s="1"/>
  <c r="E54" i="12"/>
  <c r="F50" i="12"/>
  <c r="G50" i="12" s="1"/>
  <c r="D47" i="33"/>
  <c r="D48" i="33"/>
  <c r="E21" i="12"/>
  <c r="E20" i="12"/>
  <c r="E19" i="12"/>
  <c r="E18" i="12"/>
  <c r="E17" i="12"/>
  <c r="E16" i="12"/>
  <c r="K21" i="12"/>
  <c r="K20" i="12"/>
  <c r="K19" i="12"/>
  <c r="K18" i="12"/>
  <c r="K17" i="12"/>
  <c r="K16" i="12"/>
  <c r="E24" i="12" l="1"/>
  <c r="E23" i="12"/>
  <c r="K24" i="12"/>
  <c r="K23" i="12"/>
  <c r="G45" i="12"/>
  <c r="F53" i="12"/>
  <c r="F52" i="12"/>
  <c r="F54" i="12"/>
  <c r="F55" i="12"/>
  <c r="G53" i="12" l="1"/>
  <c r="G52" i="12"/>
  <c r="G54" i="12"/>
  <c r="G55" i="12"/>
  <c r="D18" i="25"/>
  <c r="C18" i="25"/>
  <c r="B18" i="25"/>
  <c r="D17" i="25"/>
  <c r="C17" i="25"/>
  <c r="B17" i="25"/>
  <c r="D16" i="25"/>
  <c r="C16" i="25"/>
  <c r="B16" i="25"/>
  <c r="E23" i="20"/>
  <c r="C23" i="20"/>
  <c r="B23" i="20"/>
  <c r="A23" i="20"/>
  <c r="E22" i="20"/>
  <c r="C22" i="20"/>
  <c r="B22" i="20"/>
  <c r="A22" i="20"/>
  <c r="E21" i="20"/>
  <c r="C21" i="20"/>
  <c r="B21" i="20"/>
  <c r="A21" i="20"/>
  <c r="D19" i="19"/>
  <c r="C19" i="19"/>
  <c r="B19" i="19"/>
  <c r="A19" i="19"/>
  <c r="D18" i="19"/>
  <c r="C18" i="19"/>
  <c r="B18" i="19"/>
  <c r="A18" i="19"/>
  <c r="D17" i="19"/>
  <c r="C17" i="19"/>
  <c r="B17" i="19"/>
  <c r="A17" i="19"/>
  <c r="D18" i="12"/>
  <c r="J18" i="12" s="1"/>
  <c r="L18" i="12" s="1"/>
  <c r="M18" i="12" s="1"/>
  <c r="C18" i="12"/>
  <c r="I18" i="12" s="1"/>
  <c r="A18" i="12"/>
  <c r="D17" i="12"/>
  <c r="F17" i="12" s="1"/>
  <c r="G17" i="12" s="1"/>
  <c r="C17" i="12"/>
  <c r="I17" i="12" s="1"/>
  <c r="A17" i="12"/>
  <c r="D16" i="12"/>
  <c r="C16" i="12"/>
  <c r="I16" i="12" s="1"/>
  <c r="A16" i="12"/>
  <c r="C19" i="5"/>
  <c r="I19" i="5" s="1"/>
  <c r="L19" i="5" s="1"/>
  <c r="M19" i="5" s="1"/>
  <c r="B19" i="5"/>
  <c r="H19" i="5" s="1"/>
  <c r="A19" i="5"/>
  <c r="C18" i="5"/>
  <c r="I18" i="5" s="1"/>
  <c r="B18" i="5"/>
  <c r="H18" i="5" s="1"/>
  <c r="A18" i="5"/>
  <c r="C17" i="5"/>
  <c r="B17" i="5"/>
  <c r="H17" i="5" s="1"/>
  <c r="A17" i="5"/>
  <c r="E17" i="8"/>
  <c r="D17" i="8"/>
  <c r="C17" i="8"/>
  <c r="B17" i="8"/>
  <c r="A17" i="8"/>
  <c r="E16" i="8"/>
  <c r="D16" i="8"/>
  <c r="C16" i="8"/>
  <c r="B16" i="8"/>
  <c r="A16" i="8"/>
  <c r="E15" i="8"/>
  <c r="D15" i="8"/>
  <c r="C15" i="8"/>
  <c r="B15" i="8"/>
  <c r="A15" i="8"/>
  <c r="K18" i="27"/>
  <c r="D18" i="27"/>
  <c r="J18" i="27" s="1"/>
  <c r="C18" i="27"/>
  <c r="B18" i="27"/>
  <c r="A18" i="27"/>
  <c r="K17" i="27"/>
  <c r="D17" i="27"/>
  <c r="J17" i="27" s="1"/>
  <c r="C17" i="27"/>
  <c r="B17" i="27"/>
  <c r="A17" i="27"/>
  <c r="K16" i="27"/>
  <c r="D16" i="27"/>
  <c r="C16" i="27"/>
  <c r="B16" i="27"/>
  <c r="A16" i="27"/>
  <c r="K18" i="17"/>
  <c r="D18" i="17"/>
  <c r="J18" i="17" s="1"/>
  <c r="C18" i="17"/>
  <c r="B18" i="17"/>
  <c r="A18" i="17"/>
  <c r="K17" i="17"/>
  <c r="D17" i="17"/>
  <c r="J17" i="17" s="1"/>
  <c r="C17" i="17"/>
  <c r="B17" i="17"/>
  <c r="A17" i="17"/>
  <c r="D16" i="17"/>
  <c r="J16" i="17" s="1"/>
  <c r="C16" i="17"/>
  <c r="B16" i="17"/>
  <c r="A16" i="17"/>
  <c r="C20" i="14"/>
  <c r="B20" i="14"/>
  <c r="A20" i="14"/>
  <c r="C19" i="14"/>
  <c r="B19" i="14"/>
  <c r="A19" i="14"/>
  <c r="C18" i="14"/>
  <c r="B18" i="14"/>
  <c r="A18" i="14"/>
  <c r="F22" i="11"/>
  <c r="H22" i="11" s="1"/>
  <c r="J22" i="11" s="1"/>
  <c r="B22" i="11"/>
  <c r="A22" i="11"/>
  <c r="F21" i="11"/>
  <c r="H21" i="11" s="1"/>
  <c r="B21" i="11"/>
  <c r="A21" i="11"/>
  <c r="F20" i="11"/>
  <c r="H20" i="11" s="1"/>
  <c r="B20" i="11"/>
  <c r="A20" i="11"/>
  <c r="C27" i="29"/>
  <c r="B27" i="29"/>
  <c r="A27" i="29"/>
  <c r="C26" i="29"/>
  <c r="B26" i="29"/>
  <c r="A26" i="29"/>
  <c r="C25" i="29"/>
  <c r="B25" i="29"/>
  <c r="A25" i="29"/>
  <c r="C24" i="29"/>
  <c r="C41" i="29" s="1"/>
  <c r="B24" i="29"/>
  <c r="B41" i="29" s="1"/>
  <c r="A24" i="29"/>
  <c r="A41" i="29" s="1"/>
  <c r="C23" i="29"/>
  <c r="C40" i="29" s="1"/>
  <c r="B23" i="29"/>
  <c r="B40" i="29" s="1"/>
  <c r="A23" i="29"/>
  <c r="A40" i="29" s="1"/>
  <c r="C22" i="29"/>
  <c r="C39" i="29" s="1"/>
  <c r="B22" i="29"/>
  <c r="B39" i="29" s="1"/>
  <c r="A22" i="29"/>
  <c r="A39" i="29" s="1"/>
  <c r="E39" i="3"/>
  <c r="D39" i="3"/>
  <c r="E38" i="3"/>
  <c r="D38" i="3"/>
  <c r="E37" i="3"/>
  <c r="D37" i="3"/>
  <c r="D22" i="29" s="1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E19" i="19" l="1"/>
  <c r="D24" i="29"/>
  <c r="E18" i="19"/>
  <c r="D23" i="29"/>
  <c r="J16" i="27"/>
  <c r="E17" i="5"/>
  <c r="J16" i="12"/>
  <c r="F16" i="25"/>
  <c r="I16" i="25"/>
  <c r="F17" i="25"/>
  <c r="G17" i="25" s="1"/>
  <c r="I17" i="25"/>
  <c r="J17" i="25" s="1"/>
  <c r="F18" i="25"/>
  <c r="G18" i="25" s="1"/>
  <c r="I18" i="25"/>
  <c r="J18" i="25" s="1"/>
  <c r="I22" i="11"/>
  <c r="K22" i="11" s="1"/>
  <c r="L22" i="11" s="1"/>
  <c r="I20" i="11"/>
  <c r="F18" i="17"/>
  <c r="F17" i="17"/>
  <c r="F17" i="27"/>
  <c r="H39" i="3"/>
  <c r="I39" i="3" s="1"/>
  <c r="F18" i="12"/>
  <c r="G18" i="12" s="1"/>
  <c r="E18" i="5"/>
  <c r="F18" i="5" s="1"/>
  <c r="F16" i="27"/>
  <c r="F18" i="27"/>
  <c r="E19" i="5"/>
  <c r="F19" i="5" s="1"/>
  <c r="F16" i="17"/>
  <c r="F16" i="12"/>
  <c r="F22" i="29"/>
  <c r="F23" i="29"/>
  <c r="F24" i="29"/>
  <c r="E17" i="19"/>
  <c r="J17" i="12"/>
  <c r="L17" i="12" s="1"/>
  <c r="M17" i="12" s="1"/>
  <c r="I17" i="5"/>
  <c r="H16" i="27"/>
  <c r="H17" i="27"/>
  <c r="H18" i="27"/>
  <c r="H16" i="17"/>
  <c r="H17" i="17"/>
  <c r="H18" i="17"/>
  <c r="J20" i="11"/>
  <c r="I21" i="11"/>
  <c r="J21" i="11"/>
  <c r="H37" i="3"/>
  <c r="I37" i="3" s="1"/>
  <c r="J39" i="3" l="1"/>
  <c r="L17" i="5"/>
  <c r="G16" i="12"/>
  <c r="F17" i="5"/>
  <c r="G16" i="25"/>
  <c r="L16" i="12"/>
  <c r="J16" i="25"/>
  <c r="F19" i="19"/>
  <c r="J19" i="19" s="1"/>
  <c r="D23" i="20"/>
  <c r="D22" i="20"/>
  <c r="F18" i="19"/>
  <c r="J18" i="19" s="1"/>
  <c r="D21" i="20"/>
  <c r="F17" i="19"/>
  <c r="K20" i="11"/>
  <c r="L20" i="11" s="1"/>
  <c r="K21" i="11"/>
  <c r="L21" i="11" s="1"/>
  <c r="F41" i="29"/>
  <c r="H38" i="3"/>
  <c r="F40" i="29"/>
  <c r="F39" i="29"/>
  <c r="J37" i="3"/>
  <c r="M16" i="12" l="1"/>
  <c r="M17" i="5"/>
  <c r="I19" i="19"/>
  <c r="I18" i="19"/>
  <c r="I38" i="3"/>
  <c r="J38" i="3"/>
  <c r="J17" i="19"/>
  <c r="I17" i="19"/>
  <c r="G25" i="8"/>
  <c r="G24" i="8"/>
  <c r="E26" i="20" l="1"/>
  <c r="E25" i="20"/>
  <c r="E24" i="20"/>
  <c r="E40" i="3" l="1"/>
  <c r="D21" i="27" l="1"/>
  <c r="D20" i="27"/>
  <c r="D19" i="27"/>
  <c r="C26" i="20"/>
  <c r="B26" i="20"/>
  <c r="A26" i="20"/>
  <c r="C25" i="20"/>
  <c r="B25" i="20"/>
  <c r="A25" i="20"/>
  <c r="C24" i="20"/>
  <c r="B24" i="20"/>
  <c r="A24" i="20"/>
  <c r="D21" i="17"/>
  <c r="D20" i="17"/>
  <c r="D19" i="17"/>
  <c r="H19" i="17" s="1"/>
  <c r="D22" i="19"/>
  <c r="D21" i="19"/>
  <c r="D20" i="19"/>
  <c r="C22" i="19"/>
  <c r="B22" i="19"/>
  <c r="A22" i="19"/>
  <c r="C21" i="19"/>
  <c r="B21" i="19"/>
  <c r="A21" i="19"/>
  <c r="C20" i="19"/>
  <c r="B20" i="19"/>
  <c r="A20" i="19"/>
  <c r="A21" i="12"/>
  <c r="A20" i="12"/>
  <c r="A19" i="12"/>
  <c r="C21" i="12"/>
  <c r="I21" i="12" s="1"/>
  <c r="C20" i="12"/>
  <c r="I20" i="12" s="1"/>
  <c r="C19" i="12"/>
  <c r="I19" i="12" s="1"/>
  <c r="D21" i="12"/>
  <c r="D20" i="12"/>
  <c r="D19" i="12"/>
  <c r="C22" i="5"/>
  <c r="B22" i="5"/>
  <c r="H22" i="5" s="1"/>
  <c r="A22" i="5"/>
  <c r="C21" i="5"/>
  <c r="B21" i="5"/>
  <c r="H21" i="5" s="1"/>
  <c r="A21" i="5"/>
  <c r="C20" i="5"/>
  <c r="B20" i="5"/>
  <c r="H20" i="5" s="1"/>
  <c r="A20" i="5"/>
  <c r="D20" i="8"/>
  <c r="D19" i="8"/>
  <c r="D18" i="8"/>
  <c r="H19" i="27" l="1"/>
  <c r="D23" i="27"/>
  <c r="D24" i="27"/>
  <c r="C25" i="5"/>
  <c r="C24" i="5"/>
  <c r="D23" i="12"/>
  <c r="D24" i="12"/>
  <c r="D24" i="20"/>
  <c r="F20" i="19"/>
  <c r="D21" i="25"/>
  <c r="I21" i="25" s="1"/>
  <c r="J21" i="25" s="1"/>
  <c r="D20" i="25"/>
  <c r="I20" i="25" s="1"/>
  <c r="J20" i="25" s="1"/>
  <c r="D19" i="25"/>
  <c r="I19" i="25" s="1"/>
  <c r="C21" i="25"/>
  <c r="B21" i="25"/>
  <c r="C20" i="25"/>
  <c r="B20" i="25"/>
  <c r="C19" i="25"/>
  <c r="B19" i="25"/>
  <c r="C20" i="8"/>
  <c r="B20" i="8"/>
  <c r="A20" i="8"/>
  <c r="C19" i="8"/>
  <c r="B19" i="8"/>
  <c r="A19" i="8"/>
  <c r="A18" i="8"/>
  <c r="B18" i="8"/>
  <c r="C18" i="8"/>
  <c r="C21" i="27"/>
  <c r="B21" i="27"/>
  <c r="A21" i="27"/>
  <c r="C20" i="27"/>
  <c r="B20" i="27"/>
  <c r="A20" i="27"/>
  <c r="C19" i="27"/>
  <c r="B19" i="27"/>
  <c r="A19" i="27"/>
  <c r="C21" i="17"/>
  <c r="B21" i="17"/>
  <c r="A21" i="17"/>
  <c r="C20" i="17"/>
  <c r="B20" i="17"/>
  <c r="A20" i="17"/>
  <c r="C19" i="17"/>
  <c r="B19" i="17"/>
  <c r="A19" i="17"/>
  <c r="J19" i="25" l="1"/>
  <c r="I23" i="25"/>
  <c r="I24" i="25"/>
  <c r="C23" i="14"/>
  <c r="B23" i="14"/>
  <c r="A23" i="14"/>
  <c r="C22" i="14"/>
  <c r="B22" i="14"/>
  <c r="A22" i="14"/>
  <c r="C21" i="14"/>
  <c r="B21" i="14"/>
  <c r="A21" i="14"/>
  <c r="B23" i="11"/>
  <c r="A23" i="11"/>
  <c r="J24" i="25" l="1"/>
  <c r="J23" i="25"/>
  <c r="B25" i="11"/>
  <c r="A25" i="11"/>
  <c r="B24" i="11"/>
  <c r="A24" i="11"/>
  <c r="C44" i="29"/>
  <c r="B44" i="29"/>
  <c r="A44" i="29"/>
  <c r="C43" i="29"/>
  <c r="B43" i="29"/>
  <c r="A43" i="29"/>
  <c r="C42" i="29"/>
  <c r="B42" i="29"/>
  <c r="A42" i="29"/>
  <c r="G64" i="10" l="1"/>
  <c r="K19" i="17"/>
  <c r="B53" i="29"/>
  <c r="I26" i="27"/>
  <c r="G26" i="27"/>
  <c r="E26" i="27"/>
  <c r="G25" i="27"/>
  <c r="E25" i="27"/>
  <c r="K21" i="27"/>
  <c r="H21" i="27"/>
  <c r="K20" i="27"/>
  <c r="J20" i="27"/>
  <c r="K19" i="27"/>
  <c r="K21" i="17"/>
  <c r="K20" i="17"/>
  <c r="K23" i="17" l="1"/>
  <c r="K24" i="27"/>
  <c r="K23" i="27"/>
  <c r="K24" i="17"/>
  <c r="G21" i="20"/>
  <c r="H21" i="20" s="1"/>
  <c r="G23" i="20"/>
  <c r="H23" i="20" s="1"/>
  <c r="G22" i="20"/>
  <c r="H22" i="20" s="1"/>
  <c r="D48" i="10"/>
  <c r="F21" i="27"/>
  <c r="J21" i="27"/>
  <c r="F19" i="27"/>
  <c r="J19" i="27"/>
  <c r="H20" i="27"/>
  <c r="K26" i="27"/>
  <c r="F20" i="27"/>
  <c r="D25" i="27"/>
  <c r="D26" i="27"/>
  <c r="K25" i="17"/>
  <c r="K26" i="17"/>
  <c r="J24" i="27" l="1"/>
  <c r="J23" i="27"/>
  <c r="F24" i="27"/>
  <c r="F23" i="27"/>
  <c r="H23" i="27"/>
  <c r="H24" i="27"/>
  <c r="J26" i="27"/>
  <c r="J25" i="27"/>
  <c r="F26" i="27"/>
  <c r="F25" i="27"/>
  <c r="H26" i="27"/>
  <c r="H25" i="27"/>
  <c r="I26" i="17" l="1"/>
  <c r="I25" i="17"/>
  <c r="G31" i="10" l="1"/>
  <c r="J26" i="25" l="1"/>
  <c r="J25" i="25"/>
  <c r="I26" i="25"/>
  <c r="I25" i="25"/>
  <c r="G24" i="20"/>
  <c r="G26" i="20"/>
  <c r="F19" i="25"/>
  <c r="F21" i="25"/>
  <c r="G21" i="25" s="1"/>
  <c r="F20" i="25"/>
  <c r="G20" i="25" s="1"/>
  <c r="H26" i="19"/>
  <c r="G26" i="19"/>
  <c r="H25" i="19"/>
  <c r="G25" i="19"/>
  <c r="G26" i="17"/>
  <c r="G25" i="17"/>
  <c r="J21" i="17"/>
  <c r="J20" i="17"/>
  <c r="J19" i="17"/>
  <c r="E26" i="17"/>
  <c r="E25" i="17"/>
  <c r="H27" i="14"/>
  <c r="H26" i="14"/>
  <c r="F25" i="11"/>
  <c r="H25" i="11" s="1"/>
  <c r="F24" i="11"/>
  <c r="H24" i="11" s="1"/>
  <c r="F23" i="11"/>
  <c r="H23" i="11" s="1"/>
  <c r="E20" i="8"/>
  <c r="E19" i="8"/>
  <c r="E18" i="8"/>
  <c r="I22" i="5"/>
  <c r="L22" i="5" s="1"/>
  <c r="I21" i="5"/>
  <c r="L21" i="5" s="1"/>
  <c r="I20" i="5"/>
  <c r="J32" i="12"/>
  <c r="D23" i="10" s="1"/>
  <c r="I32" i="12"/>
  <c r="D56" i="10"/>
  <c r="K26" i="12"/>
  <c r="E26" i="12"/>
  <c r="K25" i="12"/>
  <c r="E25" i="12"/>
  <c r="J21" i="12"/>
  <c r="J19" i="12"/>
  <c r="G19" i="25" l="1"/>
  <c r="G25" i="25" s="1"/>
  <c r="F23" i="25"/>
  <c r="F24" i="25"/>
  <c r="L20" i="5"/>
  <c r="I24" i="5"/>
  <c r="I25" i="5"/>
  <c r="J24" i="17"/>
  <c r="J23" i="17"/>
  <c r="J23" i="11"/>
  <c r="I23" i="11"/>
  <c r="J26" i="17"/>
  <c r="J25" i="17"/>
  <c r="L21" i="12"/>
  <c r="M21" i="12" s="1"/>
  <c r="F19" i="17"/>
  <c r="H21" i="17"/>
  <c r="F21" i="17"/>
  <c r="H20" i="17"/>
  <c r="F20" i="17"/>
  <c r="L19" i="12"/>
  <c r="J20" i="12"/>
  <c r="F26" i="25"/>
  <c r="F25" i="25"/>
  <c r="D25" i="12"/>
  <c r="I27" i="5"/>
  <c r="I26" i="5"/>
  <c r="F20" i="12"/>
  <c r="G20" i="12" s="1"/>
  <c r="F21" i="12"/>
  <c r="G21" i="12" s="1"/>
  <c r="D26" i="12"/>
  <c r="F19" i="12"/>
  <c r="J24" i="12" l="1"/>
  <c r="G26" i="25"/>
  <c r="G19" i="12"/>
  <c r="F24" i="12"/>
  <c r="F23" i="12"/>
  <c r="J23" i="12"/>
  <c r="L25" i="5"/>
  <c r="L24" i="5"/>
  <c r="G23" i="25"/>
  <c r="G24" i="25"/>
  <c r="H24" i="17"/>
  <c r="H23" i="17"/>
  <c r="M19" i="12"/>
  <c r="F23" i="17"/>
  <c r="F24" i="17"/>
  <c r="D26" i="20"/>
  <c r="H26" i="20" s="1"/>
  <c r="F22" i="19"/>
  <c r="J22" i="19" s="1"/>
  <c r="F21" i="19"/>
  <c r="D25" i="20"/>
  <c r="H24" i="20"/>
  <c r="I20" i="19"/>
  <c r="K23" i="11"/>
  <c r="L23" i="11" s="1"/>
  <c r="F25" i="17"/>
  <c r="F26" i="17"/>
  <c r="L20" i="12"/>
  <c r="M20" i="12" s="1"/>
  <c r="H25" i="17"/>
  <c r="H26" i="17"/>
  <c r="J26" i="12"/>
  <c r="J25" i="12"/>
  <c r="G25" i="12"/>
  <c r="F26" i="12"/>
  <c r="F25" i="12"/>
  <c r="G26" i="12"/>
  <c r="L24" i="12" l="1"/>
  <c r="F24" i="19"/>
  <c r="F23" i="19"/>
  <c r="L23" i="12"/>
  <c r="M23" i="12"/>
  <c r="M24" i="12"/>
  <c r="G23" i="12"/>
  <c r="G24" i="12"/>
  <c r="J20" i="19"/>
  <c r="I22" i="19"/>
  <c r="I24" i="19" s="1"/>
  <c r="I21" i="19"/>
  <c r="H30" i="20"/>
  <c r="H29" i="20"/>
  <c r="L26" i="12"/>
  <c r="L25" i="12"/>
  <c r="F26" i="19"/>
  <c r="F25" i="19"/>
  <c r="M26" i="12"/>
  <c r="M25" i="12"/>
  <c r="J24" i="19" l="1"/>
  <c r="J23" i="19"/>
  <c r="I23" i="19"/>
  <c r="J26" i="19"/>
  <c r="J25" i="19"/>
  <c r="I26" i="19"/>
  <c r="I25" i="19"/>
  <c r="J27" i="5"/>
  <c r="J26" i="5"/>
  <c r="J25" i="11"/>
  <c r="J24" i="11"/>
  <c r="I25" i="11"/>
  <c r="I24" i="11"/>
  <c r="F56" i="10"/>
  <c r="C58" i="10"/>
  <c r="C56" i="10"/>
  <c r="F58" i="10"/>
  <c r="F25" i="10"/>
  <c r="C25" i="10"/>
  <c r="F23" i="10"/>
  <c r="C23" i="10"/>
  <c r="K25" i="11" l="1"/>
  <c r="L25" i="11" s="1"/>
  <c r="K24" i="11"/>
  <c r="L24" i="11" s="1"/>
  <c r="G25" i="10"/>
  <c r="C27" i="10"/>
  <c r="C60" i="10"/>
  <c r="G23" i="10"/>
  <c r="G56" i="10"/>
  <c r="G58" i="10"/>
  <c r="L28" i="11" l="1"/>
  <c r="L27" i="11"/>
  <c r="F42" i="29"/>
  <c r="L29" i="11"/>
  <c r="L30" i="11"/>
  <c r="G27" i="10"/>
  <c r="G60" i="10"/>
  <c r="M20" i="5"/>
  <c r="M21" i="5"/>
  <c r="M22" i="5"/>
  <c r="M25" i="5" l="1"/>
  <c r="M24" i="5"/>
  <c r="F43" i="29"/>
  <c r="F44" i="29"/>
  <c r="L26" i="5"/>
  <c r="L27" i="5"/>
  <c r="F45" i="29" l="1"/>
  <c r="D53" i="29" s="1"/>
  <c r="M27" i="5"/>
  <c r="M26" i="5"/>
  <c r="E41" i="3"/>
  <c r="C26" i="5" l="1"/>
  <c r="C27" i="5"/>
  <c r="D42" i="3" l="1"/>
  <c r="D41" i="3"/>
  <c r="D40" i="3"/>
  <c r="D27" i="29" l="1"/>
  <c r="F27" i="29" s="1"/>
  <c r="D25" i="29"/>
  <c r="F25" i="29" s="1"/>
  <c r="D26" i="29"/>
  <c r="F26" i="29" s="1"/>
  <c r="E21" i="19"/>
  <c r="E22" i="19"/>
  <c r="E20" i="19"/>
  <c r="H41" i="3"/>
  <c r="J41" i="3" s="1"/>
  <c r="H40" i="3"/>
  <c r="J40" i="3" s="1"/>
  <c r="C23" i="7" l="1"/>
  <c r="C52" i="29" s="1"/>
  <c r="C25" i="7"/>
  <c r="C53" i="29" s="1"/>
  <c r="E53" i="29" s="1"/>
  <c r="D25" i="7" l="1"/>
  <c r="E42" i="3" l="1"/>
  <c r="H42" i="3" s="1"/>
  <c r="J42" i="3" s="1"/>
  <c r="J45" i="3" l="1"/>
  <c r="J44" i="3"/>
  <c r="F28" i="29"/>
  <c r="D52" i="29" s="1"/>
  <c r="E52" i="29" s="1"/>
  <c r="E54" i="29" s="1"/>
  <c r="I42" i="3"/>
  <c r="I41" i="3"/>
  <c r="D27" i="5" l="1"/>
  <c r="D26" i="5"/>
  <c r="I40" i="3" l="1"/>
  <c r="I44" i="3" l="1"/>
  <c r="I45" i="3"/>
  <c r="I46" i="3"/>
  <c r="J47" i="3"/>
  <c r="E22" i="5" l="1"/>
  <c r="F22" i="5" s="1"/>
  <c r="E21" i="5"/>
  <c r="F21" i="5" s="1"/>
  <c r="E20" i="5"/>
  <c r="F20" i="5" l="1"/>
  <c r="E24" i="5"/>
  <c r="E25" i="5"/>
  <c r="E26" i="5"/>
  <c r="J46" i="3"/>
  <c r="E27" i="5"/>
  <c r="I47" i="3"/>
  <c r="F26" i="5"/>
  <c r="F25" i="5" l="1"/>
  <c r="F24" i="5"/>
  <c r="F23" i="7"/>
  <c r="G23" i="7" s="1"/>
  <c r="F27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rev4175</author>
    <author>rev4279</author>
    <author>Travis, James (DOR)</author>
    <author>rev3569</author>
    <author>Sheeks, David (DOR)</author>
  </authors>
  <commentList>
    <comment ref="G22" authorId="0" shapeId="0" xr:uid="{3877DFA1-3A0A-48D2-874B-75421DED5C4C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12/29 Close</t>
        </r>
      </text>
    </comment>
    <comment ref="H22" authorId="1" shapeId="0" xr:uid="{39893B64-3F56-4392-8717-95E8C5D3A3B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F-5  (174)</t>
        </r>
      </text>
    </comment>
    <comment ref="I22" authorId="1" shapeId="0" xr:uid="{ED11D07A-3AE5-44BA-91BD-1BAB6C44464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F-8  (177)</t>
        </r>
      </text>
    </comment>
    <comment ref="J22" authorId="2" shapeId="0" xr:uid="{C3014FC7-B0C4-4267-A8D4-74D411F97C14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Pg 120</t>
        </r>
      </text>
    </comment>
    <comment ref="G23" authorId="0" shapeId="0" xr:uid="{71464F17-1CEF-454F-8E50-8897EBAFE2D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3" authorId="2" shapeId="0" xr:uid="{A5FAC996-437F-4C81-8A0C-C81B6F0E04BB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
</t>
        </r>
      </text>
    </comment>
    <comment ref="I23" authorId="2" shapeId="0" xr:uid="{C1A6E700-D169-4034-A5D7-3B6D5CD2B2FA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</t>
        </r>
      </text>
    </comment>
    <comment ref="J23" authorId="2" shapeId="0" xr:uid="{CAFAADA6-682E-4427-9C12-CBA238E877CB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</t>
        </r>
      </text>
    </comment>
    <comment ref="G24" authorId="0" shapeId="0" xr:uid="{2B2EB4F2-76D1-4A21-BD58-F8072CD01885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4" authorId="2" shapeId="0" xr:uid="{C5F01051-703A-4A6B-9044-CF709B7A1363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2" shapeId="0" xr:uid="{8E92D721-EF6B-433E-A4F4-F11BC168001E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71</t>
        </r>
      </text>
    </comment>
    <comment ref="G25" authorId="0" shapeId="0" xr:uid="{CD7027B5-B5FA-4A68-BBD7-9CC47B7A042C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5" authorId="2" shapeId="0" xr:uid="{ADFE1D2C-5602-4711-A6C1-48CB9A3648C9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1</t>
        </r>
      </text>
    </comment>
    <comment ref="I25" authorId="2" shapeId="0" xr:uid="{6A2199E7-DE0B-46D6-8855-3C190B203385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80</t>
        </r>
      </text>
    </comment>
    <comment ref="J25" authorId="2" shapeId="0" xr:uid="{B4841173-11D9-4773-A3B4-5BE3C9E22407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80</t>
        </r>
      </text>
    </comment>
    <comment ref="G26" authorId="0" shapeId="0" xr:uid="{6EAB1AB5-E962-41CF-9364-3AE7137B661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6" authorId="2" shapeId="0" xr:uid="{CDE90E72-BEA5-4BE7-8CB0-07FC345C8D33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1</t>
        </r>
      </text>
    </comment>
    <comment ref="I26" authorId="2" shapeId="0" xr:uid="{6ABBDCFF-5A94-43B4-81F5-A9F58966BD4A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F-5</t>
        </r>
      </text>
    </comment>
    <comment ref="J26" authorId="2" shapeId="0" xr:uid="{C906D7DB-1E78-4842-815B-D590FB67059F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F-5</t>
        </r>
      </text>
    </comment>
    <comment ref="G27" authorId="0" shapeId="0" xr:uid="{56A1A7AC-85A2-4FCB-B0C0-DE431349C5B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12/29 Close</t>
        </r>
      </text>
    </comment>
    <comment ref="H27" authorId="2" shapeId="0" xr:uid="{28E74C8C-3ED6-49B9-A366-7795AD680042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2</t>
        </r>
      </text>
    </comment>
    <comment ref="I27" authorId="2" shapeId="0" xr:uid="{122674A1-CE9B-40A0-A70B-7478410B1FAD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89</t>
        </r>
      </text>
    </comment>
    <comment ref="J27" authorId="2" shapeId="0" xr:uid="{71CE1183-E822-40C0-A35D-2E0D76245CB3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89</t>
        </r>
      </text>
    </comment>
    <comment ref="F33" authorId="3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37" authorId="1" shapeId="0" xr:uid="{5E3F26F9-2D89-4EC9-AC99-17F960A445C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F-5 (174)</t>
        </r>
      </text>
    </comment>
    <comment ref="G37" authorId="1" shapeId="0" xr:uid="{7E3F4D0F-426B-49CD-95F7-11631F33E4BC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F-19 IN THE NOTES</t>
        </r>
      </text>
    </comment>
    <comment ref="F38" authorId="4" shapeId="0" xr:uid="{7FD02DF5-5860-4FDD-A6E9-E2EF814BDAA4}">
      <text>
        <r>
          <rPr>
            <b/>
            <sz val="9"/>
            <color indexed="81"/>
            <rFont val="Tahoma"/>
            <family val="2"/>
          </rPr>
          <t>Sheeks, David (DOR):</t>
        </r>
        <r>
          <rPr>
            <sz val="9"/>
            <color indexed="81"/>
            <rFont val="Tahoma"/>
            <family val="2"/>
          </rPr>
          <t xml:space="preserve">
10K PG F-64</t>
        </r>
      </text>
    </comment>
    <comment ref="G38" authorId="4" shapeId="0" xr:uid="{C3CCB957-C831-4333-92D3-8793FBAE2613}">
      <text>
        <r>
          <rPr>
            <b/>
            <sz val="9"/>
            <color indexed="81"/>
            <rFont val="Tahoma"/>
            <family val="2"/>
          </rPr>
          <t>Sheeks, David (DOR):</t>
        </r>
        <r>
          <rPr>
            <sz val="9"/>
            <color indexed="81"/>
            <rFont val="Tahoma"/>
            <family val="2"/>
          </rPr>
          <t xml:space="preserve">
10k f-58</t>
        </r>
      </text>
    </comment>
    <comment ref="F39" authorId="4" shapeId="0" xr:uid="{C8D22943-25A9-47E2-8CD8-707285EEDB8D}">
      <text>
        <r>
          <rPr>
            <b/>
            <sz val="9"/>
            <color indexed="81"/>
            <rFont val="Tahoma"/>
            <family val="2"/>
          </rPr>
          <t>Sheeks, David (DOR):</t>
        </r>
        <r>
          <rPr>
            <sz val="9"/>
            <color indexed="81"/>
            <rFont val="Tahoma"/>
            <family val="2"/>
          </rPr>
          <t xml:space="preserve">
No operating leases per 10k</t>
        </r>
      </text>
    </comment>
    <comment ref="G39" authorId="2" shapeId="0" xr:uid="{BE0D282C-D65E-4973-9FCA-E11D06684586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71</t>
        </r>
      </text>
    </comment>
    <comment ref="F40" authorId="2" shapeId="0" xr:uid="{D84854C7-C520-4D0D-BF08-D96EDFCCE269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111</t>
        </r>
      </text>
    </comment>
    <comment ref="G40" authorId="4" shapeId="0" xr:uid="{221FFBF2-F39C-4E6A-9109-2A64710F547B}">
      <text>
        <r>
          <rPr>
            <b/>
            <sz val="9"/>
            <color indexed="81"/>
            <rFont val="Tahoma"/>
            <family val="2"/>
          </rPr>
          <t>Sheeks, David (DOR):</t>
        </r>
        <r>
          <rPr>
            <sz val="9"/>
            <color indexed="81"/>
            <rFont val="Tahoma"/>
            <family val="2"/>
          </rPr>
          <t xml:space="preserve">
10k pg 104
</t>
        </r>
      </text>
    </comment>
    <comment ref="F41" authorId="2" shapeId="0" xr:uid="{D66C2012-C32F-42CF-8BA9-C79D4C757539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F-44</t>
        </r>
      </text>
    </comment>
    <comment ref="G41" authorId="4" shapeId="0" xr:uid="{974376C0-B54A-46DC-9E07-04927E9C36FD}">
      <text>
        <r>
          <rPr>
            <b/>
            <sz val="9"/>
            <color indexed="81"/>
            <rFont val="Tahoma"/>
            <family val="2"/>
          </rPr>
          <t>Sheeks, David (DOR):</t>
        </r>
        <r>
          <rPr>
            <sz val="9"/>
            <color indexed="81"/>
            <rFont val="Tahoma"/>
            <family val="2"/>
          </rPr>
          <t xml:space="preserve">
Page 135 10K PDF Note 10 Debt
In the footnotes (3) it states the face value and fair value of the LT Debt</t>
        </r>
      </text>
    </comment>
    <comment ref="F42" authorId="2" shapeId="0" xr:uid="{4A1444CD-D49A-459E-A96C-2BA440A85051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130</t>
        </r>
      </text>
    </comment>
    <comment ref="G42" authorId="2" shapeId="0" xr:uid="{CE6DD55A-D183-4D92-A477-2C0F3D8280DE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126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rev4279</author>
    <author>Travis, James (DOR)</author>
  </authors>
  <commentList>
    <comment ref="E22" authorId="0" shapeId="0" xr:uid="{7D7619C7-F1B6-461D-85FA-06FF5E0B87F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F-5 Net of Non Controlling Interests</t>
        </r>
      </text>
    </comment>
    <comment ref="E23" authorId="1" shapeId="0" xr:uid="{450B4772-D5C9-47EA-8D2D-294BEE8639B1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</t>
        </r>
      </text>
    </comment>
    <comment ref="E24" authorId="1" shapeId="0" xr:uid="{351ABA9E-C655-4E2C-BB86-9752B81301A7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76</t>
        </r>
      </text>
    </comment>
    <comment ref="E25" authorId="1" shapeId="0" xr:uid="{822A3849-21E3-4B7A-933B-45BBBF6ECA0D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80</t>
        </r>
      </text>
    </comment>
    <comment ref="E26" authorId="1" shapeId="0" xr:uid="{E7D71E79-1A1A-4285-BE58-66CC4695D739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F-5</t>
        </r>
      </text>
    </comment>
    <comment ref="E27" authorId="1" shapeId="0" xr:uid="{0053CFF4-7C56-488B-B803-9DC833CE548A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rev4279</author>
    <author>Travis, James (DOR)</author>
  </authors>
  <commentList>
    <comment ref="D20" authorId="0" shapeId="0" xr:uid="{D8190926-CF1E-410F-ADF3-7CE5741C7E7E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F-5</t>
        </r>
      </text>
    </comment>
    <comment ref="E20" authorId="0" shapeId="0" xr:uid="{E0926A30-5C9C-4ED8-BC3C-B36766FF2783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F-5</t>
        </r>
      </text>
    </comment>
    <comment ref="G20" authorId="0" shapeId="0" xr:uid="{A6AE3D38-18E3-499E-AB45-AF0571B6573D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F-6</t>
        </r>
      </text>
    </comment>
    <comment ref="D21" authorId="1" shapeId="0" xr:uid="{E5A5C836-4D2E-4AC9-85D9-117AE9107D84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</t>
        </r>
      </text>
    </comment>
    <comment ref="E21" authorId="1" shapeId="0" xr:uid="{39B4051F-F6E9-4500-9A01-1BAA5CF4AB6F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</t>
        </r>
      </text>
    </comment>
    <comment ref="G21" authorId="1" shapeId="0" xr:uid="{3F108BA5-AF19-4F65-9542-6E194EEB86FB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F-46</t>
        </r>
      </text>
    </comment>
    <comment ref="D22" authorId="1" shapeId="0" xr:uid="{E9646F85-5D8A-465A-ABAD-A618ECE6881B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76</t>
        </r>
      </text>
    </comment>
    <comment ref="E22" authorId="1" shapeId="0" xr:uid="{F34687E9-8A88-4937-8DF5-9F87BF51DAE0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76</t>
        </r>
      </text>
    </comment>
    <comment ref="G22" authorId="1" shapeId="0" xr:uid="{3D32F68D-7944-478C-B57A-B939629514FB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77</t>
        </r>
      </text>
    </comment>
    <comment ref="D23" authorId="1" shapeId="0" xr:uid="{20ADB6B8-5B5C-4AAC-B962-7FE1A3394596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80</t>
        </r>
      </text>
    </comment>
    <comment ref="E23" authorId="1" shapeId="0" xr:uid="{781C2C99-7370-4A7C-925F-0937506C6017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80</t>
        </r>
      </text>
    </comment>
    <comment ref="G23" authorId="1" shapeId="0" xr:uid="{DE886C33-F725-4977-B5E7-9957ABD41BCE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81</t>
        </r>
      </text>
    </comment>
    <comment ref="D24" authorId="1" shapeId="0" xr:uid="{9A10B259-77D0-407E-81D7-6B46F1C9E994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F-5</t>
        </r>
      </text>
    </comment>
    <comment ref="E24" authorId="1" shapeId="0" xr:uid="{18C2B4B7-73FD-4849-A6DF-33314E5AF82B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F-5</t>
        </r>
      </text>
    </comment>
    <comment ref="G24" authorId="1" shapeId="0" xr:uid="{41F6AE5B-19E1-4AC3-B8BA-AE34F5F82276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F-6</t>
        </r>
      </text>
    </comment>
    <comment ref="D25" authorId="1" shapeId="0" xr:uid="{FB934ED8-1F9E-4B02-9EF2-04859DF7D42E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89</t>
        </r>
      </text>
    </comment>
    <comment ref="E25" authorId="1" shapeId="0" xr:uid="{CD9CDCF6-1EF0-4480-B903-297A01EFED81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89</t>
        </r>
      </text>
    </comment>
    <comment ref="G25" authorId="1" shapeId="0" xr:uid="{767DE133-BDF5-4C99-9776-FD7C8622D6B6}">
      <text>
        <r>
          <rPr>
            <b/>
            <sz val="9"/>
            <color indexed="81"/>
            <rFont val="Tahoma"/>
            <family val="2"/>
          </rPr>
          <t>Travis, James (DOR):</t>
        </r>
        <r>
          <rPr>
            <sz val="9"/>
            <color indexed="81"/>
            <rFont val="Tahoma"/>
            <family val="2"/>
          </rPr>
          <t xml:space="preserve">
10-K page 91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Baker, Mike A (DOR)</author>
  </authors>
  <commentList>
    <comment ref="F18" authorId="0" shapeId="0" xr:uid="{36E0A4CE-52A7-477E-A87A-E5362D0DD303}">
      <text>
        <r>
          <rPr>
            <b/>
            <sz val="9"/>
            <color indexed="81"/>
            <rFont val="Tahoma"/>
            <family val="2"/>
          </rPr>
          <t>Baker, Mike A (DOR):  See page 65 10K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rev3569</author>
  </authors>
  <commentList>
    <comment ref="J18" authorId="0" shapeId="0" xr:uid="{10C443D7-5B95-42A9-B1FF-540BD9E06757}">
      <text>
        <r>
          <rPr>
            <b/>
            <sz val="9"/>
            <color indexed="81"/>
            <rFont val="Tahoma"/>
            <charset val="1"/>
          </rPr>
          <t>rev3569:</t>
        </r>
        <r>
          <rPr>
            <sz val="9"/>
            <color indexed="81"/>
            <rFont val="Tahoma"/>
            <charset val="1"/>
          </rPr>
          <t xml:space="preserve">
Cash Flow was removed due to outlier </t>
        </r>
      </text>
    </comment>
  </commentList>
</comments>
</file>

<file path=xl/sharedStrings.xml><?xml version="1.0" encoding="utf-8"?>
<sst xmlns="http://schemas.openxmlformats.org/spreadsheetml/2006/main" count="1491" uniqueCount="510">
  <si>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</si>
  <si>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</si>
  <si>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</si>
  <si>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</si>
  <si>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</si>
  <si>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</si>
  <si>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</si>
  <si>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</si>
  <si>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</si>
  <si>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</si>
  <si>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</si>
  <si>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</si>
  <si>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</si>
  <si>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</si>
  <si>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</si>
  <si>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</si>
  <si>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</si>
  <si>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</si>
  <si>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</si>
  <si>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</si>
  <si>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</si>
  <si>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</si>
  <si>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</si>
  <si>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</si>
  <si>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</si>
  <si>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</si>
  <si>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</si>
  <si>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</si>
  <si>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</si>
  <si>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</si>
  <si>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</si>
  <si>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</si>
  <si>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</si>
  <si>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</si>
  <si>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</si>
  <si>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</si>
  <si>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</si>
  <si>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</si>
  <si>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</si>
  <si>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</si>
  <si>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</si>
  <si>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</si>
  <si>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</si>
  <si>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A+</t>
  </si>
  <si>
    <t xml:space="preserve">  </t>
  </si>
  <si>
    <t>High</t>
  </si>
  <si>
    <t>Low</t>
  </si>
  <si>
    <t>Mergent Bond</t>
  </si>
  <si>
    <t>Rating</t>
  </si>
  <si>
    <t>Debt Rate</t>
  </si>
  <si>
    <t>S &amp; P</t>
  </si>
  <si>
    <t>% LT Debt &amp; Pref Stock</t>
  </si>
  <si>
    <t>Baa1</t>
  </si>
  <si>
    <t>Baa2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</si>
  <si>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</si>
  <si>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</si>
  <si>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</si>
  <si>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</si>
  <si>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</si>
  <si>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</si>
  <si>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Book Value</t>
  </si>
  <si>
    <t>Shares Issued less Treasury</t>
  </si>
  <si>
    <t>2023 Tax Year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</si>
  <si>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</si>
  <si>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</si>
  <si>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</si>
  <si>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</si>
  <si>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</si>
  <si>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</si>
  <si>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</si>
  <si>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</si>
  <si>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</si>
  <si>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</si>
  <si>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</si>
  <si>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</si>
  <si>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</si>
  <si>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</si>
  <si>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</si>
  <si>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</si>
  <si>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</si>
  <si>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</si>
  <si>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</si>
  <si>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</si>
  <si>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</si>
  <si>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</si>
  <si>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</si>
  <si>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</si>
  <si>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</si>
  <si>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</si>
  <si>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</si>
  <si>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</si>
  <si>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</si>
  <si>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</si>
  <si>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</si>
  <si>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</si>
  <si>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</si>
  <si>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</si>
  <si>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</si>
  <si>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</si>
  <si>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</si>
  <si>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</si>
  <si>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</si>
  <si>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</si>
  <si>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</si>
  <si>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</si>
  <si>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</si>
  <si>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</si>
  <si>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</si>
  <si>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</si>
  <si>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</si>
  <si>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</si>
  <si>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</si>
  <si>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</si>
  <si>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</si>
  <si>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</si>
  <si>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</si>
  <si>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</si>
  <si>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</si>
  <si>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</si>
  <si>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</si>
  <si>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</si>
  <si>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</si>
  <si>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</si>
  <si>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</si>
  <si>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</si>
  <si>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</si>
  <si>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</si>
  <si>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</si>
  <si>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</si>
  <si>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</si>
  <si>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</si>
  <si>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</si>
  <si>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</si>
  <si>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</si>
  <si>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</si>
  <si>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</si>
  <si>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</si>
  <si>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</si>
  <si>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</si>
  <si>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</si>
  <si>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</si>
  <si>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</si>
  <si>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</si>
  <si>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</si>
  <si>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</si>
  <si>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</si>
  <si>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</si>
  <si>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</si>
  <si>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</si>
  <si>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</si>
  <si>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</si>
  <si>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</si>
  <si>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</si>
  <si>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</si>
  <si>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</si>
  <si>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</si>
  <si>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</si>
  <si>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</si>
  <si>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</si>
  <si>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</si>
  <si>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</si>
  <si>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</si>
  <si>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</si>
  <si>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</si>
  <si>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</si>
  <si>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</si>
  <si>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</si>
  <si>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</si>
  <si>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</si>
  <si>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</si>
  <si>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</si>
  <si>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</si>
  <si>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</si>
  <si>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</si>
  <si>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</si>
  <si>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</si>
  <si>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</si>
  <si>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</si>
  <si>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</si>
  <si>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</si>
  <si>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</si>
  <si>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</si>
  <si>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</si>
  <si>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</si>
  <si>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</si>
  <si>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</si>
  <si>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</si>
  <si>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</si>
  <si>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</si>
  <si>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</si>
  <si>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</si>
  <si>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</si>
  <si>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</si>
  <si>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</si>
  <si>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</si>
  <si>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</si>
  <si>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</si>
  <si>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</si>
  <si>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</si>
  <si>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</si>
  <si>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</si>
  <si>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</si>
  <si>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</si>
  <si>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</si>
  <si>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</si>
  <si>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</si>
  <si>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</si>
  <si>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</si>
  <si>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</si>
  <si>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</si>
  <si>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</si>
  <si>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</si>
  <si>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</si>
  <si>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</si>
  <si>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</si>
  <si>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</si>
  <si>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</si>
  <si>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</si>
  <si>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</si>
  <si>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</si>
  <si>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</si>
  <si>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</si>
  <si>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</si>
  <si>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</si>
  <si>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</si>
  <si>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(LT 25-27 Yr Projected VL)</t>
    </r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</si>
  <si>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</si>
  <si>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</si>
  <si>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</si>
  <si>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</si>
  <si>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</si>
  <si>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</si>
  <si>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</si>
  <si>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</si>
  <si>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</si>
  <si>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</si>
  <si>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</si>
  <si>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</si>
  <si>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</si>
  <si>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</si>
  <si>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</si>
  <si>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</si>
  <si>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</si>
  <si>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</si>
  <si>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</si>
  <si>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</si>
  <si>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</si>
  <si>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</si>
  <si>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</si>
  <si>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</si>
  <si>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</si>
  <si>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</si>
  <si>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</si>
  <si>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</si>
  <si>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</si>
  <si>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</si>
  <si>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</si>
  <si>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</si>
  <si>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</si>
  <si>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</si>
  <si>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</si>
  <si>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</si>
  <si>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</si>
  <si>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</si>
  <si>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</si>
  <si>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</si>
  <si>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</si>
  <si>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</si>
  <si>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</si>
  <si>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</si>
  <si>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</si>
  <si>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</si>
  <si>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</si>
  <si>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</si>
  <si>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</si>
  <si>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</si>
  <si>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</si>
  <si>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</si>
  <si>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</si>
  <si>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</si>
  <si>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</si>
  <si>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</si>
  <si>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Companies excluded from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</si>
  <si>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</si>
  <si>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G   = Average growth rate</t>
  </si>
  <si>
    <t>G1 = Short term growth estimate</t>
  </si>
  <si>
    <t>DY = Dividend Yield     See ValueLine</t>
  </si>
  <si>
    <t>g   = Stable Growth - Nominal growth rate</t>
  </si>
  <si>
    <t>AA+</t>
  </si>
  <si>
    <t>AAA</t>
  </si>
  <si>
    <t>AA</t>
  </si>
  <si>
    <t>Obligations rated Aa are judged to be of high quality, with minimal risk.</t>
  </si>
  <si>
    <t>AA-</t>
  </si>
  <si>
    <t>BBB+</t>
  </si>
  <si>
    <t>BBB</t>
  </si>
  <si>
    <t>BBB-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</si>
  <si>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</si>
  <si>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</si>
  <si>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</si>
  <si>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</si>
  <si>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</si>
  <si>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</si>
  <si>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</si>
  <si>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</si>
  <si>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</si>
  <si>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</si>
  <si>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</si>
  <si>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Retained to Common Equity -- Net profit less all common and preferred dividends divided by common equity including intangible assets, expressed as a percentage.  Also known as the plowback ratio.</t>
  </si>
  <si>
    <t>Return on Shareholders Equity -- Annual net profit divided by year-end shareholders equity, expressed as a percentage.</t>
  </si>
  <si>
    <t>Ca1</t>
  </si>
  <si>
    <t>Ca2</t>
  </si>
  <si>
    <t>Ca3</t>
  </si>
  <si>
    <t>CC+</t>
  </si>
  <si>
    <t>CC-</t>
  </si>
  <si>
    <t>AAA-</t>
  </si>
  <si>
    <t>AAA+</t>
  </si>
  <si>
    <t>Aaa1</t>
  </si>
  <si>
    <t>Aaa2</t>
  </si>
  <si>
    <t>Aaa3</t>
  </si>
  <si>
    <t>Share</t>
  </si>
  <si>
    <t>Gross Revenues</t>
  </si>
  <si>
    <t>NOPAT Earnings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</si>
  <si>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</si>
  <si>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</si>
  <si>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The higher the return on revenue the higher the price to revenue will be.</t>
  </si>
  <si>
    <t>Cash flow is typically defined to be net income plus depreciation and amortization.</t>
  </si>
  <si>
    <t xml:space="preserve">This measure is considered relevant for companies with high non-cash charges reflected in the income statement.  Non-cash charges include depreciation &amp; amortization, goodwill impairments, asset write downs, </t>
  </si>
  <si>
    <t>stock based compensation, and deferred income taxes and investment tax credits.</t>
  </si>
  <si>
    <t>P/E Ratio - Long Term Projection NOPAT</t>
  </si>
  <si>
    <t>CS+LTD +PS + OL</t>
  </si>
  <si>
    <t>&amp; Op Leases</t>
  </si>
  <si>
    <t>Earnings Growth = DY + EG</t>
  </si>
  <si>
    <t>Dividend Growth = DY + DG</t>
  </si>
  <si>
    <t>EG = Earnings Growth</t>
  </si>
  <si>
    <t>DG = Dividend Growth</t>
  </si>
  <si>
    <t>DY = Dividend Yield</t>
  </si>
  <si>
    <t>G = Projected Growth (Earnings Per Share 5 Yr Growth Rate)</t>
  </si>
  <si>
    <t>G = Projected Growth (Div. 5 Yr Growth Rate)</t>
  </si>
  <si>
    <t>Liquid Transportation Pipeline Carriers</t>
  </si>
  <si>
    <t>Pipeline MLPs</t>
  </si>
  <si>
    <t>Energy Transfer LP</t>
  </si>
  <si>
    <t>ET</t>
  </si>
  <si>
    <t>Enterprise Products Partnership LP</t>
  </si>
  <si>
    <t>EPD</t>
  </si>
  <si>
    <t>Hess Midstream LP</t>
  </si>
  <si>
    <t>HESM</t>
  </si>
  <si>
    <t>MPLX, LP</t>
  </si>
  <si>
    <t>MPLX</t>
  </si>
  <si>
    <t>Plains All American Pipeline LP</t>
  </si>
  <si>
    <t>PAA</t>
  </si>
  <si>
    <t>Western Midstream Partners LP</t>
  </si>
  <si>
    <t>WES</t>
  </si>
  <si>
    <t xml:space="preserve">AmeriGas Partners (APU) - Primarily engaged in the marketing and distribution of propane.  Not applicable to fluid transportation pipeline services.  </t>
  </si>
  <si>
    <t>Andeavor Logistics LP - Removed, Was acquired by MPLX LP on July 30th, 2019. No longer listed on stock indexes.</t>
  </si>
  <si>
    <t xml:space="preserve">Antero Midstream Parters (AM) - Primarily gathers and processes natural gas (some oil).  Also engaged mid stream activities and hydro facturing &amp; processing.  Not applicable to fluid transportation pipeline services.  </t>
  </si>
  <si>
    <t>Boardwalk Pipeline  - Not Used.  No longer publicly traded.</t>
  </si>
  <si>
    <t>Buckeye Partners LP - Removed Acquired/merged by IFM investors. No longer publicly traded.</t>
  </si>
  <si>
    <t>EQM Midstream Partners (EQM) - EQM merged with Equitrans Midstream Corp 06/2020</t>
  </si>
  <si>
    <t>Enable Midstream acquired by Energy Transfer 2021</t>
  </si>
  <si>
    <t>Plains GP Holdings LP  (PAGP) - Not used.  See Plains All American</t>
  </si>
  <si>
    <t>Rattler Midstream -  No ValueLine sheet.</t>
  </si>
  <si>
    <t>Shell Midstream Partners LP (SHLX) - Owns transmission pipelines.  They own 2.6% of the explorer pipeline that is engaged in the transportation of oil products.  Colorado and Utah included this company.  No Valueline sheet.  Merged with Shell USA</t>
  </si>
  <si>
    <t xml:space="preserve">Suburban Propane (SPH) - Primarily engaged in the marketing and distribution of propane and fuel oil to retail customers.  Not applicable to fluid transportation pipeline services.  </t>
  </si>
  <si>
    <t xml:space="preserve">Spectra Energy Partners LP (SEP) and Spectra Energy Corp - Not used.  No longer publicly traded.    </t>
  </si>
  <si>
    <t xml:space="preserve">Summit Midstream Partners LP (SMLP)  - Main business is gathering and treating oil &amp; gas.  Montana included this company.  </t>
  </si>
  <si>
    <t xml:space="preserve">Tallgrass Energy Partners (TEP) and Tallgrass Energy GP, LP (TEGP) - Not used.  No longer publicly traded.    </t>
  </si>
  <si>
    <t>Valero Energy Partners (VLP) - Not Used.  No longer publicly traded. Acquired by Valero Energy Corp.</t>
  </si>
  <si>
    <t xml:space="preserve">Valero Energy Corp (VEC) - Acquired Valero Energy Part (VLP).  Not used.  Large refiner.  Does have some pipelines.  </t>
  </si>
  <si>
    <t>Companies to add to the study &gt;</t>
  </si>
  <si>
    <t xml:space="preserve">Hess Midstream LP (HESM) - Engaged in liquid transportation </t>
  </si>
  <si>
    <t xml:space="preserve">Western Midstream Partners LP (WES) - Owns and operates midstream pipelines in Rocky mountains, Texas, and North-Central PA.  Main business is gathering and treating oil &amp; gas.  Montana and Oregon included this company.  </t>
  </si>
  <si>
    <t>Companies to consider in the study &gt;</t>
  </si>
  <si>
    <t>Cheniere Energy Partners (CQP) - Engages in LNG business and related natural gas pipelines.   MLP</t>
  </si>
  <si>
    <t>Phillips 66 Partners LP (PSXP) - No longer publicly traded.  Removed from study.</t>
  </si>
  <si>
    <t>General Partner Units</t>
  </si>
  <si>
    <t>Gross Book Value Equity</t>
  </si>
  <si>
    <t>Per Unit **</t>
  </si>
  <si>
    <t>Multiple *</t>
  </si>
  <si>
    <t>* This multiple is applicable to service type companies, or those with few assets.  These companies sell at prices related to their revenues.</t>
  </si>
  <si>
    <t>** The book value, or common equity, per share is total owners' equity minus preferred stock divided by the number of common shares outstanding.</t>
  </si>
  <si>
    <t xml:space="preserve">Property, Plant &amp; Equipment includes CWIP, but should exclude intangibles and the associated amortization.  </t>
  </si>
  <si>
    <t>Common Total Equity excludes 'noncontrolling interests' equity value.</t>
  </si>
  <si>
    <t xml:space="preserve">http://www.federalreserve.gov/Releases/H15/Current/ </t>
  </si>
  <si>
    <t>Projected 1 Yr</t>
  </si>
  <si>
    <t>Earnings Per Share Growth Rate</t>
  </si>
  <si>
    <t>Estimated 20-22 to 26-28</t>
  </si>
  <si>
    <t xml:space="preserve">Risk Free Rate (Rf) </t>
  </si>
  <si>
    <t>Yield Equity Rate - DGM (Dividend Growth) &amp; DGM (Earnings Growth)  -- Gordon Growth</t>
  </si>
  <si>
    <t>Empirical CAPM - Ex Ante, Three Stage - V1</t>
  </si>
  <si>
    <t>Empirical CAPM - Ex Ante, Three Stage - V2</t>
  </si>
  <si>
    <t>CAPM - Ex Ante, Three Stage - V1</t>
  </si>
  <si>
    <t>CAPM - Ex Ante, Three Stage - V2</t>
  </si>
  <si>
    <t>Mean</t>
  </si>
  <si>
    <t xml:space="preserve">S&amp;P Rating </t>
  </si>
  <si>
    <t>A market to book ratio over one would be an indication of no obsolescence.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</si>
  <si>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</si>
  <si>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</si>
  <si>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</si>
  <si>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</si>
  <si>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</si>
  <si>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</si>
  <si>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</si>
  <si>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</si>
  <si>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</si>
  <si>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 Damodaran 12 Mo Cash Yield</t>
  </si>
  <si>
    <t>CAPM - Ex Ante  Damodaran Net Cash Yield</t>
  </si>
  <si>
    <t>CAPM - Ex Ante  Damodaran NEP</t>
  </si>
  <si>
    <t>CAPM - Ex Post KROLL ERP Historical</t>
  </si>
  <si>
    <t>CAPM - Ex Post  KROLL ERP Supply Side</t>
  </si>
  <si>
    <t>CAPM - Ex Ante  KROLL ERP Conditional</t>
  </si>
  <si>
    <t>Empirical CAPM - Ex Ante  Damodaran 12 Mo Cash Yield</t>
  </si>
  <si>
    <t>Empirical CAPM - Ex Ante  Damodaran Net Cash Yield</t>
  </si>
  <si>
    <t>Empirical CAPM - Ex Ante  Damodaran NEP</t>
  </si>
  <si>
    <t>Empirical CAPM - Ex Post KROLL ERP Historical</t>
  </si>
  <si>
    <t>Empirical CAPM - Ex Post  KROLL ERP Supply Side</t>
  </si>
  <si>
    <t>Empirical CAPM - Ex Ante  KROLL ERP Conditional</t>
  </si>
  <si>
    <t>Damodaran Implied ERP Ex Ante   Avg CF Yield Last 10 Yrs (3)</t>
  </si>
  <si>
    <t>P. Fernandez, T. Garcia de Santos &amp; J.F.Acin  (5)</t>
  </si>
  <si>
    <t>CAPM - Ex Ante  Damodaran Avg CF Yield Last 10 Yrs</t>
  </si>
  <si>
    <t>Empirical CAPM - Ex Ante  Damodaran Avg CF Yield Last 10 Yrs</t>
  </si>
  <si>
    <t>na</t>
  </si>
  <si>
    <t>DCP Midstram - Company was sold to Philips 66 removed from study</t>
  </si>
  <si>
    <t>Holly Energy Partners LP - acquired by HF Sinclair Corporation</t>
  </si>
  <si>
    <t xml:space="preserve">Magellan Midstream Partners LP - acuqired by ONEOK </t>
  </si>
  <si>
    <t>B++</t>
  </si>
  <si>
    <t>Estimated 21-23 to 27-29</t>
  </si>
  <si>
    <t>Corporate                          December Avg</t>
  </si>
  <si>
    <t>Utility                                                December Avg</t>
  </si>
  <si>
    <t>**** Market value of operating leases for all companies including the airlines and railroads</t>
  </si>
  <si>
    <t>2025 Tax Year</t>
  </si>
  <si>
    <t>YEAR END 12/31/2024</t>
  </si>
  <si>
    <t>2025 CAPITALIZATION RATE STUDY</t>
  </si>
  <si>
    <t>Dec. 31, 2024</t>
  </si>
  <si>
    <t>Market to Book Ratios - Obsolescence Measurement</t>
  </si>
  <si>
    <t>BETA SELECTION for CAPM</t>
  </si>
  <si>
    <t>NOPAT CASH FLOW MULTIPLE &amp; EQUITY RATE</t>
  </si>
  <si>
    <t>Yield Equity Rate - DGM (Two-Stage)</t>
  </si>
  <si>
    <t>GROSS REVENUE &amp; GROSS BOOK (EQUITY) MULTIPLES</t>
  </si>
  <si>
    <t>NuStar Energy LP -Aquired by Sunoco LP and no longer publically traded.</t>
  </si>
  <si>
    <t>NMF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</si>
  <si>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</si>
  <si>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</si>
  <si>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</si>
  <si>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</si>
  <si>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</si>
  <si>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</si>
  <si>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</si>
  <si>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</si>
  <si>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</si>
  <si>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</si>
  <si>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</si>
  <si>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</si>
  <si>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</si>
  <si>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</si>
  <si>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</si>
  <si>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</si>
  <si>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</si>
  <si>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January 2, 2025  Compare inflation indexed securities to non-inflation indexed securities.  The difference is the inflation rate.  See Minnesota study page 26 or Wsahington study page 6.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</si>
  <si>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</si>
  <si>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</si>
  <si>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</si>
  <si>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</si>
  <si>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</si>
  <si>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</si>
  <si>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</si>
  <si>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</si>
  <si>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</si>
  <si>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</si>
  <si>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</si>
  <si>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</si>
  <si>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</si>
  <si>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</si>
  <si>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</si>
  <si>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</si>
  <si>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</si>
  <si>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</si>
  <si>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</si>
  <si>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</si>
  <si>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</si>
  <si>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</si>
  <si>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</si>
  <si>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</si>
  <si>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</si>
  <si>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</si>
  <si>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</si>
  <si>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</si>
  <si>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</si>
  <si>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</si>
  <si>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</si>
  <si>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</si>
  <si>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</si>
  <si>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</si>
  <si>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</si>
  <si>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</si>
  <si>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</si>
  <si>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</si>
  <si>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Three Stage Ex Ante  Version 1  (1)</t>
  </si>
  <si>
    <t>Three Stage Ex Ante  Version 2   (2)</t>
  </si>
  <si>
    <t>Vl Projected 2026</t>
  </si>
  <si>
    <t>Vl Projected 2025</t>
  </si>
  <si>
    <t>Moody's Bond</t>
  </si>
  <si>
    <t>Moody's Rating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</si>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</sst>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"/>
    <numFmt numFmtId="168" formatCode="_(* #,##0.000_);_(* \(#,##0.000\);_(* &quot;-&quot;??_);_(@_)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1"/>
      <color theme="9" tint="-0.249977111117893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rgb="FF0000CC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8"/>
      <color rgb="FF0000CC"/>
      <name val="Microsoft GothicNeo"/>
      <family val="2"/>
      <charset val="129"/>
    </font>
    <font>
      <sz val="12"/>
      <color rgb="FF000000"/>
      <name val="Microsoft GothicNeo"/>
      <family val="2"/>
      <charset val="129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2"/>
      <color rgb="FF000000"/>
      <name val="Microsoft GothicNeo"/>
      <family val="2"/>
      <charset val="129"/>
    </font>
    <font>
      <sz val="12"/>
      <name val="Microsoft GothicNeo"/>
      <family val="2"/>
      <charset val="129"/>
    </font>
    <font>
      <b/>
      <sz val="9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sz val="12"/>
      <color indexed="81"/>
      <name val="Tahoma"/>
      <family val="2"/>
    </font>
    <font>
      <b/>
      <i/>
      <sz val="14"/>
      <name val="Microsoft GothicNeo"/>
      <family val="2"/>
      <charset val="129"/>
    </font>
    <font>
      <b/>
      <i/>
      <sz val="12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b/>
      <sz val="11"/>
      <color theme="1"/>
      <name val="Microsoft GothicNeo Light"/>
      <family val="2"/>
      <charset val="129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</cellStyleXfs>
  <cellXfs count="50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167" fontId="15" fillId="2" borderId="0" xfId="0" applyNumberFormat="1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43" fontId="22" fillId="0" borderId="0" xfId="1" applyFont="1" applyAlignment="1">
      <alignment horizontal="right" vertical="center"/>
    </xf>
    <xf numFmtId="43" fontId="22" fillId="0" borderId="0" xfId="1" applyFont="1" applyFill="1" applyAlignment="1">
      <alignment horizontal="right" vertical="center"/>
    </xf>
    <xf numFmtId="43" fontId="21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43" fontId="21" fillId="0" borderId="0" xfId="1" applyFont="1" applyFill="1" applyBorder="1" applyAlignment="1">
      <alignment horizontal="center" vertical="center"/>
    </xf>
    <xf numFmtId="43" fontId="21" fillId="0" borderId="0" xfId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16" xfId="0" applyFont="1" applyBorder="1"/>
    <xf numFmtId="0" fontId="19" fillId="0" borderId="2" xfId="0" applyFont="1" applyBorder="1"/>
    <xf numFmtId="0" fontId="27" fillId="0" borderId="2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1" fillId="0" borderId="0" xfId="0" applyFont="1"/>
    <xf numFmtId="166" fontId="22" fillId="0" borderId="0" xfId="1" applyNumberFormat="1" applyFont="1" applyFill="1" applyAlignment="1">
      <alignment horizontal="center"/>
    </xf>
    <xf numFmtId="166" fontId="22" fillId="0" borderId="0" xfId="1" applyNumberFormat="1" applyFont="1" applyFill="1"/>
    <xf numFmtId="0" fontId="21" fillId="0" borderId="4" xfId="0" applyFont="1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10" fontId="21" fillId="0" borderId="0" xfId="2" applyNumberFormat="1" applyFont="1" applyFill="1" applyAlignment="1">
      <alignment horizontal="center" vertical="center"/>
    </xf>
    <xf numFmtId="10" fontId="21" fillId="0" borderId="0" xfId="2" applyNumberFormat="1" applyFont="1" applyFill="1" applyBorder="1" applyAlignment="1">
      <alignment horizontal="center" vertical="center"/>
    </xf>
    <xf numFmtId="10" fontId="22" fillId="0" borderId="0" xfId="2" applyNumberFormat="1" applyFont="1" applyAlignment="1">
      <alignment horizontal="right" vertical="center"/>
    </xf>
    <xf numFmtId="10" fontId="22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center"/>
    </xf>
    <xf numFmtId="10" fontId="21" fillId="0" borderId="0" xfId="2" applyNumberFormat="1" applyFont="1" applyFill="1"/>
    <xf numFmtId="0" fontId="19" fillId="3" borderId="20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2" fontId="38" fillId="0" borderId="0" xfId="0" applyNumberFormat="1" applyFont="1" applyAlignment="1">
      <alignment horizontal="center"/>
    </xf>
    <xf numFmtId="164" fontId="38" fillId="0" borderId="0" xfId="1" applyNumberFormat="1" applyFont="1" applyAlignment="1"/>
    <xf numFmtId="2" fontId="22" fillId="0" borderId="0" xfId="0" applyNumberFormat="1" applyFont="1" applyAlignment="1">
      <alignment horizontal="center"/>
    </xf>
    <xf numFmtId="0" fontId="34" fillId="0" borderId="0" xfId="0" applyFont="1"/>
    <xf numFmtId="43" fontId="24" fillId="0" borderId="0" xfId="1" applyFont="1" applyFill="1"/>
    <xf numFmtId="2" fontId="38" fillId="0" borderId="4" xfId="0" applyNumberFormat="1" applyFont="1" applyBorder="1" applyAlignment="1">
      <alignment horizontal="center"/>
    </xf>
    <xf numFmtId="10" fontId="22" fillId="0" borderId="0" xfId="2" applyNumberFormat="1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19" fillId="0" borderId="4" xfId="0" applyFont="1" applyBorder="1"/>
    <xf numFmtId="2" fontId="22" fillId="0" borderId="0" xfId="0" applyNumberFormat="1" applyFont="1" applyAlignment="1">
      <alignment horizontal="right" vertical="center"/>
    </xf>
    <xf numFmtId="2" fontId="21" fillId="0" borderId="0" xfId="0" applyNumberFormat="1" applyFont="1"/>
    <xf numFmtId="2" fontId="21" fillId="0" borderId="0" xfId="0" applyNumberFormat="1" applyFont="1" applyAlignment="1">
      <alignment horizontal="right"/>
    </xf>
    <xf numFmtId="10" fontId="21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17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0" fontId="21" fillId="0" borderId="0" xfId="2" applyNumberFormat="1" applyFont="1"/>
    <xf numFmtId="10" fontId="21" fillId="0" borderId="0" xfId="1" applyNumberFormat="1" applyFont="1" applyFill="1"/>
    <xf numFmtId="10" fontId="44" fillId="0" borderId="0" xfId="2" applyNumberFormat="1" applyFont="1" applyFill="1" applyAlignment="1">
      <alignment horizontal="center"/>
    </xf>
    <xf numFmtId="164" fontId="21" fillId="0" borderId="0" xfId="1" applyNumberFormat="1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34" fillId="0" borderId="7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0" xfId="0" applyFont="1" applyAlignment="1">
      <alignment horizontal="center"/>
    </xf>
    <xf numFmtId="15" fontId="34" fillId="0" borderId="10" xfId="0" applyNumberFormat="1" applyFont="1" applyBorder="1" applyAlignment="1">
      <alignment horizontal="center"/>
    </xf>
    <xf numFmtId="15" fontId="34" fillId="0" borderId="0" xfId="0" quotePrefix="1" applyNumberFormat="1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4" fillId="0" borderId="10" xfId="0" applyFont="1" applyBorder="1"/>
    <xf numFmtId="0" fontId="34" fillId="0" borderId="7" xfId="0" applyFont="1" applyBorder="1"/>
    <xf numFmtId="0" fontId="38" fillId="0" borderId="0" xfId="0" applyFont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3" fontId="38" fillId="0" borderId="0" xfId="0" applyNumberFormat="1" applyFont="1"/>
    <xf numFmtId="0" fontId="37" fillId="0" borderId="0" xfId="0" applyFont="1"/>
    <xf numFmtId="0" fontId="45" fillId="0" borderId="2" xfId="0" applyFont="1" applyBorder="1"/>
    <xf numFmtId="0" fontId="37" fillId="0" borderId="2" xfId="0" applyFont="1" applyBorder="1"/>
    <xf numFmtId="0" fontId="37" fillId="0" borderId="5" xfId="0" applyFont="1" applyBorder="1"/>
    <xf numFmtId="0" fontId="37" fillId="0" borderId="6" xfId="0" applyFont="1" applyBorder="1"/>
    <xf numFmtId="15" fontId="34" fillId="0" borderId="6" xfId="0" quotePrefix="1" applyNumberFormat="1" applyFont="1" applyBorder="1" applyAlignment="1">
      <alignment horizontal="center"/>
    </xf>
    <xf numFmtId="0" fontId="19" fillId="0" borderId="6" xfId="0" applyFont="1" applyBorder="1"/>
    <xf numFmtId="0" fontId="37" fillId="0" borderId="12" xfId="0" applyFont="1" applyBorder="1"/>
    <xf numFmtId="15" fontId="34" fillId="0" borderId="13" xfId="0" quotePrefix="1" applyNumberFormat="1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4" fillId="0" borderId="13" xfId="0" applyFont="1" applyBorder="1"/>
    <xf numFmtId="164" fontId="38" fillId="0" borderId="0" xfId="1" applyNumberFormat="1" applyFont="1" applyFill="1" applyBorder="1"/>
    <xf numFmtId="10" fontId="38" fillId="0" borderId="0" xfId="2" applyNumberFormat="1" applyFont="1" applyFill="1" applyBorder="1"/>
    <xf numFmtId="10" fontId="38" fillId="0" borderId="13" xfId="2" applyNumberFormat="1" applyFont="1" applyFill="1" applyBorder="1"/>
    <xf numFmtId="0" fontId="37" fillId="0" borderId="8" xfId="0" applyFont="1" applyBorder="1"/>
    <xf numFmtId="0" fontId="37" fillId="0" borderId="14" xfId="0" applyFont="1" applyBorder="1"/>
    <xf numFmtId="0" fontId="34" fillId="0" borderId="0" xfId="0" applyFont="1" applyAlignment="1">
      <alignment horizontal="right"/>
    </xf>
    <xf numFmtId="164" fontId="21" fillId="0" borderId="0" xfId="0" applyNumberFormat="1" applyFont="1"/>
    <xf numFmtId="10" fontId="34" fillId="0" borderId="0" xfId="0" applyNumberFormat="1" applyFont="1" applyAlignment="1">
      <alignment horizontal="right"/>
    </xf>
    <xf numFmtId="10" fontId="34" fillId="0" borderId="0" xfId="2" applyNumberFormat="1" applyFont="1" applyFill="1"/>
    <xf numFmtId="10" fontId="34" fillId="0" borderId="0" xfId="2" applyNumberFormat="1" applyFont="1"/>
    <xf numFmtId="2" fontId="19" fillId="0" borderId="0" xfId="0" applyNumberFormat="1" applyFont="1"/>
    <xf numFmtId="0" fontId="28" fillId="0" borderId="0" xfId="0" applyFont="1" applyAlignment="1">
      <alignment horizontal="right"/>
    </xf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165" fontId="21" fillId="0" borderId="0" xfId="3" applyNumberFormat="1" applyFont="1" applyFill="1" applyAlignment="1">
      <alignment horizontal="center"/>
    </xf>
    <xf numFmtId="164" fontId="22" fillId="0" borderId="0" xfId="1" applyNumberFormat="1" applyFont="1" applyFill="1"/>
    <xf numFmtId="10" fontId="22" fillId="0" borderId="0" xfId="2" applyNumberFormat="1" applyFont="1" applyFill="1"/>
    <xf numFmtId="0" fontId="28" fillId="0" borderId="2" xfId="0" applyFont="1" applyBorder="1" applyAlignment="1">
      <alignment horizontal="center"/>
    </xf>
    <xf numFmtId="10" fontId="38" fillId="0" borderId="0" xfId="2" applyNumberFormat="1" applyFont="1" applyFill="1" applyAlignment="1">
      <alignment horizontal="center"/>
    </xf>
    <xf numFmtId="10" fontId="38" fillId="0" borderId="0" xfId="2" applyNumberFormat="1" applyFont="1" applyFill="1"/>
    <xf numFmtId="2" fontId="49" fillId="0" borderId="0" xfId="0" applyNumberFormat="1" applyFont="1" applyAlignment="1">
      <alignment horizontal="center"/>
    </xf>
    <xf numFmtId="2" fontId="34" fillId="0" borderId="2" xfId="0" applyNumberFormat="1" applyFont="1" applyBorder="1" applyAlignment="1">
      <alignment horizontal="center"/>
    </xf>
    <xf numFmtId="10" fontId="34" fillId="0" borderId="2" xfId="2" applyNumberFormat="1" applyFont="1" applyBorder="1"/>
    <xf numFmtId="10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8" fillId="0" borderId="0" xfId="0" applyFont="1"/>
    <xf numFmtId="0" fontId="34" fillId="0" borderId="0" xfId="0" applyFont="1" applyAlignment="1">
      <alignment horizontal="left"/>
    </xf>
    <xf numFmtId="10" fontId="19" fillId="0" borderId="0" xfId="0" applyNumberFormat="1" applyFont="1"/>
    <xf numFmtId="0" fontId="18" fillId="0" borderId="0" xfId="6"/>
    <xf numFmtId="0" fontId="50" fillId="0" borderId="2" xfId="0" applyFont="1" applyBorder="1"/>
    <xf numFmtId="0" fontId="0" fillId="0" borderId="2" xfId="0" applyBorder="1"/>
    <xf numFmtId="0" fontId="28" fillId="0" borderId="2" xfId="0" applyFont="1" applyBorder="1"/>
    <xf numFmtId="0" fontId="19" fillId="0" borderId="5" xfId="0" applyFont="1" applyBorder="1"/>
    <xf numFmtId="0" fontId="19" fillId="0" borderId="12" xfId="0" applyFont="1" applyBorder="1"/>
    <xf numFmtId="0" fontId="21" fillId="0" borderId="8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52" fillId="0" borderId="0" xfId="0" applyFont="1"/>
    <xf numFmtId="0" fontId="28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50" fillId="0" borderId="33" xfId="0" applyFont="1" applyBorder="1"/>
    <xf numFmtId="0" fontId="34" fillId="0" borderId="31" xfId="0" applyFont="1" applyBorder="1"/>
    <xf numFmtId="0" fontId="34" fillId="0" borderId="20" xfId="0" applyFont="1" applyBorder="1"/>
    <xf numFmtId="0" fontId="34" fillId="0" borderId="1" xfId="0" applyFont="1" applyBorder="1"/>
    <xf numFmtId="10" fontId="38" fillId="0" borderId="0" xfId="2" applyNumberFormat="1" applyFont="1" applyAlignment="1">
      <alignment horizontal="right" vertical="center"/>
    </xf>
    <xf numFmtId="43" fontId="38" fillId="0" borderId="0" xfId="1" applyFont="1" applyFill="1" applyAlignment="1">
      <alignment horizontal="right" vertical="center"/>
    </xf>
    <xf numFmtId="10" fontId="34" fillId="0" borderId="0" xfId="2" applyNumberFormat="1" applyFont="1" applyFill="1" applyAlignment="1">
      <alignment horizontal="right"/>
    </xf>
    <xf numFmtId="43" fontId="34" fillId="0" borderId="0" xfId="1" applyFont="1" applyFill="1" applyAlignment="1">
      <alignment horizontal="right"/>
    </xf>
    <xf numFmtId="43" fontId="34" fillId="0" borderId="0" xfId="1" applyFont="1" applyFill="1"/>
    <xf numFmtId="0" fontId="34" fillId="0" borderId="0" xfId="0" applyFont="1" applyAlignment="1">
      <alignment horizontal="center" vertical="center"/>
    </xf>
    <xf numFmtId="44" fontId="38" fillId="0" borderId="0" xfId="3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0" fillId="0" borderId="34" xfId="0" applyBorder="1"/>
    <xf numFmtId="0" fontId="19" fillId="0" borderId="32" xfId="0" applyFont="1" applyBorder="1"/>
    <xf numFmtId="0" fontId="24" fillId="0" borderId="34" xfId="0" applyFont="1" applyBorder="1" applyAlignment="1">
      <alignment horizontal="right"/>
    </xf>
    <xf numFmtId="10" fontId="24" fillId="0" borderId="16" xfId="2" applyNumberFormat="1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23" fillId="0" borderId="32" xfId="0" applyFont="1" applyBorder="1"/>
    <xf numFmtId="0" fontId="23" fillId="0" borderId="34" xfId="0" applyFont="1" applyBorder="1" applyAlignment="1">
      <alignment horizontal="right"/>
    </xf>
    <xf numFmtId="0" fontId="23" fillId="0" borderId="34" xfId="0" applyFont="1" applyBorder="1"/>
    <xf numFmtId="0" fontId="19" fillId="0" borderId="34" xfId="0" applyFont="1" applyBorder="1"/>
    <xf numFmtId="0" fontId="34" fillId="0" borderId="7" xfId="0" applyFont="1" applyBorder="1" applyAlignment="1">
      <alignment horizontal="center" vertical="center"/>
    </xf>
    <xf numFmtId="10" fontId="34" fillId="0" borderId="0" xfId="2" applyNumberFormat="1" applyFont="1" applyBorder="1" applyAlignment="1">
      <alignment horizontal="center" vertical="center"/>
    </xf>
    <xf numFmtId="10" fontId="34" fillId="0" borderId="13" xfId="2" applyNumberFormat="1" applyFont="1" applyBorder="1" applyAlignment="1">
      <alignment horizontal="center" vertical="center"/>
    </xf>
    <xf numFmtId="0" fontId="37" fillId="0" borderId="7" xfId="0" applyFont="1" applyBorder="1"/>
    <xf numFmtId="0" fontId="37" fillId="0" borderId="13" xfId="0" applyFont="1" applyBorder="1"/>
    <xf numFmtId="0" fontId="24" fillId="0" borderId="16" xfId="0" applyFont="1" applyBorder="1" applyAlignment="1">
      <alignment horizontal="center" vertical="center"/>
    </xf>
    <xf numFmtId="0" fontId="54" fillId="0" borderId="0" xfId="0" applyFont="1"/>
    <xf numFmtId="0" fontId="24" fillId="0" borderId="16" xfId="0" applyFont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43" fontId="34" fillId="0" borderId="0" xfId="1" applyFont="1" applyBorder="1" applyAlignment="1">
      <alignment horizontal="center" vertical="center"/>
    </xf>
    <xf numFmtId="43" fontId="34" fillId="0" borderId="0" xfId="1" applyFont="1" applyBorder="1" applyAlignment="1">
      <alignment vertical="center"/>
    </xf>
    <xf numFmtId="10" fontId="34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4" fillId="0" borderId="0" xfId="2" applyNumberFormat="1" applyFont="1" applyFill="1" applyBorder="1" applyAlignment="1">
      <alignment horizontal="center" vertical="center"/>
    </xf>
    <xf numFmtId="0" fontId="34" fillId="0" borderId="30" xfId="0" applyFont="1" applyBorder="1"/>
    <xf numFmtId="0" fontId="34" fillId="0" borderId="21" xfId="0" applyFont="1" applyBorder="1"/>
    <xf numFmtId="0" fontId="34" fillId="0" borderId="23" xfId="0" applyFont="1" applyBorder="1"/>
    <xf numFmtId="10" fontId="38" fillId="3" borderId="26" xfId="2" applyNumberFormat="1" applyFont="1" applyFill="1" applyBorder="1" applyAlignment="1">
      <alignment horizontal="center"/>
    </xf>
    <xf numFmtId="0" fontId="19" fillId="0" borderId="24" xfId="0" applyFont="1" applyBorder="1"/>
    <xf numFmtId="10" fontId="28" fillId="0" borderId="3" xfId="2" applyNumberFormat="1" applyFont="1" applyBorder="1" applyAlignment="1">
      <alignment horizontal="center" vertical="center"/>
    </xf>
    <xf numFmtId="164" fontId="21" fillId="0" borderId="0" xfId="1" applyNumberFormat="1" applyFont="1" applyFill="1" applyAlignment="1">
      <alignment horizontal="center"/>
    </xf>
    <xf numFmtId="164" fontId="21" fillId="0" borderId="0" xfId="1" applyNumberFormat="1" applyFont="1" applyFill="1" applyAlignment="1"/>
    <xf numFmtId="2" fontId="24" fillId="0" borderId="16" xfId="0" applyNumberFormat="1" applyFont="1" applyBorder="1" applyAlignment="1">
      <alignment horizontal="center"/>
    </xf>
    <xf numFmtId="10" fontId="24" fillId="0" borderId="16" xfId="2" applyNumberFormat="1" applyFont="1" applyBorder="1" applyAlignment="1">
      <alignment horizontal="center"/>
    </xf>
    <xf numFmtId="2" fontId="24" fillId="0" borderId="16" xfId="0" applyNumberFormat="1" applyFont="1" applyBorder="1" applyAlignment="1">
      <alignment horizontal="center" vertical="center"/>
    </xf>
    <xf numFmtId="10" fontId="24" fillId="0" borderId="16" xfId="2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right" vertical="center"/>
    </xf>
    <xf numFmtId="0" fontId="30" fillId="0" borderId="17" xfId="0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0" fontId="21" fillId="0" borderId="2" xfId="0" quotePrefix="1" applyFont="1" applyBorder="1" applyAlignment="1">
      <alignment horizontal="center"/>
    </xf>
    <xf numFmtId="0" fontId="6" fillId="0" borderId="0" xfId="0" applyFont="1"/>
    <xf numFmtId="0" fontId="55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6" fillId="0" borderId="0" xfId="0" applyFont="1"/>
    <xf numFmtId="0" fontId="37" fillId="0" borderId="0" xfId="0" applyFont="1" applyAlignment="1">
      <alignment horizontal="right"/>
    </xf>
    <xf numFmtId="0" fontId="37" fillId="0" borderId="2" xfId="0" applyFont="1" applyBorder="1" applyAlignment="1">
      <alignment horizontal="center"/>
    </xf>
    <xf numFmtId="0" fontId="53" fillId="0" borderId="0" xfId="0" applyFont="1"/>
    <xf numFmtId="10" fontId="28" fillId="0" borderId="10" xfId="2" applyNumberFormat="1" applyFont="1" applyFill="1" applyBorder="1" applyAlignment="1">
      <alignment horizontal="center" vertical="center"/>
    </xf>
    <xf numFmtId="43" fontId="24" fillId="0" borderId="16" xfId="1" applyFont="1" applyBorder="1" applyAlignment="1">
      <alignment horizontal="center" vertical="center"/>
    </xf>
    <xf numFmtId="168" fontId="38" fillId="0" borderId="16" xfId="1" applyNumberFormat="1" applyFont="1" applyFill="1" applyBorder="1"/>
    <xf numFmtId="15" fontId="34" fillId="0" borderId="24" xfId="0" applyNumberFormat="1" applyFont="1" applyBorder="1" applyAlignment="1">
      <alignment horizontal="center"/>
    </xf>
    <xf numFmtId="15" fontId="34" fillId="0" borderId="12" xfId="0" applyNumberFormat="1" applyFont="1" applyBorder="1" applyAlignment="1">
      <alignment horizontal="center"/>
    </xf>
    <xf numFmtId="15" fontId="34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0" fillId="0" borderId="1" xfId="0" applyBorder="1"/>
    <xf numFmtId="0" fontId="34" fillId="0" borderId="1" xfId="0" applyFont="1" applyBorder="1" applyAlignment="1">
      <alignment horizontal="center"/>
    </xf>
    <xf numFmtId="10" fontId="38" fillId="0" borderId="1" xfId="2" applyNumberFormat="1" applyFont="1" applyFill="1" applyBorder="1" applyAlignment="1">
      <alignment horizontal="center"/>
    </xf>
    <xf numFmtId="43" fontId="38" fillId="0" borderId="1" xfId="1" applyFont="1" applyFill="1" applyBorder="1" applyAlignment="1">
      <alignment horizontal="center"/>
    </xf>
    <xf numFmtId="43" fontId="38" fillId="0" borderId="0" xfId="1" applyFont="1" applyAlignment="1">
      <alignment horizontal="center"/>
    </xf>
    <xf numFmtId="43" fontId="38" fillId="0" borderId="0" xfId="1" applyFont="1" applyFill="1" applyAlignment="1">
      <alignment horizontal="center"/>
    </xf>
    <xf numFmtId="0" fontId="52" fillId="0" borderId="0" xfId="0" applyFont="1" applyAlignment="1">
      <alignment horizontal="right"/>
    </xf>
    <xf numFmtId="43" fontId="52" fillId="0" borderId="0" xfId="0" applyNumberFormat="1" applyFont="1"/>
    <xf numFmtId="2" fontId="52" fillId="0" borderId="0" xfId="0" applyNumberFormat="1" applyFont="1"/>
    <xf numFmtId="0" fontId="34" fillId="0" borderId="5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8" fillId="0" borderId="10" xfId="1" applyNumberFormat="1" applyFont="1" applyFill="1" applyBorder="1" applyAlignment="1">
      <alignment horizontal="center"/>
    </xf>
    <xf numFmtId="164" fontId="38" fillId="0" borderId="13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0" fontId="38" fillId="0" borderId="0" xfId="2" applyNumberFormat="1" applyFont="1" applyFill="1" applyBorder="1" applyAlignment="1">
      <alignment horizontal="center"/>
    </xf>
    <xf numFmtId="10" fontId="38" fillId="0" borderId="0" xfId="2" applyNumberFormat="1" applyFont="1" applyBorder="1" applyAlignment="1">
      <alignment horizontal="center" vertical="center"/>
    </xf>
    <xf numFmtId="10" fontId="28" fillId="0" borderId="3" xfId="2" applyNumberFormat="1" applyFont="1" applyFill="1" applyBorder="1" applyAlignment="1">
      <alignment horizontal="center" vertical="center"/>
    </xf>
    <xf numFmtId="0" fontId="28" fillId="0" borderId="32" xfId="0" applyFont="1" applyBorder="1"/>
    <xf numFmtId="0" fontId="19" fillId="0" borderId="33" xfId="0" applyFont="1" applyBorder="1"/>
    <xf numFmtId="0" fontId="34" fillId="0" borderId="32" xfId="0" applyFont="1" applyBorder="1"/>
    <xf numFmtId="0" fontId="34" fillId="0" borderId="34" xfId="0" applyFont="1" applyBorder="1"/>
    <xf numFmtId="15" fontId="34" fillId="0" borderId="6" xfId="0" applyNumberFormat="1" applyFont="1" applyBorder="1" applyAlignment="1">
      <alignment horizontal="center"/>
    </xf>
    <xf numFmtId="15" fontId="34" fillId="0" borderId="24" xfId="0" quotePrefix="1" applyNumberFormat="1" applyFont="1" applyBorder="1" applyAlignment="1">
      <alignment horizontal="center"/>
    </xf>
    <xf numFmtId="15" fontId="34" fillId="0" borderId="0" xfId="0" applyNumberFormat="1" applyFont="1" applyAlignment="1">
      <alignment horizontal="center"/>
    </xf>
    <xf numFmtId="0" fontId="59" fillId="0" borderId="0" xfId="0" applyFont="1"/>
    <xf numFmtId="0" fontId="34" fillId="0" borderId="12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10" fontId="36" fillId="0" borderId="0" xfId="2" applyNumberFormat="1" applyFont="1" applyFill="1" applyBorder="1"/>
    <xf numFmtId="0" fontId="34" fillId="4" borderId="20" xfId="0" applyFont="1" applyFill="1" applyBorder="1"/>
    <xf numFmtId="0" fontId="38" fillId="4" borderId="20" xfId="0" applyFont="1" applyFill="1" applyBorder="1"/>
    <xf numFmtId="0" fontId="38" fillId="3" borderId="20" xfId="0" applyFont="1" applyFill="1" applyBorder="1"/>
    <xf numFmtId="0" fontId="60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center"/>
    </xf>
    <xf numFmtId="0" fontId="28" fillId="0" borderId="28" xfId="0" applyFont="1" applyBorder="1" applyAlignment="1">
      <alignment horizontal="center"/>
    </xf>
    <xf numFmtId="0" fontId="37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37" fillId="3" borderId="27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37" fillId="3" borderId="25" xfId="0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1" xfId="1" applyNumberFormat="1" applyFont="1" applyFill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0" fillId="0" borderId="8" xfId="0" applyBorder="1"/>
    <xf numFmtId="0" fontId="0" fillId="0" borderId="14" xfId="0" applyBorder="1"/>
    <xf numFmtId="0" fontId="34" fillId="0" borderId="16" xfId="0" applyFont="1" applyBorder="1" applyAlignment="1">
      <alignment horizontal="right"/>
    </xf>
    <xf numFmtId="0" fontId="34" fillId="0" borderId="8" xfId="0" applyFont="1" applyBorder="1"/>
    <xf numFmtId="164" fontId="38" fillId="0" borderId="3" xfId="1" applyNumberFormat="1" applyFont="1" applyFill="1" applyBorder="1" applyAlignment="1">
      <alignment horizontal="center"/>
    </xf>
    <xf numFmtId="165" fontId="22" fillId="0" borderId="0" xfId="3" applyNumberFormat="1" applyFont="1" applyFill="1" applyAlignment="1">
      <alignment horizontal="right"/>
    </xf>
    <xf numFmtId="2" fontId="15" fillId="0" borderId="0" xfId="0" applyNumberFormat="1" applyFont="1" applyAlignment="1">
      <alignment horizontal="center"/>
    </xf>
    <xf numFmtId="2" fontId="15" fillId="0" borderId="4" xfId="0" applyNumberFormat="1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2" fontId="38" fillId="0" borderId="13" xfId="0" applyNumberFormat="1" applyFont="1" applyBorder="1" applyAlignment="1">
      <alignment horizontal="center"/>
    </xf>
    <xf numFmtId="164" fontId="0" fillId="0" borderId="0" xfId="1" applyNumberFormat="1" applyFont="1"/>
    <xf numFmtId="164" fontId="21" fillId="0" borderId="0" xfId="0" applyNumberFormat="1" applyFont="1" applyAlignment="1">
      <alignment horizontal="right"/>
    </xf>
    <xf numFmtId="10" fontId="24" fillId="0" borderId="32" xfId="2" applyNumberFormat="1" applyFont="1" applyFill="1" applyBorder="1" applyAlignment="1">
      <alignment horizontal="right"/>
    </xf>
    <xf numFmtId="10" fontId="24" fillId="0" borderId="34" xfId="0" applyNumberFormat="1" applyFont="1" applyBorder="1"/>
    <xf numFmtId="10" fontId="38" fillId="0" borderId="16" xfId="2" applyNumberFormat="1" applyFont="1" applyFill="1" applyBorder="1"/>
    <xf numFmtId="43" fontId="24" fillId="0" borderId="16" xfId="1" applyFont="1" applyFill="1" applyBorder="1" applyAlignment="1">
      <alignment horizontal="center" vertical="center"/>
    </xf>
    <xf numFmtId="0" fontId="0" fillId="0" borderId="6" xfId="0" applyBorder="1"/>
    <xf numFmtId="10" fontId="38" fillId="0" borderId="0" xfId="2" applyNumberFormat="1" applyFont="1" applyFill="1" applyBorder="1" applyAlignment="1">
      <alignment horizontal="right"/>
    </xf>
    <xf numFmtId="10" fontId="22" fillId="0" borderId="0" xfId="2" applyNumberFormat="1" applyFont="1" applyFill="1" applyAlignment="1">
      <alignment horizontal="center" vertical="center"/>
    </xf>
    <xf numFmtId="10" fontId="22" fillId="0" borderId="1" xfId="2" applyNumberFormat="1" applyFont="1" applyFill="1" applyBorder="1" applyAlignment="1">
      <alignment horizontal="center" vertical="center"/>
    </xf>
    <xf numFmtId="10" fontId="22" fillId="0" borderId="0" xfId="2" applyNumberFormat="1" applyFont="1" applyFill="1" applyAlignment="1">
      <alignment horizontal="right" vertical="center"/>
    </xf>
    <xf numFmtId="10" fontId="36" fillId="0" borderId="28" xfId="2" applyNumberFormat="1" applyFont="1" applyFill="1" applyBorder="1"/>
    <xf numFmtId="43" fontId="36" fillId="0" borderId="28" xfId="1" applyFont="1" applyFill="1" applyBorder="1"/>
    <xf numFmtId="2" fontId="36" fillId="0" borderId="28" xfId="0" applyNumberFormat="1" applyFont="1" applyBorder="1"/>
    <xf numFmtId="10" fontId="21" fillId="0" borderId="0" xfId="2" applyNumberFormat="1" applyFont="1" applyFill="1" applyAlignment="1">
      <alignment horizontal="right" vertical="center"/>
    </xf>
    <xf numFmtId="10" fontId="21" fillId="0" borderId="0" xfId="2" applyNumberFormat="1" applyFont="1" applyFill="1" applyBorder="1" applyAlignment="1">
      <alignment horizontal="right" vertical="center"/>
    </xf>
    <xf numFmtId="10" fontId="23" fillId="0" borderId="16" xfId="2" applyNumberFormat="1" applyFont="1" applyFill="1" applyBorder="1"/>
    <xf numFmtId="10" fontId="23" fillId="0" borderId="16" xfId="2" applyNumberFormat="1" applyFont="1" applyFill="1" applyBorder="1" applyAlignment="1">
      <alignment horizontal="center"/>
    </xf>
    <xf numFmtId="0" fontId="62" fillId="0" borderId="0" xfId="0" applyFont="1"/>
    <xf numFmtId="0" fontId="19" fillId="0" borderId="23" xfId="0" applyFont="1" applyBorder="1"/>
    <xf numFmtId="0" fontId="0" fillId="0" borderId="33" xfId="0" applyBorder="1"/>
    <xf numFmtId="10" fontId="22" fillId="0" borderId="0" xfId="2" applyNumberFormat="1" applyFont="1" applyAlignment="1">
      <alignment horizontal="right"/>
    </xf>
    <xf numFmtId="10" fontId="22" fillId="0" borderId="4" xfId="2" applyNumberFormat="1" applyFont="1" applyFill="1" applyBorder="1" applyAlignment="1">
      <alignment horizontal="right"/>
    </xf>
    <xf numFmtId="10" fontId="22" fillId="0" borderId="4" xfId="2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38" fillId="0" borderId="10" xfId="0" applyFont="1" applyBorder="1"/>
    <xf numFmtId="3" fontId="38" fillId="0" borderId="3" xfId="0" applyNumberFormat="1" applyFont="1" applyBorder="1"/>
    <xf numFmtId="3" fontId="38" fillId="0" borderId="14" xfId="0" applyNumberFormat="1" applyFont="1" applyBorder="1"/>
    <xf numFmtId="3" fontId="38" fillId="0" borderId="10" xfId="0" applyNumberFormat="1" applyFont="1" applyBorder="1"/>
    <xf numFmtId="3" fontId="38" fillId="0" borderId="13" xfId="0" applyNumberFormat="1" applyFont="1" applyBorder="1"/>
    <xf numFmtId="3" fontId="34" fillId="0" borderId="10" xfId="0" applyNumberFormat="1" applyFont="1" applyBorder="1"/>
    <xf numFmtId="3" fontId="63" fillId="0" borderId="10" xfId="0" applyNumberFormat="1" applyFont="1" applyBorder="1"/>
    <xf numFmtId="3" fontId="63" fillId="0" borderId="13" xfId="0" applyNumberFormat="1" applyFont="1" applyBorder="1" applyAlignment="1">
      <alignment horizontal="right" vertical="center" wrapText="1"/>
    </xf>
    <xf numFmtId="0" fontId="46" fillId="0" borderId="7" xfId="0" applyFont="1" applyBorder="1"/>
    <xf numFmtId="164" fontId="22" fillId="0" borderId="0" xfId="1" applyNumberFormat="1" applyFont="1" applyFill="1" applyAlignment="1"/>
    <xf numFmtId="164" fontId="22" fillId="0" borderId="1" xfId="1" applyNumberFormat="1" applyFont="1" applyFill="1" applyBorder="1" applyAlignment="1"/>
    <xf numFmtId="10" fontId="49" fillId="0" borderId="0" xfId="2" applyNumberFormat="1" applyFont="1" applyFill="1" applyBorder="1" applyAlignment="1">
      <alignment horizontal="center"/>
    </xf>
    <xf numFmtId="2" fontId="38" fillId="0" borderId="38" xfId="0" applyNumberFormat="1" applyFont="1" applyBorder="1" applyAlignment="1">
      <alignment horizontal="center"/>
    </xf>
    <xf numFmtId="43" fontId="22" fillId="0" borderId="1" xfId="1" applyFont="1" applyFill="1" applyBorder="1" applyAlignment="1">
      <alignment horizontal="right" vertical="center"/>
    </xf>
    <xf numFmtId="10" fontId="22" fillId="0" borderId="1" xfId="2" applyNumberFormat="1" applyFont="1" applyFill="1" applyBorder="1" applyAlignment="1">
      <alignment horizontal="right" vertical="center"/>
    </xf>
    <xf numFmtId="43" fontId="38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/>
    </xf>
    <xf numFmtId="10" fontId="22" fillId="0" borderId="1" xfId="2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right"/>
    </xf>
    <xf numFmtId="10" fontId="34" fillId="0" borderId="1" xfId="2" applyNumberFormat="1" applyFont="1" applyFill="1" applyBorder="1"/>
    <xf numFmtId="2" fontId="22" fillId="0" borderId="1" xfId="0" applyNumberFormat="1" applyFont="1" applyBorder="1" applyAlignment="1">
      <alignment horizontal="right" vertical="center"/>
    </xf>
    <xf numFmtId="10" fontId="51" fillId="0" borderId="0" xfId="2" applyNumberFormat="1" applyFont="1" applyFill="1" applyAlignment="1">
      <alignment horizontal="right"/>
    </xf>
    <xf numFmtId="10" fontId="51" fillId="0" borderId="0" xfId="2" applyNumberFormat="1" applyFont="1" applyAlignment="1">
      <alignment horizontal="right"/>
    </xf>
    <xf numFmtId="10" fontId="51" fillId="0" borderId="4" xfId="2" applyNumberFormat="1" applyFont="1" applyBorder="1" applyAlignment="1">
      <alignment horizontal="right"/>
    </xf>
    <xf numFmtId="10" fontId="42" fillId="0" borderId="0" xfId="2" applyNumberFormat="1" applyFont="1" applyFill="1" applyAlignment="1">
      <alignment horizontal="right"/>
    </xf>
    <xf numFmtId="10" fontId="51" fillId="0" borderId="4" xfId="2" applyNumberFormat="1" applyFont="1" applyFill="1" applyBorder="1" applyAlignment="1">
      <alignment horizontal="center"/>
    </xf>
    <xf numFmtId="10" fontId="27" fillId="0" borderId="0" xfId="2" applyNumberFormat="1" applyFont="1" applyFill="1" applyAlignment="1">
      <alignment horizontal="center"/>
    </xf>
    <xf numFmtId="0" fontId="64" fillId="0" borderId="10" xfId="0" applyFont="1" applyBorder="1"/>
    <xf numFmtId="0" fontId="46" fillId="0" borderId="10" xfId="0" applyFont="1" applyBorder="1"/>
    <xf numFmtId="0" fontId="46" fillId="0" borderId="3" xfId="0" applyFont="1" applyBorder="1"/>
    <xf numFmtId="10" fontId="28" fillId="0" borderId="0" xfId="2" applyNumberFormat="1" applyFont="1" applyFill="1" applyBorder="1" applyAlignment="1">
      <alignment horizontal="center" vertical="center"/>
    </xf>
    <xf numFmtId="10" fontId="28" fillId="0" borderId="2" xfId="2" applyNumberFormat="1" applyFont="1" applyBorder="1" applyAlignment="1">
      <alignment horizontal="center" vertical="center"/>
    </xf>
    <xf numFmtId="0" fontId="19" fillId="0" borderId="21" xfId="0" applyFont="1" applyBorder="1"/>
    <xf numFmtId="2" fontId="38" fillId="0" borderId="7" xfId="0" applyNumberFormat="1" applyFont="1" applyBorder="1" applyAlignment="1">
      <alignment horizontal="center"/>
    </xf>
    <xf numFmtId="2" fontId="38" fillId="0" borderId="3" xfId="0" applyNumberFormat="1" applyFont="1" applyBorder="1" applyAlignment="1">
      <alignment horizontal="center"/>
    </xf>
    <xf numFmtId="2" fontId="38" fillId="0" borderId="8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2" fontId="38" fillId="0" borderId="14" xfId="0" applyNumberFormat="1" applyFont="1" applyBorder="1" applyAlignment="1">
      <alignment horizontal="center"/>
    </xf>
    <xf numFmtId="0" fontId="38" fillId="0" borderId="18" xfId="0" applyFont="1" applyBorder="1"/>
    <xf numFmtId="10" fontId="38" fillId="0" borderId="28" xfId="2" applyNumberFormat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2" fontId="51" fillId="0" borderId="0" xfId="0" applyNumberFormat="1" applyFont="1" applyAlignment="1">
      <alignment horizontal="right"/>
    </xf>
    <xf numFmtId="0" fontId="19" fillId="0" borderId="4" xfId="0" applyFont="1" applyBorder="1" applyAlignment="1">
      <alignment horizontal="right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9" fillId="0" borderId="20" xfId="0" applyFont="1" applyBorder="1"/>
    <xf numFmtId="44" fontId="51" fillId="0" borderId="20" xfId="3" applyFont="1" applyFill="1" applyBorder="1" applyAlignment="1">
      <alignment horizontal="center"/>
    </xf>
    <xf numFmtId="44" fontId="22" fillId="0" borderId="20" xfId="3" applyFont="1" applyFill="1" applyBorder="1" applyAlignment="1">
      <alignment horizontal="center"/>
    </xf>
    <xf numFmtId="0" fontId="19" fillId="0" borderId="41" xfId="0" applyFont="1" applyBorder="1"/>
    <xf numFmtId="2" fontId="22" fillId="0" borderId="20" xfId="0" applyNumberFormat="1" applyFont="1" applyBorder="1" applyAlignment="1">
      <alignment horizontal="right" vertical="center"/>
    </xf>
    <xf numFmtId="2" fontId="22" fillId="0" borderId="22" xfId="0" applyNumberFormat="1" applyFont="1" applyBorder="1" applyAlignment="1">
      <alignment horizontal="right" vertical="center"/>
    </xf>
    <xf numFmtId="2" fontId="21" fillId="0" borderId="20" xfId="0" applyNumberFormat="1" applyFont="1" applyBorder="1" applyAlignment="1">
      <alignment horizontal="right"/>
    </xf>
    <xf numFmtId="43" fontId="21" fillId="0" borderId="20" xfId="1" applyFont="1" applyFill="1" applyBorder="1" applyAlignment="1">
      <alignment horizontal="right"/>
    </xf>
    <xf numFmtId="43" fontId="24" fillId="0" borderId="0" xfId="1" applyFont="1" applyBorder="1" applyAlignment="1">
      <alignment horizontal="center" vertical="center"/>
    </xf>
    <xf numFmtId="0" fontId="0" fillId="0" borderId="4" xfId="0" applyBorder="1"/>
    <xf numFmtId="0" fontId="34" fillId="4" borderId="39" xfId="0" applyFont="1" applyFill="1" applyBorder="1"/>
    <xf numFmtId="10" fontId="38" fillId="4" borderId="39" xfId="2" applyNumberFormat="1" applyFont="1" applyFill="1" applyBorder="1" applyAlignment="1">
      <alignment horizontal="center"/>
    </xf>
    <xf numFmtId="10" fontId="38" fillId="4" borderId="20" xfId="2" applyNumberFormat="1" applyFont="1" applyFill="1" applyBorder="1" applyAlignment="1">
      <alignment horizontal="center"/>
    </xf>
    <xf numFmtId="10" fontId="19" fillId="0" borderId="20" xfId="2" applyNumberFormat="1" applyFont="1" applyFill="1" applyBorder="1"/>
    <xf numFmtId="10" fontId="19" fillId="0" borderId="20" xfId="0" applyNumberFormat="1" applyFont="1" applyBorder="1"/>
    <xf numFmtId="0" fontId="38" fillId="3" borderId="22" xfId="0" applyFont="1" applyFill="1" applyBorder="1"/>
    <xf numFmtId="10" fontId="38" fillId="3" borderId="27" xfId="2" applyNumberFormat="1" applyFont="1" applyFill="1" applyBorder="1" applyAlignment="1">
      <alignment horizontal="center"/>
    </xf>
    <xf numFmtId="0" fontId="19" fillId="0" borderId="8" xfId="0" applyFont="1" applyBorder="1"/>
    <xf numFmtId="0" fontId="19" fillId="0" borderId="14" xfId="0" applyFont="1" applyBorder="1"/>
    <xf numFmtId="10" fontId="38" fillId="4" borderId="26" xfId="2" applyNumberFormat="1" applyFont="1" applyFill="1" applyBorder="1" applyAlignment="1">
      <alignment horizontal="center"/>
    </xf>
    <xf numFmtId="0" fontId="38" fillId="3" borderId="26" xfId="0" applyFont="1" applyFill="1" applyBorder="1"/>
    <xf numFmtId="10" fontId="24" fillId="0" borderId="16" xfId="2" applyNumberFormat="1" applyFont="1" applyFill="1" applyBorder="1" applyAlignment="1">
      <alignment horizontal="center" vertical="center"/>
    </xf>
    <xf numFmtId="10" fontId="43" fillId="0" borderId="16" xfId="2" applyNumberFormat="1" applyFont="1" applyFill="1" applyBorder="1" applyAlignment="1">
      <alignment horizontal="center"/>
    </xf>
    <xf numFmtId="0" fontId="0" fillId="0" borderId="20" xfId="0" applyBorder="1"/>
    <xf numFmtId="10" fontId="49" fillId="0" borderId="0" xfId="2" applyNumberFormat="1" applyFont="1" applyFill="1" applyBorder="1" applyAlignment="1">
      <alignment horizontal="center" vertical="center"/>
    </xf>
    <xf numFmtId="0" fontId="34" fillId="0" borderId="4" xfId="0" applyFont="1" applyBorder="1"/>
    <xf numFmtId="0" fontId="34" fillId="0" borderId="4" xfId="0" applyFont="1" applyBorder="1" applyAlignment="1">
      <alignment horizontal="center"/>
    </xf>
    <xf numFmtId="10" fontId="38" fillId="0" borderId="4" xfId="2" applyNumberFormat="1" applyFont="1" applyFill="1" applyBorder="1"/>
    <xf numFmtId="10" fontId="38" fillId="0" borderId="4" xfId="2" applyNumberFormat="1" applyFont="1" applyFill="1" applyBorder="1" applyAlignment="1">
      <alignment horizontal="center"/>
    </xf>
    <xf numFmtId="0" fontId="48" fillId="0" borderId="0" xfId="6" applyFont="1"/>
    <xf numFmtId="0" fontId="46" fillId="0" borderId="7" xfId="0" applyFont="1" applyBorder="1" applyAlignment="1">
      <alignment horizontal="center" vertical="center"/>
    </xf>
    <xf numFmtId="0" fontId="28" fillId="3" borderId="25" xfId="0" applyFont="1" applyFill="1" applyBorder="1" applyAlignment="1">
      <alignment horizontal="center"/>
    </xf>
    <xf numFmtId="10" fontId="22" fillId="3" borderId="10" xfId="2" applyNumberFormat="1" applyFont="1" applyFill="1" applyBorder="1" applyAlignment="1">
      <alignment horizontal="center"/>
    </xf>
    <xf numFmtId="10" fontId="22" fillId="3" borderId="3" xfId="2" applyNumberFormat="1" applyFont="1" applyFill="1" applyBorder="1" applyAlignment="1">
      <alignment horizontal="center"/>
    </xf>
    <xf numFmtId="10" fontId="22" fillId="3" borderId="3" xfId="1" applyNumberFormat="1" applyFont="1" applyFill="1" applyBorder="1" applyAlignment="1">
      <alignment horizontal="center"/>
    </xf>
    <xf numFmtId="10" fontId="22" fillId="3" borderId="24" xfId="1" applyNumberFormat="1" applyFont="1" applyFill="1" applyBorder="1" applyAlignment="1">
      <alignment horizontal="center"/>
    </xf>
    <xf numFmtId="10" fontId="22" fillId="3" borderId="10" xfId="1" applyNumberFormat="1" applyFont="1" applyFill="1" applyBorder="1" applyAlignment="1">
      <alignment horizontal="center"/>
    </xf>
    <xf numFmtId="0" fontId="19" fillId="3" borderId="42" xfId="0" applyFont="1" applyFill="1" applyBorder="1" applyAlignment="1">
      <alignment horizontal="center"/>
    </xf>
    <xf numFmtId="0" fontId="37" fillId="3" borderId="0" xfId="0" applyFont="1" applyFill="1" applyAlignment="1">
      <alignment horizontal="center"/>
    </xf>
    <xf numFmtId="0" fontId="37" fillId="3" borderId="29" xfId="0" applyFont="1" applyFill="1" applyBorder="1" applyAlignment="1">
      <alignment horizontal="center"/>
    </xf>
    <xf numFmtId="0" fontId="19" fillId="3" borderId="43" xfId="0" applyFont="1" applyFill="1" applyBorder="1" applyAlignment="1">
      <alignment horizontal="center"/>
    </xf>
    <xf numFmtId="0" fontId="37" fillId="3" borderId="20" xfId="0" applyFont="1" applyFill="1" applyBorder="1" applyAlignment="1">
      <alignment horizontal="center"/>
    </xf>
    <xf numFmtId="0" fontId="19" fillId="3" borderId="44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3" borderId="22" xfId="0" applyFont="1" applyFill="1" applyBorder="1" applyAlignment="1">
      <alignment horizontal="center"/>
    </xf>
    <xf numFmtId="0" fontId="62" fillId="3" borderId="16" xfId="0" applyFont="1" applyFill="1" applyBorder="1"/>
    <xf numFmtId="10" fontId="22" fillId="0" borderId="1" xfId="1" applyNumberFormat="1" applyFont="1" applyFill="1" applyBorder="1" applyAlignment="1"/>
    <xf numFmtId="10" fontId="22" fillId="0" borderId="0" xfId="1" applyNumberFormat="1" applyFont="1" applyFill="1" applyAlignment="1">
      <alignment horizontal="right"/>
    </xf>
    <xf numFmtId="10" fontId="22" fillId="0" borderId="20" xfId="2" applyNumberFormat="1" applyFont="1" applyBorder="1" applyAlignment="1">
      <alignment horizontal="right" vertical="center"/>
    </xf>
    <xf numFmtId="10" fontId="22" fillId="0" borderId="22" xfId="2" applyNumberFormat="1" applyFont="1" applyBorder="1" applyAlignment="1">
      <alignment horizontal="right" vertical="center"/>
    </xf>
    <xf numFmtId="2" fontId="36" fillId="0" borderId="18" xfId="0" applyNumberFormat="1" applyFont="1" applyBorder="1"/>
    <xf numFmtId="0" fontId="65" fillId="3" borderId="24" xfId="0" applyFont="1" applyFill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/>
    <xf numFmtId="0" fontId="37" fillId="0" borderId="24" xfId="0" applyFont="1" applyBorder="1"/>
    <xf numFmtId="0" fontId="37" fillId="0" borderId="3" xfId="0" applyFont="1" applyBorder="1"/>
    <xf numFmtId="0" fontId="37" fillId="0" borderId="10" xfId="0" applyFont="1" applyBorder="1"/>
    <xf numFmtId="164" fontId="38" fillId="0" borderId="10" xfId="1" applyNumberFormat="1" applyFont="1" applyFill="1" applyBorder="1"/>
    <xf numFmtId="164" fontId="46" fillId="0" borderId="10" xfId="1" applyNumberFormat="1" applyFont="1" applyFill="1" applyBorder="1"/>
    <xf numFmtId="15" fontId="34" fillId="0" borderId="10" xfId="0" quotePrefix="1" applyNumberFormat="1" applyFont="1" applyBorder="1" applyAlignment="1">
      <alignment horizontal="center"/>
    </xf>
    <xf numFmtId="10" fontId="38" fillId="0" borderId="10" xfId="2" applyNumberFormat="1" applyFont="1" applyFill="1" applyBorder="1"/>
    <xf numFmtId="0" fontId="5" fillId="0" borderId="0" xfId="0" applyFont="1"/>
    <xf numFmtId="0" fontId="47" fillId="5" borderId="25" xfId="0" applyFont="1" applyFill="1" applyBorder="1" applyAlignment="1">
      <alignment horizontal="center"/>
    </xf>
    <xf numFmtId="0" fontId="47" fillId="5" borderId="27" xfId="0" applyFont="1" applyFill="1" applyBorder="1" applyAlignment="1">
      <alignment horizontal="center"/>
    </xf>
    <xf numFmtId="0" fontId="28" fillId="0" borderId="29" xfId="0" applyFont="1" applyBorder="1"/>
    <xf numFmtId="10" fontId="47" fillId="0" borderId="25" xfId="2" applyNumberFormat="1" applyFont="1" applyFill="1" applyBorder="1" applyAlignment="1">
      <alignment horizontal="center"/>
    </xf>
    <xf numFmtId="10" fontId="70" fillId="0" borderId="25" xfId="2" applyNumberFormat="1" applyFont="1" applyFill="1" applyBorder="1" applyAlignment="1">
      <alignment horizontal="center"/>
    </xf>
    <xf numFmtId="0" fontId="28" fillId="0" borderId="20" xfId="0" applyFont="1" applyBorder="1"/>
    <xf numFmtId="10" fontId="47" fillId="0" borderId="26" xfId="2" applyNumberFormat="1" applyFont="1" applyFill="1" applyBorder="1" applyAlignment="1">
      <alignment horizontal="center"/>
    </xf>
    <xf numFmtId="10" fontId="70" fillId="0" borderId="26" xfId="2" applyNumberFormat="1" applyFont="1" applyFill="1" applyBorder="1" applyAlignment="1">
      <alignment horizontal="center"/>
    </xf>
    <xf numFmtId="0" fontId="28" fillId="0" borderId="22" xfId="0" applyFont="1" applyBorder="1"/>
    <xf numFmtId="10" fontId="47" fillId="0" borderId="27" xfId="2" applyNumberFormat="1" applyFont="1" applyFill="1" applyBorder="1" applyAlignment="1">
      <alignment horizontal="center"/>
    </xf>
    <xf numFmtId="10" fontId="70" fillId="0" borderId="27" xfId="2" applyNumberFormat="1" applyFont="1" applyFill="1" applyBorder="1" applyAlignment="1">
      <alignment horizontal="center"/>
    </xf>
    <xf numFmtId="10" fontId="28" fillId="0" borderId="26" xfId="2" applyNumberFormat="1" applyFont="1" applyFill="1" applyBorder="1" applyAlignment="1">
      <alignment horizontal="center"/>
    </xf>
    <xf numFmtId="10" fontId="28" fillId="0" borderId="27" xfId="2" applyNumberFormat="1" applyFont="1" applyFill="1" applyBorder="1" applyAlignment="1">
      <alignment horizontal="center"/>
    </xf>
    <xf numFmtId="10" fontId="47" fillId="0" borderId="26" xfId="2" applyNumberFormat="1" applyFont="1" applyBorder="1" applyAlignment="1">
      <alignment horizontal="center" vertical="center"/>
    </xf>
    <xf numFmtId="10" fontId="47" fillId="0" borderId="27" xfId="2" applyNumberFormat="1" applyFont="1" applyBorder="1" applyAlignment="1">
      <alignment horizontal="center" vertical="center"/>
    </xf>
    <xf numFmtId="10" fontId="28" fillId="0" borderId="25" xfId="2" applyNumberFormat="1" applyFont="1" applyFill="1" applyBorder="1" applyAlignment="1">
      <alignment horizontal="center"/>
    </xf>
    <xf numFmtId="0" fontId="38" fillId="0" borderId="29" xfId="0" applyFont="1" applyBorder="1"/>
    <xf numFmtId="0" fontId="19" fillId="0" borderId="31" xfId="0" applyFont="1" applyBorder="1"/>
    <xf numFmtId="0" fontId="19" fillId="0" borderId="30" xfId="0" applyFont="1" applyBorder="1"/>
    <xf numFmtId="0" fontId="0" fillId="0" borderId="30" xfId="0" applyBorder="1"/>
    <xf numFmtId="0" fontId="38" fillId="0" borderId="20" xfId="0" applyFont="1" applyBorder="1"/>
    <xf numFmtId="0" fontId="0" fillId="0" borderId="21" xfId="0" applyBorder="1"/>
    <xf numFmtId="0" fontId="38" fillId="0" borderId="22" xfId="0" applyFont="1" applyBorder="1"/>
    <xf numFmtId="0" fontId="19" fillId="0" borderId="1" xfId="0" applyFont="1" applyBorder="1"/>
    <xf numFmtId="0" fontId="0" fillId="0" borderId="23" xfId="0" applyBorder="1"/>
    <xf numFmtId="10" fontId="34" fillId="0" borderId="29" xfId="2" applyNumberFormat="1" applyFont="1" applyBorder="1" applyAlignment="1">
      <alignment horizontal="left"/>
    </xf>
    <xf numFmtId="0" fontId="0" fillId="0" borderId="31" xfId="0" applyBorder="1"/>
    <xf numFmtId="0" fontId="73" fillId="0" borderId="22" xfId="6" applyFont="1" applyBorder="1"/>
    <xf numFmtId="0" fontId="68" fillId="0" borderId="0" xfId="0" applyFont="1" applyAlignment="1">
      <alignment vertical="center"/>
    </xf>
    <xf numFmtId="15" fontId="74" fillId="0" borderId="0" xfId="0" quotePrefix="1" applyNumberFormat="1" applyFont="1" applyAlignment="1">
      <alignment horizontal="left"/>
    </xf>
    <xf numFmtId="0" fontId="75" fillId="0" borderId="0" xfId="6" applyFont="1"/>
    <xf numFmtId="0" fontId="66" fillId="0" borderId="0" xfId="0" applyFont="1"/>
    <xf numFmtId="0" fontId="76" fillId="0" borderId="0" xfId="0" applyFont="1" applyAlignment="1">
      <alignment vertical="center"/>
    </xf>
    <xf numFmtId="0" fontId="78" fillId="0" borderId="0" xfId="6" applyFont="1" applyAlignment="1">
      <alignment vertical="center"/>
    </xf>
    <xf numFmtId="0" fontId="75" fillId="0" borderId="0" xfId="6" applyFont="1" applyAlignment="1">
      <alignment vertical="center"/>
    </xf>
    <xf numFmtId="0" fontId="74" fillId="0" borderId="0" xfId="6" applyFont="1"/>
    <xf numFmtId="17" fontId="76" fillId="0" borderId="0" xfId="0" quotePrefix="1" applyNumberFormat="1" applyFont="1" applyAlignment="1">
      <alignment vertical="center"/>
    </xf>
    <xf numFmtId="0" fontId="79" fillId="0" borderId="0" xfId="6" applyFont="1" applyAlignment="1">
      <alignment vertical="center"/>
    </xf>
    <xf numFmtId="0" fontId="79" fillId="0" borderId="0" xfId="0" applyFont="1"/>
    <xf numFmtId="0" fontId="80" fillId="0" borderId="0" xfId="0" applyFont="1" applyAlignment="1">
      <alignment vertical="center"/>
    </xf>
    <xf numFmtId="0" fontId="28" fillId="5" borderId="28" xfId="0" applyFont="1" applyFill="1" applyBorder="1" applyAlignment="1">
      <alignment horizontal="center"/>
    </xf>
    <xf numFmtId="0" fontId="0" fillId="0" borderId="29" xfId="0" applyBorder="1"/>
    <xf numFmtId="0" fontId="81" fillId="0" borderId="31" xfId="0" applyFont="1" applyBorder="1" applyAlignment="1">
      <alignment horizontal="right"/>
    </xf>
    <xf numFmtId="0" fontId="0" fillId="0" borderId="25" xfId="0" applyBorder="1"/>
    <xf numFmtId="0" fontId="82" fillId="0" borderId="0" xfId="0" applyFont="1" applyAlignment="1">
      <alignment horizontal="right"/>
    </xf>
    <xf numFmtId="10" fontId="28" fillId="0" borderId="26" xfId="2" applyNumberFormat="1" applyFont="1" applyBorder="1" applyAlignment="1">
      <alignment horizontal="center"/>
    </xf>
    <xf numFmtId="0" fontId="28" fillId="0" borderId="0" xfId="0" applyFont="1" applyAlignment="1">
      <alignment horizontal="right" indent="1"/>
    </xf>
    <xf numFmtId="0" fontId="81" fillId="0" borderId="0" xfId="0" applyFont="1" applyAlignment="1">
      <alignment horizontal="right"/>
    </xf>
    <xf numFmtId="0" fontId="19" fillId="0" borderId="26" xfId="0" applyFont="1" applyBorder="1" applyAlignment="1">
      <alignment horizontal="center"/>
    </xf>
    <xf numFmtId="10" fontId="24" fillId="6" borderId="16" xfId="2" applyNumberFormat="1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10" fontId="81" fillId="0" borderId="26" xfId="0" applyNumberFormat="1" applyFont="1" applyBorder="1" applyAlignment="1">
      <alignment horizontal="center"/>
    </xf>
    <xf numFmtId="0" fontId="0" fillId="0" borderId="22" xfId="0" applyBorder="1"/>
    <xf numFmtId="0" fontId="81" fillId="0" borderId="1" xfId="0" applyFont="1" applyBorder="1" applyAlignment="1">
      <alignment horizontal="right" vertical="center"/>
    </xf>
    <xf numFmtId="10" fontId="81" fillId="0" borderId="27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3" fillId="0" borderId="0" xfId="0" applyNumberFormat="1" applyFont="1" applyAlignment="1">
      <alignment horizontal="left"/>
    </xf>
    <xf numFmtId="10" fontId="71" fillId="0" borderId="0" xfId="2" applyNumberFormat="1" applyFont="1" applyFill="1" applyBorder="1" applyAlignment="1">
      <alignment horizontal="left"/>
    </xf>
    <xf numFmtId="0" fontId="72" fillId="0" borderId="0" xfId="0" applyFont="1" applyAlignment="1">
      <alignment horizontal="left"/>
    </xf>
    <xf numFmtId="10" fontId="43" fillId="6" borderId="16" xfId="2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84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45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177799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46</xdr:row>
      <xdr:rowOff>123825</xdr:rowOff>
    </xdr:to>
    <xdr:pic>
      <xdr:nvPicPr>
        <xdr:cNvPr id="28673" name="Picture 1">
          <a:extLst>
            <a:ext uri="{FF2B5EF4-FFF2-40B4-BE49-F238E27FC236}">
              <a16:creationId xmlns:a16="http://schemas.microsoft.com/office/drawing/2014/main" id="{975FB774-65E0-B366-5B43-823712BC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0375" cy="88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www.richmondfed.org/research/national_economy/cfo_survey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A10" sqref="A10"/>
    </sheetView>
  </sheetViews>
  <sheetFormatPr defaultRowHeight="15"/>
  <cols>
    <col min="5" max="5" width="12.28515625" customWidth="1"/>
    <col min="9" max="9" width="16.42578125" customWidth="1"/>
  </cols>
  <sheetData>
    <row r="1" spans="1:13" ht="18.75">
      <c r="A1" s="499" t="s">
        <v>0</v>
      </c>
      <c r="B1" s="500"/>
      <c r="C1" s="500"/>
      <c r="D1" s="500"/>
      <c r="E1" s="500"/>
      <c r="F1" s="500"/>
      <c r="G1" s="500"/>
      <c r="H1" s="500"/>
      <c r="I1" s="500"/>
    </row>
    <row r="5" spans="1:13" ht="27">
      <c r="E5" s="501" t="s">
        <v>0</v>
      </c>
      <c r="F5" s="502"/>
      <c r="G5" s="502"/>
      <c r="H5" s="502"/>
      <c r="I5" s="502"/>
      <c r="J5" s="502"/>
      <c r="K5" s="502"/>
      <c r="L5" s="502"/>
      <c r="M5" s="502"/>
    </row>
    <row r="7" spans="1:13" ht="27">
      <c r="A7" s="503" t="s">
        <v>30</v>
      </c>
      <c r="B7" s="504"/>
      <c r="C7" s="504"/>
      <c r="D7" s="504"/>
      <c r="E7" s="504"/>
      <c r="F7" s="504"/>
      <c r="G7" s="504"/>
      <c r="H7" s="504"/>
      <c r="I7" s="504"/>
    </row>
    <row r="8" spans="1:13" ht="27">
      <c r="A8" s="6"/>
      <c r="B8" s="7"/>
      <c r="C8" s="7"/>
      <c r="D8" s="7"/>
      <c r="E8" s="501" t="s">
        <v>0</v>
      </c>
      <c r="F8" s="502"/>
      <c r="G8" s="502"/>
      <c r="H8" s="502"/>
      <c r="I8" s="502"/>
      <c r="J8" s="502"/>
      <c r="K8" s="502"/>
      <c r="L8" s="502"/>
      <c r="M8" s="502"/>
    </row>
    <row r="9" spans="1:13" ht="27">
      <c r="A9" s="501" t="s">
        <v>431</v>
      </c>
      <c r="B9" s="502"/>
      <c r="C9" s="502"/>
      <c r="D9" s="502"/>
      <c r="E9" s="502"/>
      <c r="F9" s="502"/>
      <c r="G9" s="502"/>
      <c r="H9" s="502"/>
      <c r="I9" s="502"/>
    </row>
    <row r="15" spans="1:13">
      <c r="A15" s="496" t="s">
        <v>0</v>
      </c>
      <c r="B15" s="497"/>
      <c r="C15" s="497"/>
      <c r="D15" s="497"/>
      <c r="E15" s="497"/>
      <c r="F15" s="497"/>
      <c r="G15" s="497"/>
      <c r="H15" s="497"/>
      <c r="I15" s="497"/>
    </row>
    <row r="16" spans="1:13" ht="33.75">
      <c r="A16" s="494" t="str">
        <f>+'S&amp;D'!A12</f>
        <v>Liquid Transportation Pipeline Carriers</v>
      </c>
      <c r="B16" s="495"/>
      <c r="C16" s="495"/>
      <c r="D16" s="495"/>
      <c r="E16" s="495"/>
      <c r="F16" s="495"/>
      <c r="G16" s="495"/>
      <c r="H16" s="495"/>
      <c r="I16" s="495"/>
    </row>
    <row r="17" spans="1:9">
      <c r="A17" s="496" t="s">
        <v>0</v>
      </c>
      <c r="B17" s="497"/>
      <c r="C17" s="497"/>
      <c r="D17" s="497"/>
      <c r="E17" s="497"/>
      <c r="F17" s="497"/>
      <c r="G17" s="497"/>
      <c r="H17" s="497"/>
      <c r="I17" s="497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96" t="s">
        <v>0</v>
      </c>
      <c r="B29" s="497"/>
      <c r="C29" s="497"/>
      <c r="D29" s="497"/>
      <c r="E29" s="497"/>
      <c r="F29" s="497"/>
      <c r="G29" s="497"/>
      <c r="H29" s="497"/>
      <c r="I29" s="497"/>
    </row>
    <row r="34" spans="1:9">
      <c r="A34" s="498"/>
      <c r="B34" s="498"/>
      <c r="C34" s="498"/>
      <c r="D34" s="498"/>
      <c r="E34" s="498"/>
      <c r="F34" s="498"/>
      <c r="G34" s="498"/>
      <c r="H34" s="498"/>
      <c r="I34" s="498"/>
    </row>
    <row r="35" spans="1:9">
      <c r="A35" s="498"/>
      <c r="B35" s="498"/>
      <c r="C35" s="498"/>
      <c r="D35" s="498"/>
      <c r="E35" s="498"/>
      <c r="F35" s="498"/>
      <c r="G35" s="498"/>
      <c r="H35" s="498"/>
      <c r="I35" s="498"/>
    </row>
    <row r="36" spans="1:9">
      <c r="A36" s="498"/>
      <c r="B36" s="498"/>
      <c r="C36" s="498"/>
      <c r="D36" s="498"/>
      <c r="E36" s="498"/>
      <c r="F36" s="498"/>
      <c r="G36" s="498"/>
      <c r="H36" s="498"/>
      <c r="I36" s="498"/>
    </row>
    <row r="37" spans="1:9">
      <c r="A37" s="498"/>
      <c r="B37" s="498"/>
      <c r="C37" s="498"/>
      <c r="D37" s="498"/>
      <c r="E37" s="498"/>
      <c r="F37" s="498"/>
      <c r="G37" s="498"/>
      <c r="H37" s="498"/>
      <c r="I37" s="498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57"/>
  <sheetViews>
    <sheetView view="pageBreakPreview" topLeftCell="A10" zoomScale="60" zoomScaleNormal="80" workbookViewId="0">
      <selection activeCell="J29" sqref="J29"/>
    </sheetView>
  </sheetViews>
  <sheetFormatPr defaultRowHeight="15"/>
  <cols>
    <col min="1" max="1" width="42.85546875" customWidth="1"/>
    <col min="2" max="2" width="13.42578125" customWidth="1"/>
    <col min="3" max="3" width="19.140625" bestFit="1" customWidth="1"/>
    <col min="4" max="4" width="21.140625" customWidth="1"/>
    <col min="5" max="5" width="23.5703125" customWidth="1"/>
    <col min="6" max="6" width="16.140625" customWidth="1"/>
    <col min="7" max="7" width="12.140625" customWidth="1"/>
    <col min="8" max="8" width="18.5703125" customWidth="1"/>
    <col min="9" max="9" width="19.28515625" customWidth="1"/>
    <col min="10" max="11" width="20.5703125" customWidth="1"/>
    <col min="12" max="12" width="26.5703125" customWidth="1"/>
    <col min="13" max="13" width="13.7109375" customWidth="1"/>
  </cols>
  <sheetData>
    <row r="1" spans="1:13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6.5">
      <c r="A3" s="25" t="s">
        <v>62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>
      <c r="A4" s="2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7.25" thickBot="1">
      <c r="A5" s="12"/>
      <c r="B5" s="12"/>
      <c r="C5" s="12"/>
      <c r="D5" s="12"/>
      <c r="E5" s="12"/>
      <c r="F5" s="12"/>
      <c r="G5" s="26"/>
      <c r="H5" s="26"/>
      <c r="I5" s="12"/>
      <c r="J5" s="12"/>
      <c r="K5" s="12"/>
      <c r="L5" s="12"/>
      <c r="M5" s="12"/>
    </row>
    <row r="6" spans="1:13" ht="21" thickBot="1">
      <c r="A6" s="250" t="str">
        <f>+'S&amp;D'!A12</f>
        <v>Liquid Transportation Pipeline Carriers</v>
      </c>
      <c r="B6" s="184"/>
      <c r="C6" s="12"/>
      <c r="D6" s="28"/>
      <c r="E6" s="28"/>
      <c r="F6" s="29" t="s">
        <v>0</v>
      </c>
      <c r="G6" s="12"/>
      <c r="H6" s="12"/>
      <c r="I6" s="12"/>
      <c r="J6" s="12"/>
      <c r="K6" s="12"/>
      <c r="L6" s="12"/>
      <c r="M6" s="12"/>
    </row>
    <row r="7" spans="1:13" ht="26.25">
      <c r="A7" s="30"/>
      <c r="B7" s="12"/>
      <c r="C7" s="12"/>
      <c r="D7" s="12"/>
      <c r="E7" s="31" t="s">
        <v>508</v>
      </c>
      <c r="F7" s="12"/>
      <c r="G7" s="12"/>
      <c r="H7" s="12"/>
      <c r="I7" s="12"/>
      <c r="J7" s="12"/>
      <c r="K7" s="12"/>
      <c r="L7" s="12"/>
      <c r="M7" s="12"/>
    </row>
    <row r="8" spans="1:13" ht="21" thickBot="1">
      <c r="A8" s="30"/>
      <c r="B8" s="12"/>
      <c r="C8" s="12"/>
      <c r="D8" s="28"/>
      <c r="E8" s="36" t="s">
        <v>430</v>
      </c>
      <c r="F8" s="28" t="s">
        <v>0</v>
      </c>
      <c r="G8" s="12"/>
      <c r="H8" s="12"/>
      <c r="I8" s="12"/>
      <c r="J8" s="12"/>
      <c r="K8" s="12"/>
      <c r="L8" s="12"/>
      <c r="M8" s="12"/>
    </row>
    <row r="9" spans="1:13" ht="17.25" thickBot="1">
      <c r="A9" s="33" t="s">
        <v>0</v>
      </c>
      <c r="B9" s="33" t="s">
        <v>0</v>
      </c>
      <c r="D9" s="33" t="s">
        <v>0</v>
      </c>
      <c r="E9" s="33" t="s">
        <v>0</v>
      </c>
      <c r="F9" s="33" t="s">
        <v>0</v>
      </c>
      <c r="G9" s="33"/>
      <c r="H9" s="33"/>
      <c r="I9" s="33" t="s">
        <v>0</v>
      </c>
      <c r="J9" s="28"/>
      <c r="L9" s="12"/>
      <c r="M9" s="12"/>
    </row>
    <row r="10" spans="1:13" ht="16.5">
      <c r="A10" s="34" t="s">
        <v>0</v>
      </c>
      <c r="B10" s="34" t="s">
        <v>3</v>
      </c>
      <c r="C10" s="34" t="s">
        <v>5</v>
      </c>
      <c r="D10" s="34" t="s">
        <v>21</v>
      </c>
      <c r="E10" s="34" t="s">
        <v>0</v>
      </c>
      <c r="F10" s="34" t="s">
        <v>50</v>
      </c>
      <c r="G10" s="34" t="s">
        <v>124</v>
      </c>
      <c r="H10" s="34" t="s">
        <v>500</v>
      </c>
      <c r="I10" s="34" t="s">
        <v>124</v>
      </c>
      <c r="J10" s="34" t="s">
        <v>47</v>
      </c>
      <c r="L10" s="12"/>
      <c r="M10" s="12"/>
    </row>
    <row r="11" spans="1:13" ht="17.25" thickBot="1">
      <c r="A11" s="36" t="s">
        <v>2</v>
      </c>
      <c r="B11" s="36" t="s">
        <v>4</v>
      </c>
      <c r="C11" s="36" t="s">
        <v>6</v>
      </c>
      <c r="D11" s="36" t="s">
        <v>23</v>
      </c>
      <c r="E11" s="36" t="s">
        <v>22</v>
      </c>
      <c r="F11" s="36" t="s">
        <v>48</v>
      </c>
      <c r="G11" s="36" t="s">
        <v>48</v>
      </c>
      <c r="H11" s="36" t="s">
        <v>48</v>
      </c>
      <c r="I11" s="36" t="s">
        <v>48</v>
      </c>
      <c r="J11" s="36" t="s">
        <v>49</v>
      </c>
      <c r="L11" s="12"/>
      <c r="M11" s="12"/>
    </row>
    <row r="12" spans="1:13" ht="16.5">
      <c r="A12" s="38" t="s">
        <v>7</v>
      </c>
      <c r="B12" s="38" t="s">
        <v>7</v>
      </c>
      <c r="C12" s="38" t="s">
        <v>7</v>
      </c>
      <c r="D12" s="38" t="s">
        <v>7</v>
      </c>
      <c r="E12" s="38" t="s">
        <v>7</v>
      </c>
      <c r="F12" s="38" t="s">
        <v>0</v>
      </c>
      <c r="G12" s="38" t="s">
        <v>0</v>
      </c>
      <c r="H12" s="38" t="s">
        <v>0</v>
      </c>
      <c r="I12" s="38" t="s">
        <v>0</v>
      </c>
      <c r="J12" s="38" t="s">
        <v>0</v>
      </c>
      <c r="L12" s="12"/>
      <c r="M12" s="12"/>
    </row>
    <row r="13" spans="1:13" ht="16.5">
      <c r="A13" s="34"/>
      <c r="B13" s="34"/>
      <c r="C13" s="34"/>
      <c r="D13" s="34"/>
      <c r="E13" s="34"/>
      <c r="F13" s="34"/>
      <c r="G13" s="34"/>
      <c r="H13" s="34"/>
      <c r="I13" s="34"/>
      <c r="J13" s="34"/>
      <c r="L13" s="12"/>
      <c r="M13" s="12"/>
    </row>
    <row r="14" spans="1:13" ht="16.5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12"/>
      <c r="M14" s="12"/>
    </row>
    <row r="15" spans="1:13" ht="17.25">
      <c r="A15" s="61" t="str">
        <f>+'S&amp;D'!A22</f>
        <v>Energy Transfer LP</v>
      </c>
      <c r="B15" s="90" t="str">
        <f>+'S&amp;D'!B22</f>
        <v>ET</v>
      </c>
      <c r="C15" s="34" t="str">
        <f>+'S&amp;D'!C22</f>
        <v>Pipeline MLPs</v>
      </c>
      <c r="D15" s="52" t="str">
        <f>+'Beta for CAPM'!D18</f>
        <v>NMF</v>
      </c>
      <c r="E15" s="34" t="str">
        <f>+'Beta for CAPM'!G18</f>
        <v>B++</v>
      </c>
      <c r="F15" s="34" t="s">
        <v>295</v>
      </c>
      <c r="G15" s="277">
        <v>12</v>
      </c>
      <c r="H15" s="60" t="s">
        <v>56</v>
      </c>
      <c r="I15" s="277">
        <f>VLOOKUP(H15,$A$33:$E$56,2,0)</f>
        <v>13</v>
      </c>
      <c r="J15" s="64">
        <f>VLOOKUP(I15,$B$33:$D$56,3,0)</f>
        <v>6.8400000000000002E-2</v>
      </c>
      <c r="L15" s="12"/>
      <c r="M15" s="12"/>
    </row>
    <row r="16" spans="1:13" ht="17.25">
      <c r="A16" s="61" t="str">
        <f>+'S&amp;D'!A23</f>
        <v>Enterprise Products Partnership LP</v>
      </c>
      <c r="B16" s="90" t="str">
        <f>+'S&amp;D'!B23</f>
        <v>EPD</v>
      </c>
      <c r="C16" s="34" t="str">
        <f>+'S&amp;D'!C23</f>
        <v>Pipeline MLPs</v>
      </c>
      <c r="D16" s="52">
        <f>+'Beta for CAPM'!D19</f>
        <v>2.5000000000000001E-2</v>
      </c>
      <c r="E16" s="34" t="str">
        <f>+'Beta for CAPM'!G19</f>
        <v>A</v>
      </c>
      <c r="F16" s="34" t="s">
        <v>293</v>
      </c>
      <c r="G16" s="277">
        <v>10</v>
      </c>
      <c r="H16" s="60" t="s">
        <v>57</v>
      </c>
      <c r="I16" s="277">
        <f t="shared" ref="I16:I20" si="0">VLOOKUP(H16,$A$33:$E$56,2,0)</f>
        <v>9</v>
      </c>
      <c r="J16" s="64">
        <f t="shared" ref="J16:J20" si="1">VLOOKUP(I16,$B$33:$D$56,3,0)</f>
        <v>5.5300000000000002E-2</v>
      </c>
      <c r="L16" s="12"/>
      <c r="M16" s="12"/>
    </row>
    <row r="17" spans="1:13" ht="17.25">
      <c r="A17" s="61" t="str">
        <f>+'S&amp;D'!A24</f>
        <v>Hess Midstream LP</v>
      </c>
      <c r="B17" s="90" t="str">
        <f>+'S&amp;D'!B24</f>
        <v>HESM</v>
      </c>
      <c r="C17" s="34" t="str">
        <f>+'S&amp;D'!C24</f>
        <v>Pipeline MLPs</v>
      </c>
      <c r="D17" s="52">
        <f>+'Beta for CAPM'!D20</f>
        <v>0.1</v>
      </c>
      <c r="E17" s="34" t="str">
        <f>+'Beta for CAPM'!G20</f>
        <v>B</v>
      </c>
      <c r="F17" s="246" t="s">
        <v>296</v>
      </c>
      <c r="G17" s="277">
        <v>13</v>
      </c>
      <c r="H17" s="60" t="s">
        <v>132</v>
      </c>
      <c r="I17" s="277">
        <f t="shared" si="0"/>
        <v>14</v>
      </c>
      <c r="J17" s="64">
        <f t="shared" si="1"/>
        <v>6.8400000000000002E-2</v>
      </c>
      <c r="L17" s="12"/>
      <c r="M17" s="12"/>
    </row>
    <row r="18" spans="1:13" ht="17.25">
      <c r="A18" s="61" t="str">
        <f>+'S&amp;D'!A25</f>
        <v>MPLX, LP</v>
      </c>
      <c r="B18" s="90" t="str">
        <f>+'S&amp;D'!B25</f>
        <v>MPLX</v>
      </c>
      <c r="C18" s="34" t="str">
        <f>+'S&amp;D'!C25</f>
        <v>Pipeline MLPs</v>
      </c>
      <c r="D18" s="52">
        <f>+'Beta for CAPM'!D21</f>
        <v>0.03</v>
      </c>
      <c r="E18" s="34" t="str">
        <f>+'Beta for CAPM'!G21</f>
        <v>B++</v>
      </c>
      <c r="F18" s="34" t="s">
        <v>294</v>
      </c>
      <c r="G18" s="277">
        <v>11</v>
      </c>
      <c r="H18" s="60" t="s">
        <v>53</v>
      </c>
      <c r="I18" s="277">
        <f t="shared" si="0"/>
        <v>11</v>
      </c>
      <c r="J18" s="64">
        <f t="shared" si="1"/>
        <v>5.8000000000000003E-2</v>
      </c>
      <c r="L18" s="12"/>
      <c r="M18" s="12"/>
    </row>
    <row r="19" spans="1:13" ht="17.25">
      <c r="A19" s="61" t="str">
        <f>+'S&amp;D'!A26</f>
        <v>Plains All American Pipeline LP</v>
      </c>
      <c r="B19" s="90" t="str">
        <f>+'S&amp;D'!B26</f>
        <v>PAA</v>
      </c>
      <c r="C19" s="34" t="str">
        <f>+'S&amp;D'!C26</f>
        <v>Pipeline MLPs</v>
      </c>
      <c r="D19" s="52">
        <f>+'Beta for CAPM'!D22</f>
        <v>0.13</v>
      </c>
      <c r="E19" s="34" t="str">
        <f>+'Beta for CAPM'!G22</f>
        <v>B++</v>
      </c>
      <c r="F19" s="34" t="s">
        <v>295</v>
      </c>
      <c r="G19" s="277">
        <v>12</v>
      </c>
      <c r="H19" s="60" t="s">
        <v>58</v>
      </c>
      <c r="I19" s="277">
        <f t="shared" si="0"/>
        <v>12</v>
      </c>
      <c r="J19" s="64">
        <f t="shared" si="1"/>
        <v>5.8000000000000003E-2</v>
      </c>
      <c r="L19" s="12"/>
      <c r="M19" s="12"/>
    </row>
    <row r="20" spans="1:13" ht="17.25">
      <c r="A20" s="61" t="str">
        <f>+'S&amp;D'!A27</f>
        <v>Western Midstream Partners LP</v>
      </c>
      <c r="B20" s="90" t="str">
        <f>+'S&amp;D'!B27</f>
        <v>WES</v>
      </c>
      <c r="C20" s="34" t="str">
        <f>+'S&amp;D'!C27</f>
        <v>Pipeline MLPs</v>
      </c>
      <c r="D20" s="52">
        <f>+'Beta for CAPM'!D23</f>
        <v>1.4999999999999999E-2</v>
      </c>
      <c r="E20" s="34" t="str">
        <f>+'Beta for CAPM'!G23</f>
        <v>B++</v>
      </c>
      <c r="F20" s="34" t="s">
        <v>295</v>
      </c>
      <c r="G20" s="277">
        <v>12</v>
      </c>
      <c r="H20" s="60" t="s">
        <v>58</v>
      </c>
      <c r="I20" s="277">
        <f t="shared" si="0"/>
        <v>12</v>
      </c>
      <c r="J20" s="64">
        <f t="shared" si="1"/>
        <v>5.8000000000000003E-2</v>
      </c>
      <c r="L20" s="12"/>
      <c r="M20" s="12"/>
    </row>
    <row r="21" spans="1:13" ht="17.25" thickBot="1">
      <c r="A21" s="12"/>
      <c r="B21" s="12"/>
      <c r="C21" s="43"/>
      <c r="D21" s="46"/>
      <c r="E21" s="46"/>
      <c r="F21" s="46"/>
      <c r="G21" s="46"/>
      <c r="H21" s="46" t="s">
        <v>44</v>
      </c>
      <c r="I21" s="46"/>
      <c r="J21" s="46"/>
      <c r="L21" s="12"/>
      <c r="M21" s="12"/>
    </row>
    <row r="22" spans="1:13" ht="17.25" thickTop="1">
      <c r="A22" s="12"/>
      <c r="B22" s="12"/>
      <c r="E22" s="14" t="s">
        <v>45</v>
      </c>
      <c r="G22" s="278">
        <f>MAX(G15:G20)</f>
        <v>13</v>
      </c>
      <c r="H22" s="302"/>
      <c r="I22" s="328">
        <f>MAX(I15:I20)</f>
        <v>14</v>
      </c>
      <c r="J22" s="302">
        <f>MAX(J15:J20)</f>
        <v>6.8400000000000002E-2</v>
      </c>
      <c r="L22" s="12"/>
      <c r="M22" s="12"/>
    </row>
    <row r="23" spans="1:13" ht="16.5">
      <c r="A23" s="12"/>
      <c r="B23" s="12"/>
      <c r="E23" s="335" t="s">
        <v>46</v>
      </c>
      <c r="F23" s="232"/>
      <c r="G23" s="279">
        <f>MIN(G15:G20)</f>
        <v>10</v>
      </c>
      <c r="H23" s="303"/>
      <c r="I23" s="329">
        <f>MIN(I15:I20)</f>
        <v>9</v>
      </c>
      <c r="J23" s="303">
        <f>MIN(J15:J20)</f>
        <v>5.5300000000000002E-2</v>
      </c>
      <c r="L23" s="12"/>
      <c r="M23" s="12"/>
    </row>
    <row r="24" spans="1:13" ht="16.5">
      <c r="A24" s="12"/>
      <c r="B24" s="12"/>
      <c r="E24" s="14" t="s">
        <v>18</v>
      </c>
      <c r="G24" s="205">
        <f>MEDIAN(G15:G20)</f>
        <v>12</v>
      </c>
      <c r="H24" s="54" t="s">
        <v>0</v>
      </c>
      <c r="I24" s="206">
        <f>MEDIAN(I15:I20)</f>
        <v>12</v>
      </c>
      <c r="J24" s="54">
        <f>MEDIAN(J15:J20)</f>
        <v>5.8000000000000003E-2</v>
      </c>
      <c r="L24" s="12"/>
      <c r="M24" s="12"/>
    </row>
    <row r="25" spans="1:13" ht="16.5">
      <c r="A25" s="12"/>
      <c r="B25" s="12"/>
      <c r="D25" s="14" t="s">
        <v>0</v>
      </c>
      <c r="E25" s="14" t="s">
        <v>392</v>
      </c>
      <c r="G25" s="206">
        <f>AVERAGE(G15:G20)</f>
        <v>11.666666666666666</v>
      </c>
      <c r="H25" s="54" t="s">
        <v>0</v>
      </c>
      <c r="I25" s="206">
        <f>AVERAGE(I15:I20)</f>
        <v>11.833333333333334</v>
      </c>
      <c r="J25" s="54">
        <f>AVERAGE(J15:J20)</f>
        <v>6.1016666666666663E-2</v>
      </c>
      <c r="L25" s="12"/>
      <c r="M25" s="12"/>
    </row>
    <row r="26" spans="1:13" ht="16.5">
      <c r="A26" s="12"/>
      <c r="B26" s="12"/>
      <c r="D26" s="55"/>
      <c r="E26" s="14"/>
      <c r="G26" s="206"/>
      <c r="H26" s="54"/>
      <c r="I26" s="206"/>
      <c r="J26" s="54"/>
      <c r="L26" s="12"/>
      <c r="M26" s="12"/>
    </row>
    <row r="27" spans="1:13" ht="17.25" thickBot="1">
      <c r="A27" s="12"/>
      <c r="B27" s="12"/>
      <c r="C27" s="12"/>
      <c r="D27" s="12"/>
      <c r="E27" s="14"/>
      <c r="F27" s="55"/>
      <c r="H27" s="12"/>
      <c r="I27" s="12"/>
      <c r="J27" s="12"/>
      <c r="K27" s="12"/>
      <c r="L27" s="12"/>
      <c r="M27" s="12"/>
    </row>
    <row r="28" spans="1:13" ht="27" thickBot="1">
      <c r="A28" s="12"/>
      <c r="B28" s="12"/>
      <c r="C28" s="12"/>
      <c r="D28" s="12"/>
      <c r="E28" s="12"/>
      <c r="F28" s="177"/>
      <c r="G28" s="314"/>
      <c r="H28" s="178" t="s">
        <v>227</v>
      </c>
      <c r="I28" s="180"/>
      <c r="J28" s="179">
        <v>6.0999999999999999E-2</v>
      </c>
      <c r="K28" s="12"/>
      <c r="L28" s="12"/>
      <c r="M28" s="12"/>
    </row>
    <row r="29" spans="1:13" ht="16.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16.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21" thickBot="1">
      <c r="A31" s="266" t="s">
        <v>137</v>
      </c>
      <c r="B31" s="12"/>
      <c r="G31" s="12"/>
      <c r="H31" s="12"/>
      <c r="I31" s="12"/>
      <c r="J31" s="12"/>
      <c r="K31" s="12"/>
      <c r="L31" s="12"/>
      <c r="M31" s="12"/>
    </row>
    <row r="32" spans="1:13" ht="24">
      <c r="A32" s="397" t="s">
        <v>501</v>
      </c>
      <c r="B32" s="397" t="s">
        <v>304</v>
      </c>
      <c r="C32" s="397" t="s">
        <v>393</v>
      </c>
      <c r="D32" s="417" t="s">
        <v>426</v>
      </c>
      <c r="E32" s="417" t="s">
        <v>427</v>
      </c>
      <c r="F32" s="12"/>
      <c r="G32" s="12"/>
      <c r="H32" s="12"/>
      <c r="I32" s="12"/>
      <c r="M32" s="12"/>
    </row>
    <row r="33" spans="1:13" ht="17.25">
      <c r="A33" s="272" t="s">
        <v>316</v>
      </c>
      <c r="B33" s="276">
        <v>1</v>
      </c>
      <c r="C33" s="273" t="s">
        <v>315</v>
      </c>
      <c r="D33" s="398">
        <v>5.1999999999999998E-2</v>
      </c>
      <c r="E33" s="398">
        <v>5.1999999999999998E-2</v>
      </c>
      <c r="F33" s="12"/>
      <c r="G33" s="12"/>
      <c r="H33" s="12"/>
      <c r="I33" s="12"/>
      <c r="M33" s="12"/>
    </row>
    <row r="34" spans="1:13" ht="17.25">
      <c r="A34" s="56" t="s">
        <v>317</v>
      </c>
      <c r="B34" s="267">
        <v>2</v>
      </c>
      <c r="C34" s="274" t="s">
        <v>289</v>
      </c>
      <c r="D34" s="398">
        <v>5.1999999999999998E-2</v>
      </c>
      <c r="E34" s="398">
        <v>5.1999999999999998E-2</v>
      </c>
      <c r="F34" s="12" t="s">
        <v>184</v>
      </c>
      <c r="H34" s="12"/>
      <c r="I34" s="12"/>
      <c r="M34" s="12"/>
    </row>
    <row r="35" spans="1:13" ht="18" thickBot="1">
      <c r="A35" s="57" t="s">
        <v>318</v>
      </c>
      <c r="B35" s="269">
        <v>3</v>
      </c>
      <c r="C35" s="275" t="s">
        <v>314</v>
      </c>
      <c r="D35" s="399">
        <v>5.1999999999999998E-2</v>
      </c>
      <c r="E35" s="398">
        <v>5.1999999999999998E-2</v>
      </c>
      <c r="F35" s="12"/>
      <c r="H35" s="12"/>
      <c r="I35" s="12"/>
      <c r="M35" s="12"/>
    </row>
    <row r="36" spans="1:13" ht="17.25">
      <c r="A36" s="56" t="s">
        <v>136</v>
      </c>
      <c r="B36" s="267">
        <v>4</v>
      </c>
      <c r="C36" s="268" t="s">
        <v>288</v>
      </c>
      <c r="D36" s="398">
        <v>5.3699999999999998E-2</v>
      </c>
      <c r="E36" s="398">
        <v>5.45E-2</v>
      </c>
      <c r="F36" s="12"/>
      <c r="H36" s="12"/>
      <c r="I36" s="12"/>
      <c r="M36" s="12"/>
    </row>
    <row r="37" spans="1:13" ht="17.25">
      <c r="A37" s="56" t="s">
        <v>135</v>
      </c>
      <c r="B37" s="267">
        <v>5</v>
      </c>
      <c r="C37" s="268" t="s">
        <v>290</v>
      </c>
      <c r="D37" s="398">
        <v>5.3699999999999998E-2</v>
      </c>
      <c r="E37" s="398">
        <v>5.45E-2</v>
      </c>
      <c r="F37" s="12" t="s">
        <v>291</v>
      </c>
      <c r="H37" s="12"/>
      <c r="I37" s="12"/>
      <c r="M37" s="12"/>
    </row>
    <row r="38" spans="1:13" ht="18" thickBot="1">
      <c r="A38" s="57" t="s">
        <v>134</v>
      </c>
      <c r="B38" s="269">
        <v>6</v>
      </c>
      <c r="C38" s="270" t="s">
        <v>292</v>
      </c>
      <c r="D38" s="400">
        <v>5.3699999999999998E-2</v>
      </c>
      <c r="E38" s="398">
        <v>5.45E-2</v>
      </c>
      <c r="F38" s="12"/>
      <c r="H38" s="12"/>
      <c r="I38" s="12"/>
      <c r="M38" s="12"/>
    </row>
    <row r="39" spans="1:13" ht="17.25">
      <c r="A39" s="56" t="s">
        <v>55</v>
      </c>
      <c r="B39" s="267">
        <v>7</v>
      </c>
      <c r="C39" s="268" t="s">
        <v>43</v>
      </c>
      <c r="D39" s="401">
        <v>5.5300000000000002E-2</v>
      </c>
      <c r="E39" s="402">
        <v>5.5800000000000002E-2</v>
      </c>
      <c r="H39" s="12"/>
      <c r="I39" s="12"/>
      <c r="M39" s="12"/>
    </row>
    <row r="40" spans="1:13" ht="17.25">
      <c r="A40" s="56" t="s">
        <v>133</v>
      </c>
      <c r="B40" s="267">
        <v>8</v>
      </c>
      <c r="C40" s="268" t="s">
        <v>24</v>
      </c>
      <c r="D40" s="402">
        <v>5.5300000000000002E-2</v>
      </c>
      <c r="E40" s="402">
        <v>5.5800000000000002E-2</v>
      </c>
      <c r="F40" s="12" t="s">
        <v>185</v>
      </c>
      <c r="H40" s="12"/>
      <c r="I40" s="12"/>
      <c r="M40" s="12"/>
    </row>
    <row r="41" spans="1:13" ht="18" thickBot="1">
      <c r="A41" s="57" t="s">
        <v>57</v>
      </c>
      <c r="B41" s="269">
        <v>9</v>
      </c>
      <c r="C41" s="270" t="s">
        <v>59</v>
      </c>
      <c r="D41" s="400">
        <v>5.5300000000000002E-2</v>
      </c>
      <c r="E41" s="402">
        <v>5.5800000000000002E-2</v>
      </c>
      <c r="F41" s="12"/>
      <c r="H41" s="12"/>
      <c r="I41" s="12"/>
      <c r="M41" s="12"/>
    </row>
    <row r="42" spans="1:13" ht="17.25">
      <c r="A42" s="56" t="s">
        <v>52</v>
      </c>
      <c r="B42" s="267">
        <v>10</v>
      </c>
      <c r="C42" s="268" t="s">
        <v>293</v>
      </c>
      <c r="D42" s="402">
        <v>5.8000000000000003E-2</v>
      </c>
      <c r="E42" s="402">
        <v>5.7700000000000001E-2</v>
      </c>
      <c r="H42" s="12"/>
      <c r="I42" s="12"/>
      <c r="J42" s="12"/>
      <c r="K42" s="12"/>
      <c r="L42" s="12"/>
      <c r="M42" s="12"/>
    </row>
    <row r="43" spans="1:13" ht="17.25">
      <c r="A43" s="56" t="s">
        <v>53</v>
      </c>
      <c r="B43" s="267">
        <v>11</v>
      </c>
      <c r="C43" s="268" t="s">
        <v>294</v>
      </c>
      <c r="D43" s="402">
        <v>5.8000000000000003E-2</v>
      </c>
      <c r="E43" s="402">
        <v>5.7700000000000001E-2</v>
      </c>
      <c r="F43" s="12" t="s">
        <v>188</v>
      </c>
      <c r="H43" s="12"/>
      <c r="I43" s="12"/>
      <c r="J43" s="12"/>
      <c r="K43" s="12"/>
      <c r="L43" s="12"/>
      <c r="M43" s="12"/>
    </row>
    <row r="44" spans="1:13" ht="18" thickBot="1">
      <c r="A44" s="57" t="s">
        <v>58</v>
      </c>
      <c r="B44" s="269">
        <v>12</v>
      </c>
      <c r="C44" s="270" t="s">
        <v>295</v>
      </c>
      <c r="D44" s="402">
        <v>5.8000000000000003E-2</v>
      </c>
      <c r="E44" s="402">
        <v>5.7700000000000001E-2</v>
      </c>
      <c r="F44" s="12"/>
      <c r="H44" s="12"/>
      <c r="I44" s="12"/>
      <c r="J44" s="12"/>
      <c r="K44" s="12"/>
      <c r="L44" s="12"/>
      <c r="M44" s="12"/>
    </row>
    <row r="45" spans="1:13" ht="17.25">
      <c r="A45" s="56" t="s">
        <v>56</v>
      </c>
      <c r="B45" s="267">
        <v>13</v>
      </c>
      <c r="C45" s="268" t="s">
        <v>296</v>
      </c>
      <c r="D45" s="401">
        <v>6.8400000000000002E-2</v>
      </c>
      <c r="E45" s="398">
        <v>6.8099999999999994E-2</v>
      </c>
      <c r="H45" s="12"/>
      <c r="I45" s="12"/>
      <c r="J45" s="12"/>
      <c r="K45" s="12"/>
      <c r="L45" s="12"/>
      <c r="M45" s="12"/>
    </row>
    <row r="46" spans="1:13" ht="17.25">
      <c r="A46" s="56" t="s">
        <v>132</v>
      </c>
      <c r="B46" s="267">
        <v>14</v>
      </c>
      <c r="C46" s="268" t="s">
        <v>297</v>
      </c>
      <c r="D46" s="398">
        <v>6.8400000000000002E-2</v>
      </c>
      <c r="E46" s="398">
        <v>6.8099999999999994E-2</v>
      </c>
      <c r="F46" s="12" t="s">
        <v>187</v>
      </c>
      <c r="H46" s="12"/>
      <c r="I46" s="12"/>
      <c r="J46" s="12"/>
      <c r="K46" s="12"/>
      <c r="L46" s="12"/>
      <c r="M46" s="12"/>
    </row>
    <row r="47" spans="1:13" ht="18" thickBot="1">
      <c r="A47" s="57" t="s">
        <v>131</v>
      </c>
      <c r="B47" s="269">
        <v>15</v>
      </c>
      <c r="C47" s="270" t="s">
        <v>298</v>
      </c>
      <c r="D47" s="399">
        <v>6.8400000000000002E-2</v>
      </c>
      <c r="E47" s="398">
        <v>6.8099999999999994E-2</v>
      </c>
      <c r="F47" s="12"/>
      <c r="H47" s="12"/>
      <c r="I47" s="12"/>
      <c r="J47" s="12"/>
      <c r="K47" s="12"/>
      <c r="L47" s="12"/>
      <c r="M47" s="12"/>
    </row>
    <row r="48" spans="1:13" ht="17.25">
      <c r="A48" s="56" t="s">
        <v>130</v>
      </c>
      <c r="B48" s="267">
        <v>16</v>
      </c>
      <c r="C48" s="268" t="s">
        <v>25</v>
      </c>
      <c r="D48" s="401">
        <v>7.3300000000000004E-2</v>
      </c>
      <c r="E48" s="402">
        <v>7.2999999999999995E-2</v>
      </c>
      <c r="H48" s="12"/>
      <c r="I48" s="12"/>
      <c r="J48" s="12"/>
      <c r="K48" s="12"/>
      <c r="L48" s="12"/>
      <c r="M48" s="12"/>
    </row>
    <row r="49" spans="1:13" ht="17.25">
      <c r="A49" s="56" t="s">
        <v>129</v>
      </c>
      <c r="B49" s="267">
        <v>17</v>
      </c>
      <c r="C49" s="268" t="s">
        <v>89</v>
      </c>
      <c r="D49" s="402">
        <v>7.3300000000000004E-2</v>
      </c>
      <c r="E49" s="402">
        <v>7.2999999999999995E-2</v>
      </c>
      <c r="F49" s="12" t="s">
        <v>186</v>
      </c>
      <c r="H49" s="12"/>
      <c r="I49" s="12"/>
      <c r="J49" s="12"/>
      <c r="K49" s="12"/>
      <c r="L49" s="12"/>
      <c r="M49" s="12"/>
    </row>
    <row r="50" spans="1:13" ht="18" thickBot="1">
      <c r="A50" s="57" t="s">
        <v>128</v>
      </c>
      <c r="B50" s="269">
        <v>18</v>
      </c>
      <c r="C50" s="270" t="s">
        <v>299</v>
      </c>
      <c r="D50" s="399">
        <v>7.3300000000000004E-2</v>
      </c>
      <c r="E50" s="402">
        <v>7.2999999999999995E-2</v>
      </c>
      <c r="F50" s="12"/>
      <c r="H50" s="12"/>
      <c r="I50" s="12"/>
      <c r="J50" s="12"/>
      <c r="K50" s="12"/>
      <c r="L50" s="12"/>
      <c r="M50" s="12"/>
    </row>
    <row r="51" spans="1:13" ht="17.25">
      <c r="A51" s="56" t="s">
        <v>127</v>
      </c>
      <c r="B51" s="267">
        <v>19</v>
      </c>
      <c r="C51" s="268" t="s">
        <v>300</v>
      </c>
      <c r="D51" s="402">
        <v>7.8200000000000006E-2</v>
      </c>
      <c r="E51" s="402">
        <v>7.7899999999999997E-2</v>
      </c>
      <c r="H51" s="12"/>
      <c r="I51" s="12"/>
      <c r="J51" s="12"/>
      <c r="K51" s="12"/>
      <c r="L51" s="12"/>
      <c r="M51" s="12"/>
    </row>
    <row r="52" spans="1:13" ht="17.25">
      <c r="A52" s="56" t="s">
        <v>126</v>
      </c>
      <c r="B52" s="267">
        <v>20</v>
      </c>
      <c r="C52" s="268" t="s">
        <v>301</v>
      </c>
      <c r="D52" s="402">
        <v>7.8200000000000006E-2</v>
      </c>
      <c r="E52" s="402">
        <v>7.7899999999999997E-2</v>
      </c>
      <c r="F52" s="12" t="s">
        <v>183</v>
      </c>
      <c r="H52" s="12"/>
      <c r="I52" s="12"/>
      <c r="J52" s="12"/>
      <c r="K52" s="12"/>
      <c r="L52" s="12"/>
      <c r="M52" s="12"/>
    </row>
    <row r="53" spans="1:13" ht="18" thickBot="1">
      <c r="A53" s="57" t="s">
        <v>125</v>
      </c>
      <c r="B53" s="269">
        <v>21</v>
      </c>
      <c r="C53" s="403" t="s">
        <v>302</v>
      </c>
      <c r="D53" s="400">
        <v>7.8200000000000006E-2</v>
      </c>
      <c r="E53" s="402">
        <v>7.7899999999999997E-2</v>
      </c>
      <c r="F53" s="12"/>
      <c r="H53" s="12"/>
      <c r="I53" s="12"/>
      <c r="J53" s="12"/>
      <c r="K53" s="12"/>
      <c r="L53" s="12"/>
      <c r="M53" s="12"/>
    </row>
    <row r="54" spans="1:13" ht="17.25">
      <c r="A54" s="404" t="s">
        <v>309</v>
      </c>
      <c r="B54" s="405">
        <v>22</v>
      </c>
      <c r="C54" s="406" t="s">
        <v>312</v>
      </c>
      <c r="D54" s="402">
        <v>8.3099999999999993E-2</v>
      </c>
      <c r="E54" s="402">
        <v>8.2799999999999999E-2</v>
      </c>
      <c r="H54" s="12"/>
      <c r="I54" s="12"/>
      <c r="J54" s="12"/>
      <c r="K54" s="12"/>
      <c r="L54" s="12"/>
      <c r="M54" s="12"/>
    </row>
    <row r="55" spans="1:13" ht="17.25">
      <c r="A55" s="404" t="s">
        <v>310</v>
      </c>
      <c r="B55" s="407">
        <v>23</v>
      </c>
      <c r="C55" s="408" t="s">
        <v>303</v>
      </c>
      <c r="D55" s="402">
        <v>8.3099999999999993E-2</v>
      </c>
      <c r="E55" s="402">
        <v>8.2799999999999999E-2</v>
      </c>
      <c r="F55" s="12" t="s">
        <v>181</v>
      </c>
      <c r="H55" s="12"/>
      <c r="I55" s="12"/>
      <c r="J55" s="12"/>
      <c r="K55" s="12"/>
      <c r="L55" s="12"/>
      <c r="M55" s="12"/>
    </row>
    <row r="56" spans="1:13" ht="18" thickBot="1">
      <c r="A56" s="409" t="s">
        <v>311</v>
      </c>
      <c r="B56" s="410">
        <v>24</v>
      </c>
      <c r="C56" s="403" t="s">
        <v>313</v>
      </c>
      <c r="D56" s="402">
        <v>8.3099999999999993E-2</v>
      </c>
      <c r="E56" s="402">
        <v>8.2799999999999999E-2</v>
      </c>
      <c r="F56" s="12"/>
      <c r="H56" s="12"/>
      <c r="I56" s="12"/>
      <c r="J56" s="12"/>
      <c r="K56" s="12"/>
      <c r="L56" s="12"/>
      <c r="M56" s="12"/>
    </row>
    <row r="57" spans="1:13" ht="18" thickBot="1">
      <c r="A57" s="57" t="s">
        <v>243</v>
      </c>
      <c r="B57" s="269">
        <v>25</v>
      </c>
      <c r="C57" s="57" t="s">
        <v>90</v>
      </c>
      <c r="D57" s="411"/>
      <c r="E57" s="411"/>
      <c r="F57" s="12" t="s">
        <v>182</v>
      </c>
      <c r="H57" s="12"/>
      <c r="I57" s="12"/>
      <c r="J57" s="12"/>
      <c r="K57" s="12"/>
      <c r="L57" s="12"/>
    </row>
  </sheetData>
  <pageMargins left="0.25" right="0.25" top="0.75" bottom="0.75" header="0.3" footer="0.3"/>
  <pageSetup scale="47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37"/>
  <sheetViews>
    <sheetView view="pageBreakPreview" zoomScale="60" zoomScaleNormal="80" workbookViewId="0">
      <selection activeCell="D29" sqref="D29"/>
    </sheetView>
  </sheetViews>
  <sheetFormatPr defaultRowHeight="15"/>
  <cols>
    <col min="1" max="1" width="48.85546875" customWidth="1"/>
    <col min="2" max="2" width="13.140625" customWidth="1"/>
    <col min="3" max="3" width="19.85546875" customWidth="1"/>
    <col min="4" max="4" width="24.7109375" customWidth="1"/>
    <col min="5" max="5" width="22.7109375" customWidth="1"/>
    <col min="6" max="7" width="21.28515625" customWidth="1"/>
    <col min="8" max="8" width="12.42578125" customWidth="1"/>
    <col min="9" max="9" width="18.42578125" customWidth="1"/>
    <col min="10" max="10" width="21.28515625" customWidth="1"/>
    <col min="11" max="11" width="2.28515625" customWidth="1"/>
    <col min="12" max="12" width="22.7109375" customWidth="1"/>
    <col min="13" max="13" width="17.28515625" customWidth="1"/>
  </cols>
  <sheetData>
    <row r="1" spans="1:14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7.25">
      <c r="A2" s="61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6.5">
      <c r="A3" s="25" t="s">
        <v>429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6.5">
      <c r="A4" s="12"/>
      <c r="B4" s="12"/>
      <c r="C4" s="12"/>
      <c r="D4" s="26" t="s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thickBot="1">
      <c r="A5" s="6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" thickBot="1">
      <c r="A6" s="252" t="str">
        <f>+'S&amp;D'!A12</f>
        <v>Liquid Transportation Pipeline Carriers</v>
      </c>
      <c r="B6" s="18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7.25">
      <c r="A7" s="6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8" thickBot="1">
      <c r="A8" s="61"/>
      <c r="B8" s="12"/>
      <c r="C8" s="28"/>
      <c r="D8" s="28"/>
      <c r="E8" s="28" t="s">
        <v>0</v>
      </c>
      <c r="F8" s="12" t="s">
        <v>0</v>
      </c>
      <c r="G8" s="12"/>
      <c r="H8" s="28"/>
      <c r="I8" s="28"/>
      <c r="J8" s="28"/>
      <c r="K8" s="28"/>
      <c r="L8" s="28"/>
      <c r="M8" s="28"/>
      <c r="N8" s="12"/>
    </row>
    <row r="9" spans="1:14" ht="26.25">
      <c r="B9" s="12"/>
      <c r="D9" s="31" t="s">
        <v>278</v>
      </c>
      <c r="F9" s="12"/>
      <c r="G9" s="12"/>
      <c r="H9" s="12"/>
      <c r="I9" s="12"/>
      <c r="J9" s="12"/>
      <c r="K9" s="67" t="s">
        <v>279</v>
      </c>
      <c r="L9" s="12"/>
      <c r="M9" s="12"/>
      <c r="N9" s="12"/>
    </row>
    <row r="10" spans="1:14" ht="21" thickBot="1">
      <c r="A10" s="30"/>
      <c r="B10" s="12"/>
      <c r="C10" s="28"/>
      <c r="D10" s="36" t="s">
        <v>430</v>
      </c>
      <c r="E10" s="28" t="s">
        <v>0</v>
      </c>
      <c r="F10" s="12"/>
      <c r="G10" s="12"/>
      <c r="H10" s="28"/>
      <c r="I10" s="28"/>
      <c r="J10" s="28"/>
      <c r="K10" s="36" t="s">
        <v>430</v>
      </c>
      <c r="L10" s="28"/>
      <c r="M10" s="28"/>
      <c r="N10" s="12"/>
    </row>
    <row r="11" spans="1:14" ht="17.25" thickBot="1">
      <c r="A11" s="33" t="s">
        <v>0</v>
      </c>
      <c r="B11" s="33" t="s">
        <v>0</v>
      </c>
      <c r="C11" s="33" t="s">
        <v>0</v>
      </c>
      <c r="D11" s="33" t="s">
        <v>0</v>
      </c>
      <c r="E11" s="33" t="s">
        <v>0</v>
      </c>
      <c r="F11" s="33" t="s">
        <v>0</v>
      </c>
      <c r="G11" s="40"/>
      <c r="H11" s="28"/>
      <c r="I11" s="33" t="s">
        <v>0</v>
      </c>
      <c r="J11" s="28"/>
      <c r="K11" s="28"/>
      <c r="L11" s="28"/>
      <c r="M11" s="28"/>
      <c r="N11" s="12"/>
    </row>
    <row r="12" spans="1:14" ht="16.5">
      <c r="A12" s="34" t="s">
        <v>0</v>
      </c>
      <c r="B12" s="34" t="s">
        <v>3</v>
      </c>
      <c r="C12" s="34" t="s">
        <v>319</v>
      </c>
      <c r="D12" s="34" t="s">
        <v>110</v>
      </c>
      <c r="E12" s="34" t="s">
        <v>110</v>
      </c>
      <c r="F12" s="34" t="s">
        <v>26</v>
      </c>
      <c r="G12" s="34"/>
      <c r="H12" s="34" t="s">
        <v>3</v>
      </c>
      <c r="I12" s="34" t="s">
        <v>319</v>
      </c>
      <c r="J12" s="34" t="s">
        <v>110</v>
      </c>
      <c r="K12" s="34"/>
      <c r="L12" s="34" t="s">
        <v>110</v>
      </c>
      <c r="M12" s="34" t="s">
        <v>26</v>
      </c>
      <c r="N12" s="12"/>
    </row>
    <row r="13" spans="1:14" ht="17.25" thickBot="1">
      <c r="A13" s="36" t="s">
        <v>2</v>
      </c>
      <c r="B13" s="36" t="s">
        <v>4</v>
      </c>
      <c r="C13" s="36" t="s">
        <v>27</v>
      </c>
      <c r="D13" s="36" t="s">
        <v>158</v>
      </c>
      <c r="E13" s="36" t="s">
        <v>28</v>
      </c>
      <c r="F13" s="36" t="s">
        <v>29</v>
      </c>
      <c r="G13" s="34"/>
      <c r="H13" s="36" t="s">
        <v>4</v>
      </c>
      <c r="I13" s="36" t="s">
        <v>27</v>
      </c>
      <c r="J13" s="36" t="s">
        <v>158</v>
      </c>
      <c r="K13" s="36"/>
      <c r="L13" s="36" t="s">
        <v>28</v>
      </c>
      <c r="M13" s="36" t="s">
        <v>29</v>
      </c>
      <c r="N13" s="12"/>
    </row>
    <row r="14" spans="1:14" ht="16.5">
      <c r="A14" s="38" t="s">
        <v>0</v>
      </c>
      <c r="B14" s="38" t="s">
        <v>0</v>
      </c>
      <c r="C14" s="39" t="s">
        <v>113</v>
      </c>
      <c r="D14" s="38" t="s">
        <v>114</v>
      </c>
      <c r="E14" s="38" t="s">
        <v>0</v>
      </c>
      <c r="F14" s="38" t="s">
        <v>0</v>
      </c>
      <c r="G14" s="40"/>
      <c r="H14" s="38" t="s">
        <v>0</v>
      </c>
      <c r="I14" s="39" t="s">
        <v>113</v>
      </c>
      <c r="J14" s="38" t="s">
        <v>115</v>
      </c>
      <c r="K14" s="38"/>
      <c r="L14" s="38" t="s">
        <v>0</v>
      </c>
      <c r="M14" s="38" t="s">
        <v>0</v>
      </c>
      <c r="N14" s="12"/>
    </row>
    <row r="15" spans="1:14" ht="16.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4" ht="16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7.25">
      <c r="A17" s="61" t="str">
        <f>+'S&amp;D'!A22</f>
        <v>Energy Transfer LP</v>
      </c>
      <c r="B17" s="90" t="str">
        <f>+'S&amp;D'!B22</f>
        <v>ET</v>
      </c>
      <c r="C17" s="58">
        <f>+'S&amp;D'!G22</f>
        <v>19.59</v>
      </c>
      <c r="D17" s="60">
        <v>3.05</v>
      </c>
      <c r="E17" s="68">
        <f t="shared" ref="E17:E19" si="0">C17/D17</f>
        <v>6.4229508196721312</v>
      </c>
      <c r="F17" s="55">
        <f t="shared" ref="F17:F19" si="1">1/E17</f>
        <v>0.15569167942827974</v>
      </c>
      <c r="G17" s="55"/>
      <c r="H17" s="90" t="str">
        <f t="shared" ref="H17:H19" si="2">+B17</f>
        <v>ET</v>
      </c>
      <c r="I17" s="58">
        <f t="shared" ref="I17:I19" si="3">+C17</f>
        <v>19.59</v>
      </c>
      <c r="J17" s="290">
        <v>3.2</v>
      </c>
      <c r="K17" s="60"/>
      <c r="L17" s="68">
        <f t="shared" ref="L17:L19" si="4">I17/J17</f>
        <v>6.1218749999999993</v>
      </c>
      <c r="M17" s="55">
        <f t="shared" ref="M17:M19" si="5">1/L17</f>
        <v>0.16334864726901482</v>
      </c>
      <c r="N17" s="12"/>
    </row>
    <row r="18" spans="1:14" ht="17.25">
      <c r="A18" s="61" t="str">
        <f>+'S&amp;D'!A23</f>
        <v>Enterprise Products Partnership LP</v>
      </c>
      <c r="B18" s="90" t="str">
        <f>+'S&amp;D'!B23</f>
        <v>EPD</v>
      </c>
      <c r="C18" s="58">
        <f>+'S&amp;D'!G23</f>
        <v>31.36</v>
      </c>
      <c r="D18" s="60">
        <v>4.05</v>
      </c>
      <c r="E18" s="68">
        <f t="shared" si="0"/>
        <v>7.7432098765432098</v>
      </c>
      <c r="F18" s="55">
        <f t="shared" si="1"/>
        <v>0.12914540816326531</v>
      </c>
      <c r="G18" s="55"/>
      <c r="H18" s="90" t="str">
        <f t="shared" si="2"/>
        <v>EPD</v>
      </c>
      <c r="I18" s="58">
        <f t="shared" si="3"/>
        <v>31.36</v>
      </c>
      <c r="J18" s="290" t="s">
        <v>509</v>
      </c>
      <c r="K18" s="60"/>
      <c r="L18" s="68" t="s">
        <v>509</v>
      </c>
      <c r="M18" s="53" t="s">
        <v>509</v>
      </c>
      <c r="N18" s="12"/>
    </row>
    <row r="19" spans="1:14" ht="17.25">
      <c r="A19" s="61" t="str">
        <f>+'S&amp;D'!A24</f>
        <v>Hess Midstream LP</v>
      </c>
      <c r="B19" s="90" t="str">
        <f>+'S&amp;D'!B24</f>
        <v>HESM</v>
      </c>
      <c r="C19" s="58">
        <f>+'S&amp;D'!G24</f>
        <v>37.03</v>
      </c>
      <c r="D19" s="60">
        <v>4.55</v>
      </c>
      <c r="E19" s="68">
        <f t="shared" si="0"/>
        <v>8.1384615384615397</v>
      </c>
      <c r="F19" s="55">
        <f t="shared" si="1"/>
        <v>0.12287334593572777</v>
      </c>
      <c r="G19" s="55"/>
      <c r="H19" s="90" t="str">
        <f t="shared" si="2"/>
        <v>HESM</v>
      </c>
      <c r="I19" s="58">
        <f t="shared" si="3"/>
        <v>37.03</v>
      </c>
      <c r="J19" s="290">
        <v>4.9000000000000004</v>
      </c>
      <c r="K19" s="60"/>
      <c r="L19" s="68">
        <f t="shared" si="4"/>
        <v>7.5571428571428569</v>
      </c>
      <c r="M19" s="55">
        <f t="shared" si="5"/>
        <v>0.13232514177693763</v>
      </c>
      <c r="N19" s="12"/>
    </row>
    <row r="20" spans="1:14" ht="17.25">
      <c r="A20" s="61" t="str">
        <f>+'S&amp;D'!A25</f>
        <v>MPLX, LP</v>
      </c>
      <c r="B20" s="90" t="str">
        <f>+'S&amp;D'!B25</f>
        <v>MPLX</v>
      </c>
      <c r="C20" s="58">
        <f>+'S&amp;D'!G25</f>
        <v>47.86</v>
      </c>
      <c r="D20" s="60">
        <v>5.85</v>
      </c>
      <c r="E20" s="68">
        <f t="shared" ref="E20:E22" si="6">C20/D20</f>
        <v>8.1811965811965823</v>
      </c>
      <c r="F20" s="55">
        <f t="shared" ref="F20:F22" si="7">1/E20</f>
        <v>0.12223150856665271</v>
      </c>
      <c r="G20" s="55"/>
      <c r="H20" s="90" t="str">
        <f t="shared" ref="H20:H22" si="8">+B20</f>
        <v>MPLX</v>
      </c>
      <c r="I20" s="58">
        <f t="shared" ref="I20:I22" si="9">+C20</f>
        <v>47.86</v>
      </c>
      <c r="J20" s="290">
        <v>6.3</v>
      </c>
      <c r="K20" s="60"/>
      <c r="L20" s="68">
        <f t="shared" ref="L20:L22" si="10">I20/J20</f>
        <v>7.5968253968253974</v>
      </c>
      <c r="M20" s="55">
        <f t="shared" ref="M20:M22" si="11">1/L20</f>
        <v>0.13163393230254911</v>
      </c>
      <c r="N20" s="12"/>
    </row>
    <row r="21" spans="1:14" ht="17.25">
      <c r="A21" s="61" t="str">
        <f>+'S&amp;D'!A26</f>
        <v>Plains All American Pipeline LP</v>
      </c>
      <c r="B21" s="90" t="str">
        <f>+'S&amp;D'!B26</f>
        <v>PAA</v>
      </c>
      <c r="C21" s="58">
        <f>+'S&amp;D'!G26</f>
        <v>17.079999999999998</v>
      </c>
      <c r="D21" s="60">
        <v>3.8</v>
      </c>
      <c r="E21" s="68">
        <f t="shared" si="6"/>
        <v>4.4947368421052625</v>
      </c>
      <c r="F21" s="55">
        <f t="shared" si="7"/>
        <v>0.22248243559718972</v>
      </c>
      <c r="G21" s="55"/>
      <c r="H21" s="90" t="str">
        <f t="shared" si="8"/>
        <v>PAA</v>
      </c>
      <c r="I21" s="58">
        <f t="shared" si="9"/>
        <v>17.079999999999998</v>
      </c>
      <c r="J21" s="290">
        <v>4.3</v>
      </c>
      <c r="K21" s="60"/>
      <c r="L21" s="68">
        <f t="shared" si="10"/>
        <v>3.9720930232558138</v>
      </c>
      <c r="M21" s="55">
        <f t="shared" si="11"/>
        <v>0.25175644028103045</v>
      </c>
      <c r="N21" s="12"/>
    </row>
    <row r="22" spans="1:14" ht="17.25">
      <c r="A22" s="61" t="str">
        <f>+'S&amp;D'!A27</f>
        <v>Western Midstream Partners LP</v>
      </c>
      <c r="B22" s="90" t="str">
        <f>+'S&amp;D'!B27</f>
        <v>WES</v>
      </c>
      <c r="C22" s="58">
        <f>+'S&amp;D'!G27</f>
        <v>38.43</v>
      </c>
      <c r="D22" s="60">
        <v>5.2</v>
      </c>
      <c r="E22" s="68">
        <f t="shared" si="6"/>
        <v>7.3903846153846153</v>
      </c>
      <c r="F22" s="55">
        <f t="shared" si="7"/>
        <v>0.13531095498308612</v>
      </c>
      <c r="G22" s="55"/>
      <c r="H22" s="90" t="str">
        <f t="shared" si="8"/>
        <v>WES</v>
      </c>
      <c r="I22" s="58">
        <f t="shared" si="9"/>
        <v>38.43</v>
      </c>
      <c r="J22" s="290">
        <v>5.5</v>
      </c>
      <c r="K22" s="60"/>
      <c r="L22" s="68">
        <f t="shared" si="10"/>
        <v>6.9872727272727273</v>
      </c>
      <c r="M22" s="55">
        <f t="shared" si="11"/>
        <v>0.14311735623211033</v>
      </c>
      <c r="N22" s="12"/>
    </row>
    <row r="23" spans="1:14" ht="17.25" thickBot="1">
      <c r="A23" s="12"/>
      <c r="B23" s="69"/>
      <c r="C23" s="69"/>
      <c r="D23" s="69"/>
      <c r="E23" s="69"/>
      <c r="F23" s="69"/>
      <c r="G23" s="12"/>
      <c r="H23" s="69"/>
      <c r="I23" s="69"/>
      <c r="J23" s="291" t="s">
        <v>0</v>
      </c>
      <c r="K23" s="69"/>
      <c r="L23" s="69"/>
      <c r="M23" s="69"/>
      <c r="N23" s="12"/>
    </row>
    <row r="24" spans="1:14" ht="17.25" thickTop="1">
      <c r="A24" s="12"/>
      <c r="B24" s="14" t="s">
        <v>45</v>
      </c>
      <c r="C24" s="70">
        <f>MAX(C17:C22)</f>
        <v>47.86</v>
      </c>
      <c r="D24" s="70">
        <f>MAX(D17:D22)</f>
        <v>5.85</v>
      </c>
      <c r="E24" s="70">
        <f>MAX(E17:E22)</f>
        <v>8.1811965811965823</v>
      </c>
      <c r="F24" s="304">
        <f>MAX(F17:F22)</f>
        <v>0.22248243559718972</v>
      </c>
      <c r="H24" s="14"/>
      <c r="I24" s="70">
        <f>MAX(I17:I22)</f>
        <v>47.86</v>
      </c>
      <c r="J24" s="70">
        <f>MAX(J17:J22)</f>
        <v>6.3</v>
      </c>
      <c r="K24" s="70"/>
      <c r="L24" s="70">
        <f>MAX(L17:L22)</f>
        <v>7.5968253968253974</v>
      </c>
      <c r="M24" s="304">
        <f>MAX(M17:M22)</f>
        <v>0.25175644028103045</v>
      </c>
      <c r="N24" s="12"/>
    </row>
    <row r="25" spans="1:14" ht="16.5">
      <c r="A25" s="12"/>
      <c r="B25" s="335" t="s">
        <v>46</v>
      </c>
      <c r="C25" s="339">
        <f>MIN(C17:C22)</f>
        <v>17.079999999999998</v>
      </c>
      <c r="D25" s="339">
        <f>MIN(D17:D22)</f>
        <v>3.05</v>
      </c>
      <c r="E25" s="339">
        <f>MIN(E17:E22)</f>
        <v>4.4947368421052625</v>
      </c>
      <c r="F25" s="333">
        <f>MIN(F17:F22)</f>
        <v>0.12223150856665271</v>
      </c>
      <c r="H25" s="335"/>
      <c r="I25" s="339">
        <f t="shared" ref="I25:M25" si="12">MIN(I17:I22)</f>
        <v>17.079999999999998</v>
      </c>
      <c r="J25" s="339">
        <f t="shared" si="12"/>
        <v>3.2</v>
      </c>
      <c r="K25" s="339"/>
      <c r="L25" s="339">
        <f t="shared" si="12"/>
        <v>3.9720930232558138</v>
      </c>
      <c r="M25" s="333">
        <f t="shared" si="12"/>
        <v>0.13163393230254911</v>
      </c>
      <c r="N25" s="12"/>
    </row>
    <row r="26" spans="1:14" ht="16.5">
      <c r="A26" s="12"/>
      <c r="B26" s="14" t="s">
        <v>18</v>
      </c>
      <c r="C26" s="71">
        <f>MEDIAN(C17:C22)</f>
        <v>34.195</v>
      </c>
      <c r="D26" s="72">
        <f>MEDIAN(D17:D22)</f>
        <v>4.3</v>
      </c>
      <c r="E26" s="21">
        <f>MEDIAN(E17:E22)</f>
        <v>7.5667972459639126</v>
      </c>
      <c r="F26" s="55">
        <f>MEDIAN(F17:F22)</f>
        <v>0.13222818157317573</v>
      </c>
      <c r="G26" s="55"/>
      <c r="H26" s="14" t="s">
        <v>18</v>
      </c>
      <c r="I26" s="71">
        <f>MEDIAN(I17:I22)</f>
        <v>34.195</v>
      </c>
      <c r="J26" s="72">
        <f>MEDIAN(J17:J22)</f>
        <v>4.9000000000000004</v>
      </c>
      <c r="K26" s="72"/>
      <c r="L26" s="21">
        <f>MEDIAN(L17:L22)</f>
        <v>6.9872727272727273</v>
      </c>
      <c r="M26" s="55">
        <f>MEDIAN(M17:M22)</f>
        <v>0.14311735623211033</v>
      </c>
      <c r="N26" s="12"/>
    </row>
    <row r="27" spans="1:14" ht="16.5">
      <c r="A27" s="12"/>
      <c r="B27" s="14" t="s">
        <v>392</v>
      </c>
      <c r="C27" s="21">
        <f>AVERAGE(C17:C22)</f>
        <v>31.891666666666669</v>
      </c>
      <c r="D27" s="17">
        <f>AVERAGE(D17:D22)</f>
        <v>4.416666666666667</v>
      </c>
      <c r="E27" s="21">
        <f>AVERAGE(E17:E22)</f>
        <v>7.0618233788938909</v>
      </c>
      <c r="F27" s="73">
        <f>AVERAGE(F17:F22)</f>
        <v>0.14795588877903357</v>
      </c>
      <c r="G27" s="73"/>
      <c r="H27" s="14" t="s">
        <v>392</v>
      </c>
      <c r="I27" s="17">
        <f>AVERAGE(I17:I22)</f>
        <v>31.891666666666669</v>
      </c>
      <c r="J27" s="17">
        <f>AVERAGE(J17:J22)</f>
        <v>4.8400000000000007</v>
      </c>
      <c r="K27" s="17"/>
      <c r="L27" s="21">
        <f>AVERAGE(L17:L22)</f>
        <v>6.4470418008993589</v>
      </c>
      <c r="M27" s="73">
        <f>AVERAGE(M17:M22)</f>
        <v>0.16443630357232847</v>
      </c>
      <c r="N27" s="12"/>
    </row>
    <row r="28" spans="1:14" ht="16.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26.25">
      <c r="A29" s="12"/>
      <c r="B29" s="12"/>
      <c r="C29" s="12"/>
      <c r="D29" s="77" t="s">
        <v>74</v>
      </c>
      <c r="E29" s="416">
        <v>7.06</v>
      </c>
      <c r="F29" s="305">
        <v>0.14799999999999999</v>
      </c>
      <c r="G29" s="260"/>
      <c r="H29" s="12"/>
      <c r="I29" s="12"/>
      <c r="J29" s="77" t="s">
        <v>74</v>
      </c>
      <c r="K29" s="48"/>
      <c r="L29" s="306">
        <v>6.45</v>
      </c>
      <c r="M29" s="305">
        <v>0.16439999999999999</v>
      </c>
      <c r="N29" s="12"/>
    </row>
    <row r="30" spans="1:14" ht="30" customHeight="1" thickBot="1">
      <c r="A30" s="12"/>
      <c r="B30" s="12"/>
      <c r="C30" s="12"/>
      <c r="D30" s="12"/>
      <c r="E30" s="12"/>
      <c r="G30" s="74"/>
      <c r="H30" s="12"/>
      <c r="I30" s="12"/>
      <c r="J30" s="12"/>
      <c r="K30" s="12"/>
      <c r="L30" s="12"/>
      <c r="M30" s="12"/>
      <c r="N30" s="12"/>
    </row>
    <row r="31" spans="1:14" ht="27" thickBot="1">
      <c r="A31" s="75" t="s">
        <v>0</v>
      </c>
      <c r="B31" s="12"/>
      <c r="C31" s="12"/>
      <c r="D31" s="12"/>
      <c r="E31" s="23" t="s">
        <v>118</v>
      </c>
      <c r="F31" s="23"/>
      <c r="G31" s="207">
        <f>(+E29+L29)/2</f>
        <v>6.7549999999999999</v>
      </c>
      <c r="H31" s="208">
        <f>(+F29+M29)/2</f>
        <v>0.15620000000000001</v>
      </c>
      <c r="K31" s="12"/>
      <c r="N31" s="12"/>
    </row>
    <row r="32" spans="1:14" ht="16.5">
      <c r="A32" s="75" t="s">
        <v>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6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7.25">
      <c r="A35" s="107" t="s">
        <v>325</v>
      </c>
    </row>
    <row r="36" spans="1:14" ht="17.25">
      <c r="A36" s="107" t="s">
        <v>326</v>
      </c>
    </row>
    <row r="37" spans="1:14" ht="17.25">
      <c r="A37" s="107" t="s">
        <v>327</v>
      </c>
    </row>
  </sheetData>
  <pageMargins left="0.25" right="0.25" top="0.75" bottom="0.75" header="0.3" footer="0.3"/>
  <pageSetup scale="4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57"/>
  <sheetViews>
    <sheetView view="pageBreakPreview" topLeftCell="A12" zoomScale="60" zoomScaleNormal="80" workbookViewId="0">
      <selection activeCell="F57" sqref="F57"/>
    </sheetView>
  </sheetViews>
  <sheetFormatPr defaultRowHeight="15"/>
  <cols>
    <col min="1" max="1" width="53.85546875" customWidth="1"/>
    <col min="2" max="2" width="8" customWidth="1"/>
    <col min="3" max="3" width="12.28515625" bestFit="1" customWidth="1"/>
    <col min="4" max="4" width="20.140625" customWidth="1"/>
    <col min="5" max="5" width="18.85546875" customWidth="1"/>
    <col min="6" max="6" width="19" customWidth="1"/>
    <col min="7" max="7" width="16.42578125" customWidth="1"/>
    <col min="8" max="10" width="19.28515625" customWidth="1"/>
    <col min="11" max="12" width="21.5703125" customWidth="1"/>
    <col min="13" max="13" width="18.28515625" customWidth="1"/>
  </cols>
  <sheetData>
    <row r="1" spans="1:15" ht="26.25">
      <c r="A1" s="23" t="s">
        <v>1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7.25">
      <c r="A2" s="61" t="s">
        <v>9</v>
      </c>
      <c r="B2" s="6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6.5">
      <c r="A3" s="25" t="s">
        <v>429</v>
      </c>
      <c r="B3" s="4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6.5">
      <c r="A4" s="12"/>
      <c r="B4" s="12"/>
      <c r="C4" s="12"/>
      <c r="D4" s="12"/>
      <c r="E4" s="26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8" thickBot="1">
      <c r="A5" s="61"/>
      <c r="B5" s="6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1" thickBot="1">
      <c r="A6" s="250" t="str">
        <f>+'S&amp;D'!A12</f>
        <v>Liquid Transportation Pipeline Carriers</v>
      </c>
      <c r="B6" s="25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8" thickBot="1">
      <c r="A7" s="61"/>
      <c r="B7" s="61"/>
      <c r="C7" s="28"/>
      <c r="D7" s="28"/>
      <c r="E7" s="28"/>
      <c r="F7" s="28"/>
      <c r="G7" s="28"/>
      <c r="H7" s="12"/>
      <c r="I7" s="28"/>
      <c r="J7" s="28"/>
      <c r="K7" s="28"/>
      <c r="L7" s="28"/>
      <c r="M7" s="28"/>
      <c r="N7" s="12"/>
      <c r="O7" s="12"/>
    </row>
    <row r="8" spans="1:15" ht="26.25">
      <c r="B8" s="30"/>
      <c r="C8" s="12"/>
      <c r="D8" s="12"/>
      <c r="E8" s="31" t="s">
        <v>435</v>
      </c>
      <c r="H8" s="12"/>
      <c r="I8" s="12"/>
      <c r="J8" s="12"/>
      <c r="K8" s="31" t="s">
        <v>220</v>
      </c>
      <c r="L8" s="12"/>
      <c r="M8" s="12"/>
      <c r="N8" s="12"/>
      <c r="O8" s="12"/>
    </row>
    <row r="9" spans="1:15" ht="21" thickBot="1">
      <c r="A9" s="30"/>
      <c r="B9" s="30"/>
      <c r="C9" s="151"/>
      <c r="D9" s="28"/>
      <c r="E9" s="36" t="s">
        <v>430</v>
      </c>
      <c r="F9" s="28"/>
      <c r="G9" s="28"/>
      <c r="H9" s="12"/>
      <c r="I9" s="28"/>
      <c r="J9" s="28"/>
      <c r="K9" s="36" t="s">
        <v>430</v>
      </c>
      <c r="L9" s="28"/>
      <c r="M9" s="28"/>
      <c r="N9" s="12"/>
      <c r="O9" s="12"/>
    </row>
    <row r="10" spans="1:15" ht="17.25" thickBot="1">
      <c r="A10" s="33" t="s">
        <v>0</v>
      </c>
      <c r="B10" s="33"/>
      <c r="C10" s="33" t="s">
        <v>0</v>
      </c>
      <c r="D10" s="33" t="s">
        <v>0</v>
      </c>
      <c r="E10" s="33" t="s">
        <v>0</v>
      </c>
      <c r="F10" s="33" t="s">
        <v>0</v>
      </c>
      <c r="G10" s="33" t="s">
        <v>0</v>
      </c>
      <c r="H10" s="12"/>
      <c r="I10" s="28"/>
      <c r="J10" s="28"/>
      <c r="K10" s="28"/>
      <c r="L10" s="28"/>
      <c r="M10" s="28"/>
      <c r="N10" s="12"/>
      <c r="O10" s="12"/>
    </row>
    <row r="11" spans="1:15" ht="16.5">
      <c r="A11" s="34" t="s">
        <v>0</v>
      </c>
      <c r="B11" s="34"/>
      <c r="C11" s="34" t="s">
        <v>3</v>
      </c>
      <c r="D11" s="34" t="s">
        <v>319</v>
      </c>
      <c r="E11" s="34" t="s">
        <v>321</v>
      </c>
      <c r="F11" s="34" t="s">
        <v>111</v>
      </c>
      <c r="G11" s="34" t="s">
        <v>26</v>
      </c>
      <c r="H11" s="12"/>
      <c r="I11" s="34" t="s">
        <v>3</v>
      </c>
      <c r="J11" s="34" t="s">
        <v>319</v>
      </c>
      <c r="K11" s="34" t="s">
        <v>321</v>
      </c>
      <c r="L11" s="34" t="s">
        <v>111</v>
      </c>
      <c r="M11" s="34" t="s">
        <v>26</v>
      </c>
      <c r="N11" s="12"/>
      <c r="O11" s="12"/>
    </row>
    <row r="12" spans="1:15" ht="17.25" thickBot="1">
      <c r="A12" s="36" t="s">
        <v>2</v>
      </c>
      <c r="B12" s="36"/>
      <c r="C12" s="36" t="s">
        <v>4</v>
      </c>
      <c r="D12" s="36" t="s">
        <v>27</v>
      </c>
      <c r="E12" s="36" t="s">
        <v>158</v>
      </c>
      <c r="F12" s="36" t="s">
        <v>28</v>
      </c>
      <c r="G12" s="36" t="s">
        <v>29</v>
      </c>
      <c r="H12" s="12"/>
      <c r="I12" s="36" t="s">
        <v>4</v>
      </c>
      <c r="J12" s="36" t="s">
        <v>27</v>
      </c>
      <c r="K12" s="36" t="s">
        <v>158</v>
      </c>
      <c r="L12" s="36" t="s">
        <v>28</v>
      </c>
      <c r="M12" s="36" t="s">
        <v>29</v>
      </c>
      <c r="N12" s="12"/>
      <c r="O12" s="12"/>
    </row>
    <row r="13" spans="1:15" ht="16.5">
      <c r="A13" s="38" t="s">
        <v>0</v>
      </c>
      <c r="B13" s="38"/>
      <c r="C13" s="38" t="s">
        <v>0</v>
      </c>
      <c r="D13" s="39" t="s">
        <v>113</v>
      </c>
      <c r="E13" s="76" t="s">
        <v>114</v>
      </c>
      <c r="F13" s="38" t="s">
        <v>0</v>
      </c>
      <c r="G13" s="38" t="s">
        <v>0</v>
      </c>
      <c r="H13" s="12"/>
      <c r="I13" s="38" t="s">
        <v>0</v>
      </c>
      <c r="J13" s="39" t="s">
        <v>113</v>
      </c>
      <c r="K13" s="76" t="s">
        <v>112</v>
      </c>
      <c r="L13" s="38" t="s">
        <v>0</v>
      </c>
      <c r="M13" s="38" t="s">
        <v>0</v>
      </c>
      <c r="N13" s="12"/>
      <c r="O13" s="12"/>
    </row>
    <row r="14" spans="1:15" ht="16.5">
      <c r="A14" s="34"/>
      <c r="B14" s="34"/>
      <c r="C14" s="34"/>
      <c r="D14" s="34"/>
      <c r="E14" s="34"/>
      <c r="F14" s="34"/>
      <c r="G14" s="34"/>
      <c r="H14" s="12"/>
      <c r="I14" s="34"/>
      <c r="J14" s="34"/>
      <c r="K14" s="34"/>
      <c r="L14" s="34"/>
      <c r="M14" s="34"/>
      <c r="N14" s="12"/>
      <c r="O14" s="12"/>
    </row>
    <row r="15" spans="1:15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7.25">
      <c r="A16" s="61" t="str">
        <f>+'S&amp;D'!A22</f>
        <v>Energy Transfer LP</v>
      </c>
      <c r="B16" s="61"/>
      <c r="C16" s="90" t="str">
        <f>+'S&amp;D'!B22</f>
        <v>ET</v>
      </c>
      <c r="D16" s="58">
        <f>'S&amp;D'!G22</f>
        <v>19.59</v>
      </c>
      <c r="E16" s="60">
        <f>+Earnings!E16</f>
        <v>1.5</v>
      </c>
      <c r="F16" s="68">
        <f t="shared" ref="F16:F18" si="0">D16/E16</f>
        <v>13.06</v>
      </c>
      <c r="G16" s="55">
        <f t="shared" ref="G16:G18" si="1">1/F16</f>
        <v>7.6569678407350683E-2</v>
      </c>
      <c r="H16" s="12"/>
      <c r="I16" s="34" t="str">
        <f t="shared" ref="I16:I18" si="2">+C16</f>
        <v>ET</v>
      </c>
      <c r="J16" s="58">
        <f t="shared" ref="J16:J18" si="3">+D16</f>
        <v>19.59</v>
      </c>
      <c r="K16" s="60">
        <f>+Earnings!G16</f>
        <v>1.6</v>
      </c>
      <c r="L16" s="68">
        <f t="shared" ref="L16:L18" si="4">J16/K16</f>
        <v>12.243749999999999</v>
      </c>
      <c r="M16" s="55">
        <f t="shared" ref="M16:M18" si="5">1/L16</f>
        <v>8.1674323634507412E-2</v>
      </c>
      <c r="N16" s="12"/>
      <c r="O16" s="12"/>
    </row>
    <row r="17" spans="1:15" ht="17.25">
      <c r="A17" s="61" t="str">
        <f>+'S&amp;D'!A23</f>
        <v>Enterprise Products Partnership LP</v>
      </c>
      <c r="B17" s="61"/>
      <c r="C17" s="90" t="str">
        <f>+'S&amp;D'!B23</f>
        <v>EPD</v>
      </c>
      <c r="D17" s="58">
        <f>'S&amp;D'!G23</f>
        <v>31.36</v>
      </c>
      <c r="E17" s="60">
        <f>+Earnings!E17</f>
        <v>2.85</v>
      </c>
      <c r="F17" s="68">
        <f t="shared" si="0"/>
        <v>11.003508771929823</v>
      </c>
      <c r="G17" s="55">
        <f t="shared" si="1"/>
        <v>9.0880102040816341E-2</v>
      </c>
      <c r="H17" s="12"/>
      <c r="I17" s="34" t="str">
        <f t="shared" si="2"/>
        <v>EPD</v>
      </c>
      <c r="J17" s="58">
        <f t="shared" si="3"/>
        <v>31.36</v>
      </c>
      <c r="K17" s="60">
        <f>+Earnings!G17</f>
        <v>3.05</v>
      </c>
      <c r="L17" s="68">
        <f t="shared" si="4"/>
        <v>10.281967213114754</v>
      </c>
      <c r="M17" s="55">
        <f t="shared" si="5"/>
        <v>9.7257653061224483E-2</v>
      </c>
      <c r="N17" s="12"/>
      <c r="O17" s="12"/>
    </row>
    <row r="18" spans="1:15" ht="17.25">
      <c r="A18" s="61" t="str">
        <f>+'S&amp;D'!A24</f>
        <v>Hess Midstream LP</v>
      </c>
      <c r="B18" s="61"/>
      <c r="C18" s="90" t="str">
        <f>+'S&amp;D'!B24</f>
        <v>HESM</v>
      </c>
      <c r="D18" s="58">
        <f>'S&amp;D'!G24</f>
        <v>37.03</v>
      </c>
      <c r="E18" s="60">
        <f>+Earnings!E18</f>
        <v>2.8</v>
      </c>
      <c r="F18" s="68">
        <f t="shared" si="0"/>
        <v>13.225000000000001</v>
      </c>
      <c r="G18" s="55">
        <f t="shared" si="1"/>
        <v>7.5614366729678625E-2</v>
      </c>
      <c r="H18" s="12"/>
      <c r="I18" s="34" t="str">
        <f t="shared" si="2"/>
        <v>HESM</v>
      </c>
      <c r="J18" s="58">
        <f t="shared" si="3"/>
        <v>37.03</v>
      </c>
      <c r="K18" s="60">
        <f>+Earnings!G18</f>
        <v>3.2</v>
      </c>
      <c r="L18" s="68">
        <f t="shared" si="4"/>
        <v>11.571875</v>
      </c>
      <c r="M18" s="55">
        <f t="shared" si="5"/>
        <v>8.6416419119632729E-2</v>
      </c>
      <c r="N18" s="12"/>
      <c r="O18" s="12"/>
    </row>
    <row r="19" spans="1:15" ht="17.25">
      <c r="A19" s="61" t="str">
        <f>+'S&amp;D'!A25</f>
        <v>MPLX, LP</v>
      </c>
      <c r="B19" s="61"/>
      <c r="C19" s="90" t="str">
        <f>+'S&amp;D'!B25</f>
        <v>MPLX</v>
      </c>
      <c r="D19" s="58">
        <f>'S&amp;D'!G25</f>
        <v>47.86</v>
      </c>
      <c r="E19" s="60">
        <f>+Earnings!E19</f>
        <v>4.5</v>
      </c>
      <c r="F19" s="68">
        <f t="shared" ref="F19:F21" si="6">D19/E19</f>
        <v>10.635555555555555</v>
      </c>
      <c r="G19" s="55">
        <f t="shared" ref="G19:G21" si="7">1/F19</f>
        <v>9.4024237358963647E-2</v>
      </c>
      <c r="H19" s="12"/>
      <c r="I19" s="34" t="str">
        <f t="shared" ref="I19:I21" si="8">+C19</f>
        <v>MPLX</v>
      </c>
      <c r="J19" s="58">
        <f t="shared" ref="J19:J21" si="9">+D19</f>
        <v>47.86</v>
      </c>
      <c r="K19" s="60">
        <f>+Earnings!G19</f>
        <v>4.9000000000000004</v>
      </c>
      <c r="L19" s="68">
        <f t="shared" ref="L19:L21" si="10">J19/K19</f>
        <v>9.7673469387755087</v>
      </c>
      <c r="M19" s="55">
        <f t="shared" ref="M19:M21" si="11">1/L19</f>
        <v>0.1023819473464271</v>
      </c>
      <c r="N19" s="12"/>
      <c r="O19" s="12"/>
    </row>
    <row r="20" spans="1:15" ht="17.25">
      <c r="A20" s="61" t="str">
        <f>+'S&amp;D'!A26</f>
        <v>Plains All American Pipeline LP</v>
      </c>
      <c r="B20" s="61"/>
      <c r="C20" s="90" t="str">
        <f>+'S&amp;D'!B26</f>
        <v>PAA</v>
      </c>
      <c r="D20" s="58">
        <f>'S&amp;D'!G26</f>
        <v>17.079999999999998</v>
      </c>
      <c r="E20" s="60">
        <f>+Earnings!E20</f>
        <v>1.5</v>
      </c>
      <c r="F20" s="68">
        <f t="shared" si="6"/>
        <v>11.386666666666665</v>
      </c>
      <c r="G20" s="55">
        <f t="shared" si="7"/>
        <v>8.7822014051522262E-2</v>
      </c>
      <c r="H20" s="12"/>
      <c r="I20" s="34" t="str">
        <f t="shared" si="8"/>
        <v>PAA</v>
      </c>
      <c r="J20" s="58">
        <f t="shared" si="9"/>
        <v>17.079999999999998</v>
      </c>
      <c r="K20" s="60">
        <f>+Earnings!G20</f>
        <v>1.8</v>
      </c>
      <c r="L20" s="68">
        <f t="shared" si="10"/>
        <v>9.4888888888888872</v>
      </c>
      <c r="M20" s="55">
        <f t="shared" si="11"/>
        <v>0.10538641686182672</v>
      </c>
      <c r="N20" s="12"/>
      <c r="O20" s="12"/>
    </row>
    <row r="21" spans="1:15" ht="17.25">
      <c r="A21" s="61" t="str">
        <f>+'S&amp;D'!A27</f>
        <v>Western Midstream Partners LP</v>
      </c>
      <c r="B21" s="61"/>
      <c r="C21" s="90" t="str">
        <f>+'S&amp;D'!B27</f>
        <v>WES</v>
      </c>
      <c r="D21" s="58">
        <f>'S&amp;D'!G27</f>
        <v>38.43</v>
      </c>
      <c r="E21" s="60">
        <f>+Earnings!E21</f>
        <v>3.45</v>
      </c>
      <c r="F21" s="68">
        <f t="shared" si="6"/>
        <v>11.139130434782608</v>
      </c>
      <c r="G21" s="55">
        <f t="shared" si="7"/>
        <v>8.9773614363778301E-2</v>
      </c>
      <c r="H21" s="12"/>
      <c r="I21" s="34" t="str">
        <f t="shared" si="8"/>
        <v>WES</v>
      </c>
      <c r="J21" s="58">
        <f t="shared" si="9"/>
        <v>38.43</v>
      </c>
      <c r="K21" s="60">
        <f>+Earnings!G21</f>
        <v>3.7</v>
      </c>
      <c r="L21" s="68">
        <f t="shared" si="10"/>
        <v>10.386486486486486</v>
      </c>
      <c r="M21" s="55">
        <f t="shared" si="11"/>
        <v>9.6278948737965137E-2</v>
      </c>
      <c r="N21" s="12"/>
      <c r="O21" s="12"/>
    </row>
    <row r="22" spans="1:15" ht="18" thickBot="1">
      <c r="A22" s="12"/>
      <c r="B22" s="12"/>
      <c r="C22" s="69"/>
      <c r="D22" s="69"/>
      <c r="E22" s="69"/>
      <c r="F22" s="69"/>
      <c r="G22" s="69"/>
      <c r="H22" s="12"/>
      <c r="I22" s="69"/>
      <c r="J22" s="63" t="s">
        <v>0</v>
      </c>
      <c r="K22" s="69"/>
      <c r="L22" s="69"/>
      <c r="M22" s="69"/>
      <c r="N22" s="12"/>
      <c r="O22" s="12"/>
    </row>
    <row r="23" spans="1:15" ht="17.25" thickTop="1">
      <c r="A23" s="12"/>
      <c r="B23" s="12"/>
      <c r="C23" s="14" t="s">
        <v>45</v>
      </c>
      <c r="D23" s="70">
        <f>MAX(D16:D21)</f>
        <v>47.86</v>
      </c>
      <c r="E23" s="70">
        <f>MAX(E16:E21)</f>
        <v>4.5</v>
      </c>
      <c r="F23" s="70">
        <f>MAX(F16:F21)</f>
        <v>13.225000000000001</v>
      </c>
      <c r="G23" s="304">
        <f>MAX(G16:G21)</f>
        <v>9.4024237358963647E-2</v>
      </c>
      <c r="H23" s="12"/>
      <c r="I23" s="14" t="s">
        <v>45</v>
      </c>
      <c r="J23" s="70">
        <f>MAX(J16:J21)</f>
        <v>47.86</v>
      </c>
      <c r="K23" s="70">
        <f>MAX(K16:K21)</f>
        <v>4.9000000000000004</v>
      </c>
      <c r="L23" s="70">
        <f>MAX(L16:L21)</f>
        <v>12.243749999999999</v>
      </c>
      <c r="M23" s="304">
        <f>MAX(M16:M21)</f>
        <v>0.10538641686182672</v>
      </c>
      <c r="N23" s="12"/>
      <c r="O23" s="12"/>
    </row>
    <row r="24" spans="1:15" ht="16.5">
      <c r="A24" s="12"/>
      <c r="B24" s="12"/>
      <c r="C24" s="335" t="s">
        <v>46</v>
      </c>
      <c r="D24" s="339">
        <f>MIN(D16:D21)</f>
        <v>17.079999999999998</v>
      </c>
      <c r="E24" s="339">
        <f>MIN(E16:E21)</f>
        <v>1.5</v>
      </c>
      <c r="F24" s="339">
        <f>MIN(F16:F21)</f>
        <v>10.635555555555555</v>
      </c>
      <c r="G24" s="333">
        <f>MIN(G16:G21)</f>
        <v>7.5614366729678625E-2</v>
      </c>
      <c r="H24" s="12"/>
      <c r="I24" s="335" t="s">
        <v>46</v>
      </c>
      <c r="J24" s="339">
        <f>MIN(J16:J21)</f>
        <v>17.079999999999998</v>
      </c>
      <c r="K24" s="339">
        <f>MIN(K16:K21)</f>
        <v>1.6</v>
      </c>
      <c r="L24" s="339">
        <f>MIN(L16:L21)</f>
        <v>9.4888888888888872</v>
      </c>
      <c r="M24" s="333">
        <f>MIN(M16:M21)</f>
        <v>8.1674323634507412E-2</v>
      </c>
      <c r="N24" s="12"/>
      <c r="O24" s="12"/>
    </row>
    <row r="25" spans="1:15" ht="16.5">
      <c r="A25" s="12"/>
      <c r="B25" s="12"/>
      <c r="C25" s="14" t="s">
        <v>18</v>
      </c>
      <c r="D25" s="71">
        <f>MEDIAN(D16:D21)</f>
        <v>34.195</v>
      </c>
      <c r="E25" s="72">
        <f>MEDIAN(E16:E21)</f>
        <v>2.8250000000000002</v>
      </c>
      <c r="F25" s="21">
        <f>MEDIAN(F16:F21)</f>
        <v>11.262898550724636</v>
      </c>
      <c r="G25" s="55">
        <f>MEDIAN(G16:G21)</f>
        <v>8.8797814207650289E-2</v>
      </c>
      <c r="H25" s="12"/>
      <c r="I25" s="14" t="s">
        <v>18</v>
      </c>
      <c r="J25" s="71">
        <f>MEDIAN(J16:J21)</f>
        <v>34.195</v>
      </c>
      <c r="K25" s="72">
        <f>MEDIAN(K16:K21)</f>
        <v>3.125</v>
      </c>
      <c r="L25" s="21">
        <f>MEDIAN(L16:L21)</f>
        <v>10.33422684980062</v>
      </c>
      <c r="M25" s="55">
        <f>MEDIAN(M16:M21)</f>
        <v>9.6768300899594817E-2</v>
      </c>
      <c r="N25" s="12"/>
      <c r="O25" s="12"/>
    </row>
    <row r="26" spans="1:15" ht="16.5">
      <c r="A26" s="12"/>
      <c r="B26" s="12"/>
      <c r="C26" s="14" t="s">
        <v>392</v>
      </c>
      <c r="D26" s="21">
        <f>AVERAGE(D16:D21)</f>
        <v>31.891666666666669</v>
      </c>
      <c r="E26" s="17">
        <f>AVERAGE(E16:E21)</f>
        <v>2.7666666666666662</v>
      </c>
      <c r="F26" s="21">
        <f>AVERAGE(F16:F21)</f>
        <v>11.741643571489108</v>
      </c>
      <c r="G26" s="73">
        <f>AVERAGE(G16:G21)</f>
        <v>8.5780668825351639E-2</v>
      </c>
      <c r="H26" s="12"/>
      <c r="I26" s="14" t="s">
        <v>392</v>
      </c>
      <c r="J26" s="21">
        <f>AVERAGE(J16:J21)</f>
        <v>31.891666666666669</v>
      </c>
      <c r="K26" s="17">
        <f>AVERAGE(K16:K21)</f>
        <v>3.0416666666666665</v>
      </c>
      <c r="L26" s="21">
        <f>AVERAGE(L16:L21)</f>
        <v>10.623385754544273</v>
      </c>
      <c r="M26" s="73">
        <f>AVERAGE(M16:M21)</f>
        <v>9.4899284793597258E-2</v>
      </c>
      <c r="N26" s="12"/>
      <c r="O26" s="12"/>
    </row>
    <row r="27" spans="1:15" ht="16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26.25">
      <c r="A28" s="12"/>
      <c r="B28" s="12"/>
      <c r="C28" s="12"/>
      <c r="D28" s="12"/>
      <c r="E28" s="77" t="s">
        <v>74</v>
      </c>
      <c r="F28" s="307">
        <v>11.74</v>
      </c>
      <c r="G28" s="305">
        <v>8.5800000000000001E-2</v>
      </c>
      <c r="H28" s="12"/>
      <c r="I28" s="12"/>
      <c r="J28" s="12"/>
      <c r="K28" s="77" t="s">
        <v>74</v>
      </c>
      <c r="L28" s="307">
        <v>10.62</v>
      </c>
      <c r="M28" s="305">
        <v>9.4899999999999998E-2</v>
      </c>
      <c r="N28" s="12"/>
      <c r="O28" s="12"/>
    </row>
    <row r="29" spans="1:15" ht="16.5">
      <c r="A29" s="12"/>
      <c r="B29" s="12"/>
      <c r="C29" s="12"/>
      <c r="D29" s="12"/>
      <c r="E29" s="12"/>
      <c r="F29" s="12"/>
      <c r="K29" s="12"/>
      <c r="L29" s="12"/>
      <c r="M29" s="12"/>
      <c r="N29" s="12"/>
      <c r="O29" s="12"/>
    </row>
    <row r="30" spans="1:15" ht="30" customHeight="1">
      <c r="A30" s="12"/>
      <c r="B30" s="12"/>
      <c r="C30" s="12"/>
      <c r="D30" s="12"/>
      <c r="E30" s="12"/>
      <c r="F30" s="12"/>
      <c r="K30" s="12"/>
      <c r="L30" s="12"/>
      <c r="M30" s="12"/>
      <c r="N30" s="12"/>
      <c r="O30" s="12"/>
    </row>
    <row r="31" spans="1:15" ht="17.25" thickBot="1">
      <c r="A31" s="12"/>
      <c r="B31" s="12"/>
      <c r="C31" s="12"/>
      <c r="D31" s="12"/>
      <c r="E31" s="12"/>
      <c r="F31" s="12"/>
      <c r="K31" s="12"/>
      <c r="L31" s="12"/>
      <c r="M31" s="12"/>
      <c r="N31" s="12"/>
      <c r="O31" s="12"/>
    </row>
    <row r="32" spans="1:15" ht="30.75" customHeight="1" thickBot="1">
      <c r="A32" s="75" t="s">
        <v>0</v>
      </c>
      <c r="B32" s="75"/>
      <c r="C32" s="12"/>
      <c r="D32" s="12"/>
      <c r="E32" s="12"/>
      <c r="G32" s="23" t="s">
        <v>118</v>
      </c>
      <c r="H32" s="12"/>
      <c r="I32" s="209">
        <f>(+F28+L28)/2</f>
        <v>11.18</v>
      </c>
      <c r="J32" s="210">
        <f>(+G28+M28)/2</f>
        <v>9.035E-2</v>
      </c>
      <c r="N32" s="12"/>
      <c r="O32" s="12"/>
    </row>
    <row r="33" spans="1:15" ht="16.5">
      <c r="A33" s="75" t="s">
        <v>0</v>
      </c>
      <c r="B33" s="7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6.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5.75" thickBot="1">
      <c r="B36" s="151"/>
      <c r="C36" s="151"/>
      <c r="D36" s="151"/>
      <c r="E36" s="151"/>
      <c r="F36" s="151"/>
      <c r="G36" s="151"/>
    </row>
    <row r="37" spans="1:15" ht="26.25">
      <c r="C37" s="12"/>
      <c r="D37" s="12"/>
      <c r="E37" s="31" t="s">
        <v>225</v>
      </c>
      <c r="F37" s="12"/>
      <c r="G37" s="12"/>
    </row>
    <row r="38" spans="1:15" ht="21" thickBot="1">
      <c r="A38" s="30"/>
      <c r="B38" s="151"/>
      <c r="C38" s="28"/>
      <c r="D38" s="28"/>
      <c r="E38" s="36" t="s">
        <v>430</v>
      </c>
      <c r="F38" s="28"/>
      <c r="G38" s="28"/>
    </row>
    <row r="39" spans="1:15" ht="15.75" thickBot="1">
      <c r="A39" s="33" t="s">
        <v>0</v>
      </c>
      <c r="B39" s="151"/>
      <c r="C39" s="33" t="s">
        <v>0</v>
      </c>
      <c r="D39" s="33" t="s">
        <v>0</v>
      </c>
      <c r="E39" s="33" t="s">
        <v>0</v>
      </c>
      <c r="F39" s="33" t="s">
        <v>0</v>
      </c>
      <c r="G39" s="33" t="s">
        <v>0</v>
      </c>
    </row>
    <row r="40" spans="1:15" ht="16.5">
      <c r="A40" s="34" t="s">
        <v>0</v>
      </c>
      <c r="C40" s="34" t="s">
        <v>3</v>
      </c>
      <c r="D40" s="34" t="s">
        <v>319</v>
      </c>
      <c r="E40" s="34" t="s">
        <v>321</v>
      </c>
      <c r="F40" s="34" t="s">
        <v>111</v>
      </c>
      <c r="G40" s="34" t="s">
        <v>26</v>
      </c>
    </row>
    <row r="41" spans="1:15" ht="17.25" thickBot="1">
      <c r="A41" s="36" t="s">
        <v>2</v>
      </c>
      <c r="B41" s="151"/>
      <c r="C41" s="36" t="s">
        <v>4</v>
      </c>
      <c r="D41" s="36" t="s">
        <v>27</v>
      </c>
      <c r="E41" s="36" t="s">
        <v>158</v>
      </c>
      <c r="F41" s="36" t="s">
        <v>28</v>
      </c>
      <c r="G41" s="36" t="s">
        <v>29</v>
      </c>
    </row>
    <row r="42" spans="1:15">
      <c r="A42" s="38" t="s">
        <v>0</v>
      </c>
      <c r="C42" s="38" t="s">
        <v>0</v>
      </c>
      <c r="D42" s="39" t="s">
        <v>113</v>
      </c>
      <c r="E42" s="76" t="s">
        <v>226</v>
      </c>
      <c r="F42" s="38" t="s">
        <v>0</v>
      </c>
      <c r="G42" s="38" t="s">
        <v>0</v>
      </c>
    </row>
    <row r="43" spans="1:15" ht="16.5">
      <c r="A43" s="34"/>
      <c r="C43" s="34"/>
      <c r="D43" s="34"/>
      <c r="E43" s="34"/>
      <c r="F43" s="34"/>
      <c r="G43" s="34"/>
    </row>
    <row r="44" spans="1:15" ht="16.5">
      <c r="A44" s="12"/>
      <c r="C44" s="12"/>
      <c r="D44" s="12"/>
      <c r="E44" s="12"/>
      <c r="F44" s="12"/>
      <c r="G44" s="12"/>
    </row>
    <row r="45" spans="1:15" ht="17.25">
      <c r="A45" s="61" t="str">
        <f>+'S&amp;D'!A22</f>
        <v>Energy Transfer LP</v>
      </c>
      <c r="C45" s="90" t="str">
        <f>+'S&amp;D'!B22</f>
        <v>ET</v>
      </c>
      <c r="D45" s="58">
        <f>'S&amp;D'!G22</f>
        <v>19.59</v>
      </c>
      <c r="E45" s="60">
        <f>+Earnings!I16</f>
        <v>2.15</v>
      </c>
      <c r="F45" s="68">
        <f t="shared" ref="F45:F50" si="12">D45/E45</f>
        <v>9.1116279069767447</v>
      </c>
      <c r="G45" s="55">
        <f t="shared" ref="G45:G50" si="13">1/F45</f>
        <v>0.10974987238386931</v>
      </c>
    </row>
    <row r="46" spans="1:15" ht="17.25">
      <c r="A46" s="61" t="str">
        <f>+'S&amp;D'!A23</f>
        <v>Enterprise Products Partnership LP</v>
      </c>
      <c r="C46" s="90" t="str">
        <f>+'S&amp;D'!B23</f>
        <v>EPD</v>
      </c>
      <c r="D46" s="58">
        <f>'S&amp;D'!G23</f>
        <v>31.36</v>
      </c>
      <c r="E46" s="60">
        <f>+Earnings!I17</f>
        <v>3.6</v>
      </c>
      <c r="F46" s="68">
        <f t="shared" si="12"/>
        <v>8.7111111111111104</v>
      </c>
      <c r="G46" s="55">
        <f t="shared" si="13"/>
        <v>0.11479591836734696</v>
      </c>
    </row>
    <row r="47" spans="1:15" ht="17.25">
      <c r="A47" s="61" t="str">
        <f>+'S&amp;D'!A24</f>
        <v>Hess Midstream LP</v>
      </c>
      <c r="C47" s="90" t="str">
        <f>+'S&amp;D'!B24</f>
        <v>HESM</v>
      </c>
      <c r="D47" s="58">
        <f>'S&amp;D'!G24</f>
        <v>37.03</v>
      </c>
      <c r="E47" s="60">
        <f>+Earnings!I18</f>
        <v>4</v>
      </c>
      <c r="F47" s="68">
        <f t="shared" si="12"/>
        <v>9.2575000000000003</v>
      </c>
      <c r="G47" s="55">
        <f t="shared" si="13"/>
        <v>0.10802052389954091</v>
      </c>
    </row>
    <row r="48" spans="1:15" ht="17.25">
      <c r="A48" s="61" t="str">
        <f>+'S&amp;D'!A25</f>
        <v>MPLX, LP</v>
      </c>
      <c r="C48" s="90" t="str">
        <f>+'S&amp;D'!B25</f>
        <v>MPLX</v>
      </c>
      <c r="D48" s="58">
        <f>'S&amp;D'!G25</f>
        <v>47.86</v>
      </c>
      <c r="E48" s="60">
        <f>+Earnings!I19</f>
        <v>5.9</v>
      </c>
      <c r="F48" s="68">
        <f t="shared" si="12"/>
        <v>8.1118644067796613</v>
      </c>
      <c r="G48" s="55">
        <f t="shared" si="13"/>
        <v>0.12327622231508566</v>
      </c>
    </row>
    <row r="49" spans="1:7" ht="17.25">
      <c r="A49" s="61" t="str">
        <f>+'S&amp;D'!A26</f>
        <v>Plains All American Pipeline LP</v>
      </c>
      <c r="C49" s="90" t="str">
        <f>+'S&amp;D'!B26</f>
        <v>PAA</v>
      </c>
      <c r="D49" s="58">
        <f>'S&amp;D'!G26</f>
        <v>17.079999999999998</v>
      </c>
      <c r="E49" s="60">
        <f>+Earnings!I20</f>
        <v>2.25</v>
      </c>
      <c r="F49" s="68">
        <f t="shared" si="12"/>
        <v>7.5911111111111103</v>
      </c>
      <c r="G49" s="55">
        <f t="shared" si="13"/>
        <v>0.13173302107728338</v>
      </c>
    </row>
    <row r="50" spans="1:7" ht="17.25">
      <c r="A50" s="61" t="str">
        <f>+'S&amp;D'!A27</f>
        <v>Western Midstream Partners LP</v>
      </c>
      <c r="C50" s="90" t="str">
        <f>+'S&amp;D'!B27</f>
        <v>WES</v>
      </c>
      <c r="D50" s="58">
        <f>'S&amp;D'!G27</f>
        <v>38.43</v>
      </c>
      <c r="E50" s="60">
        <f>+Earnings!I21</f>
        <v>4.3</v>
      </c>
      <c r="F50" s="68">
        <f t="shared" si="12"/>
        <v>8.9372093023255825</v>
      </c>
      <c r="G50" s="55">
        <f t="shared" si="13"/>
        <v>0.11189175123601351</v>
      </c>
    </row>
    <row r="51" spans="1:7" ht="17.25" thickBot="1">
      <c r="A51" s="12"/>
      <c r="D51" s="69"/>
      <c r="E51" s="69"/>
      <c r="F51" s="69"/>
      <c r="G51" s="69"/>
    </row>
    <row r="52" spans="1:7" ht="17.25" thickTop="1">
      <c r="A52" s="12"/>
      <c r="D52" s="14" t="s">
        <v>45</v>
      </c>
      <c r="E52" s="70">
        <f>MAX(E45:E50)</f>
        <v>5.9</v>
      </c>
      <c r="F52" s="70">
        <f>MAX(F45:F50)</f>
        <v>9.2575000000000003</v>
      </c>
      <c r="G52" s="304">
        <f>MAX(G45:G50)</f>
        <v>0.13173302107728338</v>
      </c>
    </row>
    <row r="53" spans="1:7" ht="16.5">
      <c r="A53" s="12"/>
      <c r="D53" s="14" t="s">
        <v>46</v>
      </c>
      <c r="E53" s="339">
        <f t="shared" ref="E53:G53" si="14">MIN(E45:E50)</f>
        <v>2.15</v>
      </c>
      <c r="F53" s="339">
        <f t="shared" si="14"/>
        <v>7.5911111111111103</v>
      </c>
      <c r="G53" s="333">
        <f t="shared" si="14"/>
        <v>0.10802052389954091</v>
      </c>
    </row>
    <row r="54" spans="1:7" ht="16.5">
      <c r="A54" s="12"/>
      <c r="D54" s="14" t="s">
        <v>18</v>
      </c>
      <c r="E54" s="72">
        <f>MEDIAN(E45:E50)</f>
        <v>3.8</v>
      </c>
      <c r="F54" s="21">
        <f>MEDIAN(F45:F50)</f>
        <v>8.8241602067183464</v>
      </c>
      <c r="G54" s="55">
        <f>MEDIAN(G45:G50)</f>
        <v>0.11334383480168023</v>
      </c>
    </row>
    <row r="55" spans="1:7" ht="16.5">
      <c r="A55" s="12"/>
      <c r="D55" s="14" t="s">
        <v>392</v>
      </c>
      <c r="E55" s="17">
        <f>AVERAGE(E45:E50)</f>
        <v>3.6999999999999997</v>
      </c>
      <c r="F55" s="21">
        <f>AVERAGE(F45:F50)</f>
        <v>8.620070639717369</v>
      </c>
      <c r="G55" s="73">
        <f>AVERAGE(G45:G50)</f>
        <v>0.11657788487985661</v>
      </c>
    </row>
    <row r="56" spans="1:7" ht="16.5">
      <c r="A56" s="12"/>
      <c r="C56" s="12"/>
      <c r="D56" s="12"/>
      <c r="E56" s="12"/>
      <c r="F56" s="12"/>
      <c r="G56" s="12"/>
    </row>
    <row r="57" spans="1:7" ht="26.25">
      <c r="A57" s="12"/>
      <c r="C57" s="12"/>
      <c r="D57" s="12"/>
      <c r="E57" s="77" t="s">
        <v>74</v>
      </c>
      <c r="F57" s="307">
        <v>8.6199999999999992</v>
      </c>
      <c r="G57" s="305">
        <v>0.1166</v>
      </c>
    </row>
  </sheetData>
  <pageMargins left="0.25" right="0.25" top="0.75" bottom="0.75" header="0.3" footer="0.3"/>
  <pageSetup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4C78-2832-4744-9CC1-C220D4428439}">
  <sheetPr>
    <tabColor rgb="FF92D050"/>
    <pageSetUpPr fitToPage="1"/>
  </sheetPr>
  <dimension ref="A1:J84"/>
  <sheetViews>
    <sheetView view="pageBreakPreview" zoomScale="60" zoomScaleNormal="80" workbookViewId="0">
      <selection activeCell="E73" sqref="E73"/>
    </sheetView>
  </sheetViews>
  <sheetFormatPr defaultRowHeight="15"/>
  <cols>
    <col min="1" max="1" width="74.5703125" customWidth="1"/>
    <col min="2" max="2" width="21.71093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7109375" customWidth="1"/>
    <col min="9" max="9" width="13.85546875" customWidth="1"/>
    <col min="10" max="11" width="14.140625" bestFit="1" customWidth="1"/>
  </cols>
  <sheetData>
    <row r="1" spans="1:10" ht="26.25">
      <c r="A1" s="23" t="s">
        <v>1</v>
      </c>
      <c r="B1" s="23"/>
      <c r="C1" s="23"/>
      <c r="D1" s="12"/>
      <c r="E1" s="12"/>
      <c r="F1" s="12"/>
      <c r="G1" s="12"/>
      <c r="H1" s="12"/>
      <c r="I1" s="12"/>
      <c r="J1" s="12"/>
    </row>
    <row r="2" spans="1:10" ht="17.25">
      <c r="A2" s="24" t="s">
        <v>9</v>
      </c>
      <c r="B2" s="24"/>
      <c r="C2" s="24"/>
      <c r="D2" s="12"/>
      <c r="E2" s="12"/>
      <c r="F2" s="12"/>
      <c r="G2" s="12"/>
      <c r="H2" s="12"/>
      <c r="I2" s="12"/>
      <c r="J2" s="12"/>
    </row>
    <row r="3" spans="1:10" ht="16.5">
      <c r="A3" s="25" t="s">
        <v>429</v>
      </c>
      <c r="B3" s="25"/>
      <c r="C3" s="25"/>
      <c r="D3" s="12"/>
      <c r="E3" s="12"/>
      <c r="F3" s="12"/>
      <c r="G3" s="12"/>
      <c r="H3" s="12"/>
      <c r="I3" s="12"/>
      <c r="J3" s="12"/>
    </row>
    <row r="4" spans="1:10" ht="16.5">
      <c r="A4" s="25"/>
      <c r="B4" s="25"/>
      <c r="C4" s="25"/>
      <c r="D4" s="12"/>
      <c r="E4" s="12"/>
      <c r="F4" s="12"/>
      <c r="G4" s="12"/>
      <c r="H4" s="12"/>
      <c r="I4" s="12"/>
      <c r="J4" s="12"/>
    </row>
    <row r="5" spans="1:10" ht="17.25" thickBot="1">
      <c r="A5" s="12"/>
      <c r="B5" s="12"/>
      <c r="C5" s="12"/>
      <c r="D5" s="12"/>
      <c r="E5" s="12"/>
      <c r="F5" s="12"/>
      <c r="G5" s="12"/>
      <c r="H5" s="26" t="s">
        <v>0</v>
      </c>
      <c r="I5" s="26"/>
      <c r="J5" s="12"/>
    </row>
    <row r="6" spans="1:10" ht="21" thickBot="1">
      <c r="A6" s="27" t="str">
        <f>+'S&amp;D'!A12</f>
        <v>Liquid Transportation Pipeline Carriers</v>
      </c>
      <c r="B6" s="12"/>
      <c r="C6" s="12"/>
      <c r="D6" s="28"/>
      <c r="E6" s="28"/>
      <c r="F6" s="28"/>
      <c r="G6" s="12"/>
      <c r="H6" s="12"/>
      <c r="I6" s="12"/>
      <c r="J6" s="12"/>
    </row>
    <row r="7" spans="1:10" ht="26.25">
      <c r="B7" s="30"/>
      <c r="C7" s="30"/>
      <c r="D7" s="12"/>
      <c r="E7" s="31" t="s">
        <v>197</v>
      </c>
      <c r="F7" s="12"/>
      <c r="G7" s="12"/>
      <c r="H7" s="12"/>
      <c r="I7" s="12"/>
      <c r="J7" s="12"/>
    </row>
    <row r="8" spans="1:10" ht="21" thickBot="1">
      <c r="A8" s="30"/>
      <c r="B8" s="30"/>
      <c r="C8" s="30"/>
      <c r="D8" s="28"/>
      <c r="E8" s="152" t="s">
        <v>430</v>
      </c>
      <c r="F8" s="28" t="s">
        <v>0</v>
      </c>
      <c r="G8" s="12"/>
      <c r="H8" s="12"/>
      <c r="I8" s="12"/>
      <c r="J8" s="12"/>
    </row>
    <row r="9" spans="1:10" ht="20.25">
      <c r="A9" s="30"/>
      <c r="B9" s="30"/>
      <c r="D9" s="12"/>
      <c r="E9" s="34" t="s">
        <v>0</v>
      </c>
      <c r="F9" s="12"/>
      <c r="G9" s="12"/>
      <c r="H9" s="12"/>
      <c r="I9" s="12"/>
      <c r="J9" s="12"/>
    </row>
    <row r="10" spans="1:10" ht="30" customHeight="1" thickBot="1">
      <c r="A10" s="30"/>
      <c r="B10" s="30"/>
      <c r="C10" t="s">
        <v>0</v>
      </c>
      <c r="H10" s="12"/>
      <c r="I10" s="12"/>
      <c r="J10" s="12"/>
    </row>
    <row r="11" spans="1:10" ht="26.25" customHeight="1" thickBot="1">
      <c r="A11" s="160" t="s">
        <v>212</v>
      </c>
      <c r="B11" s="12" t="s">
        <v>0</v>
      </c>
      <c r="C11" s="12"/>
      <c r="D11" s="12"/>
      <c r="E11" s="12"/>
      <c r="F11" s="12"/>
      <c r="G11" s="12"/>
      <c r="H11" s="12"/>
      <c r="I11" s="12"/>
      <c r="J11" s="12"/>
    </row>
    <row r="12" spans="1:10" ht="42" customHeight="1" thickBot="1">
      <c r="A12" s="159" t="s">
        <v>210</v>
      </c>
      <c r="B12" s="158" t="s">
        <v>201</v>
      </c>
      <c r="C12" s="157" t="s">
        <v>213</v>
      </c>
      <c r="D12" s="158" t="s">
        <v>203</v>
      </c>
      <c r="E12" s="158" t="s">
        <v>386</v>
      </c>
      <c r="F12" s="156" t="s">
        <v>202</v>
      </c>
      <c r="G12" s="12"/>
      <c r="H12" s="12"/>
      <c r="I12" s="12"/>
      <c r="J12" s="12"/>
    </row>
    <row r="13" spans="1:10" ht="16.5">
      <c r="A13" s="153"/>
      <c r="B13" s="113"/>
      <c r="C13" s="113"/>
      <c r="D13" s="113"/>
      <c r="E13" s="113"/>
      <c r="F13" s="154"/>
      <c r="G13" s="12"/>
      <c r="H13" s="12"/>
      <c r="I13" s="12"/>
      <c r="J13" s="12"/>
    </row>
    <row r="14" spans="1:10" ht="17.25">
      <c r="A14" s="185" t="s">
        <v>496</v>
      </c>
      <c r="B14" s="198">
        <v>2.3300000000000001E-2</v>
      </c>
      <c r="C14" s="195">
        <f>+'Beta for CAPM'!H29</f>
        <v>1.1000000000000001</v>
      </c>
      <c r="D14" s="186">
        <f>+B14*C14</f>
        <v>2.5630000000000003E-2</v>
      </c>
      <c r="E14" s="186">
        <f>+'Growth &amp; Inflation Rates '!$G$25</f>
        <v>4.8599999999999997E-2</v>
      </c>
      <c r="F14" s="187">
        <f>+D14+E14</f>
        <v>7.4230000000000004E-2</v>
      </c>
      <c r="G14" s="12"/>
      <c r="H14" s="12"/>
      <c r="I14" s="12"/>
      <c r="J14" s="12"/>
    </row>
    <row r="15" spans="1:10" ht="17.25">
      <c r="A15" s="185" t="s">
        <v>497</v>
      </c>
      <c r="B15" s="198">
        <v>3.04E-2</v>
      </c>
      <c r="C15" s="195">
        <f>+C14</f>
        <v>1.1000000000000001</v>
      </c>
      <c r="D15" s="186">
        <f>+B15*C15</f>
        <v>3.3440000000000004E-2</v>
      </c>
      <c r="E15" s="186">
        <f>+'Growth &amp; Inflation Rates '!$G$25</f>
        <v>4.8599999999999997E-2</v>
      </c>
      <c r="F15" s="187">
        <f>+D15+E15</f>
        <v>8.2040000000000002E-2</v>
      </c>
      <c r="G15" s="12"/>
      <c r="H15" s="12"/>
      <c r="I15" s="12"/>
      <c r="J15" s="12"/>
    </row>
    <row r="16" spans="1:10" ht="17.25">
      <c r="A16" s="188"/>
      <c r="B16" s="107"/>
      <c r="C16" s="107"/>
      <c r="D16" s="107"/>
      <c r="E16" s="107"/>
      <c r="F16" s="189"/>
      <c r="G16" s="12"/>
      <c r="H16" s="12"/>
      <c r="I16" s="12"/>
      <c r="J16" s="12"/>
    </row>
    <row r="17" spans="1:10" ht="17.25">
      <c r="A17" s="185" t="s">
        <v>398</v>
      </c>
      <c r="B17" s="198">
        <v>4.3299999999999998E-2</v>
      </c>
      <c r="C17" s="195">
        <f>+C14</f>
        <v>1.1000000000000001</v>
      </c>
      <c r="D17" s="186">
        <f>+B17*C17</f>
        <v>4.7629999999999999E-2</v>
      </c>
      <c r="E17" s="186">
        <f>+'Growth &amp; Inflation Rates '!$G$25</f>
        <v>4.8599999999999997E-2</v>
      </c>
      <c r="F17" s="187">
        <f>+D17+E17</f>
        <v>9.6229999999999996E-2</v>
      </c>
      <c r="G17" s="12"/>
      <c r="H17" s="12"/>
      <c r="I17" s="12"/>
      <c r="J17" s="12"/>
    </row>
    <row r="18" spans="1:10" ht="17.25">
      <c r="A18" s="185" t="s">
        <v>416</v>
      </c>
      <c r="B18" s="198">
        <v>6.1499999999999999E-2</v>
      </c>
      <c r="C18" s="195">
        <f>+C14</f>
        <v>1.1000000000000001</v>
      </c>
      <c r="D18" s="186">
        <f>+B18*C18</f>
        <v>6.7650000000000002E-2</v>
      </c>
      <c r="E18" s="186">
        <f>+'Growth &amp; Inflation Rates '!$G$25</f>
        <v>4.8599999999999997E-2</v>
      </c>
      <c r="F18" s="187">
        <f>+D18+E18</f>
        <v>0.11624999999999999</v>
      </c>
      <c r="G18" s="12"/>
      <c r="H18" s="12"/>
      <c r="I18" s="12"/>
      <c r="J18" s="12"/>
    </row>
    <row r="19" spans="1:10" ht="17.25">
      <c r="A19" s="185" t="s">
        <v>399</v>
      </c>
      <c r="B19" s="198">
        <v>4.1500000000000002E-2</v>
      </c>
      <c r="C19" s="195">
        <f>+C14</f>
        <v>1.1000000000000001</v>
      </c>
      <c r="D19" s="186">
        <f t="shared" ref="D19:D20" si="0">+B19*C19</f>
        <v>4.5650000000000003E-2</v>
      </c>
      <c r="E19" s="186">
        <f>+'Growth &amp; Inflation Rates '!$G$25</f>
        <v>4.8599999999999997E-2</v>
      </c>
      <c r="F19" s="187">
        <f t="shared" ref="F19:F20" si="1">+D19+E19</f>
        <v>9.425E-2</v>
      </c>
      <c r="G19" s="12"/>
      <c r="H19" s="12"/>
      <c r="I19" s="12"/>
      <c r="J19" s="12"/>
    </row>
    <row r="20" spans="1:10" ht="17.25">
      <c r="A20" s="185" t="s">
        <v>400</v>
      </c>
      <c r="B20" s="198">
        <v>3.8100000000000002E-2</v>
      </c>
      <c r="C20" s="195">
        <f>+C14</f>
        <v>1.1000000000000001</v>
      </c>
      <c r="D20" s="186">
        <f t="shared" si="0"/>
        <v>4.1910000000000003E-2</v>
      </c>
      <c r="E20" s="186">
        <f>+'Growth &amp; Inflation Rates '!$G$25</f>
        <v>4.8599999999999997E-2</v>
      </c>
      <c r="F20" s="187">
        <f t="shared" si="1"/>
        <v>9.0510000000000007E-2</v>
      </c>
      <c r="G20" s="12"/>
      <c r="H20" s="12"/>
      <c r="I20" s="12"/>
      <c r="J20" s="12"/>
    </row>
    <row r="21" spans="1:10" ht="17.25">
      <c r="A21" s="185" t="s">
        <v>0</v>
      </c>
      <c r="B21" s="198"/>
      <c r="C21" s="196" t="s">
        <v>0</v>
      </c>
      <c r="D21" s="186" t="s">
        <v>0</v>
      </c>
      <c r="E21" s="186" t="s">
        <v>0</v>
      </c>
      <c r="F21" s="187" t="s">
        <v>0</v>
      </c>
      <c r="G21" s="12"/>
      <c r="H21" s="12"/>
      <c r="I21" s="12"/>
      <c r="J21" s="12"/>
    </row>
    <row r="22" spans="1:10" ht="17.25">
      <c r="A22" s="185" t="s">
        <v>206</v>
      </c>
      <c r="B22" s="198">
        <v>5.3900000000000003E-2</v>
      </c>
      <c r="C22" s="195">
        <f>+C14</f>
        <v>1.1000000000000001</v>
      </c>
      <c r="D22" s="186">
        <f>+B22*C22</f>
        <v>5.9290000000000009E-2</v>
      </c>
      <c r="E22" s="186">
        <f>+'Growth &amp; Inflation Rates '!$G$25</f>
        <v>4.8599999999999997E-2</v>
      </c>
      <c r="F22" s="187">
        <f>+D22+E22</f>
        <v>0.10789000000000001</v>
      </c>
      <c r="G22" s="12"/>
      <c r="H22" s="12"/>
      <c r="I22" s="12"/>
      <c r="J22" s="12"/>
    </row>
    <row r="23" spans="1:10" ht="17.25">
      <c r="A23" s="185" t="s">
        <v>0</v>
      </c>
      <c r="B23" s="198"/>
      <c r="C23" s="196" t="s">
        <v>0</v>
      </c>
      <c r="D23" s="186" t="s">
        <v>0</v>
      </c>
      <c r="E23" s="186" t="s">
        <v>0</v>
      </c>
      <c r="F23" s="187" t="s">
        <v>0</v>
      </c>
      <c r="G23" s="12"/>
      <c r="H23" s="12"/>
      <c r="I23" s="12"/>
      <c r="J23" s="12"/>
    </row>
    <row r="24" spans="1:10" ht="17.25">
      <c r="A24" s="185" t="s">
        <v>417</v>
      </c>
      <c r="B24" s="198">
        <v>5.5E-2</v>
      </c>
      <c r="C24" s="195">
        <f>+C14</f>
        <v>1.1000000000000001</v>
      </c>
      <c r="D24" s="186">
        <f>+B24*C24</f>
        <v>6.0500000000000005E-2</v>
      </c>
      <c r="E24" s="186">
        <f>+'Growth &amp; Inflation Rates '!$G$25</f>
        <v>4.8599999999999997E-2</v>
      </c>
      <c r="F24" s="187">
        <f>+D24+E24</f>
        <v>0.1091</v>
      </c>
      <c r="G24" s="12"/>
      <c r="H24" s="12"/>
      <c r="I24" s="12"/>
      <c r="J24" s="12"/>
    </row>
    <row r="25" spans="1:10" ht="17.25">
      <c r="A25" s="185" t="s">
        <v>0</v>
      </c>
      <c r="B25" s="198"/>
      <c r="C25" s="196" t="s">
        <v>0</v>
      </c>
      <c r="D25" s="186" t="s">
        <v>0</v>
      </c>
      <c r="E25" s="186" t="s">
        <v>0</v>
      </c>
      <c r="F25" s="187" t="s">
        <v>0</v>
      </c>
      <c r="G25" s="12"/>
      <c r="H25" s="12"/>
      <c r="I25" s="12"/>
      <c r="J25" s="12"/>
    </row>
    <row r="26" spans="1:10" ht="17.25">
      <c r="A26" s="185" t="s">
        <v>207</v>
      </c>
      <c r="B26" s="198">
        <v>6.7100000000000007E-2</v>
      </c>
      <c r="C26" s="195">
        <f>+C14</f>
        <v>1.1000000000000001</v>
      </c>
      <c r="D26" s="186">
        <f>+B26*C26</f>
        <v>7.3810000000000014E-2</v>
      </c>
      <c r="E26" s="186">
        <f>+'Growth &amp; Inflation Rates '!$G$25</f>
        <v>4.8599999999999997E-2</v>
      </c>
      <c r="F26" s="187">
        <f>+D26+E26</f>
        <v>0.12241000000000002</v>
      </c>
      <c r="G26" s="12"/>
      <c r="H26" s="12"/>
      <c r="I26" s="12"/>
      <c r="J26" s="12"/>
    </row>
    <row r="27" spans="1:10" ht="17.25">
      <c r="A27" s="185" t="s">
        <v>208</v>
      </c>
      <c r="B27" s="198">
        <v>5.4600000000000003E-2</v>
      </c>
      <c r="C27" s="195">
        <f>+C14</f>
        <v>1.1000000000000001</v>
      </c>
      <c r="D27" s="186">
        <f>+B27*C27</f>
        <v>6.0060000000000009E-2</v>
      </c>
      <c r="E27" s="186">
        <f>+'Growth &amp; Inflation Rates '!$G$25</f>
        <v>4.8599999999999997E-2</v>
      </c>
      <c r="F27" s="187">
        <f>+D27+E27</f>
        <v>0.10866000000000001</v>
      </c>
      <c r="G27" s="12"/>
      <c r="H27" s="12"/>
      <c r="I27" s="12"/>
      <c r="J27" s="12"/>
    </row>
    <row r="28" spans="1:10" ht="17.25">
      <c r="A28" s="185"/>
      <c r="B28" s="198"/>
      <c r="C28" s="195"/>
      <c r="D28" s="186"/>
      <c r="E28" s="186"/>
      <c r="F28" s="187"/>
      <c r="G28" s="12"/>
      <c r="H28" s="12"/>
      <c r="I28" s="12"/>
      <c r="J28" s="12"/>
    </row>
    <row r="29" spans="1:10" ht="17.25">
      <c r="A29" s="185" t="s">
        <v>401</v>
      </c>
      <c r="B29" s="198">
        <v>7.3099999999999998E-2</v>
      </c>
      <c r="C29" s="195">
        <f>+C14</f>
        <v>1.1000000000000001</v>
      </c>
      <c r="D29" s="186">
        <f>+B29*C29</f>
        <v>8.0410000000000009E-2</v>
      </c>
      <c r="E29" s="186">
        <f>+'Growth &amp; Inflation Rates '!$G$25</f>
        <v>4.8599999999999997E-2</v>
      </c>
      <c r="F29" s="187">
        <f>+D29+E29</f>
        <v>0.12901000000000001</v>
      </c>
      <c r="G29" s="12"/>
      <c r="H29" s="12"/>
      <c r="I29" s="12"/>
      <c r="J29" s="12"/>
    </row>
    <row r="30" spans="1:10" ht="17.25">
      <c r="A30" s="185" t="s">
        <v>402</v>
      </c>
      <c r="B30" s="198">
        <v>6.2600000000000003E-2</v>
      </c>
      <c r="C30" s="195">
        <f>+C15</f>
        <v>1.1000000000000001</v>
      </c>
      <c r="D30" s="186">
        <f>+B30*C30</f>
        <v>6.8860000000000005E-2</v>
      </c>
      <c r="E30" s="186">
        <f>+'Growth &amp; Inflation Rates '!$G$25</f>
        <v>4.8599999999999997E-2</v>
      </c>
      <c r="F30" s="187">
        <f>+D30+E30</f>
        <v>0.11746000000000001</v>
      </c>
      <c r="G30" s="12"/>
      <c r="H30" s="12"/>
      <c r="I30" s="12"/>
      <c r="J30" s="12"/>
    </row>
    <row r="31" spans="1:10" ht="17.25">
      <c r="A31" s="185" t="s">
        <v>403</v>
      </c>
      <c r="B31" s="198">
        <v>0.05</v>
      </c>
      <c r="C31" s="195">
        <f>+C14</f>
        <v>1.1000000000000001</v>
      </c>
      <c r="D31" s="186">
        <f>+B31*C31</f>
        <v>5.5000000000000007E-2</v>
      </c>
      <c r="E31" s="186">
        <f>+'Growth &amp; Inflation Rates '!$G$25</f>
        <v>4.8599999999999997E-2</v>
      </c>
      <c r="F31" s="187">
        <f>+D31+E31</f>
        <v>0.1036</v>
      </c>
      <c r="G31" s="12"/>
      <c r="H31" s="12"/>
      <c r="I31" s="12"/>
      <c r="J31" s="12"/>
    </row>
    <row r="32" spans="1:10" ht="17.25">
      <c r="A32" s="185"/>
      <c r="B32" s="198"/>
      <c r="C32" s="195"/>
      <c r="D32" s="186"/>
      <c r="E32" s="186"/>
      <c r="F32" s="187"/>
      <c r="G32" s="12"/>
      <c r="H32" s="12"/>
      <c r="I32" s="12"/>
      <c r="J32" s="12"/>
    </row>
    <row r="33" spans="1:10" ht="17.25">
      <c r="A33" s="396" t="s">
        <v>0</v>
      </c>
      <c r="B33" s="390" t="s">
        <v>0</v>
      </c>
      <c r="C33" s="195" t="s">
        <v>0</v>
      </c>
      <c r="D33" s="186" t="s">
        <v>0</v>
      </c>
      <c r="E33" s="186" t="s">
        <v>0</v>
      </c>
      <c r="F33" s="187" t="s">
        <v>0</v>
      </c>
      <c r="G33" s="12" t="s">
        <v>0</v>
      </c>
      <c r="H33" s="12"/>
      <c r="I33" s="12"/>
      <c r="J33" s="12"/>
    </row>
    <row r="34" spans="1:10" ht="17.25" thickBot="1">
      <c r="A34" s="383"/>
      <c r="B34" s="28"/>
      <c r="C34" s="28"/>
      <c r="D34" s="28"/>
      <c r="E34" s="28"/>
      <c r="F34" s="384"/>
      <c r="G34" s="12"/>
      <c r="H34" s="12"/>
      <c r="I34" s="12"/>
      <c r="J34" s="12"/>
    </row>
    <row r="35" spans="1:10" ht="16.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27" customHeight="1" thickBot="1">
      <c r="A36" s="12"/>
      <c r="B36" s="12"/>
      <c r="C36" s="12"/>
      <c r="D36" s="12"/>
      <c r="E36" s="12"/>
      <c r="F36" s="12"/>
      <c r="G36" s="12" t="s">
        <v>0</v>
      </c>
      <c r="H36" s="12"/>
      <c r="I36" s="12"/>
      <c r="J36" s="12"/>
    </row>
    <row r="37" spans="1:10" ht="18" thickBot="1">
      <c r="A37" s="160" t="s">
        <v>211</v>
      </c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41.25" thickBot="1">
      <c r="A38" s="159" t="s">
        <v>209</v>
      </c>
      <c r="B38" s="158" t="s">
        <v>201</v>
      </c>
      <c r="C38" s="157" t="s">
        <v>213</v>
      </c>
      <c r="D38" s="158" t="s">
        <v>204</v>
      </c>
      <c r="E38" s="158" t="s">
        <v>205</v>
      </c>
      <c r="F38" s="158" t="s">
        <v>386</v>
      </c>
      <c r="G38" s="156" t="s">
        <v>202</v>
      </c>
      <c r="H38" s="12"/>
      <c r="I38" s="12"/>
      <c r="J38" s="12"/>
    </row>
    <row r="39" spans="1:10" ht="16.5">
      <c r="A39" s="153"/>
      <c r="B39" s="113"/>
      <c r="C39" s="113"/>
      <c r="D39" s="113"/>
      <c r="E39" s="113"/>
      <c r="F39" s="113"/>
      <c r="G39" s="154"/>
      <c r="H39" s="12"/>
      <c r="I39" s="12"/>
      <c r="J39" s="12"/>
    </row>
    <row r="40" spans="1:10" ht="17.25">
      <c r="A40" s="185" t="s">
        <v>496</v>
      </c>
      <c r="B40" s="198">
        <f>+B14</f>
        <v>2.3300000000000001E-2</v>
      </c>
      <c r="C40" s="194">
        <f>+C14</f>
        <v>1.1000000000000001</v>
      </c>
      <c r="D40" s="186">
        <f>+B40*C40*0.75</f>
        <v>1.9222500000000003E-2</v>
      </c>
      <c r="E40" s="198">
        <f>+B40*0.25</f>
        <v>5.8250000000000003E-3</v>
      </c>
      <c r="F40" s="186">
        <f>+'Growth &amp; Inflation Rates '!$G$25</f>
        <v>4.8599999999999997E-2</v>
      </c>
      <c r="G40" s="187">
        <f>+D40+E40+F40</f>
        <v>7.3647500000000005E-2</v>
      </c>
      <c r="H40" s="12"/>
      <c r="I40" s="12"/>
      <c r="J40" s="12"/>
    </row>
    <row r="41" spans="1:10" ht="17.25">
      <c r="A41" s="185" t="s">
        <v>497</v>
      </c>
      <c r="B41" s="198">
        <f>+B15</f>
        <v>3.04E-2</v>
      </c>
      <c r="C41" s="194">
        <f>+C15</f>
        <v>1.1000000000000001</v>
      </c>
      <c r="D41" s="186">
        <f>+B41*C41*0.75</f>
        <v>2.5080000000000005E-2</v>
      </c>
      <c r="E41" s="198">
        <f>+B41*0.25</f>
        <v>7.6E-3</v>
      </c>
      <c r="F41" s="186">
        <f>+'Growth &amp; Inflation Rates '!$G$25</f>
        <v>4.8599999999999997E-2</v>
      </c>
      <c r="G41" s="187">
        <f>+D41+E41+F41</f>
        <v>8.1280000000000005E-2</v>
      </c>
      <c r="H41" s="12"/>
      <c r="I41" s="12"/>
      <c r="J41" s="12"/>
    </row>
    <row r="42" spans="1:10" ht="17.25">
      <c r="A42" s="188"/>
      <c r="B42" s="107"/>
      <c r="C42" s="107"/>
      <c r="D42" s="107"/>
      <c r="E42" s="107"/>
      <c r="F42" s="107"/>
      <c r="G42" s="189"/>
      <c r="H42" s="12"/>
      <c r="I42" s="12"/>
      <c r="J42" s="12"/>
    </row>
    <row r="43" spans="1:10" ht="17.25">
      <c r="A43" s="185" t="str">
        <f t="shared" ref="A43:C44" si="2">+A17</f>
        <v>Damodaran Implied ERP Ex Ante   Trailing 12 mo Cash Yield (3)</v>
      </c>
      <c r="B43" s="198">
        <f t="shared" si="2"/>
        <v>4.3299999999999998E-2</v>
      </c>
      <c r="C43" s="194">
        <f t="shared" si="2"/>
        <v>1.1000000000000001</v>
      </c>
      <c r="D43" s="186">
        <f>+B43*C43*0.75</f>
        <v>3.5722499999999997E-2</v>
      </c>
      <c r="E43" s="198">
        <f>+B43*0.25</f>
        <v>1.0825E-2</v>
      </c>
      <c r="F43" s="186">
        <f>+'Growth &amp; Inflation Rates '!$G$25</f>
        <v>4.8599999999999997E-2</v>
      </c>
      <c r="G43" s="187">
        <f>+D43+E43+F43</f>
        <v>9.5147499999999996E-2</v>
      </c>
      <c r="H43" s="12"/>
      <c r="I43" s="12"/>
      <c r="J43" s="12"/>
    </row>
    <row r="44" spans="1:10" ht="17.25">
      <c r="A44" s="185" t="str">
        <f t="shared" ref="A44:B46" si="3">+A18</f>
        <v>Damodaran Implied ERP Ex Ante   Avg CF Yield Last 10 Yrs (3)</v>
      </c>
      <c r="B44" s="198">
        <f t="shared" si="3"/>
        <v>6.1499999999999999E-2</v>
      </c>
      <c r="C44" s="194">
        <f t="shared" si="2"/>
        <v>1.1000000000000001</v>
      </c>
      <c r="D44" s="186">
        <f>+B44*C44*0.75</f>
        <v>5.0737500000000005E-2</v>
      </c>
      <c r="E44" s="198">
        <f>+B44*0.25</f>
        <v>1.5375E-2</v>
      </c>
      <c r="F44" s="186">
        <f>+'Growth &amp; Inflation Rates '!$G$25</f>
        <v>4.8599999999999997E-2</v>
      </c>
      <c r="G44" s="187">
        <f>+D44+E44+F44</f>
        <v>0.1147125</v>
      </c>
      <c r="H44" s="12"/>
      <c r="I44" s="12"/>
      <c r="J44" s="12"/>
    </row>
    <row r="45" spans="1:10" ht="17.25">
      <c r="A45" s="185" t="str">
        <f t="shared" si="3"/>
        <v>Damodaran Implied ERP Ex Ante   Net Cash Yield (3)</v>
      </c>
      <c r="B45" s="198">
        <f t="shared" si="3"/>
        <v>4.1500000000000002E-2</v>
      </c>
      <c r="C45" s="194">
        <f>+C19</f>
        <v>1.1000000000000001</v>
      </c>
      <c r="D45" s="186">
        <f>+B45*C45*0.75</f>
        <v>3.4237500000000004E-2</v>
      </c>
      <c r="E45" s="198">
        <f>+B45*0.25</f>
        <v>1.0375000000000001E-2</v>
      </c>
      <c r="F45" s="186">
        <f>+'Growth &amp; Inflation Rates '!$G$25</f>
        <v>4.8599999999999997E-2</v>
      </c>
      <c r="G45" s="187">
        <f>+D45+E45+F45</f>
        <v>9.3212500000000004E-2</v>
      </c>
      <c r="H45" s="12"/>
      <c r="I45" s="12"/>
      <c r="J45" s="12"/>
    </row>
    <row r="46" spans="1:10" ht="17.25">
      <c r="A46" s="185" t="str">
        <f t="shared" si="3"/>
        <v>Damodaran Implied ERP Ex Ante   Norm. Earnings &amp; Payout (3)</v>
      </c>
      <c r="B46" s="198">
        <f t="shared" si="3"/>
        <v>3.8100000000000002E-2</v>
      </c>
      <c r="C46" s="194">
        <f>+C20</f>
        <v>1.1000000000000001</v>
      </c>
      <c r="D46" s="186">
        <f>+B46*C46*0.75</f>
        <v>3.1432500000000002E-2</v>
      </c>
      <c r="E46" s="198">
        <f>+B46*0.25</f>
        <v>9.5250000000000005E-3</v>
      </c>
      <c r="F46" s="186">
        <f>+'Growth &amp; Inflation Rates '!$G$25</f>
        <v>4.8599999999999997E-2</v>
      </c>
      <c r="G46" s="187">
        <f>+D46+E46+F46</f>
        <v>8.9557499999999998E-2</v>
      </c>
      <c r="H46" s="12"/>
      <c r="I46" s="12"/>
      <c r="J46" s="12"/>
    </row>
    <row r="47" spans="1:10" ht="17.25">
      <c r="A47" s="185" t="s">
        <v>0</v>
      </c>
      <c r="B47" s="198" t="s">
        <v>0</v>
      </c>
      <c r="C47" s="186" t="s">
        <v>0</v>
      </c>
      <c r="D47" s="186" t="s">
        <v>0</v>
      </c>
      <c r="E47" s="198" t="s">
        <v>0</v>
      </c>
      <c r="F47" s="186" t="s">
        <v>0</v>
      </c>
      <c r="G47" s="187" t="s">
        <v>0</v>
      </c>
      <c r="H47" s="12"/>
      <c r="I47" s="12"/>
      <c r="J47" s="12"/>
    </row>
    <row r="48" spans="1:10" ht="17.25">
      <c r="A48" s="185" t="s">
        <v>206</v>
      </c>
      <c r="B48" s="198">
        <f>+B22</f>
        <v>5.3900000000000003E-2</v>
      </c>
      <c r="C48" s="194">
        <f>+C22</f>
        <v>1.1000000000000001</v>
      </c>
      <c r="D48" s="186">
        <f>+B48*C48*0.75</f>
        <v>4.4467500000000007E-2</v>
      </c>
      <c r="E48" s="198">
        <f>+B48*0.25</f>
        <v>1.3475000000000001E-2</v>
      </c>
      <c r="F48" s="186">
        <f>+'Growth &amp; Inflation Rates '!$G$25</f>
        <v>4.8599999999999997E-2</v>
      </c>
      <c r="G48" s="187">
        <f>+D48+E48+F48</f>
        <v>0.10654250000000001</v>
      </c>
    </row>
    <row r="49" spans="1:7" ht="17.25">
      <c r="A49" s="185" t="s">
        <v>0</v>
      </c>
      <c r="B49" s="198" t="s">
        <v>0</v>
      </c>
      <c r="C49" s="186" t="s">
        <v>0</v>
      </c>
      <c r="D49" s="186" t="s">
        <v>0</v>
      </c>
      <c r="E49" s="198" t="s">
        <v>0</v>
      </c>
      <c r="F49" s="186" t="s">
        <v>0</v>
      </c>
      <c r="G49" s="187" t="s">
        <v>0</v>
      </c>
    </row>
    <row r="50" spans="1:7" ht="17.25">
      <c r="A50" s="185" t="s">
        <v>417</v>
      </c>
      <c r="B50" s="198">
        <f>+B24</f>
        <v>5.5E-2</v>
      </c>
      <c r="C50" s="194">
        <f>+C24</f>
        <v>1.1000000000000001</v>
      </c>
      <c r="D50" s="186">
        <f>+B50*C50*0.75</f>
        <v>4.5375000000000006E-2</v>
      </c>
      <c r="E50" s="198">
        <f>+B50*0.25</f>
        <v>1.375E-2</v>
      </c>
      <c r="F50" s="186">
        <f>+'Growth &amp; Inflation Rates '!$G$25</f>
        <v>4.8599999999999997E-2</v>
      </c>
      <c r="G50" s="187">
        <f>+D50+E50+F50</f>
        <v>0.107725</v>
      </c>
    </row>
    <row r="51" spans="1:7" ht="17.25">
      <c r="A51" s="185" t="s">
        <v>0</v>
      </c>
      <c r="B51" s="198" t="s">
        <v>0</v>
      </c>
      <c r="C51" s="186" t="s">
        <v>0</v>
      </c>
      <c r="D51" s="186" t="s">
        <v>0</v>
      </c>
      <c r="E51" s="198" t="s">
        <v>0</v>
      </c>
      <c r="F51" s="186" t="s">
        <v>0</v>
      </c>
      <c r="G51" s="187" t="s">
        <v>0</v>
      </c>
    </row>
    <row r="52" spans="1:7" ht="17.25">
      <c r="A52" s="185" t="s">
        <v>207</v>
      </c>
      <c r="B52" s="198">
        <f>+B26</f>
        <v>6.7100000000000007E-2</v>
      </c>
      <c r="C52" s="194">
        <f>+C26</f>
        <v>1.1000000000000001</v>
      </c>
      <c r="D52" s="186">
        <f>+B52*C52*0.75</f>
        <v>5.5357500000000011E-2</v>
      </c>
      <c r="E52" s="198">
        <f>+B52*0.25</f>
        <v>1.6775000000000002E-2</v>
      </c>
      <c r="F52" s="186">
        <f>+'Growth &amp; Inflation Rates '!$G$25</f>
        <v>4.8599999999999997E-2</v>
      </c>
      <c r="G52" s="187">
        <f>+D52+E52+F52</f>
        <v>0.12073250000000002</v>
      </c>
    </row>
    <row r="53" spans="1:7" ht="17.25">
      <c r="A53" s="185" t="s">
        <v>208</v>
      </c>
      <c r="B53" s="198">
        <f>+B27</f>
        <v>5.4600000000000003E-2</v>
      </c>
      <c r="C53" s="194">
        <f>+C27</f>
        <v>1.1000000000000001</v>
      </c>
      <c r="D53" s="186">
        <f>+B53*C53*0.75</f>
        <v>4.5045000000000009E-2</v>
      </c>
      <c r="E53" s="198">
        <f>+B53*0.25</f>
        <v>1.3650000000000001E-2</v>
      </c>
      <c r="F53" s="186">
        <f>+'Growth &amp; Inflation Rates '!$G$25</f>
        <v>4.8599999999999997E-2</v>
      </c>
      <c r="G53" s="187">
        <f>+D53+E53+F53</f>
        <v>0.107295</v>
      </c>
    </row>
    <row r="54" spans="1:7" ht="17.25">
      <c r="A54" s="185"/>
      <c r="B54" s="198"/>
      <c r="C54" s="194"/>
      <c r="D54" s="186"/>
      <c r="E54" s="198"/>
      <c r="F54" s="186"/>
      <c r="G54" s="187"/>
    </row>
    <row r="55" spans="1:7" ht="17.25">
      <c r="A55" s="185" t="str">
        <f t="shared" ref="A55:C56" si="4">+A29</f>
        <v>KROLL Ex Post  - ERP Historical (8)</v>
      </c>
      <c r="B55" s="198">
        <f t="shared" si="4"/>
        <v>7.3099999999999998E-2</v>
      </c>
      <c r="C55" s="194">
        <f t="shared" si="4"/>
        <v>1.1000000000000001</v>
      </c>
      <c r="D55" s="186">
        <f>+B55*C55*0.75</f>
        <v>6.0307500000000007E-2</v>
      </c>
      <c r="E55" s="198">
        <f>+B55*0.25</f>
        <v>1.8275E-2</v>
      </c>
      <c r="F55" s="186">
        <f>+'Growth &amp; Inflation Rates '!$G$25</f>
        <v>4.8599999999999997E-2</v>
      </c>
      <c r="G55" s="187">
        <f>+D55+E55+F55</f>
        <v>0.1271825</v>
      </c>
    </row>
    <row r="56" spans="1:7" ht="17.25">
      <c r="A56" s="185" t="str">
        <f t="shared" si="4"/>
        <v>KROLL Ex Post - ERP Supply Side (8)</v>
      </c>
      <c r="B56" s="198">
        <f t="shared" si="4"/>
        <v>6.2600000000000003E-2</v>
      </c>
      <c r="C56" s="194">
        <f t="shared" si="4"/>
        <v>1.1000000000000001</v>
      </c>
      <c r="D56" s="186">
        <f>+B56*C56*0.75</f>
        <v>5.1645000000000003E-2</v>
      </c>
      <c r="E56" s="198">
        <f>+B56*0.25</f>
        <v>1.5650000000000001E-2</v>
      </c>
      <c r="F56" s="186">
        <f>+'Growth &amp; Inflation Rates '!$G$25</f>
        <v>4.8599999999999997E-2</v>
      </c>
      <c r="G56" s="187">
        <f>+D56+E56+F56</f>
        <v>0.115895</v>
      </c>
    </row>
    <row r="57" spans="1:7" ht="17.25">
      <c r="A57" s="185" t="str">
        <f>+A31</f>
        <v>KROLL Ex Ante - ERP Conditional (8)</v>
      </c>
      <c r="B57" s="198">
        <f>+B31</f>
        <v>0.05</v>
      </c>
      <c r="C57" s="194">
        <f>+C27</f>
        <v>1.1000000000000001</v>
      </c>
      <c r="D57" s="186">
        <f>+B57*C57*0.75</f>
        <v>4.1250000000000009E-2</v>
      </c>
      <c r="E57" s="198">
        <f>+B57*0.25</f>
        <v>1.2500000000000001E-2</v>
      </c>
      <c r="F57" s="186">
        <f>+'Growth &amp; Inflation Rates '!$G$25</f>
        <v>4.8599999999999997E-2</v>
      </c>
      <c r="G57" s="187">
        <f>+D57+E57+F57</f>
        <v>0.10235</v>
      </c>
    </row>
    <row r="58" spans="1:7" ht="17.25">
      <c r="A58" s="185"/>
      <c r="B58" s="198"/>
      <c r="C58" s="194"/>
      <c r="D58" s="186"/>
      <c r="E58" s="198"/>
      <c r="F58" s="186"/>
      <c r="G58" s="187"/>
    </row>
    <row r="59" spans="1:7" ht="17.25">
      <c r="A59" s="396" t="s">
        <v>0</v>
      </c>
      <c r="B59" s="198" t="s">
        <v>0</v>
      </c>
      <c r="C59" s="194" t="s">
        <v>0</v>
      </c>
      <c r="D59" s="186" t="s">
        <v>0</v>
      </c>
      <c r="E59" s="198" t="s">
        <v>0</v>
      </c>
      <c r="F59" s="186" t="s">
        <v>0</v>
      </c>
      <c r="G59" s="187" t="s">
        <v>0</v>
      </c>
    </row>
    <row r="60" spans="1:7" ht="15.75" thickBot="1">
      <c r="A60" s="284"/>
      <c r="B60" s="151"/>
      <c r="C60" s="151"/>
      <c r="D60" s="151"/>
      <c r="E60" s="151"/>
      <c r="F60" s="151"/>
      <c r="G60" s="285"/>
    </row>
    <row r="62" spans="1:7" ht="17.25">
      <c r="A62" s="61" t="s">
        <v>72</v>
      </c>
      <c r="E62" s="197" t="s">
        <v>0</v>
      </c>
    </row>
    <row r="63" spans="1:7">
      <c r="A63" s="161" t="s">
        <v>0</v>
      </c>
      <c r="E63" s="197" t="s">
        <v>0</v>
      </c>
    </row>
    <row r="64" spans="1:7" ht="16.5">
      <c r="A64" s="493" t="s">
        <v>494</v>
      </c>
      <c r="B64" s="12"/>
      <c r="C64" s="12"/>
      <c r="D64" s="12"/>
      <c r="E64" s="12"/>
      <c r="F64" s="12"/>
      <c r="G64" s="12"/>
    </row>
    <row r="65" spans="1:7" ht="16.5">
      <c r="A65" s="493" t="s">
        <v>495</v>
      </c>
      <c r="B65" s="12"/>
      <c r="C65" s="12"/>
      <c r="D65" s="12"/>
      <c r="E65" s="12"/>
      <c r="F65" s="12"/>
      <c r="G65" s="12"/>
    </row>
    <row r="66" spans="1:7" ht="16.5">
      <c r="A66" s="43" t="s">
        <v>0</v>
      </c>
      <c r="B66" s="12"/>
      <c r="C66" s="12"/>
      <c r="D66" s="12"/>
      <c r="E66" s="12"/>
      <c r="F66" s="12"/>
      <c r="G66" s="12"/>
    </row>
    <row r="67" spans="1:7" ht="16.5">
      <c r="A67" s="43" t="s">
        <v>502</v>
      </c>
      <c r="B67" s="12"/>
      <c r="C67" s="12"/>
      <c r="D67" s="12"/>
      <c r="E67" s="12"/>
      <c r="F67" s="12"/>
      <c r="G67" s="12"/>
    </row>
    <row r="68" spans="1:7" ht="16.5">
      <c r="A68" s="149" t="s">
        <v>395</v>
      </c>
      <c r="C68" s="12"/>
      <c r="D68" s="12"/>
      <c r="E68" s="12"/>
      <c r="F68" s="12"/>
      <c r="G68" s="12"/>
    </row>
    <row r="69" spans="1:7" ht="16.5">
      <c r="A69" s="43" t="s">
        <v>0</v>
      </c>
      <c r="B69" s="12"/>
      <c r="C69" s="12"/>
      <c r="D69" s="12"/>
      <c r="E69" s="12"/>
      <c r="F69" s="12"/>
      <c r="G69" s="12"/>
    </row>
    <row r="70" spans="1:7" ht="16.5">
      <c r="A70" s="43" t="s">
        <v>503</v>
      </c>
      <c r="B70" s="12"/>
      <c r="C70" s="12"/>
      <c r="D70" s="12"/>
      <c r="E70" s="12"/>
      <c r="F70" s="12"/>
      <c r="G70" s="12"/>
    </row>
    <row r="71" spans="1:7" ht="16.5">
      <c r="A71" s="149" t="s">
        <v>396</v>
      </c>
      <c r="B71" s="12"/>
      <c r="C71" s="12"/>
      <c r="D71" s="12"/>
      <c r="E71" s="12"/>
      <c r="F71" s="12"/>
      <c r="G71" s="12"/>
    </row>
    <row r="72" spans="1:7" ht="16.5">
      <c r="A72" s="43"/>
      <c r="B72" s="12"/>
      <c r="C72" s="12"/>
      <c r="D72" s="12"/>
      <c r="E72" s="12"/>
      <c r="F72" s="12"/>
      <c r="G72" s="12"/>
    </row>
    <row r="73" spans="1:7" ht="16.5">
      <c r="A73" s="43" t="s">
        <v>504</v>
      </c>
      <c r="B73" s="12"/>
      <c r="C73" s="12"/>
      <c r="D73" s="12"/>
      <c r="E73" s="12"/>
      <c r="F73" s="12"/>
      <c r="G73" s="12"/>
    </row>
    <row r="74" spans="1:7" ht="16.5">
      <c r="A74" s="149" t="s">
        <v>505</v>
      </c>
      <c r="B74" s="12"/>
      <c r="C74" s="12"/>
      <c r="D74" s="12"/>
      <c r="E74" s="12"/>
      <c r="F74" s="12"/>
      <c r="G74" s="12"/>
    </row>
    <row r="75" spans="1:7" ht="16.5">
      <c r="A75" s="43"/>
      <c r="B75" s="12"/>
      <c r="C75" s="12"/>
      <c r="D75" s="12"/>
      <c r="E75" s="12"/>
      <c r="F75" s="12"/>
      <c r="G75" s="12"/>
    </row>
    <row r="76" spans="1:7" ht="16.5">
      <c r="A76" s="43" t="s">
        <v>506</v>
      </c>
      <c r="B76" s="12"/>
      <c r="C76" s="12"/>
      <c r="D76" s="12"/>
      <c r="E76" s="12"/>
      <c r="F76" s="12"/>
      <c r="G76" s="12"/>
    </row>
    <row r="77" spans="1:7" ht="16.5">
      <c r="A77" s="149" t="s">
        <v>397</v>
      </c>
      <c r="B77" s="12"/>
      <c r="C77" s="12"/>
      <c r="D77" s="12"/>
      <c r="E77" s="12"/>
      <c r="F77" s="12"/>
      <c r="G77" s="12"/>
    </row>
    <row r="78" spans="1:7">
      <c r="A78" s="161"/>
    </row>
    <row r="79" spans="1:7" ht="16.5">
      <c r="A79" s="43" t="s">
        <v>507</v>
      </c>
    </row>
    <row r="80" spans="1:7" ht="16.5">
      <c r="A80" s="43" t="s">
        <v>0</v>
      </c>
    </row>
    <row r="81" spans="1:8" ht="16.5">
      <c r="A81" s="43" t="s">
        <v>0</v>
      </c>
      <c r="H81" s="12"/>
    </row>
    <row r="82" spans="1:8" ht="16.5">
      <c r="A82" s="149" t="s">
        <v>0</v>
      </c>
      <c r="H82" s="12"/>
    </row>
    <row r="83" spans="1:8" ht="21" thickBot="1">
      <c r="A83" s="152"/>
      <c r="B83" s="152"/>
      <c r="C83" s="152"/>
      <c r="D83" s="28"/>
      <c r="E83" s="36"/>
      <c r="F83" s="28"/>
      <c r="G83" s="151"/>
      <c r="H83" s="12"/>
    </row>
    <row r="84" spans="1:8" ht="16.5">
      <c r="H84" s="12"/>
    </row>
  </sheetData>
  <hyperlinks>
    <hyperlink ref="A82" r:id="rId1" display="https://simplywall.st/stocks/us/transportation" xr:uid="{F03B63DE-C233-41B1-9894-459B2DA79F2F}"/>
    <hyperlink ref="A77" r:id="rId2" xr:uid="{B41219FB-EC94-48E4-A6B4-3FC32261414F}"/>
    <hyperlink ref="A68" r:id="rId3" xr:uid="{9C2E2648-72DF-44C5-BF4F-62480DB35576}"/>
    <hyperlink ref="A71" r:id="rId4" xr:uid="{87945262-38F2-4D5C-88A9-D972C6C6EEEE}"/>
  </hyperlinks>
  <pageMargins left="0.25" right="0.25" top="0.75" bottom="0.75" header="0.3" footer="0.3"/>
  <pageSetup scale="4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091B-222C-4619-A26F-1F4A613A9960}">
  <sheetPr>
    <tabColor rgb="FF92D050"/>
  </sheetPr>
  <dimension ref="A1:R108"/>
  <sheetViews>
    <sheetView view="pageBreakPreview" zoomScale="50" zoomScaleNormal="80" zoomScaleSheetLayoutView="50" workbookViewId="0">
      <selection activeCell="E57" sqref="E57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3" t="s">
        <v>1</v>
      </c>
      <c r="C1" s="23"/>
      <c r="D1" s="23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C2" s="24"/>
      <c r="D2" s="24"/>
      <c r="E2" s="12"/>
      <c r="F2" s="12"/>
      <c r="G2" s="12"/>
      <c r="H2" s="12"/>
      <c r="I2" s="12"/>
      <c r="J2" s="12"/>
      <c r="K2" s="12"/>
    </row>
    <row r="3" spans="1:11" ht="16.5">
      <c r="A3" s="25" t="s">
        <v>429</v>
      </c>
      <c r="C3" s="25"/>
      <c r="D3" s="25"/>
      <c r="E3" s="12"/>
      <c r="F3" s="12"/>
      <c r="G3" s="12"/>
      <c r="H3" s="12"/>
      <c r="I3" s="12"/>
      <c r="J3" s="12"/>
      <c r="K3" s="12"/>
    </row>
    <row r="4" spans="1:11" ht="16.5">
      <c r="B4" s="25"/>
      <c r="C4" s="25"/>
      <c r="D4" s="25"/>
      <c r="E4" s="12"/>
      <c r="F4" s="12"/>
      <c r="G4" s="12"/>
      <c r="H4" s="12"/>
      <c r="I4" s="12"/>
      <c r="J4" s="12"/>
      <c r="K4" s="12"/>
    </row>
    <row r="5" spans="1:11" ht="16.5">
      <c r="B5" s="12"/>
      <c r="C5" s="12"/>
      <c r="D5" s="12"/>
      <c r="E5" s="12"/>
      <c r="F5" s="12"/>
      <c r="G5" s="12"/>
      <c r="H5" s="12"/>
      <c r="I5" s="26" t="s">
        <v>0</v>
      </c>
      <c r="J5" s="26"/>
      <c r="K5" s="12"/>
    </row>
    <row r="6" spans="1:11" ht="17.25" thickBot="1">
      <c r="B6" s="12"/>
      <c r="C6" s="12"/>
      <c r="D6" s="28"/>
      <c r="E6" s="28"/>
      <c r="F6" s="151"/>
      <c r="H6" s="12"/>
      <c r="I6" s="12"/>
      <c r="J6" s="12"/>
    </row>
    <row r="7" spans="1:11" ht="27" thickBot="1">
      <c r="A7" s="27" t="str">
        <f>+'S&amp;D'!A12</f>
        <v>Liquid Transportation Pipeline Carriers</v>
      </c>
      <c r="C7" s="30"/>
      <c r="D7" s="30"/>
      <c r="E7" s="31" t="s">
        <v>234</v>
      </c>
      <c r="H7" s="12"/>
      <c r="I7" s="12"/>
      <c r="J7" s="12"/>
    </row>
    <row r="8" spans="1:11" ht="21" thickBot="1">
      <c r="B8" s="30"/>
      <c r="C8" s="30"/>
      <c r="D8" s="152"/>
      <c r="E8" s="36" t="s">
        <v>430</v>
      </c>
      <c r="F8" s="151"/>
      <c r="H8" s="12"/>
      <c r="I8" s="12"/>
    </row>
    <row r="9" spans="1:11" ht="20.25">
      <c r="B9" s="30"/>
      <c r="C9" s="30"/>
      <c r="D9" s="30"/>
      <c r="E9" s="34"/>
      <c r="H9" s="12"/>
      <c r="I9" s="12"/>
    </row>
    <row r="10" spans="1:11" ht="29.1" customHeight="1" thickBot="1">
      <c r="A10" s="152"/>
      <c r="B10" s="30"/>
      <c r="I10" s="12"/>
    </row>
    <row r="11" spans="1:11" ht="22.5" customHeight="1" thickBot="1">
      <c r="A11" s="164" t="s">
        <v>233</v>
      </c>
      <c r="B11" s="30"/>
      <c r="I11" s="12"/>
    </row>
    <row r="12" spans="1:11" ht="20.100000000000001" customHeight="1" thickBot="1">
      <c r="A12" s="163" t="s">
        <v>0</v>
      </c>
      <c r="B12" s="12"/>
      <c r="C12" s="12"/>
      <c r="D12" s="12"/>
      <c r="E12" s="12"/>
      <c r="F12" s="12"/>
      <c r="G12" s="12"/>
      <c r="H12" s="12"/>
      <c r="I12" s="12"/>
    </row>
    <row r="13" spans="1:11" ht="60.6" customHeight="1" thickBot="1">
      <c r="A13" s="211" t="s">
        <v>0</v>
      </c>
      <c r="B13" s="158" t="s">
        <v>281</v>
      </c>
      <c r="C13" s="158" t="s">
        <v>280</v>
      </c>
      <c r="D13" s="157" t="s">
        <v>214</v>
      </c>
      <c r="E13" s="158" t="s">
        <v>215</v>
      </c>
      <c r="F13" s="158" t="s">
        <v>251</v>
      </c>
      <c r="G13" s="158" t="s">
        <v>250</v>
      </c>
      <c r="H13" s="158" t="s">
        <v>216</v>
      </c>
    </row>
    <row r="14" spans="1:11" ht="16.5">
      <c r="A14" s="153"/>
      <c r="B14" s="203"/>
      <c r="C14" s="203"/>
      <c r="D14" s="113"/>
      <c r="E14" s="203"/>
      <c r="F14" s="203"/>
      <c r="G14" s="203"/>
      <c r="H14" s="203"/>
    </row>
    <row r="15" spans="1:11" ht="20.25">
      <c r="A15" s="162" t="str">
        <f>+A7</f>
        <v>Liquid Transportation Pipeline Carriers</v>
      </c>
      <c r="B15" s="223">
        <v>0</v>
      </c>
      <c r="C15" s="223">
        <v>0</v>
      </c>
      <c r="D15" s="349">
        <v>0</v>
      </c>
      <c r="E15" s="223">
        <v>0</v>
      </c>
      <c r="F15" s="223">
        <f>+'Dividends '!K25</f>
        <v>7.3015848810185163E-2</v>
      </c>
      <c r="G15" s="223">
        <f>+Earnings!K25</f>
        <v>7.0539689533544822E-2</v>
      </c>
      <c r="H15" s="223">
        <v>0</v>
      </c>
    </row>
    <row r="16" spans="1:11" ht="21" thickBot="1">
      <c r="A16" s="155" t="s">
        <v>0</v>
      </c>
      <c r="B16" s="204" t="s">
        <v>0</v>
      </c>
      <c r="C16" s="204"/>
      <c r="D16" s="350"/>
      <c r="E16" s="204"/>
      <c r="F16" s="249">
        <f>+'Dividends '!K26</f>
        <v>7.774710847317437E-2</v>
      </c>
      <c r="G16" s="249">
        <f>+Earnings!K26</f>
        <v>7.1664604058364112E-2</v>
      </c>
      <c r="H16" s="204"/>
    </row>
    <row r="17" spans="1:18" ht="57.95" customHeight="1" thickBot="1">
      <c r="A17" s="12"/>
      <c r="B17" s="12"/>
      <c r="C17" s="12"/>
      <c r="D17" s="12"/>
      <c r="E17" s="12"/>
      <c r="F17" s="12"/>
      <c r="G17" s="12"/>
      <c r="H17" s="12"/>
      <c r="I17" s="12"/>
    </row>
    <row r="18" spans="1:18" ht="24.95" customHeight="1" thickBot="1">
      <c r="A18" s="164" t="s">
        <v>479</v>
      </c>
      <c r="B18" s="12"/>
      <c r="C18" s="12"/>
      <c r="D18" s="451"/>
      <c r="E18" s="12"/>
      <c r="F18" s="12"/>
      <c r="G18" s="12"/>
      <c r="H18" s="12"/>
      <c r="I18" s="12"/>
    </row>
    <row r="19" spans="1:18" ht="20.100000000000001" customHeight="1">
      <c r="A19" s="12"/>
      <c r="B19" s="12"/>
      <c r="C19" s="12"/>
      <c r="D19" s="468" t="s">
        <v>479</v>
      </c>
      <c r="E19" s="12"/>
      <c r="F19" s="12"/>
      <c r="G19" s="12"/>
      <c r="H19" s="12"/>
      <c r="I19" s="12"/>
    </row>
    <row r="20" spans="1:18" ht="27.95" customHeight="1">
      <c r="A20" s="469"/>
      <c r="B20" s="445"/>
      <c r="C20" s="470" t="s">
        <v>480</v>
      </c>
      <c r="D20" s="471"/>
      <c r="E20" s="12"/>
      <c r="F20" s="12"/>
      <c r="G20" s="12"/>
      <c r="H20" s="12"/>
      <c r="I20" s="12"/>
    </row>
    <row r="21" spans="1:18" ht="27.95" customHeight="1">
      <c r="A21" s="389"/>
      <c r="C21" s="472" t="s">
        <v>481</v>
      </c>
      <c r="D21" s="473">
        <v>4.5699999999999998E-2</v>
      </c>
      <c r="E21" s="12"/>
      <c r="F21" s="12"/>
      <c r="G21" s="12"/>
      <c r="H21" s="12"/>
      <c r="I21" s="12"/>
    </row>
    <row r="22" spans="1:18" ht="27.95" customHeight="1">
      <c r="A22" s="389"/>
      <c r="C22" s="472" t="s">
        <v>482</v>
      </c>
      <c r="D22" s="473">
        <v>4.6600000000000003E-2</v>
      </c>
      <c r="E22" s="12"/>
      <c r="F22" s="12"/>
      <c r="G22" s="12"/>
      <c r="H22" s="12"/>
      <c r="I22" s="12"/>
    </row>
    <row r="23" spans="1:18" ht="27" customHeight="1">
      <c r="A23" s="389"/>
      <c r="C23" s="472" t="s">
        <v>483</v>
      </c>
      <c r="D23" s="473">
        <v>4.8599999999999997E-2</v>
      </c>
      <c r="E23" s="12"/>
      <c r="F23" s="12"/>
      <c r="G23" s="12"/>
      <c r="H23" s="12"/>
      <c r="I23" s="12"/>
    </row>
    <row r="24" spans="1:18" ht="27" customHeight="1" thickBot="1">
      <c r="A24" s="389"/>
      <c r="C24" s="472" t="s">
        <v>484</v>
      </c>
      <c r="D24" s="473">
        <v>4.7899999999999998E-2</v>
      </c>
      <c r="E24" s="12"/>
      <c r="F24" s="12"/>
      <c r="G24" s="474" t="s">
        <v>485</v>
      </c>
      <c r="I24" s="12"/>
    </row>
    <row r="25" spans="1:18" ht="27" customHeight="1" thickBot="1">
      <c r="A25" s="389"/>
      <c r="B25" s="12"/>
      <c r="C25" s="475" t="s">
        <v>486</v>
      </c>
      <c r="D25" s="476"/>
      <c r="E25" s="12"/>
      <c r="F25" s="12"/>
      <c r="G25" s="477">
        <v>4.8599999999999997E-2</v>
      </c>
      <c r="H25" s="12"/>
      <c r="I25" s="12"/>
    </row>
    <row r="26" spans="1:18" ht="27" customHeight="1">
      <c r="A26" s="389"/>
      <c r="C26" s="472" t="s">
        <v>481</v>
      </c>
      <c r="D26" s="473">
        <v>4.5499999999999999E-2</v>
      </c>
      <c r="E26" s="12"/>
      <c r="F26" s="12"/>
      <c r="G26" s="12"/>
      <c r="H26" s="12"/>
      <c r="I26" s="12"/>
    </row>
    <row r="27" spans="1:18" ht="27" customHeight="1">
      <c r="A27" s="389"/>
      <c r="C27" s="472" t="s">
        <v>487</v>
      </c>
      <c r="D27" s="473">
        <v>0</v>
      </c>
      <c r="E27" s="12"/>
      <c r="F27" s="12"/>
      <c r="G27" s="12"/>
      <c r="H27" s="12"/>
      <c r="I27" s="12"/>
    </row>
    <row r="28" spans="1:18" ht="27" customHeight="1">
      <c r="A28" s="389"/>
      <c r="C28" s="472" t="s">
        <v>488</v>
      </c>
      <c r="D28" s="473">
        <v>4.7699999999999999E-2</v>
      </c>
      <c r="E28" s="12"/>
      <c r="F28" s="12"/>
      <c r="G28" s="12"/>
      <c r="H28" s="12"/>
      <c r="I28" s="12"/>
    </row>
    <row r="29" spans="1:18" ht="27" customHeight="1">
      <c r="A29" s="389"/>
      <c r="C29" s="478" t="s">
        <v>489</v>
      </c>
      <c r="D29" s="479">
        <v>4.58E-2</v>
      </c>
      <c r="E29" s="12"/>
      <c r="F29" s="12"/>
      <c r="G29" s="12"/>
      <c r="H29" s="12"/>
      <c r="I29" s="12"/>
    </row>
    <row r="30" spans="1:18" ht="20.25">
      <c r="A30" s="480"/>
      <c r="B30" s="232"/>
      <c r="C30" s="481" t="s">
        <v>490</v>
      </c>
      <c r="D30" s="482">
        <v>4.8599999999999997E-2</v>
      </c>
      <c r="L30" s="12"/>
    </row>
    <row r="31" spans="1:18" ht="63.6" customHeight="1" thickBot="1">
      <c r="B31" s="12"/>
      <c r="C31" s="12"/>
      <c r="D31" s="28"/>
      <c r="E31" s="28"/>
      <c r="F31" s="28"/>
      <c r="G31" s="12"/>
      <c r="H31" s="12"/>
      <c r="I31" s="12"/>
      <c r="L31" s="12"/>
    </row>
    <row r="32" spans="1:18" ht="26.25">
      <c r="B32" s="30"/>
      <c r="C32" s="30"/>
      <c r="D32" s="12"/>
      <c r="E32" s="31" t="s">
        <v>199</v>
      </c>
      <c r="F32" s="12"/>
      <c r="G32" s="12"/>
      <c r="H32" s="12"/>
      <c r="I32" s="12"/>
      <c r="J32" s="483" t="s">
        <v>0</v>
      </c>
      <c r="K32" s="86"/>
      <c r="L32" s="86"/>
      <c r="M32" s="86"/>
      <c r="N32" s="86"/>
      <c r="O32" s="12"/>
      <c r="P32" s="12"/>
      <c r="Q32" s="12"/>
      <c r="R32" s="12"/>
    </row>
    <row r="33" spans="1:18" ht="21" thickBot="1">
      <c r="A33" s="151"/>
      <c r="B33" s="30"/>
      <c r="C33" s="30"/>
      <c r="D33" s="28"/>
      <c r="E33" s="36" t="s">
        <v>430</v>
      </c>
      <c r="F33" s="28"/>
      <c r="G33" s="12"/>
      <c r="H33" s="12"/>
      <c r="I33" s="12"/>
      <c r="J33" s="484"/>
      <c r="K33" s="485"/>
      <c r="L33" s="485"/>
      <c r="M33" s="86"/>
      <c r="N33" s="86"/>
      <c r="O33" s="12"/>
      <c r="P33" s="12"/>
      <c r="Q33" s="12"/>
      <c r="R33" s="12"/>
    </row>
    <row r="34" spans="1:18" ht="21" thickBot="1">
      <c r="A34" s="150" t="s">
        <v>440</v>
      </c>
      <c r="B34" s="30"/>
      <c r="C34" s="30"/>
      <c r="D34" s="34"/>
      <c r="E34" s="148"/>
      <c r="F34" s="12"/>
      <c r="G34" s="12"/>
      <c r="H34" s="12"/>
      <c r="I34" s="12"/>
      <c r="J34" s="484"/>
      <c r="K34" s="484"/>
      <c r="L34" s="484"/>
      <c r="M34" s="485"/>
      <c r="N34" s="486" t="s">
        <v>0</v>
      </c>
      <c r="O34" s="12"/>
      <c r="P34" s="12"/>
      <c r="Q34" s="12"/>
      <c r="R34" s="12"/>
    </row>
    <row r="35" spans="1:18" ht="18.75">
      <c r="A35" s="40" t="s">
        <v>0</v>
      </c>
      <c r="B35" s="40"/>
      <c r="C35" s="40"/>
      <c r="D35" s="40" t="s">
        <v>0</v>
      </c>
      <c r="E35" s="40" t="s">
        <v>0</v>
      </c>
      <c r="F35" s="40" t="s">
        <v>0</v>
      </c>
      <c r="G35" s="40"/>
      <c r="H35" s="12"/>
      <c r="I35" s="12"/>
      <c r="J35" s="484"/>
      <c r="K35" s="487"/>
      <c r="L35" s="484"/>
      <c r="M35" s="485"/>
      <c r="N35" s="86"/>
      <c r="O35" s="12"/>
      <c r="P35" s="12"/>
      <c r="Q35" s="12"/>
      <c r="R35" s="12"/>
    </row>
    <row r="36" spans="1:18" ht="20.25">
      <c r="A36" s="34" t="s">
        <v>0</v>
      </c>
      <c r="B36" s="34"/>
      <c r="C36" s="34"/>
      <c r="D36" s="428" t="s">
        <v>78</v>
      </c>
      <c r="E36" s="428" t="s">
        <v>235</v>
      </c>
      <c r="F36" s="428" t="s">
        <v>121</v>
      </c>
      <c r="G36" s="246"/>
      <c r="H36" s="12"/>
      <c r="I36" s="12"/>
      <c r="J36" s="484"/>
      <c r="K36" s="484"/>
      <c r="L36" s="484"/>
      <c r="M36" s="485"/>
      <c r="N36" s="86"/>
      <c r="O36" s="12"/>
      <c r="P36" s="12"/>
      <c r="Q36" s="12"/>
      <c r="R36" s="12"/>
    </row>
    <row r="37" spans="1:18" ht="20.25">
      <c r="A37" s="505" t="s">
        <v>119</v>
      </c>
      <c r="B37" s="506"/>
      <c r="C37" s="507"/>
      <c r="D37" s="429" t="s">
        <v>80</v>
      </c>
      <c r="E37" s="429" t="s">
        <v>120</v>
      </c>
      <c r="F37" s="429" t="s">
        <v>122</v>
      </c>
      <c r="G37" s="246"/>
      <c r="H37" s="12"/>
      <c r="I37" s="12"/>
      <c r="J37" s="485"/>
      <c r="K37" s="485"/>
      <c r="L37" s="488"/>
      <c r="M37" s="485"/>
      <c r="N37" s="86"/>
      <c r="O37" s="12"/>
      <c r="P37" s="12"/>
      <c r="Q37" s="12"/>
      <c r="R37" s="12"/>
    </row>
    <row r="38" spans="1:18" ht="18.75">
      <c r="H38" s="427"/>
      <c r="J38" s="485"/>
      <c r="K38" s="485"/>
      <c r="L38" s="86"/>
      <c r="M38" s="86"/>
      <c r="N38" s="86"/>
      <c r="O38" s="12"/>
      <c r="P38" s="12"/>
      <c r="Q38" s="12"/>
      <c r="R38" s="12"/>
    </row>
    <row r="39" spans="1:18" ht="20.25">
      <c r="A39" s="430" t="s">
        <v>236</v>
      </c>
      <c r="B39" s="165"/>
      <c r="C39" s="199"/>
      <c r="D39" s="431">
        <v>2.3300000000000001E-2</v>
      </c>
      <c r="E39" s="432" t="s">
        <v>420</v>
      </c>
      <c r="F39" s="432" t="s">
        <v>420</v>
      </c>
      <c r="H39" s="427" t="s">
        <v>0</v>
      </c>
      <c r="J39" s="489"/>
      <c r="K39" s="485"/>
      <c r="L39" s="485"/>
      <c r="M39" s="86"/>
      <c r="N39" s="86"/>
      <c r="O39" s="12"/>
      <c r="P39" s="12"/>
      <c r="Q39" s="12"/>
      <c r="R39" s="12"/>
    </row>
    <row r="40" spans="1:18" ht="20.25">
      <c r="A40" s="433" t="s">
        <v>237</v>
      </c>
      <c r="B40" s="61"/>
      <c r="C40" s="200"/>
      <c r="D40" s="434">
        <v>2.46E-2</v>
      </c>
      <c r="E40" s="435" t="s">
        <v>420</v>
      </c>
      <c r="F40" s="435" t="s">
        <v>420</v>
      </c>
      <c r="H40" s="30" t="s">
        <v>0</v>
      </c>
      <c r="I40" s="12"/>
      <c r="J40" s="489"/>
      <c r="K40" s="485"/>
      <c r="L40" s="485"/>
      <c r="M40" s="86"/>
      <c r="N40" s="86"/>
      <c r="O40" s="12"/>
      <c r="P40" s="12"/>
      <c r="Q40" s="12"/>
      <c r="R40" s="12"/>
    </row>
    <row r="41" spans="1:18" ht="20.25">
      <c r="A41" s="436" t="s">
        <v>238</v>
      </c>
      <c r="B41" s="167"/>
      <c r="C41" s="201"/>
      <c r="D41" s="437">
        <v>2.3099999999999999E-2</v>
      </c>
      <c r="E41" s="438" t="s">
        <v>420</v>
      </c>
      <c r="F41" s="438" t="s">
        <v>420</v>
      </c>
      <c r="H41" s="131" t="s">
        <v>0</v>
      </c>
      <c r="I41" s="12"/>
      <c r="J41" s="489"/>
      <c r="K41" s="485"/>
      <c r="L41" s="485"/>
      <c r="M41" s="86"/>
      <c r="N41" s="86"/>
      <c r="O41" s="12"/>
      <c r="P41" s="12"/>
      <c r="Q41" s="12"/>
      <c r="R41" s="12"/>
    </row>
    <row r="42" spans="1:18" ht="20.25">
      <c r="A42" s="433" t="s">
        <v>239</v>
      </c>
      <c r="B42" s="61"/>
      <c r="C42" s="200"/>
      <c r="D42" s="439">
        <v>2.29E-2</v>
      </c>
      <c r="E42" s="439">
        <v>2.1100000000000001E-2</v>
      </c>
      <c r="F42" s="434">
        <f t="shared" ref="F42:F50" si="0">+D42+E42</f>
        <v>4.3999999999999997E-2</v>
      </c>
      <c r="H42" s="12" t="s">
        <v>0</v>
      </c>
      <c r="I42" s="12"/>
      <c r="J42" s="489"/>
      <c r="K42" s="485"/>
      <c r="L42" s="485"/>
      <c r="M42" s="86"/>
      <c r="N42" s="86"/>
      <c r="O42" s="12"/>
      <c r="P42" s="12"/>
      <c r="Q42" s="12"/>
      <c r="R42" s="12"/>
    </row>
    <row r="43" spans="1:18" ht="20.25">
      <c r="A43" s="433" t="s">
        <v>441</v>
      </c>
      <c r="B43" s="61"/>
      <c r="C43" s="200"/>
      <c r="D43" s="439">
        <v>2.2800000000000001E-2</v>
      </c>
      <c r="E43" s="439">
        <v>2.0500000000000001E-2</v>
      </c>
      <c r="F43" s="434">
        <f t="shared" si="0"/>
        <v>4.3300000000000005E-2</v>
      </c>
      <c r="H43" s="12"/>
      <c r="I43" s="12"/>
      <c r="J43" s="489"/>
      <c r="K43" s="485"/>
      <c r="L43" s="86"/>
      <c r="M43" s="86"/>
      <c r="N43" s="86"/>
      <c r="O43" s="12"/>
      <c r="P43" s="12"/>
      <c r="Q43" s="12"/>
      <c r="R43" s="12"/>
    </row>
    <row r="44" spans="1:18" ht="20.25">
      <c r="A44" s="436" t="s">
        <v>442</v>
      </c>
      <c r="B44" s="167"/>
      <c r="C44" s="201"/>
      <c r="D44" s="440">
        <v>2.3800000000000002E-2</v>
      </c>
      <c r="E44" s="440">
        <v>2.1000000000000001E-2</v>
      </c>
      <c r="F44" s="437">
        <f t="shared" si="0"/>
        <v>4.4800000000000006E-2</v>
      </c>
      <c r="H44" s="12"/>
      <c r="I44" s="12"/>
      <c r="J44" s="489"/>
      <c r="K44" s="485"/>
      <c r="L44" s="86"/>
      <c r="M44" s="86"/>
      <c r="N44" s="86"/>
      <c r="O44" s="12"/>
      <c r="P44" s="12"/>
      <c r="Q44" s="12"/>
      <c r="R44" s="12"/>
    </row>
    <row r="45" spans="1:18" ht="20.25">
      <c r="A45" s="433" t="s">
        <v>443</v>
      </c>
      <c r="B45" s="61"/>
      <c r="C45" s="200"/>
      <c r="D45" s="434">
        <v>2.3E-2</v>
      </c>
      <c r="E45" s="439">
        <v>1.7999999999999999E-2</v>
      </c>
      <c r="F45" s="434">
        <f t="shared" si="0"/>
        <v>4.0999999999999995E-2</v>
      </c>
      <c r="H45" s="130" t="s">
        <v>0</v>
      </c>
      <c r="I45" s="12"/>
      <c r="J45" s="489"/>
      <c r="K45" s="485"/>
      <c r="L45" s="86"/>
      <c r="M45" s="86"/>
      <c r="N45" s="86"/>
      <c r="O45" s="12"/>
      <c r="P45" s="12"/>
      <c r="Q45" s="12"/>
      <c r="R45" s="12"/>
    </row>
    <row r="46" spans="1:18" ht="20.25">
      <c r="A46" s="433" t="s">
        <v>444</v>
      </c>
      <c r="B46" s="61"/>
      <c r="C46" s="200"/>
      <c r="D46" s="434">
        <v>2.3E-2</v>
      </c>
      <c r="E46" s="439">
        <v>2.1999999999999999E-2</v>
      </c>
      <c r="F46" s="434">
        <f t="shared" si="0"/>
        <v>4.4999999999999998E-2</v>
      </c>
      <c r="H46" s="130" t="s">
        <v>0</v>
      </c>
      <c r="I46" s="12"/>
      <c r="J46" s="489"/>
      <c r="K46" s="485"/>
      <c r="L46" s="86"/>
      <c r="M46" s="86"/>
      <c r="N46" s="86"/>
      <c r="O46" s="12"/>
      <c r="P46" s="12"/>
      <c r="Q46" s="12"/>
      <c r="R46" s="12"/>
    </row>
    <row r="47" spans="1:18" ht="20.25">
      <c r="A47" s="436" t="s">
        <v>445</v>
      </c>
      <c r="B47" s="167"/>
      <c r="C47" s="201"/>
      <c r="D47" s="437">
        <v>2.3E-2</v>
      </c>
      <c r="E47" s="440">
        <v>1.9E-2</v>
      </c>
      <c r="F47" s="437">
        <f t="shared" si="0"/>
        <v>4.1999999999999996E-2</v>
      </c>
      <c r="H47" s="12"/>
      <c r="I47" s="12"/>
      <c r="J47" s="489"/>
      <c r="K47" s="485"/>
      <c r="L47" s="86"/>
      <c r="M47" s="86"/>
      <c r="N47" s="86"/>
      <c r="O47" s="12"/>
      <c r="P47" s="12"/>
      <c r="Q47" s="12"/>
      <c r="R47" s="12"/>
    </row>
    <row r="48" spans="1:18" ht="20.25">
      <c r="A48" s="433" t="s">
        <v>446</v>
      </c>
      <c r="B48" s="61"/>
      <c r="C48" s="200"/>
      <c r="D48" s="434">
        <v>2.3E-2</v>
      </c>
      <c r="E48" s="439">
        <v>2.1000000000000001E-2</v>
      </c>
      <c r="F48" s="434">
        <f t="shared" si="0"/>
        <v>4.3999999999999997E-2</v>
      </c>
      <c r="H48" s="12"/>
      <c r="I48" s="12"/>
      <c r="J48" s="489"/>
      <c r="K48" s="485"/>
      <c r="L48" s="86"/>
      <c r="M48" s="86"/>
      <c r="N48" s="86"/>
      <c r="O48" s="12"/>
      <c r="P48" s="12"/>
      <c r="Q48" s="12"/>
      <c r="R48" s="12"/>
    </row>
    <row r="49" spans="1:18" ht="20.25">
      <c r="A49" s="433" t="s">
        <v>447</v>
      </c>
      <c r="B49" s="61"/>
      <c r="C49" s="200"/>
      <c r="D49" s="435" t="s">
        <v>420</v>
      </c>
      <c r="E49" s="439">
        <v>2.3E-2</v>
      </c>
      <c r="F49" s="435" t="s">
        <v>420</v>
      </c>
      <c r="H49" s="12"/>
      <c r="I49" s="12"/>
      <c r="J49" s="489"/>
      <c r="K49" s="485"/>
      <c r="L49" s="86"/>
      <c r="M49" s="86"/>
      <c r="N49" s="86"/>
      <c r="O49" s="12"/>
      <c r="P49" s="12"/>
      <c r="Q49" s="12"/>
      <c r="R49" s="12"/>
    </row>
    <row r="50" spans="1:18" ht="20.25">
      <c r="A50" s="436" t="s">
        <v>448</v>
      </c>
      <c r="B50" s="167"/>
      <c r="C50" s="201"/>
      <c r="D50" s="437">
        <v>0.02</v>
      </c>
      <c r="E50" s="437">
        <v>1.7999999999999999E-2</v>
      </c>
      <c r="F50" s="437">
        <f t="shared" si="0"/>
        <v>3.7999999999999999E-2</v>
      </c>
      <c r="H50" s="12"/>
      <c r="I50" s="12"/>
      <c r="J50" s="489"/>
      <c r="K50" s="490"/>
      <c r="L50" s="86"/>
      <c r="M50" s="86"/>
      <c r="N50" s="86"/>
      <c r="O50" s="12"/>
      <c r="P50" s="12"/>
      <c r="Q50" s="12"/>
      <c r="R50" s="12"/>
    </row>
    <row r="51" spans="1:18" ht="20.25">
      <c r="A51" s="107"/>
      <c r="B51" s="125"/>
      <c r="C51" s="125" t="s">
        <v>45</v>
      </c>
      <c r="D51" s="441">
        <f>MAX(D39:D50)</f>
        <v>2.46E-2</v>
      </c>
      <c r="E51" s="441">
        <f>MAX(E39:E50)</f>
        <v>2.3E-2</v>
      </c>
      <c r="F51" s="441">
        <f>MAX(F39:F50)</f>
        <v>4.4999999999999998E-2</v>
      </c>
      <c r="G51" s="247"/>
      <c r="H51" s="12"/>
      <c r="I51" s="12"/>
      <c r="L51" s="12"/>
      <c r="M51" s="12"/>
      <c r="N51" s="12"/>
      <c r="Q51" s="12"/>
      <c r="R51" s="12"/>
    </row>
    <row r="52" spans="1:18" ht="18.75" customHeight="1">
      <c r="A52" s="107"/>
      <c r="B52" s="125"/>
      <c r="C52" s="125" t="s">
        <v>46</v>
      </c>
      <c r="D52" s="441">
        <f>MIN(D39:D50)</f>
        <v>0.02</v>
      </c>
      <c r="E52" s="441">
        <f>MIN(E39:E50)</f>
        <v>1.7999999999999999E-2</v>
      </c>
      <c r="F52" s="442">
        <f>MIN(F39:F50)</f>
        <v>3.7999999999999999E-2</v>
      </c>
      <c r="G52" s="248"/>
      <c r="H52" s="12"/>
      <c r="I52" s="12"/>
      <c r="L52" s="12"/>
      <c r="M52" s="12"/>
      <c r="N52" s="12"/>
      <c r="O52" s="12"/>
      <c r="R52" s="12"/>
    </row>
    <row r="53" spans="1:18" ht="20.25">
      <c r="A53" s="107"/>
      <c r="B53" s="125"/>
      <c r="C53" s="125" t="s">
        <v>18</v>
      </c>
      <c r="D53" s="443">
        <f>MEDIAN(D39:D50)</f>
        <v>2.3E-2</v>
      </c>
      <c r="E53" s="443">
        <f>MEDIAN(E39:E50)</f>
        <v>2.1000000000000001E-2</v>
      </c>
      <c r="F53" s="434">
        <f t="shared" ref="F53:F54" si="1">+D53+E53</f>
        <v>4.3999999999999997E-2</v>
      </c>
      <c r="G53" s="248"/>
      <c r="H53" s="12"/>
      <c r="I53" s="12"/>
      <c r="L53" s="12"/>
      <c r="M53" s="12"/>
      <c r="N53" s="12"/>
      <c r="O53" s="12"/>
      <c r="R53" s="12"/>
    </row>
    <row r="54" spans="1:18" ht="20.25">
      <c r="A54" s="107"/>
      <c r="B54" s="125"/>
      <c r="C54" s="125" t="s">
        <v>19</v>
      </c>
      <c r="D54" s="440">
        <f>AVERAGE(D39:D50)</f>
        <v>2.2954545454545453E-2</v>
      </c>
      <c r="E54" s="440">
        <f>AVERAGE(E39:E50)</f>
        <v>2.0399999999999998E-2</v>
      </c>
      <c r="F54" s="437">
        <f t="shared" si="1"/>
        <v>4.3354545454545451E-2</v>
      </c>
      <c r="G54" s="247"/>
      <c r="H54" s="12"/>
      <c r="I54" s="12"/>
      <c r="L54" s="12"/>
      <c r="M54" s="12"/>
      <c r="N54" s="12"/>
      <c r="O54" s="12"/>
      <c r="R54" s="12"/>
    </row>
    <row r="55" spans="1:18" ht="18.75">
      <c r="A55" s="12"/>
      <c r="B55" s="14"/>
      <c r="D55" s="215"/>
      <c r="E55" s="215"/>
      <c r="F55" s="215"/>
      <c r="G55" s="247"/>
      <c r="H55" s="12"/>
      <c r="I55" s="12"/>
      <c r="L55" s="12"/>
      <c r="M55" s="12"/>
      <c r="N55" s="12"/>
      <c r="O55" s="12"/>
    </row>
    <row r="56" spans="1:18" ht="16.5" customHeight="1" thickBot="1">
      <c r="A56" s="12"/>
      <c r="B56" s="14"/>
      <c r="D56" s="215"/>
      <c r="E56" s="215"/>
      <c r="F56" s="215"/>
      <c r="L56" s="12"/>
      <c r="M56" s="12"/>
      <c r="N56" s="12"/>
      <c r="O56" s="12"/>
    </row>
    <row r="57" spans="1:18" ht="27" thickBot="1">
      <c r="A57" s="12"/>
      <c r="B57" s="131"/>
      <c r="C57" s="48" t="s">
        <v>200</v>
      </c>
      <c r="D57" s="477">
        <v>2.3E-2</v>
      </c>
      <c r="E57" s="477">
        <v>2.0400000000000001E-2</v>
      </c>
      <c r="F57" s="491">
        <f>+D57+E57</f>
        <v>4.3400000000000001E-2</v>
      </c>
      <c r="L57" s="12"/>
      <c r="M57" s="12"/>
      <c r="N57" s="12"/>
      <c r="O57" s="12"/>
    </row>
    <row r="58" spans="1:18" ht="16.5" customHeight="1">
      <c r="L58" s="12"/>
      <c r="N58" s="12"/>
    </row>
    <row r="59" spans="1:18" ht="16.5">
      <c r="A59" s="12"/>
      <c r="B59" s="12"/>
      <c r="C59" s="12"/>
      <c r="D59" s="12"/>
      <c r="E59" s="12"/>
      <c r="F59" s="12"/>
      <c r="G59" s="12"/>
      <c r="I59" s="12"/>
      <c r="L59" s="12"/>
      <c r="N59" s="12"/>
    </row>
    <row r="60" spans="1:18" ht="19.5" customHeight="1">
      <c r="A60" s="444" t="s">
        <v>449</v>
      </c>
      <c r="B60" s="445"/>
      <c r="C60" s="446"/>
      <c r="D60" s="12"/>
      <c r="E60" s="12"/>
      <c r="F60" s="12"/>
      <c r="I60" s="12"/>
      <c r="L60" s="12"/>
      <c r="M60" s="12"/>
      <c r="N60" s="12"/>
    </row>
    <row r="61" spans="1:18" ht="19.5" customHeight="1">
      <c r="A61" s="444" t="s">
        <v>450</v>
      </c>
      <c r="B61" s="445"/>
      <c r="C61" s="445"/>
      <c r="D61" s="445"/>
      <c r="E61" s="445"/>
      <c r="F61" s="445"/>
      <c r="G61" s="447"/>
      <c r="I61" s="12"/>
      <c r="L61" s="12"/>
      <c r="M61" s="12"/>
      <c r="N61" s="12"/>
    </row>
    <row r="62" spans="1:18" ht="19.5" customHeight="1">
      <c r="A62" s="448" t="s">
        <v>451</v>
      </c>
      <c r="B62" s="12"/>
      <c r="C62" s="12"/>
      <c r="D62" s="12"/>
      <c r="E62" s="12"/>
      <c r="F62" s="12"/>
      <c r="G62" s="449"/>
      <c r="I62" s="12"/>
      <c r="L62" s="12"/>
      <c r="M62" s="12"/>
      <c r="N62" s="12"/>
      <c r="O62" s="492"/>
    </row>
    <row r="63" spans="1:18" ht="19.5" customHeight="1">
      <c r="A63" s="448" t="s">
        <v>452</v>
      </c>
      <c r="B63" s="12"/>
      <c r="C63" s="12"/>
      <c r="D63" s="12"/>
      <c r="E63" s="12"/>
      <c r="F63" s="12"/>
      <c r="G63" s="449"/>
      <c r="I63" s="12"/>
      <c r="L63" s="12"/>
      <c r="M63" s="12"/>
      <c r="N63" s="12"/>
      <c r="O63" s="492"/>
      <c r="P63" s="86"/>
      <c r="Q63" s="12"/>
      <c r="R63" s="12"/>
    </row>
    <row r="64" spans="1:18" ht="19.5" customHeight="1">
      <c r="A64" s="450" t="s">
        <v>453</v>
      </c>
      <c r="B64" s="451"/>
      <c r="C64" s="451"/>
      <c r="D64" s="451"/>
      <c r="E64" s="451"/>
      <c r="F64" s="451"/>
      <c r="G64" s="452"/>
      <c r="I64" s="12"/>
      <c r="L64" s="12"/>
      <c r="M64" s="12"/>
      <c r="N64" s="12"/>
      <c r="O64" s="492"/>
      <c r="P64" s="86"/>
      <c r="Q64" s="12"/>
      <c r="R64" s="12"/>
    </row>
    <row r="65" spans="1:18" ht="17.25">
      <c r="A65" s="107"/>
      <c r="B65" s="12"/>
      <c r="C65" s="12"/>
      <c r="D65" s="12"/>
      <c r="E65" s="12"/>
      <c r="F65" s="12"/>
      <c r="I65" s="12"/>
      <c r="L65" s="12"/>
      <c r="M65" s="12"/>
      <c r="N65" s="12"/>
      <c r="O65" s="12"/>
      <c r="P65" s="12"/>
      <c r="Q65" s="12"/>
      <c r="R65" s="12"/>
    </row>
    <row r="66" spans="1:18" ht="15.6" customHeight="1">
      <c r="A66" s="453" t="s">
        <v>240</v>
      </c>
      <c r="B66" s="454"/>
      <c r="C66" s="445"/>
      <c r="D66" s="445"/>
      <c r="E66" s="445"/>
      <c r="F66" s="446"/>
      <c r="G66" s="12"/>
      <c r="I66" s="12"/>
      <c r="L66" s="12"/>
      <c r="M66" s="12"/>
      <c r="N66" s="12"/>
      <c r="O66" s="12"/>
      <c r="P66" s="12"/>
      <c r="Q66" s="12"/>
      <c r="R66" s="12"/>
    </row>
    <row r="67" spans="1:18" ht="15.6" customHeight="1">
      <c r="A67" s="166" t="s">
        <v>454</v>
      </c>
      <c r="B67" s="12"/>
      <c r="C67" s="12"/>
      <c r="E67" s="12"/>
      <c r="F67" s="351"/>
      <c r="G67" s="12"/>
      <c r="I67" s="12"/>
      <c r="L67" s="12"/>
      <c r="M67" s="12"/>
      <c r="N67" s="12"/>
      <c r="O67" s="12"/>
      <c r="P67" s="12"/>
      <c r="Q67" s="12"/>
      <c r="R67" s="12"/>
    </row>
    <row r="68" spans="1:18" ht="15.6" customHeight="1">
      <c r="A68" s="455" t="s">
        <v>241</v>
      </c>
      <c r="B68" s="451"/>
      <c r="C68" s="451"/>
      <c r="D68" s="451"/>
      <c r="E68" s="451"/>
      <c r="F68" s="313"/>
      <c r="G68" s="12"/>
      <c r="I68" s="12" t="s">
        <v>0</v>
      </c>
      <c r="L68" s="12"/>
      <c r="M68" s="12"/>
      <c r="N68" s="12"/>
      <c r="O68" s="12"/>
      <c r="P68" s="12"/>
      <c r="Q68" s="12"/>
      <c r="R68" s="12"/>
    </row>
    <row r="69" spans="1:18" ht="16.5">
      <c r="A69" s="395"/>
      <c r="B69" s="12"/>
      <c r="C69" s="12"/>
      <c r="D69" s="12"/>
      <c r="E69" s="12"/>
      <c r="F69" s="12"/>
      <c r="G69" s="12"/>
      <c r="I69" s="12"/>
      <c r="L69" s="12"/>
      <c r="M69" s="12"/>
      <c r="N69" s="12"/>
      <c r="O69" s="12"/>
      <c r="P69" s="12"/>
      <c r="Q69" s="12"/>
      <c r="R69" s="12"/>
    </row>
    <row r="70" spans="1:18" ht="17.25">
      <c r="A70" s="146" t="s">
        <v>455</v>
      </c>
      <c r="B70" s="133"/>
      <c r="C70" s="133"/>
      <c r="D70" s="133"/>
      <c r="E70" s="134"/>
      <c r="F70" s="133"/>
      <c r="G70" s="133"/>
      <c r="H70" s="133"/>
      <c r="I70" s="12"/>
      <c r="L70" s="12"/>
      <c r="M70" s="12"/>
      <c r="N70" s="12"/>
      <c r="O70" s="12"/>
      <c r="P70" s="12"/>
      <c r="Q70" s="12"/>
      <c r="R70" s="12"/>
    </row>
    <row r="71" spans="1:18" ht="17.25">
      <c r="A71" s="146"/>
      <c r="B71" s="133"/>
      <c r="C71" s="133"/>
      <c r="D71" s="133"/>
      <c r="E71" s="134"/>
      <c r="F71" s="133"/>
      <c r="G71" s="133"/>
      <c r="H71" s="133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6.5">
      <c r="A72" s="456" t="s">
        <v>456</v>
      </c>
      <c r="B72" s="133"/>
      <c r="C72" s="133"/>
      <c r="D72" s="133"/>
      <c r="E72" s="134"/>
      <c r="F72" s="133"/>
      <c r="G72" s="133"/>
      <c r="H72" s="133"/>
      <c r="I72" s="12"/>
    </row>
    <row r="73" spans="1:18" ht="16.5">
      <c r="A73" s="457" t="s">
        <v>457</v>
      </c>
      <c r="B73" s="133"/>
      <c r="C73" s="133"/>
      <c r="D73" s="133"/>
      <c r="E73" s="134"/>
      <c r="F73" s="133"/>
      <c r="G73" s="133"/>
      <c r="H73" s="133"/>
      <c r="I73" s="12"/>
    </row>
    <row r="74" spans="1:18" ht="16.5">
      <c r="A74" s="458" t="s">
        <v>382</v>
      </c>
      <c r="B74" s="459"/>
      <c r="C74" s="133"/>
      <c r="D74" s="133"/>
      <c r="E74" s="134"/>
      <c r="F74" s="133"/>
      <c r="G74" s="133"/>
      <c r="H74" s="133"/>
      <c r="I74" s="12"/>
    </row>
    <row r="75" spans="1:18" ht="16.5">
      <c r="A75" s="132"/>
      <c r="B75" s="133"/>
      <c r="C75" s="133"/>
      <c r="D75" s="133"/>
      <c r="E75" s="134"/>
      <c r="F75" s="133"/>
      <c r="G75" s="133"/>
      <c r="H75" s="133"/>
      <c r="I75" s="12"/>
    </row>
    <row r="76" spans="1:18" ht="16.5">
      <c r="A76" s="456" t="s">
        <v>458</v>
      </c>
    </row>
    <row r="77" spans="1:18">
      <c r="A77" s="460" t="s">
        <v>459</v>
      </c>
    </row>
    <row r="78" spans="1:18">
      <c r="A78" s="460" t="s">
        <v>460</v>
      </c>
    </row>
    <row r="79" spans="1:18" ht="16.5">
      <c r="A79" s="461" t="s">
        <v>139</v>
      </c>
      <c r="B79" s="418"/>
    </row>
    <row r="80" spans="1:18" ht="16.5">
      <c r="A80" s="132"/>
      <c r="B80" s="133"/>
      <c r="C80" s="133"/>
      <c r="D80" s="133"/>
      <c r="E80" s="134"/>
      <c r="F80" s="133"/>
      <c r="G80" s="133"/>
      <c r="H80" s="133"/>
      <c r="I80" s="12"/>
    </row>
    <row r="81" spans="1:9" ht="16.5">
      <c r="A81" s="456" t="s">
        <v>461</v>
      </c>
      <c r="B81" s="133"/>
      <c r="C81" s="133"/>
      <c r="D81" s="133"/>
      <c r="E81" s="134"/>
      <c r="F81" s="133"/>
      <c r="G81" s="133"/>
      <c r="H81" s="133"/>
      <c r="I81" s="12"/>
    </row>
    <row r="82" spans="1:9" ht="16.5">
      <c r="A82" s="460" t="s">
        <v>462</v>
      </c>
      <c r="B82" s="133"/>
      <c r="C82" s="133"/>
      <c r="D82" s="133"/>
      <c r="E82" s="134"/>
      <c r="F82" s="133"/>
      <c r="G82" s="133"/>
      <c r="H82" s="133"/>
      <c r="I82" s="12"/>
    </row>
    <row r="83" spans="1:9" ht="16.5">
      <c r="A83" s="462" t="s">
        <v>140</v>
      </c>
      <c r="B83" s="459"/>
      <c r="C83" s="459"/>
      <c r="D83" s="133"/>
      <c r="E83" s="134"/>
      <c r="F83" s="133"/>
      <c r="G83" s="133"/>
      <c r="H83" s="133"/>
      <c r="I83" s="12"/>
    </row>
    <row r="84" spans="1:9" ht="16.5">
      <c r="A84" s="149"/>
      <c r="B84" s="133"/>
      <c r="C84" s="133"/>
      <c r="D84" s="133"/>
      <c r="E84" s="134"/>
      <c r="F84" s="133"/>
      <c r="G84" s="133"/>
      <c r="H84" s="133"/>
      <c r="I84" s="12"/>
    </row>
    <row r="85" spans="1:9" ht="16.5">
      <c r="A85" s="456" t="s">
        <v>463</v>
      </c>
      <c r="B85" s="133"/>
      <c r="C85" s="133"/>
      <c r="D85" s="133"/>
      <c r="E85" s="134"/>
      <c r="F85" s="133"/>
      <c r="G85" s="133"/>
      <c r="H85" s="133"/>
      <c r="I85" s="12"/>
    </row>
    <row r="86" spans="1:9" ht="16.5">
      <c r="A86" s="463" t="s">
        <v>464</v>
      </c>
      <c r="B86" s="133"/>
      <c r="D86" s="133" t="s">
        <v>0</v>
      </c>
      <c r="E86" s="134"/>
      <c r="F86" s="133"/>
      <c r="G86" s="133"/>
      <c r="H86" s="133"/>
      <c r="I86" s="12"/>
    </row>
    <row r="87" spans="1:9" ht="16.5">
      <c r="A87" s="458" t="s">
        <v>465</v>
      </c>
      <c r="G87" s="133"/>
      <c r="H87" s="133"/>
      <c r="I87" s="133"/>
    </row>
    <row r="88" spans="1:9" ht="16.5">
      <c r="A88" s="462" t="s">
        <v>466</v>
      </c>
      <c r="C88" s="133"/>
      <c r="E88" s="134"/>
      <c r="F88" s="133"/>
      <c r="G88" s="133"/>
      <c r="H88" s="133"/>
      <c r="I88" s="12"/>
    </row>
    <row r="89" spans="1:9" ht="16.5">
      <c r="A89" s="462" t="s">
        <v>467</v>
      </c>
      <c r="B89" s="462"/>
      <c r="C89" s="133"/>
      <c r="D89" s="462"/>
      <c r="E89" s="134"/>
      <c r="F89" s="133"/>
      <c r="G89" s="133"/>
      <c r="H89" s="133"/>
      <c r="I89" s="12"/>
    </row>
    <row r="90" spans="1:9" ht="16.5">
      <c r="A90" s="462" t="s">
        <v>468</v>
      </c>
      <c r="B90" s="462"/>
      <c r="C90" s="133"/>
      <c r="D90" s="462"/>
      <c r="E90" s="134"/>
      <c r="F90" s="133"/>
      <c r="G90" s="133"/>
      <c r="H90" s="133"/>
      <c r="I90" s="12"/>
    </row>
    <row r="91" spans="1:9" ht="16.5">
      <c r="A91" s="149"/>
      <c r="B91" s="133"/>
      <c r="C91" s="133"/>
      <c r="D91" s="133"/>
      <c r="E91" s="134"/>
      <c r="F91" s="133"/>
      <c r="G91" s="133"/>
      <c r="H91" s="133"/>
      <c r="I91" s="12"/>
    </row>
    <row r="92" spans="1:9" ht="16.5">
      <c r="A92" s="456" t="s">
        <v>469</v>
      </c>
      <c r="B92" s="133"/>
      <c r="D92" s="133"/>
      <c r="E92" s="134"/>
      <c r="F92" s="133"/>
      <c r="G92" s="133"/>
      <c r="H92" s="133"/>
      <c r="I92" s="12"/>
    </row>
    <row r="93" spans="1:9" ht="16.5">
      <c r="A93" s="460" t="s">
        <v>470</v>
      </c>
      <c r="B93" s="133"/>
      <c r="D93" s="133"/>
      <c r="E93" s="134"/>
      <c r="F93" s="133"/>
      <c r="G93" s="133"/>
      <c r="H93" s="133"/>
      <c r="I93" s="12"/>
    </row>
    <row r="94" spans="1:9" ht="16.5">
      <c r="A94" s="462" t="s">
        <v>471</v>
      </c>
      <c r="B94" s="133"/>
      <c r="D94" s="133"/>
      <c r="E94" s="134"/>
      <c r="F94" s="133"/>
      <c r="G94" s="133"/>
      <c r="H94" s="133"/>
      <c r="I94" s="12"/>
    </row>
    <row r="95" spans="1:9" ht="16.5">
      <c r="A95" s="461"/>
      <c r="B95" s="133"/>
      <c r="C95" s="133"/>
      <c r="D95" s="133"/>
      <c r="E95" s="134"/>
      <c r="F95" s="133"/>
      <c r="G95" s="133"/>
      <c r="H95" s="133"/>
      <c r="I95" s="12"/>
    </row>
    <row r="96" spans="1:9" ht="16.5">
      <c r="A96" s="456" t="s">
        <v>472</v>
      </c>
      <c r="C96" s="133"/>
      <c r="D96" s="133"/>
      <c r="E96" s="134"/>
      <c r="F96" s="133"/>
      <c r="G96" s="133"/>
      <c r="H96" s="133"/>
      <c r="I96" s="12"/>
    </row>
    <row r="97" spans="1:9" ht="16.5">
      <c r="A97" s="464" t="s">
        <v>473</v>
      </c>
      <c r="B97" s="133"/>
      <c r="C97" s="133"/>
      <c r="D97" s="133"/>
      <c r="E97" s="134"/>
      <c r="F97" s="133"/>
      <c r="G97" s="133"/>
      <c r="H97" s="133"/>
      <c r="I97" s="12"/>
    </row>
    <row r="98" spans="1:9" ht="16.5">
      <c r="A98" s="465" t="s">
        <v>474</v>
      </c>
      <c r="B98" s="133"/>
      <c r="C98" s="133"/>
      <c r="D98" s="133"/>
      <c r="E98" s="134"/>
      <c r="F98" s="133"/>
      <c r="G98" s="133"/>
      <c r="H98" s="133"/>
      <c r="I98" s="12"/>
    </row>
    <row r="99" spans="1:9" ht="16.5">
      <c r="A99" s="462" t="s">
        <v>475</v>
      </c>
      <c r="B99" s="466"/>
      <c r="C99" s="133"/>
      <c r="D99" s="133"/>
      <c r="E99" s="134"/>
      <c r="F99" s="133"/>
      <c r="G99" s="133"/>
      <c r="H99" s="133"/>
      <c r="I99" s="12"/>
    </row>
    <row r="100" spans="1:9" ht="16.5">
      <c r="A100" s="467"/>
      <c r="B100" s="133"/>
      <c r="C100" s="133"/>
      <c r="D100" s="133"/>
      <c r="E100" s="134"/>
      <c r="F100" s="133"/>
      <c r="G100" s="133"/>
      <c r="H100" s="133"/>
      <c r="I100" s="12"/>
    </row>
    <row r="101" spans="1:9" ht="16.5">
      <c r="A101" s="456" t="s">
        <v>476</v>
      </c>
      <c r="B101" s="133"/>
      <c r="C101" s="133"/>
      <c r="D101" s="133"/>
      <c r="E101" s="134"/>
      <c r="F101" s="133"/>
      <c r="G101" s="133"/>
      <c r="H101" s="133"/>
      <c r="I101" s="12"/>
    </row>
    <row r="102" spans="1:9" ht="16.5">
      <c r="A102" s="464" t="s">
        <v>473</v>
      </c>
      <c r="B102" s="133"/>
      <c r="C102" s="133"/>
      <c r="D102" s="133"/>
      <c r="E102" s="134"/>
      <c r="F102" s="133"/>
      <c r="G102" s="133"/>
      <c r="H102" s="133"/>
      <c r="I102" s="12"/>
    </row>
    <row r="103" spans="1:9" ht="16.5">
      <c r="A103" s="465" t="s">
        <v>477</v>
      </c>
      <c r="B103" s="133"/>
      <c r="C103" s="133"/>
      <c r="D103" s="133"/>
      <c r="E103" s="134"/>
      <c r="F103" s="133"/>
      <c r="G103" s="133"/>
      <c r="H103" s="133"/>
      <c r="I103" s="12"/>
    </row>
    <row r="104" spans="1:9" ht="16.5">
      <c r="A104" s="462" t="s">
        <v>478</v>
      </c>
      <c r="B104" s="133"/>
      <c r="C104" s="133"/>
      <c r="D104" s="133"/>
      <c r="E104" s="134"/>
      <c r="F104" s="133"/>
      <c r="G104" s="133"/>
      <c r="H104" s="133"/>
      <c r="I104" s="12"/>
    </row>
    <row r="105" spans="1:9" ht="16.5">
      <c r="A105" s="467"/>
      <c r="B105" s="133"/>
      <c r="C105" s="133"/>
      <c r="D105" s="133"/>
      <c r="E105" s="134"/>
      <c r="F105" s="133"/>
      <c r="G105" s="133"/>
      <c r="H105" s="133"/>
      <c r="I105" s="12"/>
    </row>
    <row r="106" spans="1:9" ht="16.5">
      <c r="A106" s="419" t="s">
        <v>491</v>
      </c>
    </row>
    <row r="107" spans="1:9" ht="16.5">
      <c r="A107" s="462" t="s">
        <v>492</v>
      </c>
    </row>
    <row r="108" spans="1:9" ht="16.5">
      <c r="A108" s="461" t="s">
        <v>493</v>
      </c>
    </row>
  </sheetData>
  <mergeCells count="1">
    <mergeCell ref="A37:C37"/>
  </mergeCells>
  <hyperlinks>
    <hyperlink ref="A74" r:id="rId1" xr:uid="{102F8BBA-5EBC-498E-8D96-E800B662AF61}"/>
    <hyperlink ref="A79" r:id="rId2" xr:uid="{5662EB99-A65F-4F22-BE90-D1C8F556FB2F}"/>
    <hyperlink ref="A83" r:id="rId3" xr:uid="{29570067-CD0B-4C40-B80E-3B5D2CC3F4C0}"/>
    <hyperlink ref="A94" r:id="rId4" xr:uid="{EA42D6BA-A234-4B0E-803C-27BCB6C4A0E3}"/>
    <hyperlink ref="A99" r:id="rId5" xr:uid="{01820E2B-5225-4E98-9B1D-E2F8CA38BB1C}"/>
    <hyperlink ref="A104" r:id="rId6" xr:uid="{30818D29-C276-46DD-AE60-796F4E9BFC3E}"/>
    <hyperlink ref="A89" r:id="rId7" xr:uid="{C5F1B886-D24F-4AE5-8824-B90B5ED611FC}"/>
    <hyperlink ref="A88" r:id="rId8" display="https://www.cbo.gov/system/files/2025-01/60870-Outlook-2025.pdf" xr:uid="{6B8FB66A-F6B7-40A2-AA73-44D22C4C7E24}"/>
    <hyperlink ref="A90" r:id="rId9" xr:uid="{DBAABAB0-A158-4810-8EF7-F4C282DF110B}"/>
    <hyperlink ref="A87" r:id="rId10" location="4" display="https://www.cbo.gov/data/budget-economic-data - 4" xr:uid="{0DFA69CB-2FA9-4F33-8AEF-3AF25016650F}"/>
    <hyperlink ref="A68" r:id="rId11" xr:uid="{4155B1D4-8062-4442-A5C3-BDC8455F9703}"/>
    <hyperlink ref="A107" r:id="rId12" xr:uid="{8063DECA-60F9-4959-BE84-938CEC3A9417}"/>
    <hyperlink ref="A108" r:id="rId13" xr:uid="{B38588E0-D9B4-429F-B689-C8805045837A}"/>
  </hyperlinks>
  <pageMargins left="0.25" right="0.25" top="0.75" bottom="0.75" header="0.3" footer="0.3"/>
  <pageSetup scale="27" fitToWidth="0" orientation="portrait"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846-3807-4F4D-BD02-A8B0B2C565FB}">
  <sheetPr>
    <tabColor rgb="FF92D050"/>
    <pageSetUpPr fitToPage="1"/>
  </sheetPr>
  <dimension ref="A1:I104"/>
  <sheetViews>
    <sheetView view="pageBreakPreview" zoomScale="70" zoomScaleNormal="80" zoomScaleSheetLayoutView="70" workbookViewId="0">
      <selection activeCell="D52" sqref="D52"/>
    </sheetView>
  </sheetViews>
  <sheetFormatPr defaultRowHeight="15"/>
  <cols>
    <col min="1" max="1" width="45.7109375" customWidth="1"/>
    <col min="2" max="2" width="17.85546875" customWidth="1"/>
    <col min="3" max="3" width="72.140625" customWidth="1"/>
    <col min="4" max="4" width="34.5703125" customWidth="1"/>
    <col min="5" max="5" width="21.7109375" customWidth="1"/>
    <col min="6" max="6" width="17.14062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28515625" customWidth="1"/>
    <col min="12" max="12" width="24.140625" customWidth="1"/>
  </cols>
  <sheetData>
    <row r="1" spans="1:9" ht="26.25">
      <c r="A1" s="23" t="s">
        <v>1</v>
      </c>
      <c r="B1" s="12"/>
      <c r="C1" s="12"/>
      <c r="D1" s="12"/>
      <c r="E1" s="12"/>
      <c r="F1" s="12"/>
      <c r="G1" s="12"/>
      <c r="H1" s="12"/>
      <c r="I1" s="12"/>
    </row>
    <row r="2" spans="1:9" ht="17.25">
      <c r="A2" s="61" t="s">
        <v>9</v>
      </c>
      <c r="B2" s="12"/>
      <c r="C2" s="12"/>
      <c r="D2" s="12"/>
      <c r="E2" s="12"/>
      <c r="F2" s="12"/>
      <c r="G2" s="12"/>
      <c r="H2" s="12"/>
      <c r="I2" s="12"/>
    </row>
    <row r="3" spans="1:9" ht="16.5">
      <c r="A3" s="43" t="s">
        <v>429</v>
      </c>
      <c r="B3" s="12"/>
      <c r="C3" s="12"/>
      <c r="D3" s="12"/>
      <c r="E3" s="12"/>
      <c r="F3" s="12"/>
      <c r="G3" s="12"/>
      <c r="H3" s="12"/>
      <c r="I3" s="12"/>
    </row>
    <row r="4" spans="1:9" ht="16.5">
      <c r="A4" s="12"/>
      <c r="B4" s="12"/>
      <c r="C4" s="12"/>
      <c r="D4" s="12"/>
      <c r="E4" s="12"/>
      <c r="F4" s="12"/>
      <c r="G4" s="12"/>
      <c r="H4" s="12"/>
      <c r="I4" s="12"/>
    </row>
    <row r="5" spans="1:9" ht="18" thickBot="1">
      <c r="A5" s="61"/>
      <c r="B5" s="12"/>
      <c r="C5" s="12"/>
      <c r="D5" s="12"/>
      <c r="E5" s="12"/>
      <c r="F5" s="12"/>
      <c r="G5" s="12"/>
      <c r="H5" s="12"/>
      <c r="I5" s="12"/>
    </row>
    <row r="6" spans="1:9" ht="21" thickBot="1">
      <c r="A6" s="250" t="str">
        <f>+'S&amp;D'!A12</f>
        <v>Liquid Transportation Pipeline Carriers</v>
      </c>
      <c r="B6" s="184"/>
      <c r="C6" s="12"/>
      <c r="D6" s="12"/>
      <c r="E6" s="12"/>
      <c r="F6" s="12"/>
      <c r="G6" s="12"/>
      <c r="H6" s="12"/>
      <c r="I6" s="12"/>
    </row>
    <row r="7" spans="1:9" ht="18" thickBot="1">
      <c r="A7" s="61"/>
      <c r="B7" s="12"/>
      <c r="C7" s="28"/>
      <c r="E7" s="12"/>
      <c r="F7" s="12"/>
      <c r="G7" s="12"/>
      <c r="H7" s="12"/>
      <c r="I7" s="12"/>
    </row>
    <row r="8" spans="1:9" ht="26.25">
      <c r="B8" s="12"/>
      <c r="C8" s="31" t="s">
        <v>147</v>
      </c>
      <c r="F8" s="12" t="s">
        <v>0</v>
      </c>
      <c r="G8" s="12"/>
      <c r="H8" s="12"/>
      <c r="I8" s="12"/>
    </row>
    <row r="9" spans="1:9" ht="21" thickBot="1">
      <c r="A9" s="30"/>
      <c r="B9" s="12"/>
      <c r="C9" s="36" t="s">
        <v>430</v>
      </c>
      <c r="F9" s="12"/>
      <c r="G9" s="12"/>
      <c r="H9" s="12"/>
      <c r="I9" s="12"/>
    </row>
    <row r="10" spans="1:9" ht="20.25">
      <c r="A10" s="30"/>
      <c r="B10" s="12"/>
      <c r="C10" s="12"/>
      <c r="D10" s="12"/>
      <c r="E10" s="12" t="s">
        <v>0</v>
      </c>
      <c r="F10" s="12"/>
      <c r="G10" s="12"/>
      <c r="H10" s="12"/>
      <c r="I10" s="12"/>
    </row>
    <row r="11" spans="1:9" ht="17.25" thickBo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6.5">
      <c r="A12" s="12"/>
      <c r="B12" s="12"/>
      <c r="C12" s="79" t="s">
        <v>0</v>
      </c>
      <c r="D12" s="79" t="s">
        <v>179</v>
      </c>
      <c r="E12" s="12"/>
      <c r="F12" s="12"/>
      <c r="G12" s="12"/>
      <c r="H12" s="12"/>
      <c r="I12" s="12"/>
    </row>
    <row r="13" spans="1:9" ht="21" thickBot="1">
      <c r="A13" s="12"/>
      <c r="B13" s="12"/>
      <c r="C13" s="359" t="s">
        <v>146</v>
      </c>
      <c r="D13" s="81" t="s">
        <v>252</v>
      </c>
      <c r="E13" s="12"/>
      <c r="F13" s="12"/>
      <c r="G13" s="12"/>
      <c r="H13" s="12"/>
      <c r="I13" s="12"/>
    </row>
    <row r="14" spans="1:9" ht="17.25">
      <c r="A14" s="12"/>
      <c r="B14" s="12"/>
      <c r="C14" s="376" t="s">
        <v>390</v>
      </c>
      <c r="D14" s="377">
        <f>+CAPM!F14</f>
        <v>7.4230000000000004E-2</v>
      </c>
      <c r="E14" s="366"/>
      <c r="F14" s="12"/>
      <c r="G14" s="12"/>
      <c r="H14" s="12"/>
      <c r="I14" s="12"/>
    </row>
    <row r="15" spans="1:9" ht="17.25">
      <c r="A15" s="12"/>
      <c r="B15" s="12"/>
      <c r="C15" s="261" t="s">
        <v>391</v>
      </c>
      <c r="D15" s="378">
        <f>+CAPM!F15</f>
        <v>8.2040000000000002E-2</v>
      </c>
      <c r="E15" s="366"/>
      <c r="F15" s="12"/>
      <c r="G15" s="12"/>
      <c r="H15" s="12"/>
      <c r="I15" s="12"/>
    </row>
    <row r="16" spans="1:9" ht="17.25">
      <c r="A16" s="12"/>
      <c r="B16" s="12"/>
      <c r="C16" s="261" t="s">
        <v>404</v>
      </c>
      <c r="D16" s="378">
        <f>+CAPM!F17</f>
        <v>9.6229999999999996E-2</v>
      </c>
      <c r="E16" s="366"/>
      <c r="F16" s="12"/>
      <c r="G16" s="12"/>
      <c r="H16" s="12"/>
      <c r="I16" s="12"/>
    </row>
    <row r="17" spans="1:9" ht="17.25">
      <c r="A17" s="12"/>
      <c r="B17" s="12"/>
      <c r="C17" s="261" t="s">
        <v>418</v>
      </c>
      <c r="D17" s="378">
        <f>+CAPM!F18</f>
        <v>0.11624999999999999</v>
      </c>
      <c r="E17" s="366"/>
      <c r="F17" s="12"/>
      <c r="G17" s="12"/>
      <c r="H17" s="12"/>
      <c r="I17" s="12"/>
    </row>
    <row r="18" spans="1:9" ht="17.25">
      <c r="A18" s="12"/>
      <c r="B18" s="12"/>
      <c r="C18" s="261" t="s">
        <v>405</v>
      </c>
      <c r="D18" s="378">
        <f>+CAPM!F19</f>
        <v>9.425E-2</v>
      </c>
      <c r="E18" s="366"/>
      <c r="F18" s="12"/>
      <c r="G18" s="12"/>
      <c r="H18" s="12"/>
      <c r="I18" s="12"/>
    </row>
    <row r="19" spans="1:9" ht="17.25">
      <c r="A19" s="12"/>
      <c r="B19" s="12"/>
      <c r="C19" s="261" t="s">
        <v>406</v>
      </c>
      <c r="D19" s="378">
        <f>+CAPM!F20</f>
        <v>9.0510000000000007E-2</v>
      </c>
      <c r="E19" s="366"/>
      <c r="F19" s="12"/>
      <c r="G19" s="12"/>
      <c r="H19" s="12"/>
      <c r="I19" s="12"/>
    </row>
    <row r="20" spans="1:9" ht="17.25">
      <c r="A20" s="12"/>
      <c r="B20" s="12"/>
      <c r="C20" s="261" t="s">
        <v>148</v>
      </c>
      <c r="D20" s="378">
        <f>+CAPM!F22</f>
        <v>0.10789000000000001</v>
      </c>
      <c r="E20" s="366"/>
      <c r="F20" s="12"/>
      <c r="G20" s="12"/>
      <c r="H20" s="12"/>
      <c r="I20" s="12"/>
    </row>
    <row r="21" spans="1:9" ht="17.25">
      <c r="A21" s="12"/>
      <c r="B21" s="12"/>
      <c r="C21" s="261" t="s">
        <v>149</v>
      </c>
      <c r="D21" s="378">
        <f>+CAPM!F24</f>
        <v>0.1091</v>
      </c>
      <c r="E21" s="366"/>
      <c r="F21" s="12"/>
      <c r="G21" s="12"/>
      <c r="H21" s="12"/>
      <c r="I21" s="12"/>
    </row>
    <row r="22" spans="1:9" ht="17.25">
      <c r="A22" s="12"/>
      <c r="B22" s="12"/>
      <c r="C22" s="261" t="s">
        <v>150</v>
      </c>
      <c r="D22" s="378">
        <f>+CAPM!F26</f>
        <v>0.12241000000000002</v>
      </c>
      <c r="E22" s="389"/>
      <c r="G22" s="12"/>
      <c r="H22" s="12"/>
      <c r="I22" s="12"/>
    </row>
    <row r="23" spans="1:9" ht="17.25">
      <c r="A23" s="12"/>
      <c r="B23" s="12"/>
      <c r="C23" s="261" t="s">
        <v>151</v>
      </c>
      <c r="D23" s="378">
        <f>+CAPM!F27</f>
        <v>0.10866000000000001</v>
      </c>
      <c r="E23" s="389"/>
      <c r="G23" s="12"/>
      <c r="H23" s="12"/>
      <c r="I23" s="12"/>
    </row>
    <row r="24" spans="1:9" ht="17.25">
      <c r="A24" s="12"/>
      <c r="B24" s="12"/>
      <c r="C24" s="262" t="s">
        <v>407</v>
      </c>
      <c r="D24" s="378">
        <f>+CAPM!F29</f>
        <v>0.12901000000000001</v>
      </c>
      <c r="E24" s="389"/>
      <c r="G24" s="12"/>
      <c r="H24" s="12"/>
      <c r="I24" s="12"/>
    </row>
    <row r="25" spans="1:9" ht="17.25">
      <c r="A25" s="12"/>
      <c r="B25" s="12"/>
      <c r="C25" s="262" t="s">
        <v>408</v>
      </c>
      <c r="D25" s="378">
        <f>+CAPM!F30</f>
        <v>0.11746000000000001</v>
      </c>
      <c r="E25" s="379"/>
      <c r="F25" s="12"/>
      <c r="G25" s="12"/>
      <c r="H25" s="12"/>
      <c r="I25" s="12"/>
    </row>
    <row r="26" spans="1:9" ht="17.25">
      <c r="A26" s="12"/>
      <c r="B26" s="12"/>
      <c r="C26" s="262" t="s">
        <v>409</v>
      </c>
      <c r="D26" s="378">
        <f>+CAPM!F31</f>
        <v>0.1036</v>
      </c>
      <c r="E26" s="379"/>
      <c r="F26" s="12"/>
      <c r="G26" s="12"/>
      <c r="H26" s="12"/>
      <c r="I26" s="12"/>
    </row>
    <row r="27" spans="1:9" ht="17.25">
      <c r="A27" s="12"/>
      <c r="B27" s="12"/>
      <c r="C27" s="261" t="s">
        <v>388</v>
      </c>
      <c r="D27" s="378">
        <f>+CAPM!G40</f>
        <v>7.3647500000000005E-2</v>
      </c>
      <c r="E27" s="366"/>
      <c r="F27" s="12"/>
      <c r="G27" s="12"/>
      <c r="H27" s="12"/>
      <c r="I27" s="12"/>
    </row>
    <row r="28" spans="1:9" ht="17.25">
      <c r="A28" s="12"/>
      <c r="B28" s="12"/>
      <c r="C28" s="261" t="s">
        <v>389</v>
      </c>
      <c r="D28" s="378">
        <f>+CAPM!G41</f>
        <v>8.1280000000000005E-2</v>
      </c>
      <c r="E28" s="366"/>
      <c r="F28" s="12"/>
      <c r="G28" s="12"/>
      <c r="H28" s="12"/>
      <c r="I28" s="12"/>
    </row>
    <row r="29" spans="1:9" ht="17.25">
      <c r="A29" s="12"/>
      <c r="B29" s="12"/>
      <c r="C29" s="261" t="s">
        <v>410</v>
      </c>
      <c r="D29" s="378">
        <f>+CAPM!G43</f>
        <v>9.5147499999999996E-2</v>
      </c>
      <c r="E29" s="366"/>
      <c r="F29" s="12"/>
      <c r="G29" s="12"/>
      <c r="H29" s="12"/>
      <c r="I29" s="12"/>
    </row>
    <row r="30" spans="1:9" ht="17.25">
      <c r="A30" s="12"/>
      <c r="B30" s="12"/>
      <c r="C30" s="261" t="s">
        <v>419</v>
      </c>
      <c r="D30" s="378">
        <f>+CAPM!G44</f>
        <v>0.1147125</v>
      </c>
      <c r="E30" s="366"/>
      <c r="F30" s="12"/>
      <c r="G30" s="12"/>
      <c r="H30" s="12"/>
      <c r="I30" s="12"/>
    </row>
    <row r="31" spans="1:9" ht="17.25">
      <c r="A31" s="12"/>
      <c r="B31" s="12"/>
      <c r="C31" s="261" t="s">
        <v>411</v>
      </c>
      <c r="D31" s="378">
        <f>+CAPM!G45</f>
        <v>9.3212500000000004E-2</v>
      </c>
      <c r="E31" s="366"/>
      <c r="F31" s="12"/>
      <c r="G31" s="12"/>
      <c r="H31" s="12"/>
      <c r="I31" s="12"/>
    </row>
    <row r="32" spans="1:9" ht="17.25">
      <c r="A32" s="12"/>
      <c r="B32" s="12"/>
      <c r="C32" s="261" t="s">
        <v>412</v>
      </c>
      <c r="D32" s="378">
        <f>+CAPM!G46</f>
        <v>8.9557499999999998E-2</v>
      </c>
      <c r="E32" s="366"/>
      <c r="F32" s="12"/>
      <c r="G32" s="12"/>
      <c r="H32" s="12"/>
      <c r="I32" s="12"/>
    </row>
    <row r="33" spans="1:9" ht="17.25">
      <c r="A33" s="12"/>
      <c r="B33" s="12"/>
      <c r="C33" s="261" t="s">
        <v>152</v>
      </c>
      <c r="D33" s="378">
        <f>+CAPM!G48</f>
        <v>0.10654250000000001</v>
      </c>
      <c r="E33" s="366"/>
      <c r="F33" s="12"/>
      <c r="G33" s="12"/>
      <c r="H33" s="12"/>
      <c r="I33" s="12"/>
    </row>
    <row r="34" spans="1:9" ht="17.25">
      <c r="A34" s="12"/>
      <c r="B34" s="12"/>
      <c r="C34" s="261" t="s">
        <v>153</v>
      </c>
      <c r="D34" s="378">
        <f>+CAPM!G50</f>
        <v>0.107725</v>
      </c>
      <c r="E34" s="366"/>
      <c r="F34" s="12"/>
      <c r="G34" s="12"/>
      <c r="H34" s="12"/>
      <c r="I34" s="12"/>
    </row>
    <row r="35" spans="1:9" ht="17.25">
      <c r="A35" s="12"/>
      <c r="B35" s="12"/>
      <c r="C35" s="262" t="s">
        <v>154</v>
      </c>
      <c r="D35" s="378">
        <f>+CAPM!G52</f>
        <v>0.12073250000000002</v>
      </c>
      <c r="E35" s="366"/>
      <c r="F35" s="12"/>
      <c r="G35" s="12"/>
      <c r="H35" s="12"/>
      <c r="I35" s="12"/>
    </row>
    <row r="36" spans="1:9" ht="17.25">
      <c r="A36" s="12"/>
      <c r="B36" s="12"/>
      <c r="C36" s="261" t="s">
        <v>155</v>
      </c>
      <c r="D36" s="385">
        <f>+CAPM!G53</f>
        <v>0.107295</v>
      </c>
      <c r="E36" s="366"/>
      <c r="F36" s="12"/>
      <c r="G36" s="12"/>
      <c r="H36" s="12"/>
      <c r="I36" s="12"/>
    </row>
    <row r="37" spans="1:9" ht="16.5" customHeight="1">
      <c r="A37" s="12"/>
      <c r="B37" s="12"/>
      <c r="C37" s="262" t="s">
        <v>413</v>
      </c>
      <c r="D37" s="385">
        <f>+CAPM!G55</f>
        <v>0.1271825</v>
      </c>
      <c r="E37" s="366" t="s">
        <v>0</v>
      </c>
      <c r="F37" s="12"/>
      <c r="G37" s="12"/>
      <c r="H37" s="12"/>
      <c r="I37" s="12"/>
    </row>
    <row r="38" spans="1:9" ht="16.5" customHeight="1">
      <c r="A38" s="12"/>
      <c r="B38" s="12"/>
      <c r="C38" s="262" t="s">
        <v>414</v>
      </c>
      <c r="D38" s="385">
        <f>+CAPM!G56</f>
        <v>0.115895</v>
      </c>
      <c r="E38" s="366"/>
      <c r="F38" s="12"/>
      <c r="G38" s="12"/>
      <c r="H38" s="12"/>
      <c r="I38" s="12"/>
    </row>
    <row r="39" spans="1:9" ht="18.75" customHeight="1">
      <c r="A39" s="12"/>
      <c r="B39" s="12"/>
      <c r="C39" s="262" t="s">
        <v>415</v>
      </c>
      <c r="D39" s="385">
        <f>+CAPM!G57</f>
        <v>0.10235</v>
      </c>
      <c r="E39" s="380"/>
      <c r="F39" s="12"/>
      <c r="G39" s="12"/>
      <c r="H39" s="12"/>
      <c r="I39" s="12"/>
    </row>
    <row r="40" spans="1:9" ht="21.75" customHeight="1">
      <c r="A40" s="12"/>
      <c r="B40" s="12"/>
      <c r="C40" s="386" t="s">
        <v>223</v>
      </c>
      <c r="D40" s="202">
        <f>+'Single Stage Div Growth Model'!I29</f>
        <v>0.1812</v>
      </c>
      <c r="G40" s="12"/>
      <c r="H40" s="12"/>
      <c r="I40" s="12"/>
    </row>
    <row r="41" spans="1:9" ht="21.75" customHeight="1">
      <c r="A41" s="12"/>
      <c r="B41" s="12"/>
      <c r="C41" s="263" t="s">
        <v>222</v>
      </c>
      <c r="D41" s="202">
        <f>+'Single Stage Div Growth Model'!I31</f>
        <v>0.16869999999999999</v>
      </c>
      <c r="G41" s="12"/>
      <c r="H41" s="12"/>
      <c r="I41" s="12"/>
    </row>
    <row r="42" spans="1:9" ht="21.75" customHeight="1">
      <c r="A42" s="12"/>
      <c r="B42" s="12"/>
      <c r="C42" s="381" t="s">
        <v>224</v>
      </c>
      <c r="D42" s="382">
        <f>+'Two-Stage Div Growth Model'!H33</f>
        <v>0.1487</v>
      </c>
      <c r="G42" s="82" t="s">
        <v>0</v>
      </c>
      <c r="H42" s="12"/>
      <c r="I42" s="12"/>
    </row>
    <row r="43" spans="1:9" ht="21.75" customHeight="1">
      <c r="A43" s="12"/>
      <c r="B43" s="12"/>
      <c r="C43" s="357" t="s">
        <v>328</v>
      </c>
      <c r="D43" s="358">
        <f>+'Direct NOPAT'!G57</f>
        <v>0.1166</v>
      </c>
      <c r="G43" s="12"/>
      <c r="H43" s="12"/>
      <c r="I43" s="12"/>
    </row>
    <row r="44" spans="1:9" ht="17.25" thickBot="1">
      <c r="A44" s="12"/>
      <c r="B44" s="12"/>
      <c r="C44" s="12"/>
      <c r="D44" s="69"/>
      <c r="E44" s="12"/>
      <c r="F44" s="12"/>
      <c r="G44" s="12"/>
      <c r="H44" s="12"/>
      <c r="I44" s="12"/>
    </row>
    <row r="45" spans="1:9" ht="17.25" thickTop="1">
      <c r="A45" s="12"/>
      <c r="B45" s="12"/>
      <c r="C45" s="14" t="s">
        <v>45</v>
      </c>
      <c r="D45" s="51">
        <f>MAX(D14:D42)</f>
        <v>0.1812</v>
      </c>
      <c r="E45" s="148"/>
      <c r="F45" s="12"/>
      <c r="G45" s="12"/>
      <c r="H45" s="12"/>
      <c r="I45" s="12"/>
    </row>
    <row r="46" spans="1:9" ht="16.5">
      <c r="A46" s="12"/>
      <c r="B46" s="12"/>
      <c r="C46" s="14" t="s">
        <v>46</v>
      </c>
      <c r="D46" s="336">
        <f>MIN(D14:D42)</f>
        <v>7.3647500000000005E-2</v>
      </c>
      <c r="E46" s="12"/>
      <c r="F46" s="12"/>
      <c r="G46" s="51"/>
      <c r="H46" s="51"/>
      <c r="I46" s="51"/>
    </row>
    <row r="47" spans="1:9" ht="16.5">
      <c r="A47" s="12"/>
      <c r="B47" s="12"/>
      <c r="C47" s="14" t="s">
        <v>18</v>
      </c>
      <c r="D47" s="82">
        <f>MEDIAN(D14:D42)</f>
        <v>0.107725</v>
      </c>
      <c r="E47" s="82"/>
      <c r="F47" s="82"/>
      <c r="G47" s="82"/>
      <c r="H47" s="82"/>
      <c r="I47" s="82"/>
    </row>
    <row r="48" spans="1:9" ht="16.5">
      <c r="A48" s="12"/>
      <c r="B48" s="12"/>
      <c r="C48" s="14" t="s">
        <v>392</v>
      </c>
      <c r="D48" s="83">
        <f>AVERAGE(D14:D42)</f>
        <v>0.1098455172413793</v>
      </c>
      <c r="E48" s="83"/>
      <c r="F48" s="83"/>
      <c r="G48" s="83"/>
      <c r="H48" s="83"/>
      <c r="I48" s="83"/>
    </row>
    <row r="49" spans="1:9" ht="16.5">
      <c r="A49" s="12"/>
      <c r="B49" s="12"/>
      <c r="C49" s="14"/>
      <c r="D49" s="83"/>
      <c r="E49" s="12"/>
      <c r="F49" s="12"/>
      <c r="G49" s="12"/>
      <c r="H49" s="12"/>
      <c r="I49" s="12"/>
    </row>
    <row r="50" spans="1:9" ht="17.25" thickBot="1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27" thickBot="1">
      <c r="A51" s="12"/>
      <c r="B51" s="12"/>
      <c r="C51" s="192" t="s">
        <v>232</v>
      </c>
      <c r="D51" s="388">
        <v>0.10979999999999999</v>
      </c>
      <c r="E51" s="84"/>
      <c r="F51" s="84"/>
    </row>
    <row r="52" spans="1:9" ht="17.25">
      <c r="A52" s="107" t="s">
        <v>0</v>
      </c>
      <c r="B52" s="12"/>
      <c r="C52" s="12"/>
      <c r="D52" s="12"/>
      <c r="E52" s="12"/>
      <c r="F52" s="12"/>
      <c r="G52" s="12"/>
      <c r="H52" s="12"/>
      <c r="I52" s="12"/>
    </row>
    <row r="53" spans="1:9" ht="17.25">
      <c r="A53" s="107" t="s">
        <v>0</v>
      </c>
      <c r="B53" s="12"/>
      <c r="C53" s="12"/>
      <c r="D53" s="12"/>
      <c r="E53" s="12"/>
      <c r="F53" s="12"/>
      <c r="G53" s="12"/>
      <c r="H53" s="12"/>
      <c r="I53" s="12"/>
    </row>
    <row r="54" spans="1:9" ht="16.5">
      <c r="A54" s="12"/>
      <c r="B54" s="12"/>
      <c r="C54" s="12"/>
      <c r="D54" s="12"/>
      <c r="E54" s="12"/>
      <c r="F54" s="12"/>
      <c r="G54" s="12"/>
      <c r="H54" s="12"/>
      <c r="I54" s="12"/>
    </row>
    <row r="55" spans="1:9" ht="16.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6.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6.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6.5">
      <c r="A58" s="12"/>
      <c r="B58" s="12"/>
      <c r="C58" s="12"/>
      <c r="D58" s="12" t="s">
        <v>0</v>
      </c>
      <c r="E58" s="12"/>
      <c r="F58" s="12"/>
      <c r="G58" s="12"/>
      <c r="H58" s="12"/>
      <c r="I58" s="12"/>
    </row>
    <row r="59" spans="1:9" ht="16.5">
      <c r="A59" s="12"/>
      <c r="B59" s="12"/>
      <c r="C59" s="12"/>
      <c r="D59" s="12" t="s">
        <v>0</v>
      </c>
      <c r="E59" s="12"/>
      <c r="F59" s="12"/>
      <c r="G59" s="12"/>
      <c r="H59" s="12"/>
      <c r="I59" s="12"/>
    </row>
    <row r="60" spans="1:9" ht="16.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6.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16.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16.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16.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6.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6.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6.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6.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6.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6.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6.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6.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6.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6.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6.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6.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6.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6.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6.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6.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6.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6.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6.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6.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6.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6.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6.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6.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6.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6.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6.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6.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6.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6.5">
      <c r="A104" s="12"/>
      <c r="B104" s="12"/>
      <c r="C104" s="12"/>
      <c r="D104" s="12"/>
      <c r="E104" s="12"/>
      <c r="F104" s="12"/>
      <c r="G104" s="12"/>
      <c r="H104" s="12"/>
      <c r="I104" s="12"/>
    </row>
  </sheetData>
  <pageMargins left="0.25" right="0.25" top="0.75" bottom="0.75" header="0.3" footer="0.3"/>
  <pageSetup scale="4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44"/>
  <sheetViews>
    <sheetView view="pageBreakPreview" topLeftCell="A5" zoomScale="60" zoomScaleNormal="80" workbookViewId="0">
      <selection activeCell="I29" sqref="I29"/>
    </sheetView>
  </sheetViews>
  <sheetFormatPr defaultRowHeight="15"/>
  <cols>
    <col min="1" max="1" width="45.140625" customWidth="1"/>
    <col min="2" max="2" width="10.85546875" bestFit="1" customWidth="1"/>
    <col min="3" max="3" width="19.140625" bestFit="1" customWidth="1"/>
    <col min="4" max="4" width="17.85546875" customWidth="1"/>
    <col min="5" max="5" width="27.140625" customWidth="1"/>
    <col min="6" max="6" width="24.5703125" customWidth="1"/>
    <col min="7" max="7" width="29.28515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6.5">
      <c r="A3" s="25" t="s">
        <v>429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6.5">
      <c r="A4" s="25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7.25" thickBot="1">
      <c r="A5" s="12"/>
      <c r="B5" s="12"/>
      <c r="C5" s="12"/>
      <c r="D5" s="12"/>
      <c r="E5" s="12"/>
      <c r="F5" s="12" t="s">
        <v>0</v>
      </c>
      <c r="G5" s="12"/>
      <c r="H5" s="26"/>
      <c r="I5" s="12"/>
      <c r="J5" s="12"/>
      <c r="K5" s="12"/>
    </row>
    <row r="6" spans="1:11" ht="18" thickBot="1">
      <c r="A6" s="252" t="str">
        <f>+'S&amp;D'!A12</f>
        <v>Liquid Transportation Pipeline Carriers</v>
      </c>
      <c r="B6" s="184"/>
      <c r="C6" s="12"/>
      <c r="D6" s="28"/>
      <c r="E6" s="28"/>
      <c r="F6" s="28"/>
      <c r="G6" s="29" t="s">
        <v>0</v>
      </c>
      <c r="H6" s="28"/>
      <c r="I6" s="12"/>
      <c r="J6" s="12"/>
      <c r="K6" s="12"/>
    </row>
    <row r="7" spans="1:11" ht="26.25">
      <c r="A7" s="30"/>
      <c r="B7" s="12"/>
      <c r="C7" s="12"/>
      <c r="D7" s="12"/>
      <c r="E7" s="12"/>
      <c r="F7" s="31" t="s">
        <v>387</v>
      </c>
      <c r="G7" s="12"/>
      <c r="H7" s="12"/>
      <c r="I7" s="12"/>
      <c r="J7" s="12"/>
      <c r="K7" s="12"/>
    </row>
    <row r="8" spans="1:11" ht="21" thickBot="1">
      <c r="A8" s="30"/>
      <c r="B8" s="12"/>
      <c r="C8" s="12"/>
      <c r="D8" s="28"/>
      <c r="E8" s="151"/>
      <c r="F8" s="97" t="s">
        <v>430</v>
      </c>
      <c r="G8" s="28"/>
      <c r="H8" s="28"/>
      <c r="I8" s="12"/>
      <c r="J8" s="12"/>
      <c r="K8" s="12"/>
    </row>
    <row r="9" spans="1:11" ht="17.25" thickBot="1">
      <c r="A9" s="33" t="s">
        <v>0</v>
      </c>
      <c r="B9" s="33" t="s">
        <v>0</v>
      </c>
      <c r="C9" s="151"/>
      <c r="D9" s="28"/>
      <c r="E9" s="33" t="s">
        <v>0</v>
      </c>
      <c r="F9" s="33" t="s">
        <v>0</v>
      </c>
      <c r="G9" s="33"/>
      <c r="H9" s="28"/>
      <c r="I9" s="28"/>
      <c r="J9" s="28"/>
      <c r="K9" s="12"/>
    </row>
    <row r="10" spans="1:11" ht="16.5">
      <c r="A10" s="34" t="s">
        <v>0</v>
      </c>
      <c r="B10" s="34" t="s">
        <v>3</v>
      </c>
      <c r="C10" s="34" t="s">
        <v>5</v>
      </c>
      <c r="D10" s="34" t="s">
        <v>156</v>
      </c>
      <c r="E10" s="34" t="s">
        <v>0</v>
      </c>
      <c r="F10" s="34" t="s">
        <v>167</v>
      </c>
      <c r="G10" s="34" t="s">
        <v>168</v>
      </c>
      <c r="H10" s="34" t="s">
        <v>168</v>
      </c>
      <c r="I10" s="34" t="s">
        <v>164</v>
      </c>
      <c r="J10" s="34" t="s">
        <v>164</v>
      </c>
      <c r="K10" s="12"/>
    </row>
    <row r="11" spans="1:11" ht="16.5">
      <c r="A11" s="34" t="s">
        <v>2</v>
      </c>
      <c r="B11" s="34" t="s">
        <v>4</v>
      </c>
      <c r="C11" s="34" t="s">
        <v>6</v>
      </c>
      <c r="D11" s="34" t="s">
        <v>193</v>
      </c>
      <c r="E11" s="34" t="s">
        <v>14</v>
      </c>
      <c r="F11" s="34" t="s">
        <v>383</v>
      </c>
      <c r="G11" s="34" t="s">
        <v>194</v>
      </c>
      <c r="H11" s="34" t="s">
        <v>195</v>
      </c>
      <c r="I11" s="34" t="s">
        <v>159</v>
      </c>
      <c r="J11" s="34" t="s">
        <v>162</v>
      </c>
      <c r="K11" s="12"/>
    </row>
    <row r="12" spans="1:11" ht="16.5">
      <c r="A12" s="34"/>
      <c r="B12" s="34"/>
      <c r="C12" s="34"/>
      <c r="D12" s="34"/>
      <c r="E12" s="34"/>
      <c r="F12" s="35" t="s">
        <v>0</v>
      </c>
      <c r="G12" s="35" t="s">
        <v>425</v>
      </c>
      <c r="H12" s="35" t="s">
        <v>425</v>
      </c>
      <c r="I12" s="34"/>
      <c r="J12" s="34"/>
      <c r="K12" s="12"/>
    </row>
    <row r="13" spans="1:11" ht="17.25" thickBot="1">
      <c r="A13" s="36" t="s">
        <v>24</v>
      </c>
      <c r="B13" s="37" t="s">
        <v>89</v>
      </c>
      <c r="C13" s="37" t="s">
        <v>90</v>
      </c>
      <c r="D13" s="37" t="s">
        <v>91</v>
      </c>
      <c r="E13" s="37" t="s">
        <v>92</v>
      </c>
      <c r="F13" s="37" t="s">
        <v>93</v>
      </c>
      <c r="G13" s="37" t="s">
        <v>94</v>
      </c>
      <c r="H13" s="37" t="s">
        <v>95</v>
      </c>
      <c r="I13" s="37" t="s">
        <v>165</v>
      </c>
      <c r="J13" s="37" t="s">
        <v>166</v>
      </c>
      <c r="K13" s="12"/>
    </row>
    <row r="14" spans="1:11" ht="16.5">
      <c r="A14" s="38" t="s">
        <v>7</v>
      </c>
      <c r="B14" s="38" t="s">
        <v>7</v>
      </c>
      <c r="C14" s="38" t="s">
        <v>7</v>
      </c>
      <c r="D14" s="39" t="s">
        <v>113</v>
      </c>
      <c r="E14" s="39"/>
      <c r="F14" s="38" t="s">
        <v>0</v>
      </c>
      <c r="G14" s="38" t="s">
        <v>7</v>
      </c>
      <c r="H14" s="38" t="s">
        <v>7</v>
      </c>
      <c r="I14" s="38" t="s">
        <v>15</v>
      </c>
      <c r="J14" s="38" t="s">
        <v>15</v>
      </c>
      <c r="K14" s="12"/>
    </row>
    <row r="15" spans="1:11" ht="16.5">
      <c r="A15" s="34"/>
      <c r="B15" s="34"/>
      <c r="C15" s="34"/>
      <c r="D15" s="34"/>
      <c r="E15" s="34"/>
      <c r="F15" s="34"/>
      <c r="G15" s="34"/>
      <c r="H15" s="12"/>
      <c r="I15" s="12"/>
      <c r="J15" s="12"/>
      <c r="K15" s="12"/>
    </row>
    <row r="16" spans="1:11" ht="16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7.25">
      <c r="A17" s="61" t="str">
        <f>+'S&amp;D'!A22</f>
        <v>Energy Transfer LP</v>
      </c>
      <c r="B17" s="90" t="str">
        <f>+'S&amp;D'!B22</f>
        <v>ET</v>
      </c>
      <c r="C17" s="90" t="str">
        <f>+'S&amp;D'!C22</f>
        <v>Pipeline MLPs</v>
      </c>
      <c r="D17" s="58">
        <f>+'S&amp;D'!G22</f>
        <v>19.59</v>
      </c>
      <c r="E17" s="59">
        <f>+'S&amp;D'!D37</f>
        <v>67217501144.760002</v>
      </c>
      <c r="F17" s="52">
        <f>+'Dividends '!H16</f>
        <v>6.9423175089331296E-2</v>
      </c>
      <c r="G17" s="52">
        <v>8.5000000000000006E-2</v>
      </c>
      <c r="H17" s="52">
        <v>7.4999999999999997E-2</v>
      </c>
      <c r="I17" s="315">
        <f t="shared" ref="I17:I19" si="0">+F17+G17</f>
        <v>0.15442317508933129</v>
      </c>
      <c r="J17" s="315">
        <f t="shared" ref="J17:J19" si="1">+F17+H17</f>
        <v>0.14442317508933128</v>
      </c>
      <c r="K17" s="12"/>
    </row>
    <row r="18" spans="1:11" ht="17.25">
      <c r="A18" s="61" t="str">
        <f>+'S&amp;D'!A23</f>
        <v>Enterprise Products Partnership LP</v>
      </c>
      <c r="B18" s="90" t="str">
        <f>+'S&amp;D'!B23</f>
        <v>EPD</v>
      </c>
      <c r="C18" s="90" t="str">
        <f>+'S&amp;D'!C23</f>
        <v>Pipeline MLPs</v>
      </c>
      <c r="D18" s="58">
        <f>+'S&amp;D'!G23</f>
        <v>31.36</v>
      </c>
      <c r="E18" s="59">
        <f>+'S&amp;D'!D38</f>
        <v>67916350808.32</v>
      </c>
      <c r="F18" s="52">
        <f>+'Dividends '!H17</f>
        <v>7.3979591836734693E-2</v>
      </c>
      <c r="G18" s="52">
        <v>0.105</v>
      </c>
      <c r="H18" s="52">
        <v>0.06</v>
      </c>
      <c r="I18" s="315">
        <f t="shared" si="0"/>
        <v>0.17897959183673467</v>
      </c>
      <c r="J18" s="315">
        <f t="shared" si="1"/>
        <v>0.13397959183673469</v>
      </c>
      <c r="K18" s="12"/>
    </row>
    <row r="19" spans="1:11" ht="17.25">
      <c r="A19" s="61" t="str">
        <f>+'S&amp;D'!A24</f>
        <v>Hess Midstream LP</v>
      </c>
      <c r="B19" s="90" t="str">
        <f>+'S&amp;D'!B24</f>
        <v>HESM</v>
      </c>
      <c r="C19" s="90" t="str">
        <f>+'S&amp;D'!C24</f>
        <v>Pipeline MLPs</v>
      </c>
      <c r="D19" s="58">
        <f>+'S&amp;D'!G24</f>
        <v>37.03</v>
      </c>
      <c r="E19" s="59">
        <f>+'S&amp;D'!D39</f>
        <v>4322767407</v>
      </c>
      <c r="F19" s="52">
        <f>+'Dividends '!H18</f>
        <v>9.0467188765865514E-2</v>
      </c>
      <c r="G19" s="52">
        <v>0.09</v>
      </c>
      <c r="H19" s="340">
        <v>0.105</v>
      </c>
      <c r="I19" s="315">
        <f t="shared" si="0"/>
        <v>0.18046718876586551</v>
      </c>
      <c r="J19" s="315">
        <f t="shared" si="1"/>
        <v>0.1954671887658655</v>
      </c>
      <c r="K19" s="12"/>
    </row>
    <row r="20" spans="1:11" ht="17.25">
      <c r="A20" s="61" t="str">
        <f>+'S&amp;D'!A25</f>
        <v>MPLX, LP</v>
      </c>
      <c r="B20" s="90" t="str">
        <f>+'S&amp;D'!B25</f>
        <v>MPLX</v>
      </c>
      <c r="C20" s="90" t="str">
        <f>+'S&amp;D'!C25</f>
        <v>Pipeline MLPs</v>
      </c>
      <c r="D20" s="58">
        <f>+'S&amp;D'!G25</f>
        <v>47.86</v>
      </c>
      <c r="E20" s="59">
        <f>+'S&amp;D'!D40</f>
        <v>48937318118.659996</v>
      </c>
      <c r="F20" s="52">
        <f>+'Dividends '!H19</f>
        <v>8.0442958629335565E-2</v>
      </c>
      <c r="G20" s="52">
        <v>6.5000000000000002E-2</v>
      </c>
      <c r="H20" s="52">
        <v>0.08</v>
      </c>
      <c r="I20" s="315">
        <f t="shared" ref="I20:I22" si="2">+F20+G20</f>
        <v>0.14544295862933557</v>
      </c>
      <c r="J20" s="315">
        <f t="shared" ref="J20:J22" si="3">+F20+H20</f>
        <v>0.16044295862933555</v>
      </c>
      <c r="K20" s="12"/>
    </row>
    <row r="21" spans="1:11" ht="17.25">
      <c r="A21" s="61" t="str">
        <f>+'S&amp;D'!A26</f>
        <v>Plains All American Pipeline LP</v>
      </c>
      <c r="B21" s="90" t="str">
        <f>+'S&amp;D'!B26</f>
        <v>PAA</v>
      </c>
      <c r="C21" s="90" t="str">
        <f>+'S&amp;D'!C26</f>
        <v>Pipeline MLPs</v>
      </c>
      <c r="D21" s="58">
        <f>+'S&amp;D'!G26</f>
        <v>17.079999999999998</v>
      </c>
      <c r="E21" s="59">
        <f>+'S&amp;D'!D41</f>
        <v>12020493225.999998</v>
      </c>
      <c r="F21" s="52">
        <f>+'Dividends '!H20</f>
        <v>0.10538641686182672</v>
      </c>
      <c r="G21" s="340">
        <v>0.13500000000000001</v>
      </c>
      <c r="H21" s="343">
        <v>0.125</v>
      </c>
      <c r="I21" s="341">
        <f>+F21+G21</f>
        <v>0.24038641686182671</v>
      </c>
      <c r="J21" s="315">
        <f t="shared" si="3"/>
        <v>0.2303864168618267</v>
      </c>
      <c r="K21" s="12"/>
    </row>
    <row r="22" spans="1:11" ht="18" thickBot="1">
      <c r="A22" s="61" t="str">
        <f>+'S&amp;D'!A27</f>
        <v>Western Midstream Partners LP</v>
      </c>
      <c r="B22" s="90" t="str">
        <f>+'S&amp;D'!B27</f>
        <v>WES</v>
      </c>
      <c r="C22" s="90" t="str">
        <f>+'S&amp;D'!C27</f>
        <v>Pipeline MLPs</v>
      </c>
      <c r="D22" s="58">
        <f>+'S&amp;D'!G27</f>
        <v>38.43</v>
      </c>
      <c r="E22" s="59">
        <f>+'S&amp;D'!D42</f>
        <v>14654171294.91</v>
      </c>
      <c r="F22" s="316">
        <f>+'Dividends '!H21</f>
        <v>9.7580015612802495E-2</v>
      </c>
      <c r="G22" s="316">
        <v>0.09</v>
      </c>
      <c r="H22" s="316">
        <v>0.05</v>
      </c>
      <c r="I22" s="317">
        <f t="shared" si="2"/>
        <v>0.18758001561280249</v>
      </c>
      <c r="J22" s="342">
        <f t="shared" si="3"/>
        <v>0.14758001561280248</v>
      </c>
      <c r="K22" s="12"/>
    </row>
    <row r="23" spans="1:11" ht="17.25" thickTop="1">
      <c r="A23" s="12"/>
      <c r="B23" s="12"/>
      <c r="C23" s="14" t="s">
        <v>0</v>
      </c>
      <c r="D23" s="15" t="s">
        <v>0</v>
      </c>
      <c r="E23" s="15" t="s">
        <v>45</v>
      </c>
      <c r="F23" s="413">
        <f>MAX(F17:F22)</f>
        <v>0.10538641686182672</v>
      </c>
      <c r="G23" s="16">
        <f>MAX(G17:G22)</f>
        <v>0.13500000000000001</v>
      </c>
      <c r="H23" s="16">
        <f>MAX(H17:H22)</f>
        <v>0.125</v>
      </c>
      <c r="I23" s="16">
        <f>MAX(I17:I22)</f>
        <v>0.24038641686182671</v>
      </c>
      <c r="J23" s="16">
        <f>MAX(J17:J22)</f>
        <v>0.2303864168618267</v>
      </c>
      <c r="K23" s="12"/>
    </row>
    <row r="24" spans="1:11" ht="16.5">
      <c r="A24" s="12"/>
      <c r="B24" s="12"/>
      <c r="C24" s="14"/>
      <c r="D24" s="15"/>
      <c r="E24" s="15" t="s">
        <v>46</v>
      </c>
      <c r="F24" s="412">
        <f>MIN(F17:F22)</f>
        <v>6.9423175089331296E-2</v>
      </c>
      <c r="G24" s="332">
        <f t="shared" ref="G24:J24" si="4">MIN(G17:G22)</f>
        <v>6.5000000000000002E-2</v>
      </c>
      <c r="H24" s="332">
        <f t="shared" si="4"/>
        <v>0.05</v>
      </c>
      <c r="I24" s="332">
        <f t="shared" si="4"/>
        <v>0.14544295862933557</v>
      </c>
      <c r="J24" s="332">
        <f t="shared" si="4"/>
        <v>0.13397959183673469</v>
      </c>
      <c r="K24" s="12"/>
    </row>
    <row r="25" spans="1:11" ht="16.5">
      <c r="A25" s="12"/>
      <c r="B25" s="12"/>
      <c r="D25" s="17" t="s">
        <v>0</v>
      </c>
      <c r="E25" s="14" t="s">
        <v>18</v>
      </c>
      <c r="F25" s="53">
        <f>MEDIAN(F17:F22)</f>
        <v>8.5455073697600539E-2</v>
      </c>
      <c r="G25" s="308">
        <f>MEDIAN(G17:G22)</f>
        <v>0.09</v>
      </c>
      <c r="H25" s="308">
        <f>MEDIAN(H17:H22)</f>
        <v>7.7499999999999999E-2</v>
      </c>
      <c r="I25" s="309">
        <f>MEDIAN(I17:I22)</f>
        <v>0.17972339030130008</v>
      </c>
      <c r="J25" s="309">
        <f>MEDIAN(J17:J22)</f>
        <v>0.15401148712106902</v>
      </c>
      <c r="K25" s="12"/>
    </row>
    <row r="26" spans="1:11" ht="16.5">
      <c r="A26" s="12"/>
      <c r="B26" s="12"/>
      <c r="D26" s="21" t="s">
        <v>0</v>
      </c>
      <c r="E26" s="14" t="s">
        <v>392</v>
      </c>
      <c r="F26" s="53">
        <f>AVERAGE(F17:F22)</f>
        <v>8.6213224465982716E-2</v>
      </c>
      <c r="G26" s="53">
        <f>AVERAGE(G17:G22)</f>
        <v>9.5000000000000015E-2</v>
      </c>
      <c r="H26" s="308">
        <f>AVERAGE(H17:H22)</f>
        <v>8.2500000000000004E-2</v>
      </c>
      <c r="I26" s="309">
        <f>AVERAGE(I17:I22)</f>
        <v>0.18121322446598273</v>
      </c>
      <c r="J26" s="309">
        <f>AVERAGE(J17:J22)</f>
        <v>0.16871322446598269</v>
      </c>
      <c r="K26" s="12"/>
    </row>
    <row r="27" spans="1:11" ht="16.5">
      <c r="A27" s="12"/>
      <c r="B27" s="12"/>
      <c r="D27" s="21"/>
      <c r="E27" s="14"/>
      <c r="F27" s="18"/>
      <c r="G27" s="18"/>
      <c r="H27" s="19"/>
      <c r="I27" s="20"/>
      <c r="J27" s="20"/>
      <c r="K27" s="12"/>
    </row>
    <row r="28" spans="1:11" ht="17.25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7" thickBot="1">
      <c r="A29" s="12"/>
      <c r="B29" s="12"/>
      <c r="C29" s="12"/>
      <c r="D29" s="12"/>
      <c r="E29" s="12"/>
      <c r="F29" s="12"/>
      <c r="G29" s="181" t="s">
        <v>170</v>
      </c>
      <c r="H29" s="183"/>
      <c r="I29" s="310">
        <v>0.1812</v>
      </c>
      <c r="J29" s="12"/>
      <c r="K29" s="12"/>
    </row>
    <row r="30" spans="1:11" ht="20.25" customHeight="1" thickBo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27" thickBot="1">
      <c r="A31" s="12"/>
      <c r="B31" s="12"/>
      <c r="C31" s="12"/>
      <c r="D31" s="12"/>
      <c r="E31" s="12"/>
      <c r="F31" s="12"/>
      <c r="G31" s="181" t="s">
        <v>169</v>
      </c>
      <c r="H31" s="184"/>
      <c r="I31" s="310">
        <v>0.16869999999999999</v>
      </c>
      <c r="J31" s="12"/>
      <c r="K31" s="12"/>
    </row>
    <row r="32" spans="1:11" ht="16.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26.25">
      <c r="A33" s="23" t="s">
        <v>332</v>
      </c>
      <c r="B33" s="12"/>
      <c r="C33" s="23" t="s">
        <v>331</v>
      </c>
      <c r="D33" s="12"/>
      <c r="E33" s="12"/>
      <c r="F33" s="12"/>
      <c r="G33" s="12"/>
      <c r="H33" s="12"/>
      <c r="I33" s="12"/>
      <c r="J33" s="12"/>
    </row>
    <row r="34" spans="1:10" ht="17.25">
      <c r="A34" s="61" t="s">
        <v>335</v>
      </c>
      <c r="B34" s="12"/>
      <c r="C34" s="61" t="s">
        <v>335</v>
      </c>
      <c r="D34" s="12"/>
      <c r="E34" s="12"/>
      <c r="F34" s="12"/>
      <c r="G34" s="12"/>
      <c r="H34" s="12"/>
      <c r="I34" s="12"/>
      <c r="J34" s="12"/>
    </row>
    <row r="35" spans="1:10" ht="17.25">
      <c r="A35" s="61" t="s">
        <v>334</v>
      </c>
      <c r="B35" s="12"/>
      <c r="C35" s="61" t="s">
        <v>333</v>
      </c>
      <c r="D35" s="12"/>
      <c r="E35" s="12"/>
      <c r="F35" s="12"/>
      <c r="G35" s="12"/>
      <c r="H35" s="12"/>
      <c r="I35" s="12"/>
      <c r="J35" s="12"/>
    </row>
    <row r="36" spans="1:10" ht="16.5">
      <c r="A36" s="43"/>
      <c r="B36" s="12"/>
      <c r="C36" s="43"/>
      <c r="D36" s="12"/>
      <c r="E36" s="12"/>
      <c r="F36" s="12"/>
      <c r="G36" s="12"/>
      <c r="H36" s="12"/>
      <c r="I36" s="12"/>
      <c r="J36" s="12"/>
    </row>
    <row r="37" spans="1:10" ht="16.5">
      <c r="A37" s="43"/>
      <c r="B37" s="12"/>
      <c r="C37" s="43"/>
      <c r="D37" s="12"/>
      <c r="E37" s="12"/>
      <c r="F37" s="12"/>
      <c r="G37" s="12"/>
      <c r="H37" s="12"/>
      <c r="I37" s="12"/>
      <c r="J37" s="12"/>
    </row>
    <row r="38" spans="1:10" ht="26.25">
      <c r="A38" s="23" t="s">
        <v>190</v>
      </c>
      <c r="B38" s="12"/>
      <c r="C38" s="23" t="s">
        <v>190</v>
      </c>
      <c r="D38" s="12"/>
      <c r="E38" s="12"/>
      <c r="F38" s="12"/>
      <c r="G38" s="12"/>
      <c r="H38" s="12"/>
      <c r="I38" s="12"/>
      <c r="J38" s="12"/>
    </row>
    <row r="39" spans="1:10" ht="16.5">
      <c r="A39" s="43"/>
      <c r="B39" s="12"/>
      <c r="C39" s="43"/>
      <c r="D39" s="12"/>
      <c r="E39" s="12"/>
      <c r="F39" s="12"/>
      <c r="G39" s="12"/>
      <c r="H39" s="12"/>
      <c r="I39" s="12"/>
      <c r="J39" s="12"/>
    </row>
    <row r="40" spans="1:10" ht="17.25">
      <c r="A40" s="61" t="s">
        <v>191</v>
      </c>
      <c r="B40" s="12"/>
      <c r="C40" s="61" t="s">
        <v>191</v>
      </c>
      <c r="D40" s="12"/>
      <c r="E40" s="12"/>
      <c r="F40" s="12"/>
      <c r="G40" s="12"/>
      <c r="H40" s="12"/>
      <c r="I40" s="12"/>
      <c r="J40" s="12"/>
    </row>
    <row r="41" spans="1:10" ht="17.25">
      <c r="A41" s="61" t="s">
        <v>189</v>
      </c>
      <c r="B41" s="12"/>
      <c r="C41" s="61" t="s">
        <v>189</v>
      </c>
      <c r="D41" s="12"/>
      <c r="E41" s="12"/>
      <c r="F41" s="12"/>
      <c r="G41" s="12"/>
      <c r="H41" s="12"/>
      <c r="I41" s="12"/>
      <c r="J41" s="12"/>
    </row>
    <row r="42" spans="1:10" ht="17.25">
      <c r="A42" s="61" t="s">
        <v>192</v>
      </c>
      <c r="B42" s="12"/>
      <c r="C42" s="61" t="s">
        <v>192</v>
      </c>
      <c r="D42" s="12"/>
      <c r="E42" s="12"/>
      <c r="F42" s="12"/>
      <c r="G42" s="12"/>
      <c r="H42" s="12"/>
      <c r="I42" s="12"/>
      <c r="J42" s="12"/>
    </row>
    <row r="43" spans="1:10" ht="17.25">
      <c r="A43" s="61" t="s">
        <v>337</v>
      </c>
      <c r="B43" s="12"/>
      <c r="C43" s="61" t="s">
        <v>336</v>
      </c>
      <c r="D43" s="12"/>
      <c r="E43" s="12"/>
      <c r="F43" s="12"/>
      <c r="G43" s="12"/>
      <c r="H43" s="12"/>
      <c r="I43" s="12"/>
      <c r="J43" s="12"/>
    </row>
    <row r="44" spans="1:10" ht="17.25">
      <c r="A44" s="61"/>
      <c r="B44" s="12"/>
      <c r="C44" s="61"/>
      <c r="D44" s="12"/>
      <c r="E44" s="12"/>
      <c r="F44" s="12"/>
      <c r="G44" s="12"/>
      <c r="H44" s="12"/>
      <c r="I44" s="12"/>
      <c r="J44" s="12"/>
    </row>
  </sheetData>
  <pageMargins left="0.25" right="0.25" top="0.75" bottom="0.75" header="0.3" footer="0.3"/>
  <pageSetup scale="4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06"/>
  <sheetViews>
    <sheetView view="pageBreakPreview" topLeftCell="A12" zoomScale="70" zoomScaleNormal="80" zoomScaleSheetLayoutView="70" workbookViewId="0">
      <selection activeCell="H33" sqref="H33"/>
    </sheetView>
  </sheetViews>
  <sheetFormatPr defaultRowHeight="15"/>
  <cols>
    <col min="1" max="1" width="47.85546875" customWidth="1"/>
    <col min="2" max="2" width="15.28515625" customWidth="1"/>
    <col min="3" max="3" width="24.5703125" customWidth="1"/>
    <col min="4" max="4" width="26.5703125" customWidth="1"/>
    <col min="5" max="5" width="32.28515625" customWidth="1"/>
    <col min="6" max="6" width="22.42578125" customWidth="1"/>
    <col min="7" max="7" width="27" customWidth="1"/>
    <col min="8" max="8" width="39.85546875" customWidth="1"/>
    <col min="9" max="9" width="15.28515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3" t="s">
        <v>1</v>
      </c>
      <c r="B1" s="12"/>
      <c r="C1" s="12"/>
      <c r="D1" s="12"/>
      <c r="E1" s="12"/>
      <c r="F1" s="12"/>
      <c r="G1" s="12"/>
      <c r="H1" s="12"/>
      <c r="I1" s="12"/>
    </row>
    <row r="2" spans="1:9" ht="17.25">
      <c r="A2" s="24" t="s">
        <v>9</v>
      </c>
      <c r="B2" s="12"/>
      <c r="C2" s="12"/>
      <c r="D2" s="12"/>
      <c r="E2" s="12"/>
      <c r="F2" s="12"/>
      <c r="G2" s="12"/>
      <c r="H2" s="12"/>
      <c r="I2" s="12"/>
    </row>
    <row r="3" spans="1:9" ht="16.5">
      <c r="A3" s="25" t="s">
        <v>429</v>
      </c>
      <c r="B3" s="12"/>
      <c r="C3" s="12"/>
      <c r="D3" s="12"/>
      <c r="E3" s="12"/>
      <c r="F3" s="12"/>
      <c r="G3" s="12"/>
      <c r="H3" s="12"/>
      <c r="I3" s="12"/>
    </row>
    <row r="4" spans="1:9" ht="16.5">
      <c r="A4" s="25"/>
      <c r="B4" s="12"/>
      <c r="C4" s="12"/>
      <c r="D4" s="12"/>
      <c r="E4" s="12"/>
      <c r="F4" s="12"/>
      <c r="G4" s="12"/>
      <c r="H4" s="12"/>
      <c r="I4" s="12"/>
    </row>
    <row r="5" spans="1:9" ht="17.25" thickBot="1">
      <c r="A5" s="12"/>
      <c r="B5" s="12"/>
      <c r="C5" s="12"/>
      <c r="D5" s="12"/>
      <c r="E5" s="12"/>
      <c r="F5" s="12"/>
      <c r="G5" s="12"/>
      <c r="H5" s="12"/>
      <c r="I5" s="26"/>
    </row>
    <row r="6" spans="1:9" ht="21" thickBot="1">
      <c r="A6" s="250" t="str">
        <f>+'S&amp;D'!A12</f>
        <v>Liquid Transportation Pipeline Carriers</v>
      </c>
      <c r="B6" s="184"/>
      <c r="C6" s="12"/>
      <c r="D6" s="12"/>
      <c r="E6" s="12"/>
      <c r="F6" s="12"/>
      <c r="G6" s="12"/>
      <c r="H6" s="12"/>
      <c r="I6" s="12"/>
    </row>
    <row r="7" spans="1:9" ht="20.25">
      <c r="A7" s="30"/>
      <c r="B7" s="12"/>
      <c r="C7" s="12"/>
      <c r="D7" s="12"/>
      <c r="E7" s="12"/>
      <c r="F7" s="12"/>
      <c r="G7" s="12"/>
      <c r="H7" s="12"/>
      <c r="I7" s="12"/>
    </row>
    <row r="8" spans="1:9" ht="21" thickBot="1">
      <c r="A8" s="30"/>
      <c r="B8" s="12"/>
      <c r="C8" s="12"/>
      <c r="D8" s="28"/>
      <c r="E8" s="28" t="s">
        <v>0</v>
      </c>
      <c r="F8" s="28" t="s">
        <v>0</v>
      </c>
      <c r="G8" s="12"/>
      <c r="H8" s="12"/>
      <c r="I8" s="12"/>
    </row>
    <row r="9" spans="1:9" ht="26.25">
      <c r="A9" s="30"/>
      <c r="B9" s="12"/>
      <c r="D9" s="12"/>
      <c r="E9" s="31" t="s">
        <v>436</v>
      </c>
      <c r="F9" s="12"/>
      <c r="G9" s="12"/>
      <c r="H9" s="12"/>
      <c r="I9" s="12"/>
    </row>
    <row r="10" spans="1:9" ht="21" thickBot="1">
      <c r="A10" s="30"/>
      <c r="B10" s="12"/>
      <c r="C10" s="12"/>
      <c r="D10" s="28"/>
      <c r="E10" s="32" t="s">
        <v>430</v>
      </c>
      <c r="F10" s="28"/>
      <c r="G10" s="12"/>
      <c r="H10" s="12"/>
      <c r="I10" s="12"/>
    </row>
    <row r="11" spans="1:9" ht="20.25">
      <c r="A11" s="30"/>
      <c r="B11" s="12"/>
      <c r="C11" s="12"/>
      <c r="D11" s="12"/>
      <c r="E11" s="12"/>
      <c r="F11" s="34"/>
      <c r="G11" s="34"/>
      <c r="H11" s="12"/>
      <c r="I11" s="12"/>
    </row>
    <row r="12" spans="1:9" ht="20.25">
      <c r="A12" s="30"/>
      <c r="B12" s="12"/>
      <c r="C12" s="12"/>
      <c r="D12" s="12" t="s">
        <v>0</v>
      </c>
      <c r="E12" s="12"/>
      <c r="F12" s="34"/>
      <c r="G12" s="34"/>
      <c r="H12" s="12"/>
      <c r="I12" s="12"/>
    </row>
    <row r="13" spans="1:9" ht="45.75" customHeight="1" thickBot="1">
      <c r="A13" s="33" t="s">
        <v>0</v>
      </c>
      <c r="B13" s="33" t="s">
        <v>0</v>
      </c>
      <c r="C13" s="33" t="s">
        <v>0</v>
      </c>
      <c r="D13" s="28"/>
      <c r="E13" s="28"/>
      <c r="F13" s="33" t="s">
        <v>0</v>
      </c>
      <c r="G13" s="33"/>
      <c r="H13" s="33"/>
      <c r="I13" s="12"/>
    </row>
    <row r="14" spans="1:9" ht="16.5">
      <c r="A14" s="34" t="s">
        <v>0</v>
      </c>
      <c r="B14" s="34" t="s">
        <v>3</v>
      </c>
      <c r="C14" s="34" t="s">
        <v>5</v>
      </c>
      <c r="D14" s="34" t="s">
        <v>167</v>
      </c>
      <c r="E14" s="34" t="s">
        <v>168</v>
      </c>
      <c r="F14" s="34" t="s">
        <v>171</v>
      </c>
      <c r="G14" s="34" t="s">
        <v>19</v>
      </c>
      <c r="H14" s="34" t="s">
        <v>173</v>
      </c>
      <c r="I14" s="12"/>
    </row>
    <row r="15" spans="1:9" ht="16.5">
      <c r="A15" s="34" t="s">
        <v>2</v>
      </c>
      <c r="B15" s="34" t="s">
        <v>4</v>
      </c>
      <c r="C15" s="34" t="s">
        <v>6</v>
      </c>
      <c r="D15" s="34" t="s">
        <v>383</v>
      </c>
      <c r="E15" s="34" t="s">
        <v>384</v>
      </c>
      <c r="F15" s="34" t="s">
        <v>122</v>
      </c>
      <c r="G15" s="34" t="s">
        <v>172</v>
      </c>
      <c r="H15" s="34" t="s">
        <v>163</v>
      </c>
      <c r="I15" s="12"/>
    </row>
    <row r="16" spans="1:9" ht="16.5">
      <c r="A16" s="34"/>
      <c r="B16" s="34" t="s">
        <v>0</v>
      </c>
      <c r="C16" s="34" t="s">
        <v>0</v>
      </c>
      <c r="D16" s="34" t="s">
        <v>0</v>
      </c>
      <c r="E16" s="35" t="s">
        <v>385</v>
      </c>
      <c r="F16" s="35" t="s">
        <v>0</v>
      </c>
      <c r="G16" s="34" t="s">
        <v>177</v>
      </c>
      <c r="H16" s="35" t="s">
        <v>178</v>
      </c>
      <c r="I16" s="12"/>
    </row>
    <row r="17" spans="1:11" ht="18" customHeight="1" thickBot="1">
      <c r="A17" s="65" t="s">
        <v>0</v>
      </c>
      <c r="B17" s="37" t="s">
        <v>0</v>
      </c>
      <c r="C17" s="37" t="s">
        <v>0</v>
      </c>
      <c r="D17" s="32" t="s">
        <v>175</v>
      </c>
      <c r="E17" s="32" t="s">
        <v>176</v>
      </c>
      <c r="F17" s="32" t="s">
        <v>174</v>
      </c>
      <c r="G17" s="34" t="s">
        <v>94</v>
      </c>
      <c r="H17" s="151"/>
      <c r="I17" s="12"/>
    </row>
    <row r="18" spans="1:11" ht="16.5">
      <c r="A18" s="38" t="s">
        <v>0</v>
      </c>
      <c r="B18" s="38" t="s">
        <v>0</v>
      </c>
      <c r="C18" s="38" t="s">
        <v>0</v>
      </c>
      <c r="D18" s="38" t="s">
        <v>7</v>
      </c>
      <c r="E18" s="38" t="s">
        <v>7</v>
      </c>
      <c r="F18" s="38" t="s">
        <v>0</v>
      </c>
      <c r="G18" s="66" t="s">
        <v>0</v>
      </c>
      <c r="H18" s="38" t="s">
        <v>0</v>
      </c>
      <c r="I18" s="12"/>
    </row>
    <row r="19" spans="1:11" ht="16.5">
      <c r="A19" s="34"/>
      <c r="B19" s="34"/>
      <c r="C19" s="34"/>
      <c r="D19" s="34"/>
      <c r="E19" s="12"/>
      <c r="F19" s="34"/>
      <c r="G19" s="12"/>
      <c r="H19" s="12"/>
      <c r="I19" s="12"/>
      <c r="J19" t="s">
        <v>0</v>
      </c>
      <c r="K19" t="s">
        <v>0</v>
      </c>
    </row>
    <row r="20" spans="1:11" ht="16.5">
      <c r="A20" s="12"/>
      <c r="B20" s="12"/>
      <c r="C20" s="12"/>
      <c r="D20" s="12"/>
      <c r="E20" s="12"/>
      <c r="F20" s="12"/>
      <c r="G20" s="12"/>
      <c r="H20" s="12" t="s">
        <v>0</v>
      </c>
      <c r="I20" s="12"/>
      <c r="J20" t="s">
        <v>0</v>
      </c>
      <c r="K20" t="s">
        <v>0</v>
      </c>
    </row>
    <row r="21" spans="1:11" ht="17.25">
      <c r="A21" s="61" t="str">
        <f>+'S&amp;D'!A22</f>
        <v>Energy Transfer LP</v>
      </c>
      <c r="B21" s="90" t="str">
        <f>+'S&amp;D'!B22</f>
        <v>ET</v>
      </c>
      <c r="C21" s="34" t="str">
        <f>+'S&amp;D'!C22</f>
        <v>Pipeline MLPs</v>
      </c>
      <c r="D21" s="64">
        <f>+'Dividends '!H16</f>
        <v>6.9423175089331296E-2</v>
      </c>
      <c r="E21" s="64">
        <f>+'Single Stage Div Growth Model'!H17</f>
        <v>7.4999999999999997E-2</v>
      </c>
      <c r="F21" s="64">
        <f>'Growth &amp; Inflation Rates '!$F$57</f>
        <v>4.3400000000000001E-2</v>
      </c>
      <c r="G21" s="64">
        <f t="shared" ref="G21:G23" si="0">(F21+E21)/2</f>
        <v>5.9200000000000003E-2</v>
      </c>
      <c r="H21" s="64">
        <f t="shared" ref="H21:H23" si="1">D21*(1+(0.5*G21))+(0.67*E21)+(0.33*F21)</f>
        <v>0.13605010107197552</v>
      </c>
      <c r="I21" s="12"/>
    </row>
    <row r="22" spans="1:11" ht="17.25">
      <c r="A22" s="61" t="str">
        <f>+'S&amp;D'!A23</f>
        <v>Enterprise Products Partnership LP</v>
      </c>
      <c r="B22" s="90" t="str">
        <f>+'S&amp;D'!B23</f>
        <v>EPD</v>
      </c>
      <c r="C22" s="34" t="str">
        <f>+'S&amp;D'!C23</f>
        <v>Pipeline MLPs</v>
      </c>
      <c r="D22" s="64">
        <f>+'Dividends '!H17</f>
        <v>7.3979591836734693E-2</v>
      </c>
      <c r="E22" s="64">
        <f>+'Single Stage Div Growth Model'!H18</f>
        <v>0.06</v>
      </c>
      <c r="F22" s="64">
        <f>'Growth &amp; Inflation Rates '!$F$57</f>
        <v>4.3400000000000001E-2</v>
      </c>
      <c r="G22" s="64">
        <f t="shared" si="0"/>
        <v>5.1699999999999996E-2</v>
      </c>
      <c r="H22" s="64">
        <f t="shared" si="1"/>
        <v>0.13041396428571428</v>
      </c>
      <c r="I22" s="12"/>
    </row>
    <row r="23" spans="1:11" ht="17.25">
      <c r="A23" s="61" t="str">
        <f>+'S&amp;D'!A24</f>
        <v>Hess Midstream LP</v>
      </c>
      <c r="B23" s="90" t="str">
        <f>+'S&amp;D'!B24</f>
        <v>HESM</v>
      </c>
      <c r="C23" s="34" t="str">
        <f>+'S&amp;D'!C24</f>
        <v>Pipeline MLPs</v>
      </c>
      <c r="D23" s="64">
        <f>+'Dividends '!H18</f>
        <v>9.0467188765865514E-2</v>
      </c>
      <c r="E23" s="64">
        <f>+'Single Stage Div Growth Model'!H19</f>
        <v>0.105</v>
      </c>
      <c r="F23" s="64">
        <f>'Growth &amp; Inflation Rates '!$F$57</f>
        <v>4.3400000000000001E-2</v>
      </c>
      <c r="G23" s="64">
        <f t="shared" si="0"/>
        <v>7.4200000000000002E-2</v>
      </c>
      <c r="H23" s="64">
        <f t="shared" si="1"/>
        <v>0.1784955214690791</v>
      </c>
      <c r="I23" s="12"/>
    </row>
    <row r="24" spans="1:11" ht="17.25">
      <c r="A24" s="61" t="str">
        <f>+'S&amp;D'!A25</f>
        <v>MPLX, LP</v>
      </c>
      <c r="B24" s="90" t="str">
        <f>+'S&amp;D'!B25</f>
        <v>MPLX</v>
      </c>
      <c r="C24" s="34" t="str">
        <f>+'S&amp;D'!C25</f>
        <v>Pipeline MLPs</v>
      </c>
      <c r="D24" s="64">
        <f>+'Dividends '!H19</f>
        <v>8.0442958629335565E-2</v>
      </c>
      <c r="E24" s="64">
        <f>+'Single Stage Div Growth Model'!H20</f>
        <v>0.08</v>
      </c>
      <c r="F24" s="64">
        <f>'Growth &amp; Inflation Rates '!$F$57</f>
        <v>4.3400000000000001E-2</v>
      </c>
      <c r="G24" s="64">
        <f t="shared" ref="G24:G26" si="2">(F24+E24)/2</f>
        <v>6.1700000000000005E-2</v>
      </c>
      <c r="H24" s="64">
        <f t="shared" ref="H24:H26" si="3">D24*(1+(0.5*G24))+(0.67*E24)+(0.33*F24)</f>
        <v>0.15084662390305056</v>
      </c>
      <c r="I24" s="12"/>
      <c r="J24" t="s">
        <v>0</v>
      </c>
      <c r="K24" t="s">
        <v>0</v>
      </c>
    </row>
    <row r="25" spans="1:11" ht="17.25">
      <c r="A25" s="61" t="str">
        <f>+'S&amp;D'!A26</f>
        <v>Plains All American Pipeline LP</v>
      </c>
      <c r="B25" s="90" t="str">
        <f>+'S&amp;D'!B26</f>
        <v>PAA</v>
      </c>
      <c r="C25" s="34" t="str">
        <f>+'S&amp;D'!C26</f>
        <v>Pipeline MLPs</v>
      </c>
      <c r="D25" s="64">
        <f>+'Dividends '!H20</f>
        <v>0.10538641686182672</v>
      </c>
      <c r="E25" s="345">
        <f>+'Single Stage Div Growth Model'!H21</f>
        <v>0.125</v>
      </c>
      <c r="F25" s="64">
        <f>'Growth &amp; Inflation Rates '!$F$57</f>
        <v>4.3400000000000001E-2</v>
      </c>
      <c r="G25" s="64" t="s">
        <v>420</v>
      </c>
      <c r="H25" s="64" t="s">
        <v>420</v>
      </c>
      <c r="I25" s="12"/>
      <c r="J25" t="s">
        <v>0</v>
      </c>
      <c r="K25" t="s">
        <v>0</v>
      </c>
    </row>
    <row r="26" spans="1:11" ht="18" thickBot="1">
      <c r="A26" s="61" t="str">
        <f>+'S&amp;D'!A27</f>
        <v>Western Midstream Partners LP</v>
      </c>
      <c r="B26" s="90" t="str">
        <f>+'S&amp;D'!B27</f>
        <v>WES</v>
      </c>
      <c r="C26" s="34" t="str">
        <f>+'S&amp;D'!C27</f>
        <v>Pipeline MLPs</v>
      </c>
      <c r="D26" s="64">
        <f>+'Dividends '!H21</f>
        <v>9.7580015612802495E-2</v>
      </c>
      <c r="E26" s="64">
        <f>+'Single Stage Div Growth Model'!H22</f>
        <v>0.05</v>
      </c>
      <c r="F26" s="64">
        <f>'Growth &amp; Inflation Rates '!$F$57</f>
        <v>4.3400000000000001E-2</v>
      </c>
      <c r="G26" s="64">
        <f t="shared" si="2"/>
        <v>4.6700000000000005E-2</v>
      </c>
      <c r="H26" s="344">
        <f t="shared" si="3"/>
        <v>0.14768050897736143</v>
      </c>
      <c r="I26" s="12"/>
      <c r="J26" s="11" t="s">
        <v>0</v>
      </c>
      <c r="K26" t="s">
        <v>0</v>
      </c>
    </row>
    <row r="27" spans="1:11" ht="17.25" thickTop="1">
      <c r="A27" s="12"/>
      <c r="B27" s="12"/>
      <c r="C27" s="12"/>
      <c r="D27" s="12"/>
      <c r="E27" s="12"/>
      <c r="F27" s="12"/>
      <c r="G27" s="175" t="s">
        <v>45</v>
      </c>
      <c r="H27" s="54">
        <v>0.18770000000000001</v>
      </c>
      <c r="I27" s="12"/>
    </row>
    <row r="28" spans="1:11" ht="16.5">
      <c r="A28" s="12"/>
      <c r="B28" s="12"/>
      <c r="C28" s="14" t="s">
        <v>0</v>
      </c>
      <c r="D28" s="15" t="s">
        <v>0</v>
      </c>
      <c r="E28" s="15" t="s">
        <v>0</v>
      </c>
      <c r="F28" s="16" t="s">
        <v>0</v>
      </c>
      <c r="G28" s="16" t="s">
        <v>46</v>
      </c>
      <c r="H28" s="303">
        <v>8.6599999999999996E-2</v>
      </c>
      <c r="I28" s="12"/>
    </row>
    <row r="29" spans="1:11" ht="16.5">
      <c r="A29" s="12"/>
      <c r="B29" s="12"/>
      <c r="D29" s="54" t="s">
        <v>0</v>
      </c>
      <c r="E29" s="49" t="s">
        <v>0</v>
      </c>
      <c r="F29" s="49" t="s">
        <v>0</v>
      </c>
      <c r="G29" s="14" t="s">
        <v>18</v>
      </c>
      <c r="H29" s="50">
        <f>MEDIAN(H21:H26)</f>
        <v>0.14768050897736143</v>
      </c>
      <c r="I29" s="12"/>
    </row>
    <row r="30" spans="1:11" ht="16.5">
      <c r="A30" s="12"/>
      <c r="B30" s="12"/>
      <c r="D30" s="54" t="s">
        <v>0</v>
      </c>
      <c r="E30" s="49" t="s">
        <v>0</v>
      </c>
      <c r="F30" s="54" t="s">
        <v>0</v>
      </c>
      <c r="G30" s="14" t="s">
        <v>392</v>
      </c>
      <c r="H30" s="50">
        <f>AVERAGE(H21:H26)</f>
        <v>0.14869734394143616</v>
      </c>
      <c r="I30" s="12"/>
    </row>
    <row r="31" spans="1:11" ht="16.5">
      <c r="A31" s="12"/>
      <c r="B31" s="12"/>
      <c r="C31" s="14"/>
      <c r="D31" s="18"/>
      <c r="E31" s="19"/>
      <c r="F31" s="18"/>
      <c r="G31" s="20"/>
      <c r="H31" s="20"/>
      <c r="I31" s="12"/>
    </row>
    <row r="32" spans="1:11" ht="17.25" thickBot="1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27" thickBot="1">
      <c r="A33" s="12"/>
      <c r="B33" s="12"/>
      <c r="C33" s="12"/>
      <c r="D33" s="12"/>
      <c r="F33" s="181"/>
      <c r="G33" s="182" t="s">
        <v>221</v>
      </c>
      <c r="H33" s="311">
        <v>0.1487</v>
      </c>
      <c r="I33" s="12"/>
    </row>
    <row r="34" spans="1:9" ht="16.5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27">
      <c r="A35" s="23" t="s">
        <v>0</v>
      </c>
      <c r="B35" s="12"/>
      <c r="C35" s="12"/>
      <c r="D35" s="12"/>
      <c r="E35" s="12"/>
      <c r="F35" s="12"/>
      <c r="G35" s="22" t="s">
        <v>0</v>
      </c>
      <c r="H35" s="12"/>
      <c r="I35" s="12"/>
    </row>
    <row r="36" spans="1:9" ht="16.5">
      <c r="A36" s="43"/>
      <c r="B36" s="12"/>
      <c r="C36" s="12"/>
      <c r="D36" s="12"/>
      <c r="E36" s="12"/>
      <c r="F36" s="12"/>
      <c r="G36" s="12"/>
      <c r="H36" s="12"/>
      <c r="I36" s="12"/>
    </row>
    <row r="37" spans="1:9" ht="26.25">
      <c r="A37" s="23" t="s">
        <v>283</v>
      </c>
      <c r="B37" s="12"/>
      <c r="C37" s="12"/>
      <c r="D37" s="12"/>
      <c r="E37" s="12"/>
      <c r="F37" s="12"/>
      <c r="G37" s="12"/>
      <c r="H37" s="12"/>
      <c r="I37" s="12"/>
    </row>
    <row r="38" spans="1:9" ht="16.5">
      <c r="A38" s="43"/>
      <c r="B38" s="12"/>
      <c r="C38" s="12"/>
      <c r="D38" s="12"/>
      <c r="E38" s="12"/>
      <c r="F38" s="12"/>
      <c r="G38" s="12"/>
      <c r="H38" s="12"/>
      <c r="I38" s="12"/>
    </row>
    <row r="39" spans="1:9" ht="17.25">
      <c r="A39" s="61" t="s">
        <v>191</v>
      </c>
      <c r="B39" s="12"/>
      <c r="C39" s="12"/>
      <c r="D39" s="12"/>
      <c r="E39" s="12"/>
      <c r="F39" s="12"/>
      <c r="G39" s="12"/>
      <c r="H39" s="12"/>
      <c r="I39" s="12"/>
    </row>
    <row r="40" spans="1:9" ht="17.25">
      <c r="A40" s="61" t="s">
        <v>286</v>
      </c>
      <c r="B40" s="12"/>
      <c r="C40" s="12"/>
      <c r="D40" s="12"/>
      <c r="E40" s="12"/>
      <c r="F40" s="12"/>
      <c r="G40" s="12"/>
      <c r="H40" s="12"/>
      <c r="I40" s="12"/>
    </row>
    <row r="41" spans="1:9" ht="17.25">
      <c r="A41" s="61" t="s">
        <v>284</v>
      </c>
      <c r="B41" s="12"/>
      <c r="C41" s="12"/>
      <c r="D41" s="12"/>
      <c r="E41" s="12"/>
      <c r="F41" s="12"/>
      <c r="G41" s="12"/>
      <c r="H41" s="12"/>
      <c r="I41" s="12"/>
    </row>
    <row r="42" spans="1:9" ht="17.25">
      <c r="A42" s="61" t="s">
        <v>285</v>
      </c>
      <c r="B42" s="12"/>
      <c r="C42" s="12"/>
      <c r="D42" s="12"/>
      <c r="E42" s="12"/>
      <c r="F42" s="12"/>
      <c r="G42" s="12"/>
      <c r="H42" s="12"/>
      <c r="I42" s="12"/>
    </row>
    <row r="43" spans="1:9" ht="17.25">
      <c r="A43" s="61" t="s">
        <v>287</v>
      </c>
      <c r="B43" s="12"/>
      <c r="C43" s="12"/>
      <c r="D43" s="12"/>
      <c r="E43" s="12"/>
      <c r="F43" s="12"/>
      <c r="G43" s="12"/>
      <c r="H43" s="12"/>
      <c r="I43" s="12"/>
    </row>
    <row r="44" spans="1:9" ht="16.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6.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6.5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6.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6.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6.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6.5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16.5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6.5">
      <c r="A52" s="12"/>
      <c r="B52" s="12"/>
      <c r="C52" s="12"/>
      <c r="D52" s="12"/>
      <c r="E52" s="12"/>
      <c r="F52" s="12"/>
      <c r="G52" s="12"/>
      <c r="H52" s="12"/>
      <c r="I52" s="12"/>
    </row>
    <row r="53" spans="1:9" ht="16.5">
      <c r="A53" s="12"/>
      <c r="B53" s="12"/>
      <c r="C53" s="12"/>
      <c r="D53" s="12"/>
      <c r="E53" s="12"/>
      <c r="F53" s="12"/>
      <c r="G53" s="12"/>
      <c r="H53" s="12"/>
      <c r="I53" s="12"/>
    </row>
    <row r="54" spans="1:9" ht="16.5">
      <c r="A54" s="12"/>
      <c r="B54" s="12"/>
      <c r="C54" s="12"/>
      <c r="D54" s="12"/>
      <c r="E54" s="12"/>
      <c r="F54" s="12"/>
      <c r="G54" s="12"/>
      <c r="H54" s="12"/>
      <c r="I54" s="12"/>
    </row>
    <row r="55" spans="1:9" ht="16.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6.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6.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6.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6.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6.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6.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16.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16.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16.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6.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6.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6.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6.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6.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6.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6.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6.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6.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6.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6.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6.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6.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6.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6.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6.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6.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6.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6.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6.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6.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6.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6.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6.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6.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6.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6.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6.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6.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6.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6.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6.5">
      <c r="A106" s="12"/>
      <c r="B106" s="12"/>
      <c r="C106" s="12"/>
      <c r="D106" s="12"/>
      <c r="E106" s="12"/>
      <c r="F106" s="12"/>
      <c r="G106" s="12"/>
      <c r="H106" s="12"/>
      <c r="I106" s="12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509-4469-4CA1-837E-28DCE856C1A1}">
  <sheetPr>
    <tabColor rgb="FF92D050"/>
  </sheetPr>
  <dimension ref="A1:O47"/>
  <sheetViews>
    <sheetView view="pageBreakPreview" zoomScale="50" zoomScaleNormal="80" zoomScaleSheetLayoutView="50" workbookViewId="0">
      <selection activeCell="I30" sqref="I30"/>
    </sheetView>
  </sheetViews>
  <sheetFormatPr defaultRowHeight="15"/>
  <cols>
    <col min="1" max="1" width="21.5703125" customWidth="1"/>
    <col min="2" max="2" width="45.7109375" customWidth="1"/>
    <col min="3" max="3" width="20.85546875" customWidth="1"/>
    <col min="4" max="4" width="24" customWidth="1"/>
    <col min="5" max="5" width="29.28515625" customWidth="1"/>
    <col min="6" max="6" width="25.5703125" customWidth="1"/>
    <col min="7" max="7" width="20.140625" customWidth="1"/>
    <col min="8" max="9" width="27.28515625" customWidth="1"/>
    <col min="10" max="10" width="19.28515625" customWidth="1"/>
    <col min="11" max="11" width="21.28515625" customWidth="1"/>
    <col min="12" max="12" width="4.42578125" customWidth="1"/>
    <col min="13" max="13" width="22.7109375" customWidth="1"/>
    <col min="14" max="14" width="17.28515625" customWidth="1"/>
  </cols>
  <sheetData>
    <row r="1" spans="1:15" ht="26.25">
      <c r="A1" s="2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7.25">
      <c r="A2" s="61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6.5">
      <c r="A3" s="25" t="s">
        <v>429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6.5">
      <c r="A4" s="12"/>
      <c r="C4" s="12"/>
      <c r="D4" s="12"/>
      <c r="E4" s="26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8" thickBot="1">
      <c r="A5" s="6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1" thickBot="1">
      <c r="A6" s="250" t="str">
        <f>+'S&amp;D'!A12</f>
        <v>Liquid Transportation Pipeline Carriers</v>
      </c>
      <c r="B6" s="176"/>
      <c r="C6" s="12"/>
      <c r="D6" s="12"/>
      <c r="E6" s="12"/>
      <c r="F6" s="12"/>
      <c r="G6" s="12"/>
      <c r="H6" s="12"/>
      <c r="I6" s="12"/>
    </row>
    <row r="7" spans="1:15" ht="18" thickBot="1">
      <c r="A7" s="61"/>
      <c r="C7" s="12"/>
      <c r="D7" s="28"/>
      <c r="E7" s="28"/>
      <c r="F7" s="28"/>
      <c r="G7" s="12"/>
      <c r="H7" s="12"/>
      <c r="I7" s="12"/>
    </row>
    <row r="8" spans="1:15" ht="26.25">
      <c r="C8" s="12"/>
      <c r="D8" s="12"/>
      <c r="E8" s="31" t="s">
        <v>437</v>
      </c>
      <c r="G8" s="12"/>
      <c r="H8" s="12"/>
      <c r="I8" s="12"/>
    </row>
    <row r="9" spans="1:15" ht="21" thickBot="1">
      <c r="B9" s="30"/>
      <c r="D9" s="28"/>
      <c r="E9" s="32" t="s">
        <v>430</v>
      </c>
      <c r="F9" s="28"/>
      <c r="G9" s="12"/>
      <c r="H9" s="12"/>
      <c r="I9" s="12"/>
    </row>
    <row r="10" spans="1:15" ht="17.25" thickBot="1">
      <c r="B10" s="33" t="s">
        <v>0</v>
      </c>
      <c r="C10" s="33" t="s">
        <v>0</v>
      </c>
      <c r="D10" s="33" t="s">
        <v>0</v>
      </c>
      <c r="E10" s="33" t="s">
        <v>0</v>
      </c>
      <c r="F10" s="33" t="s">
        <v>0</v>
      </c>
      <c r="G10" s="33"/>
      <c r="H10" s="33" t="s">
        <v>0</v>
      </c>
      <c r="I10" s="28"/>
      <c r="J10" s="151"/>
    </row>
    <row r="11" spans="1:15" ht="16.5">
      <c r="B11" s="34" t="s">
        <v>0</v>
      </c>
      <c r="C11" s="34" t="s">
        <v>3</v>
      </c>
      <c r="D11" s="34" t="s">
        <v>319</v>
      </c>
      <c r="E11" s="362" t="s">
        <v>320</v>
      </c>
      <c r="F11" s="34" t="s">
        <v>218</v>
      </c>
      <c r="G11" s="34" t="s">
        <v>26</v>
      </c>
      <c r="H11" s="362" t="s">
        <v>375</v>
      </c>
      <c r="I11" s="34" t="s">
        <v>375</v>
      </c>
      <c r="J11" s="34" t="s">
        <v>26</v>
      </c>
    </row>
    <row r="12" spans="1:15" ht="17.25" thickBot="1">
      <c r="B12" s="36" t="s">
        <v>2</v>
      </c>
      <c r="C12" s="36" t="s">
        <v>4</v>
      </c>
      <c r="D12" s="36" t="s">
        <v>27</v>
      </c>
      <c r="E12" s="363" t="s">
        <v>158</v>
      </c>
      <c r="F12" s="36" t="s">
        <v>377</v>
      </c>
      <c r="G12" s="36" t="s">
        <v>29</v>
      </c>
      <c r="H12" s="363" t="s">
        <v>376</v>
      </c>
      <c r="I12" s="36" t="s">
        <v>28</v>
      </c>
      <c r="J12" s="36" t="s">
        <v>29</v>
      </c>
    </row>
    <row r="13" spans="1:15">
      <c r="B13" s="38" t="s">
        <v>0</v>
      </c>
      <c r="C13" s="38" t="s">
        <v>0</v>
      </c>
      <c r="D13" s="39" t="s">
        <v>113</v>
      </c>
      <c r="E13" s="364" t="s">
        <v>114</v>
      </c>
      <c r="F13" s="38" t="s">
        <v>0</v>
      </c>
      <c r="G13" s="38" t="s">
        <v>0</v>
      </c>
      <c r="H13" s="364" t="s">
        <v>114</v>
      </c>
      <c r="I13" s="38" t="s">
        <v>0</v>
      </c>
      <c r="J13" s="38" t="s">
        <v>0</v>
      </c>
    </row>
    <row r="14" spans="1:15" ht="16.5">
      <c r="B14" s="34"/>
      <c r="C14" s="34"/>
      <c r="D14" s="34"/>
      <c r="E14" s="365"/>
      <c r="F14" s="34"/>
      <c r="G14" s="34"/>
      <c r="H14" s="365"/>
      <c r="I14" s="34"/>
      <c r="J14" s="34"/>
    </row>
    <row r="15" spans="1:15" ht="16.5">
      <c r="B15" s="12"/>
      <c r="C15" s="12"/>
      <c r="D15" s="12"/>
      <c r="E15" s="366"/>
      <c r="F15" s="12"/>
      <c r="G15" s="12"/>
      <c r="H15" s="366"/>
      <c r="I15" s="12"/>
      <c r="J15" s="12"/>
    </row>
    <row r="16" spans="1:15" ht="17.25">
      <c r="B16" s="61" t="str">
        <f>+'S&amp;D'!A22</f>
        <v>Energy Transfer LP</v>
      </c>
      <c r="C16" s="90" t="str">
        <f>+'S&amp;D'!B22</f>
        <v>ET</v>
      </c>
      <c r="D16" s="174">
        <f>+'S&amp;D'!G22</f>
        <v>19.59</v>
      </c>
      <c r="E16" s="368">
        <v>24.5</v>
      </c>
      <c r="F16" s="72">
        <f t="shared" ref="F16:F18" si="0">D16/E16</f>
        <v>0.79959183673469392</v>
      </c>
      <c r="G16" s="55">
        <f t="shared" ref="G16:G21" si="1">1/F16</f>
        <v>1.2506380806533945</v>
      </c>
      <c r="H16" s="368">
        <v>10.25</v>
      </c>
      <c r="I16" s="72">
        <f t="shared" ref="I16:I21" si="2">D16/H16</f>
        <v>1.9112195121951219</v>
      </c>
      <c r="J16" s="55">
        <f t="shared" ref="J16:J21" si="3">1/I16</f>
        <v>0.52322613578356303</v>
      </c>
    </row>
    <row r="17" spans="2:10" ht="17.25">
      <c r="B17" s="61" t="str">
        <f>+'S&amp;D'!A23</f>
        <v>Enterprise Products Partnership LP</v>
      </c>
      <c r="C17" s="90" t="str">
        <f>+'S&amp;D'!B23</f>
        <v>EPD</v>
      </c>
      <c r="D17" s="174">
        <f>+'S&amp;D'!G23</f>
        <v>31.36</v>
      </c>
      <c r="E17" s="368">
        <v>27.45</v>
      </c>
      <c r="F17" s="72">
        <f t="shared" si="0"/>
        <v>1.142440801457195</v>
      </c>
      <c r="G17" s="55">
        <f t="shared" si="1"/>
        <v>0.87531887755102034</v>
      </c>
      <c r="H17" s="368">
        <v>13.65</v>
      </c>
      <c r="I17" s="72">
        <f t="shared" si="2"/>
        <v>2.2974358974358973</v>
      </c>
      <c r="J17" s="55">
        <f t="shared" si="3"/>
        <v>0.43526785714285715</v>
      </c>
    </row>
    <row r="18" spans="2:10" ht="17.25">
      <c r="B18" s="61" t="str">
        <f>+'S&amp;D'!A24</f>
        <v>Hess Midstream LP</v>
      </c>
      <c r="C18" s="90" t="str">
        <f>+'S&amp;D'!B24</f>
        <v>HESM</v>
      </c>
      <c r="D18" s="174">
        <f>+'S&amp;D'!G24</f>
        <v>37.03</v>
      </c>
      <c r="E18" s="368">
        <v>13.2</v>
      </c>
      <c r="F18" s="360">
        <f t="shared" si="0"/>
        <v>2.8053030303030306</v>
      </c>
      <c r="G18" s="55">
        <f t="shared" si="1"/>
        <v>0.35646772886848499</v>
      </c>
      <c r="H18" s="367">
        <v>6.25</v>
      </c>
      <c r="I18" s="360">
        <f t="shared" si="2"/>
        <v>5.9248000000000003</v>
      </c>
      <c r="J18" s="55">
        <f t="shared" si="3"/>
        <v>0.16878206859303266</v>
      </c>
    </row>
    <row r="19" spans="2:10" ht="17.25">
      <c r="B19" s="61" t="str">
        <f>+'S&amp;D'!A25</f>
        <v>MPLX, LP</v>
      </c>
      <c r="C19" s="90" t="str">
        <f>+'S&amp;D'!B25</f>
        <v>MPLX</v>
      </c>
      <c r="D19" s="174">
        <f>+'S&amp;D'!G25</f>
        <v>47.86</v>
      </c>
      <c r="E19" s="368">
        <v>12.5</v>
      </c>
      <c r="F19" s="72">
        <f t="shared" ref="F19:F21" si="4">D19/E19</f>
        <v>3.8287999999999998</v>
      </c>
      <c r="G19" s="55">
        <f t="shared" si="1"/>
        <v>0.26117843710823235</v>
      </c>
      <c r="H19" s="368">
        <v>14.6</v>
      </c>
      <c r="I19" s="72">
        <f t="shared" si="2"/>
        <v>3.2780821917808218</v>
      </c>
      <c r="J19" s="55">
        <f t="shared" si="3"/>
        <v>0.30505641454241539</v>
      </c>
    </row>
    <row r="20" spans="2:10" ht="17.25">
      <c r="B20" s="61" t="str">
        <f>+'S&amp;D'!A26</f>
        <v>Plains All American Pipeline LP</v>
      </c>
      <c r="C20" s="90" t="str">
        <f>+'S&amp;D'!B26</f>
        <v>PAA</v>
      </c>
      <c r="D20" s="174">
        <f>+'S&amp;D'!G26</f>
        <v>17.079999999999998</v>
      </c>
      <c r="E20" s="367">
        <v>70.599999999999994</v>
      </c>
      <c r="F20" s="360">
        <f t="shared" si="4"/>
        <v>0.24192634560906515</v>
      </c>
      <c r="G20" s="55">
        <f t="shared" si="1"/>
        <v>4.1334894613583142</v>
      </c>
      <c r="H20" s="368">
        <v>11</v>
      </c>
      <c r="I20" s="360">
        <f t="shared" si="2"/>
        <v>1.5527272727272725</v>
      </c>
      <c r="J20" s="55">
        <f t="shared" si="3"/>
        <v>0.64402810304449654</v>
      </c>
    </row>
    <row r="21" spans="2:10" ht="17.25">
      <c r="B21" s="61" t="str">
        <f>+'S&amp;D'!A27</f>
        <v>Western Midstream Partners LP</v>
      </c>
      <c r="C21" s="90" t="str">
        <f>+'S&amp;D'!B27</f>
        <v>WES</v>
      </c>
      <c r="D21" s="174">
        <f>+'S&amp;D'!G27</f>
        <v>38.43</v>
      </c>
      <c r="E21" s="368">
        <v>9.9499999999999993</v>
      </c>
      <c r="F21" s="72">
        <f t="shared" si="4"/>
        <v>3.8623115577889449</v>
      </c>
      <c r="G21" s="55">
        <f t="shared" si="1"/>
        <v>0.25891230809263593</v>
      </c>
      <c r="H21" s="368">
        <v>8.15</v>
      </c>
      <c r="I21" s="72">
        <f t="shared" si="2"/>
        <v>4.7153374233128833</v>
      </c>
      <c r="J21" s="55">
        <f t="shared" si="3"/>
        <v>0.21207390059849077</v>
      </c>
    </row>
    <row r="22" spans="2:10" ht="11.25" customHeight="1" thickBot="1">
      <c r="B22" s="12"/>
      <c r="C22" s="69"/>
      <c r="D22" s="69"/>
      <c r="E22" s="369"/>
      <c r="F22" s="361"/>
      <c r="G22" s="361"/>
      <c r="H22" s="369"/>
      <c r="I22" s="361"/>
      <c r="J22" s="375"/>
    </row>
    <row r="23" spans="2:10" ht="17.25" thickTop="1">
      <c r="B23" s="12"/>
      <c r="D23" s="14" t="s">
        <v>45</v>
      </c>
      <c r="E23" s="370">
        <f t="shared" ref="E23:J23" si="5">MAX(E16:E21)</f>
        <v>70.599999999999994</v>
      </c>
      <c r="F23" s="70">
        <f t="shared" si="5"/>
        <v>3.8623115577889449</v>
      </c>
      <c r="G23" s="414">
        <f t="shared" si="5"/>
        <v>4.1334894613583142</v>
      </c>
      <c r="H23" s="370">
        <f t="shared" si="5"/>
        <v>14.6</v>
      </c>
      <c r="I23" s="70">
        <f t="shared" si="5"/>
        <v>5.9248000000000003</v>
      </c>
      <c r="J23" s="414">
        <f t="shared" si="5"/>
        <v>0.64402810304449654</v>
      </c>
    </row>
    <row r="24" spans="2:10" ht="16.5">
      <c r="B24" s="12"/>
      <c r="D24" s="335" t="s">
        <v>46</v>
      </c>
      <c r="E24" s="371">
        <f>MIN(E16:E21)</f>
        <v>9.9499999999999993</v>
      </c>
      <c r="F24" s="339">
        <f t="shared" ref="F24:J24" si="6">MIN(F16:F21)</f>
        <v>0.24192634560906515</v>
      </c>
      <c r="G24" s="415">
        <f t="shared" si="6"/>
        <v>0.25891230809263593</v>
      </c>
      <c r="H24" s="371">
        <f t="shared" si="6"/>
        <v>6.25</v>
      </c>
      <c r="I24" s="339">
        <f t="shared" si="6"/>
        <v>1.5527272727272725</v>
      </c>
      <c r="J24" s="415">
        <f t="shared" si="6"/>
        <v>0.16878206859303266</v>
      </c>
    </row>
    <row r="25" spans="2:10" ht="16.5">
      <c r="B25" s="12"/>
      <c r="D25" s="14" t="s">
        <v>18</v>
      </c>
      <c r="E25" s="372" t="s">
        <v>0</v>
      </c>
      <c r="F25" s="21">
        <f>MEDIAN(F16:F21)</f>
        <v>1.9738719158801128</v>
      </c>
      <c r="G25" s="55">
        <f>MEDIAN(G16:G21)</f>
        <v>0.61589330320975266</v>
      </c>
      <c r="H25" s="372" t="s">
        <v>0</v>
      </c>
      <c r="I25" s="18">
        <f>MEDIAN(I16:I21)</f>
        <v>2.7877590446083595</v>
      </c>
      <c r="J25" s="55">
        <f>MEDIAN(J16:J21)</f>
        <v>0.37016213584263624</v>
      </c>
    </row>
    <row r="26" spans="2:10" ht="16.5">
      <c r="B26" s="12"/>
      <c r="D26" s="14" t="s">
        <v>392</v>
      </c>
      <c r="E26" s="373" t="s">
        <v>0</v>
      </c>
      <c r="F26" s="19">
        <f>AVERAGE(F16:F21)</f>
        <v>2.1133955953154882</v>
      </c>
      <c r="G26" s="308">
        <f>AVERAGE(G16:G21)</f>
        <v>1.1893341489386804</v>
      </c>
      <c r="H26" s="373" t="s">
        <v>0</v>
      </c>
      <c r="I26" s="18">
        <f>AVERAGE(I16:I21)</f>
        <v>3.2799337162419993</v>
      </c>
      <c r="J26" s="308">
        <f>AVERAGE(J16:J21)</f>
        <v>0.38140574661747589</v>
      </c>
    </row>
    <row r="27" spans="2:10" ht="16.5">
      <c r="B27" s="12"/>
      <c r="C27" s="12"/>
      <c r="D27" s="12"/>
      <c r="E27" s="12"/>
      <c r="F27" s="12"/>
      <c r="G27" s="12"/>
      <c r="H27" s="12"/>
      <c r="I27" s="12"/>
    </row>
    <row r="28" spans="2:10" ht="16.5">
      <c r="B28" s="12"/>
      <c r="C28" s="12"/>
      <c r="D28" s="12"/>
      <c r="E28" s="12"/>
      <c r="F28" s="12"/>
      <c r="G28" s="12"/>
      <c r="H28" s="12"/>
      <c r="I28" s="12"/>
    </row>
    <row r="29" spans="2:10" ht="17.25" thickBot="1">
      <c r="B29" s="12"/>
      <c r="C29" s="12"/>
      <c r="D29" s="12"/>
      <c r="E29" s="12"/>
      <c r="F29" s="12"/>
      <c r="G29" s="12"/>
      <c r="I29" s="12"/>
    </row>
    <row r="30" spans="2:10" ht="27" thickBot="1">
      <c r="B30" s="75" t="s">
        <v>0</v>
      </c>
      <c r="C30" s="12"/>
      <c r="D30" s="23" t="s">
        <v>118</v>
      </c>
      <c r="E30" s="23"/>
      <c r="F30" s="224">
        <v>2.11</v>
      </c>
      <c r="G30" s="374"/>
      <c r="I30" s="224">
        <v>3.28</v>
      </c>
    </row>
    <row r="31" spans="2:10" ht="16.5">
      <c r="B31" s="75" t="s">
        <v>0</v>
      </c>
      <c r="C31" s="12"/>
      <c r="D31" s="12"/>
      <c r="E31" s="12"/>
      <c r="F31" s="12"/>
      <c r="G31" s="12"/>
      <c r="I31" s="12"/>
    </row>
    <row r="32" spans="2:10" ht="16.5">
      <c r="B32" s="75"/>
      <c r="C32" s="12"/>
      <c r="D32" s="12"/>
      <c r="E32" s="12"/>
      <c r="F32" s="12"/>
      <c r="G32" s="12"/>
      <c r="I32" s="12"/>
    </row>
    <row r="33" spans="1:15" ht="17.25">
      <c r="A33" s="107" t="s">
        <v>378</v>
      </c>
      <c r="B33" s="75"/>
      <c r="C33" s="12"/>
      <c r="D33" s="12"/>
      <c r="E33" s="12"/>
      <c r="F33" s="12"/>
      <c r="G33" s="12"/>
      <c r="I33" s="12"/>
    </row>
    <row r="34" spans="1:15" ht="17.25">
      <c r="A34" s="107" t="s">
        <v>324</v>
      </c>
      <c r="B34" s="75"/>
      <c r="C34" s="12"/>
      <c r="D34" s="12"/>
      <c r="E34" s="12"/>
      <c r="F34" s="12"/>
      <c r="G34" s="12"/>
      <c r="H34" s="12"/>
      <c r="I34" s="12"/>
    </row>
    <row r="35" spans="1:15" ht="16.5">
      <c r="B35" s="75"/>
      <c r="C35" s="12"/>
      <c r="D35" s="12"/>
      <c r="E35" s="12"/>
      <c r="F35" s="12"/>
      <c r="G35" s="12"/>
      <c r="H35" s="12"/>
      <c r="I35" s="12"/>
    </row>
    <row r="36" spans="1:15" ht="17.25">
      <c r="A36" s="107" t="s">
        <v>379</v>
      </c>
      <c r="B36" s="75"/>
      <c r="C36" s="12"/>
      <c r="D36" s="12"/>
      <c r="E36" s="12"/>
      <c r="F36" s="12"/>
      <c r="G36" s="12"/>
      <c r="H36" s="12"/>
      <c r="I36" s="12"/>
    </row>
    <row r="37" spans="1:15" ht="17.25">
      <c r="A37" s="107" t="s">
        <v>322</v>
      </c>
      <c r="B37" s="75"/>
      <c r="C37" s="12"/>
      <c r="D37" s="12"/>
      <c r="E37" s="12"/>
      <c r="F37" s="12"/>
      <c r="G37" s="12"/>
      <c r="H37" s="12"/>
      <c r="I37" s="12"/>
    </row>
    <row r="38" spans="1:15" ht="17.25">
      <c r="A38" s="107" t="s">
        <v>323</v>
      </c>
      <c r="B38" s="75"/>
      <c r="C38" s="12"/>
      <c r="D38" s="12"/>
      <c r="E38" s="12"/>
      <c r="F38" s="12"/>
      <c r="G38" s="12"/>
      <c r="H38" s="12"/>
      <c r="I38" s="12"/>
    </row>
    <row r="39" spans="1:15" ht="16.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16.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16.5">
      <c r="B41" s="75"/>
      <c r="C41" s="12"/>
      <c r="D41" s="12"/>
      <c r="E41" s="12"/>
      <c r="F41" s="12"/>
      <c r="G41" s="12"/>
      <c r="H41" s="12"/>
      <c r="I41" s="12"/>
    </row>
    <row r="45" spans="1:15" ht="17.25">
      <c r="A45" s="107"/>
      <c r="B45" s="265"/>
      <c r="C45" s="264" t="s">
        <v>0</v>
      </c>
    </row>
    <row r="46" spans="1:15" ht="17.25">
      <c r="C46" s="264" t="s">
        <v>0</v>
      </c>
    </row>
    <row r="47" spans="1:15" ht="17.25">
      <c r="C47" s="264" t="s">
        <v>0</v>
      </c>
    </row>
  </sheetData>
  <pageMargins left="0.25" right="0.25" top="0.75" bottom="0.75" header="0.3" footer="0.3"/>
  <pageSetup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E8:F10"/>
  <sheetViews>
    <sheetView workbookViewId="0">
      <selection activeCell="R10" sqref="R10"/>
    </sheetView>
  </sheetViews>
  <sheetFormatPr defaultRowHeight="15"/>
  <sheetData>
    <row r="8" spans="5:6" ht="15.75" thickBot="1">
      <c r="E8" s="151"/>
      <c r="F8" t="s">
        <v>0</v>
      </c>
    </row>
    <row r="9" spans="5:6">
      <c r="E9" t="s">
        <v>0</v>
      </c>
    </row>
    <row r="10" spans="5:6">
      <c r="E10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1"/>
  <sheetViews>
    <sheetView view="pageBreakPreview" topLeftCell="A10" zoomScale="80" zoomScaleNormal="80" zoomScaleSheetLayoutView="80" workbookViewId="0">
      <selection activeCell="G29" sqref="G29"/>
    </sheetView>
  </sheetViews>
  <sheetFormatPr defaultRowHeight="15"/>
  <cols>
    <col min="1" max="1" width="22.28515625" customWidth="1"/>
    <col min="2" max="2" width="39.7109375" customWidth="1"/>
    <col min="3" max="3" width="16.85546875" customWidth="1"/>
    <col min="4" max="4" width="35.28515625" customWidth="1"/>
    <col min="5" max="5" width="18" customWidth="1"/>
    <col min="6" max="6" width="20.85546875" bestFit="1" customWidth="1"/>
    <col min="7" max="7" width="22" customWidth="1"/>
    <col min="8" max="8" width="23.7109375" customWidth="1"/>
  </cols>
  <sheetData>
    <row r="1" spans="1:11" ht="26.25">
      <c r="A1" s="23" t="s">
        <v>1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17.25" customHeight="1">
      <c r="A3" s="25" t="s">
        <v>429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7.25" customHeight="1">
      <c r="B4" s="25"/>
      <c r="C4" s="12"/>
      <c r="D4" s="12"/>
      <c r="E4" s="12"/>
      <c r="F4" s="12"/>
      <c r="G4" s="12"/>
      <c r="H4" s="12"/>
      <c r="I4" s="12"/>
      <c r="J4" s="12"/>
      <c r="K4" s="12"/>
    </row>
    <row r="5" spans="1:11" ht="17.25" customHeight="1">
      <c r="B5" s="147"/>
      <c r="C5" s="12"/>
      <c r="D5" s="12"/>
      <c r="E5" s="12"/>
      <c r="F5" s="12"/>
      <c r="G5" s="12"/>
      <c r="H5" s="12"/>
      <c r="I5" s="12"/>
      <c r="J5" s="12"/>
      <c r="K5" s="12"/>
    </row>
    <row r="6" spans="1:11" ht="17.25" customHeight="1">
      <c r="B6" s="147"/>
      <c r="C6" s="12"/>
      <c r="D6" s="12"/>
      <c r="E6" s="12"/>
      <c r="F6" s="12"/>
      <c r="G6" s="12"/>
      <c r="H6" s="12"/>
      <c r="I6" s="12"/>
      <c r="J6" s="12"/>
      <c r="K6" s="12"/>
    </row>
    <row r="7" spans="1:11" ht="17.25" customHeight="1">
      <c r="B7" s="147"/>
      <c r="C7" s="12"/>
      <c r="D7" s="12"/>
      <c r="E7" s="12"/>
      <c r="F7" s="12"/>
      <c r="G7" s="12"/>
      <c r="H7" s="12"/>
      <c r="I7" s="12"/>
      <c r="J7" s="12"/>
      <c r="K7" s="12"/>
    </row>
    <row r="8" spans="1:11" ht="16.5">
      <c r="B8" s="25"/>
      <c r="C8" s="12"/>
      <c r="D8" s="12"/>
      <c r="E8" s="12"/>
      <c r="F8" s="12"/>
      <c r="G8" s="12"/>
      <c r="H8" s="12"/>
      <c r="I8" s="12"/>
      <c r="J8" s="12"/>
      <c r="K8" s="12"/>
    </row>
    <row r="9" spans="1:11" ht="20.25">
      <c r="B9" s="12"/>
      <c r="C9" s="12"/>
      <c r="D9" s="78" t="s">
        <v>0</v>
      </c>
      <c r="E9" s="12"/>
      <c r="F9" s="12"/>
      <c r="G9" s="12"/>
      <c r="H9" s="12"/>
      <c r="I9" s="12"/>
      <c r="J9" s="12"/>
      <c r="K9" s="12"/>
    </row>
    <row r="10" spans="1:11" ht="20.25">
      <c r="B10" s="12"/>
      <c r="C10" s="12"/>
      <c r="D10" s="78" t="s">
        <v>64</v>
      </c>
      <c r="E10" s="12"/>
      <c r="F10" s="12"/>
      <c r="G10" s="12"/>
      <c r="H10" s="12"/>
      <c r="I10" s="12"/>
      <c r="J10" s="12"/>
      <c r="K10" s="12"/>
    </row>
    <row r="11" spans="1:11" ht="16.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6.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6.5">
      <c r="B13" s="12"/>
      <c r="C13" s="12"/>
      <c r="D13" s="12"/>
      <c r="E13" s="26"/>
      <c r="F13" s="12"/>
      <c r="G13" s="12"/>
      <c r="H13" s="12"/>
      <c r="I13" s="12"/>
      <c r="J13" s="12"/>
      <c r="K13" s="12"/>
    </row>
    <row r="14" spans="1:11" ht="16.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7.25" thickBot="1">
      <c r="B15" s="12"/>
      <c r="C15" s="28"/>
      <c r="D15" s="28"/>
      <c r="E15" s="28"/>
      <c r="F15" s="12"/>
      <c r="G15" s="12"/>
      <c r="H15" s="12"/>
      <c r="I15" s="12"/>
      <c r="J15" s="12"/>
      <c r="K15" s="12"/>
    </row>
    <row r="16" spans="1:11" ht="26.25">
      <c r="B16" s="12"/>
      <c r="C16" s="12"/>
      <c r="D16" s="31" t="str">
        <f>+'S&amp;D'!A12</f>
        <v>Liquid Transportation Pipeline Carriers</v>
      </c>
      <c r="E16" s="12"/>
      <c r="F16" s="12"/>
      <c r="G16" s="12"/>
      <c r="H16" s="12"/>
      <c r="I16" s="12"/>
      <c r="J16" s="12"/>
      <c r="K16" s="12"/>
    </row>
    <row r="17" spans="2:11" ht="17.25" thickBot="1">
      <c r="B17" s="12"/>
      <c r="C17" s="28"/>
      <c r="D17" s="36" t="s">
        <v>0</v>
      </c>
      <c r="E17" s="28"/>
      <c r="F17" s="12"/>
      <c r="G17" s="12"/>
      <c r="H17" s="12"/>
      <c r="I17" s="12"/>
      <c r="J17" s="12"/>
      <c r="K17" s="12"/>
    </row>
    <row r="18" spans="2:11" ht="17.25" thickBot="1">
      <c r="B18" s="28"/>
      <c r="C18" s="28"/>
      <c r="D18" s="36" t="s">
        <v>0</v>
      </c>
      <c r="E18" s="28"/>
      <c r="F18" s="28"/>
      <c r="G18" s="28"/>
      <c r="H18" s="12"/>
      <c r="I18" s="12"/>
      <c r="J18" s="12"/>
      <c r="K18" s="12"/>
    </row>
    <row r="19" spans="2:11" ht="16.5">
      <c r="B19" s="34" t="s">
        <v>31</v>
      </c>
      <c r="C19" s="34" t="s">
        <v>32</v>
      </c>
      <c r="D19" s="34" t="s">
        <v>33</v>
      </c>
      <c r="E19" s="34" t="s">
        <v>68</v>
      </c>
      <c r="F19" s="34" t="s">
        <v>33</v>
      </c>
      <c r="G19" s="34" t="s">
        <v>34</v>
      </c>
      <c r="H19" s="12"/>
      <c r="I19" s="12"/>
      <c r="J19" s="12"/>
      <c r="K19" s="12"/>
    </row>
    <row r="20" spans="2:11" ht="17.25" thickBot="1">
      <c r="B20" s="36" t="s">
        <v>32</v>
      </c>
      <c r="C20" s="36" t="s">
        <v>35</v>
      </c>
      <c r="D20" s="36" t="s">
        <v>36</v>
      </c>
      <c r="E20" s="36" t="s">
        <v>23</v>
      </c>
      <c r="F20" s="36" t="s">
        <v>37</v>
      </c>
      <c r="G20" s="36" t="s">
        <v>38</v>
      </c>
      <c r="H20" s="12"/>
      <c r="I20" s="12"/>
      <c r="J20" s="12"/>
      <c r="K20" s="12"/>
    </row>
    <row r="21" spans="2:11" ht="16.5">
      <c r="B21" s="38" t="s">
        <v>0</v>
      </c>
      <c r="C21" s="38" t="s">
        <v>0</v>
      </c>
      <c r="D21" s="38" t="s">
        <v>0</v>
      </c>
      <c r="E21" s="38" t="s">
        <v>0</v>
      </c>
      <c r="F21" s="38" t="s">
        <v>0</v>
      </c>
      <c r="G21" s="38" t="s">
        <v>0</v>
      </c>
      <c r="H21" s="12"/>
      <c r="I21" s="12"/>
      <c r="J21" s="12"/>
      <c r="K21" s="12"/>
    </row>
    <row r="22" spans="2:11" ht="16.5">
      <c r="B22" s="34"/>
      <c r="C22" s="34"/>
      <c r="D22" s="34"/>
      <c r="E22" s="34"/>
      <c r="F22" s="34"/>
      <c r="G22" s="34"/>
      <c r="H22" s="12"/>
      <c r="I22" s="12"/>
      <c r="J22" s="12"/>
      <c r="K22" s="12"/>
    </row>
    <row r="23" spans="2:11" ht="17.25">
      <c r="B23" s="90" t="s">
        <v>39</v>
      </c>
      <c r="C23" s="139">
        <f>'S&amp;D'!I49</f>
        <v>0.62</v>
      </c>
      <c r="D23" s="139">
        <f>+'Indicated Yield Equity Rate'!D51</f>
        <v>0.10979999999999999</v>
      </c>
      <c r="E23" s="104" t="s">
        <v>40</v>
      </c>
      <c r="F23" s="139">
        <f>+D23</f>
        <v>0.10979999999999999</v>
      </c>
      <c r="G23" s="140">
        <f>+F23*C23</f>
        <v>6.8075999999999998E-2</v>
      </c>
      <c r="H23" s="12"/>
      <c r="I23" s="12"/>
      <c r="J23" s="12"/>
      <c r="K23" s="12"/>
    </row>
    <row r="24" spans="2:11" ht="17.25">
      <c r="B24" s="90" t="s">
        <v>0</v>
      </c>
      <c r="C24" s="104" t="s">
        <v>0</v>
      </c>
      <c r="D24" s="104" t="s">
        <v>0</v>
      </c>
      <c r="E24" s="104" t="s">
        <v>0</v>
      </c>
      <c r="F24" s="141" t="s">
        <v>0</v>
      </c>
      <c r="G24" s="129" t="s">
        <v>0</v>
      </c>
      <c r="H24" s="12"/>
      <c r="I24" s="12"/>
      <c r="J24" s="12"/>
      <c r="K24" s="12"/>
    </row>
    <row r="25" spans="2:11" ht="17.25">
      <c r="B25" s="90" t="s">
        <v>41</v>
      </c>
      <c r="C25" s="139">
        <f>'S&amp;D'!J49</f>
        <v>0.38</v>
      </c>
      <c r="D25" s="139">
        <f>+Debt!J28</f>
        <v>6.0999999999999999E-2</v>
      </c>
      <c r="E25" s="139">
        <v>0.26</v>
      </c>
      <c r="F25" s="139">
        <f>+D25*(1-E25)</f>
        <v>4.514E-2</v>
      </c>
      <c r="G25" s="140">
        <f>+C25*F25</f>
        <v>1.71532E-2</v>
      </c>
      <c r="H25" s="12"/>
      <c r="I25" s="12"/>
      <c r="J25" s="12"/>
      <c r="K25" s="12"/>
    </row>
    <row r="26" spans="2:11" ht="18" thickBot="1">
      <c r="B26" s="97" t="s">
        <v>0</v>
      </c>
      <c r="C26" s="97" t="s">
        <v>0</v>
      </c>
      <c r="D26" s="97" t="s">
        <v>0</v>
      </c>
      <c r="E26" s="97" t="s">
        <v>0</v>
      </c>
      <c r="F26" s="142" t="s">
        <v>0</v>
      </c>
      <c r="G26" s="143" t="s">
        <v>0</v>
      </c>
      <c r="H26" s="12"/>
      <c r="I26" s="12"/>
      <c r="J26" s="12"/>
      <c r="K26" s="12"/>
    </row>
    <row r="27" spans="2:11" ht="17.25">
      <c r="B27" s="90" t="s">
        <v>71</v>
      </c>
      <c r="C27" s="144">
        <f>+C23+C25</f>
        <v>1</v>
      </c>
      <c r="D27" s="90" t="s">
        <v>0</v>
      </c>
      <c r="E27" s="90" t="s">
        <v>0</v>
      </c>
      <c r="F27" s="145" t="s">
        <v>0</v>
      </c>
      <c r="G27" s="140">
        <f>+G23+G25</f>
        <v>8.5229200000000005E-2</v>
      </c>
      <c r="H27" s="12"/>
      <c r="I27" s="12"/>
      <c r="J27" s="12"/>
      <c r="K27" s="12"/>
    </row>
    <row r="28" spans="2:11" ht="18" thickBot="1">
      <c r="B28" s="61"/>
      <c r="C28" s="61"/>
      <c r="D28" s="61"/>
      <c r="E28" s="61"/>
      <c r="F28" s="61"/>
      <c r="G28" s="146"/>
      <c r="H28" s="12"/>
      <c r="I28" s="12"/>
      <c r="J28" s="12"/>
      <c r="K28" s="12"/>
    </row>
    <row r="29" spans="2:11" ht="18" thickBot="1">
      <c r="B29" s="12"/>
      <c r="C29" s="12"/>
      <c r="D29" s="12"/>
      <c r="E29" s="12"/>
      <c r="F29" s="193" t="s">
        <v>74</v>
      </c>
      <c r="G29" s="298">
        <v>8.5199999999999998E-2</v>
      </c>
      <c r="H29" s="12"/>
      <c r="I29" s="12"/>
      <c r="J29" s="12"/>
      <c r="K29" s="12"/>
    </row>
    <row r="30" spans="2:11" ht="16.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16.5">
      <c r="B31" s="12"/>
      <c r="C31" s="12"/>
      <c r="D31" s="12"/>
      <c r="E31" s="12"/>
      <c r="F31" s="12"/>
      <c r="G31" s="12"/>
      <c r="H31" s="12"/>
      <c r="I31" s="12"/>
      <c r="J31" s="12"/>
      <c r="K31" s="12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31" zoomScale="80" zoomScaleNormal="80" zoomScaleSheetLayoutView="80" workbookViewId="0">
      <selection activeCell="G62" sqref="G62"/>
    </sheetView>
  </sheetViews>
  <sheetFormatPr defaultRowHeight="15"/>
  <cols>
    <col min="1" max="1" width="17.28515625" customWidth="1"/>
    <col min="2" max="2" width="31.7109375" customWidth="1"/>
    <col min="3" max="3" width="16.5703125" customWidth="1"/>
    <col min="4" max="4" width="35.28515625" customWidth="1"/>
    <col min="5" max="5" width="14.85546875" customWidth="1"/>
    <col min="6" max="6" width="25.85546875" customWidth="1"/>
    <col min="7" max="7" width="24.140625" customWidth="1"/>
    <col min="8" max="8" width="17.7109375" customWidth="1"/>
  </cols>
  <sheetData>
    <row r="1" spans="1:11" ht="26.25">
      <c r="A1" s="23" t="s">
        <v>1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16.5">
      <c r="A3" s="25" t="s">
        <v>429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6.5">
      <c r="B4" s="25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B5" s="25"/>
      <c r="C5" s="12"/>
      <c r="D5" s="12"/>
      <c r="E5" s="12"/>
      <c r="F5" s="12"/>
      <c r="G5" s="12"/>
      <c r="H5" s="12"/>
      <c r="I5" s="12"/>
      <c r="J5" s="12"/>
      <c r="K5" s="12"/>
    </row>
    <row r="6" spans="1:11" ht="16.5">
      <c r="B6" s="25"/>
      <c r="C6" s="12"/>
      <c r="D6" s="12"/>
      <c r="E6" s="12"/>
      <c r="F6" s="12"/>
      <c r="G6" s="12"/>
      <c r="H6" s="12"/>
      <c r="I6" s="12"/>
      <c r="J6" s="12"/>
      <c r="K6" s="12"/>
    </row>
    <row r="7" spans="1:11" ht="16.5">
      <c r="B7" s="25"/>
      <c r="C7" s="12"/>
      <c r="D7" s="12"/>
      <c r="E7" s="12"/>
      <c r="F7" s="12"/>
      <c r="G7" s="12"/>
      <c r="H7" s="12"/>
      <c r="I7" s="12"/>
      <c r="J7" s="12"/>
      <c r="K7" s="12"/>
    </row>
    <row r="8" spans="1:11" ht="16.5">
      <c r="B8" s="25"/>
      <c r="C8" s="12"/>
      <c r="D8" s="12"/>
      <c r="E8" s="12"/>
      <c r="F8" s="12"/>
      <c r="G8" s="12"/>
      <c r="H8" s="12"/>
      <c r="I8" s="12"/>
      <c r="J8" s="12"/>
      <c r="K8" s="12"/>
    </row>
    <row r="9" spans="1:11" ht="16.5">
      <c r="B9" s="25"/>
      <c r="C9" s="12"/>
      <c r="D9" s="12"/>
      <c r="E9" s="12"/>
      <c r="F9" s="12"/>
      <c r="G9" s="12"/>
      <c r="H9" s="12"/>
      <c r="I9" s="12"/>
      <c r="J9" s="12"/>
      <c r="K9" s="12"/>
    </row>
    <row r="10" spans="1:11" ht="20.25">
      <c r="B10" s="12"/>
      <c r="C10" s="12"/>
      <c r="D10" s="78" t="s">
        <v>0</v>
      </c>
      <c r="E10" s="12"/>
      <c r="F10" s="12"/>
      <c r="G10" s="12"/>
      <c r="H10" s="12"/>
      <c r="I10" s="12"/>
      <c r="J10" s="12"/>
      <c r="K10" s="12"/>
    </row>
    <row r="11" spans="1:11" ht="20.25">
      <c r="B11" s="12"/>
      <c r="C11" s="12"/>
      <c r="D11" s="78" t="s">
        <v>63</v>
      </c>
      <c r="E11" s="12"/>
      <c r="F11" s="12"/>
      <c r="G11" s="12"/>
      <c r="H11" s="12"/>
      <c r="I11" s="12"/>
      <c r="J11" s="12"/>
      <c r="K11" s="12"/>
    </row>
    <row r="12" spans="1:11" ht="16.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6.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7.25" thickBot="1">
      <c r="B14" s="12"/>
      <c r="C14" s="28"/>
      <c r="D14" s="28"/>
      <c r="E14" s="28"/>
      <c r="F14" s="12"/>
      <c r="G14" s="12"/>
      <c r="H14" s="12"/>
      <c r="I14" s="12"/>
      <c r="J14" s="12"/>
      <c r="K14" s="12"/>
    </row>
    <row r="15" spans="1:11" ht="26.25">
      <c r="B15" s="12"/>
      <c r="C15" s="12"/>
      <c r="D15" s="31" t="str">
        <f>+'S&amp;D'!A12</f>
        <v>Liquid Transportation Pipeline Carriers</v>
      </c>
      <c r="E15" s="12"/>
      <c r="F15" s="12"/>
      <c r="G15" s="12"/>
      <c r="H15" s="12"/>
      <c r="I15" s="12"/>
      <c r="J15" s="12"/>
      <c r="K15" s="12"/>
    </row>
    <row r="16" spans="1:11" ht="21" thickBot="1">
      <c r="B16" s="12"/>
      <c r="C16" s="28"/>
      <c r="D16" s="138" t="s">
        <v>70</v>
      </c>
      <c r="E16" s="28"/>
      <c r="F16" s="12"/>
      <c r="G16" s="12"/>
      <c r="H16" s="12"/>
      <c r="I16" s="12"/>
      <c r="J16" s="12"/>
      <c r="K16" s="12"/>
    </row>
    <row r="17" spans="2:11" ht="16.5">
      <c r="H17" s="12"/>
      <c r="I17" s="12"/>
      <c r="J17" s="12"/>
      <c r="K17" s="12"/>
    </row>
    <row r="18" spans="2:11" ht="17.25" thickBot="1">
      <c r="B18" s="28"/>
      <c r="C18" s="28"/>
      <c r="D18" s="36" t="s">
        <v>0</v>
      </c>
      <c r="E18" s="28"/>
      <c r="F18" s="28"/>
      <c r="G18" s="28"/>
      <c r="H18" s="12"/>
      <c r="I18" s="12"/>
      <c r="J18" s="12"/>
      <c r="K18" s="12"/>
    </row>
    <row r="19" spans="2:11" ht="16.5">
      <c r="B19" s="34" t="s">
        <v>31</v>
      </c>
      <c r="C19" s="34" t="s">
        <v>32</v>
      </c>
      <c r="D19" s="34" t="s">
        <v>67</v>
      </c>
      <c r="E19" s="34" t="s">
        <v>68</v>
      </c>
      <c r="F19" s="34" t="s">
        <v>66</v>
      </c>
      <c r="G19" s="34" t="s">
        <v>34</v>
      </c>
      <c r="H19" s="12"/>
      <c r="I19" s="12"/>
      <c r="J19" s="12"/>
      <c r="K19" s="12"/>
    </row>
    <row r="20" spans="2:11" ht="17.25" thickBot="1">
      <c r="B20" s="36" t="s">
        <v>32</v>
      </c>
      <c r="C20" s="36" t="s">
        <v>35</v>
      </c>
      <c r="D20" s="36" t="s">
        <v>36</v>
      </c>
      <c r="E20" s="36" t="s">
        <v>23</v>
      </c>
      <c r="F20" s="36" t="s">
        <v>37</v>
      </c>
      <c r="G20" s="36" t="s">
        <v>69</v>
      </c>
      <c r="H20" s="12"/>
      <c r="I20" s="12"/>
      <c r="J20" s="12"/>
      <c r="K20" s="12"/>
    </row>
    <row r="21" spans="2:11" ht="16.5">
      <c r="B21" s="38" t="s">
        <v>0</v>
      </c>
      <c r="C21" s="38" t="s">
        <v>0</v>
      </c>
      <c r="D21" s="38" t="s">
        <v>0</v>
      </c>
      <c r="E21" s="38" t="s">
        <v>0</v>
      </c>
      <c r="F21" s="38" t="s">
        <v>0</v>
      </c>
      <c r="G21" s="38" t="s">
        <v>0</v>
      </c>
      <c r="H21" s="12"/>
      <c r="I21" s="12"/>
      <c r="J21" s="12"/>
      <c r="K21" s="12"/>
    </row>
    <row r="22" spans="2:11" ht="16.5">
      <c r="B22" s="34"/>
      <c r="C22" s="34"/>
      <c r="D22" s="34"/>
      <c r="E22" s="34"/>
      <c r="F22" s="34"/>
      <c r="G22" s="34"/>
      <c r="H22" s="12"/>
      <c r="I22" s="12"/>
      <c r="J22" s="12"/>
      <c r="K22" s="12"/>
    </row>
    <row r="23" spans="2:11" ht="17.25">
      <c r="B23" s="90" t="s">
        <v>39</v>
      </c>
      <c r="C23" s="139">
        <f>'S&amp;D'!I49</f>
        <v>0.62</v>
      </c>
      <c r="D23" s="139">
        <f>+'Direct NOPAT'!J32</f>
        <v>9.035E-2</v>
      </c>
      <c r="E23" s="104" t="s">
        <v>40</v>
      </c>
      <c r="F23" s="139">
        <f>+D23</f>
        <v>9.035E-2</v>
      </c>
      <c r="G23" s="140">
        <f>+F23*C23</f>
        <v>5.6016999999999997E-2</v>
      </c>
      <c r="H23" s="12"/>
      <c r="I23" s="12"/>
      <c r="J23" s="12"/>
      <c r="K23" s="12"/>
    </row>
    <row r="24" spans="2:11" ht="17.25">
      <c r="B24" s="90" t="s">
        <v>0</v>
      </c>
      <c r="C24" s="104" t="s">
        <v>0</v>
      </c>
      <c r="D24" s="104" t="s">
        <v>0</v>
      </c>
      <c r="E24" s="104" t="s">
        <v>0</v>
      </c>
      <c r="F24" s="141" t="s">
        <v>0</v>
      </c>
      <c r="G24" s="129" t="s">
        <v>0</v>
      </c>
      <c r="H24" s="12"/>
      <c r="I24" s="12"/>
      <c r="J24" s="12"/>
      <c r="K24" s="12"/>
    </row>
    <row r="25" spans="2:11" ht="17.25">
      <c r="B25" s="90" t="s">
        <v>41</v>
      </c>
      <c r="C25" s="139">
        <f>'S&amp;D'!J49</f>
        <v>0.38</v>
      </c>
      <c r="D25" s="139">
        <f>+Debt!J28</f>
        <v>6.0999999999999999E-2</v>
      </c>
      <c r="E25" s="139">
        <v>0.26</v>
      </c>
      <c r="F25" s="139">
        <f>+D25*(1-E25)</f>
        <v>4.514E-2</v>
      </c>
      <c r="G25" s="140">
        <f>+C25*F25</f>
        <v>1.71532E-2</v>
      </c>
      <c r="H25" s="12"/>
      <c r="I25" s="12"/>
      <c r="J25" s="12"/>
      <c r="K25" s="12"/>
    </row>
    <row r="26" spans="2:11" ht="18" thickBot="1">
      <c r="B26" s="97" t="s">
        <v>0</v>
      </c>
      <c r="C26" s="97" t="s">
        <v>0</v>
      </c>
      <c r="D26" s="97" t="s">
        <v>0</v>
      </c>
      <c r="E26" s="97" t="s">
        <v>0</v>
      </c>
      <c r="F26" s="142" t="s">
        <v>0</v>
      </c>
      <c r="G26" s="143" t="s">
        <v>0</v>
      </c>
      <c r="H26" s="12"/>
      <c r="I26" s="12"/>
      <c r="J26" s="12"/>
      <c r="K26" s="12"/>
    </row>
    <row r="27" spans="2:11" ht="17.25">
      <c r="B27" s="90" t="s">
        <v>42</v>
      </c>
      <c r="C27" s="144">
        <f>+C23+C25</f>
        <v>1</v>
      </c>
      <c r="D27" s="90" t="s">
        <v>0</v>
      </c>
      <c r="E27" s="90" t="s">
        <v>0</v>
      </c>
      <c r="F27" s="145" t="s">
        <v>0</v>
      </c>
      <c r="G27" s="140">
        <f>+G23+G25</f>
        <v>7.3170199999999991E-2</v>
      </c>
      <c r="H27" s="12"/>
      <c r="I27" s="12"/>
      <c r="J27" s="12"/>
      <c r="K27" s="12"/>
    </row>
    <row r="28" spans="2:11" ht="18" thickBot="1">
      <c r="B28" s="61"/>
      <c r="C28" s="61"/>
      <c r="D28" s="61"/>
      <c r="E28" s="61"/>
      <c r="F28" s="61"/>
      <c r="G28" s="146"/>
      <c r="H28" s="12"/>
      <c r="I28" s="12"/>
      <c r="J28" s="12"/>
      <c r="K28" s="12"/>
    </row>
    <row r="29" spans="2:11" ht="18" thickBot="1">
      <c r="B29" s="12"/>
      <c r="C29" s="12"/>
      <c r="D29" s="12"/>
      <c r="E29" s="12"/>
      <c r="F29" s="193" t="s">
        <v>74</v>
      </c>
      <c r="G29" s="298">
        <v>7.3200000000000001E-2</v>
      </c>
      <c r="H29" s="12"/>
      <c r="I29" s="12"/>
      <c r="J29" s="12"/>
      <c r="K29" s="12"/>
    </row>
    <row r="30" spans="2:11" ht="18" thickBot="1">
      <c r="B30" s="12"/>
      <c r="C30" s="12"/>
      <c r="D30" s="12"/>
      <c r="E30" s="12"/>
      <c r="F30" s="145"/>
      <c r="G30" s="140"/>
      <c r="H30" s="12"/>
      <c r="I30" s="12"/>
      <c r="J30" s="12"/>
      <c r="K30" s="12"/>
    </row>
    <row r="31" spans="2:11" ht="18" thickBot="1">
      <c r="B31" s="12"/>
      <c r="C31" s="12"/>
      <c r="D31" s="12"/>
      <c r="E31" s="12"/>
      <c r="F31" s="193" t="s">
        <v>219</v>
      </c>
      <c r="G31" s="225">
        <f>1/G29</f>
        <v>13.66120218579235</v>
      </c>
      <c r="H31" s="12"/>
      <c r="I31" s="12"/>
      <c r="J31" s="12"/>
      <c r="K31" s="12"/>
    </row>
    <row r="32" spans="2:11" ht="17.25">
      <c r="B32" s="12"/>
      <c r="C32" s="12"/>
      <c r="D32" s="12"/>
      <c r="E32" s="12"/>
      <c r="F32" s="145"/>
      <c r="G32" s="140"/>
      <c r="H32" s="12"/>
      <c r="I32" s="12"/>
      <c r="J32" s="12"/>
      <c r="K32" s="12"/>
    </row>
    <row r="33" spans="1:11" ht="17.25">
      <c r="B33" s="12"/>
      <c r="C33" s="12"/>
      <c r="D33" s="12"/>
      <c r="E33" s="12"/>
      <c r="F33" s="145"/>
      <c r="G33" s="140"/>
      <c r="H33" s="12"/>
      <c r="I33" s="12"/>
      <c r="J33" s="12"/>
      <c r="K33" s="12"/>
    </row>
    <row r="34" spans="1:11" ht="26.25">
      <c r="A34" s="23" t="s">
        <v>1</v>
      </c>
      <c r="C34" s="12"/>
      <c r="D34" s="12"/>
      <c r="E34" s="12"/>
      <c r="F34" s="145"/>
      <c r="G34" s="140"/>
      <c r="H34" s="12"/>
      <c r="I34" s="12"/>
      <c r="J34" s="12"/>
      <c r="K34" s="12"/>
    </row>
    <row r="35" spans="1:11" ht="17.25">
      <c r="A35" s="24" t="s">
        <v>9</v>
      </c>
      <c r="C35" s="12"/>
      <c r="D35" s="12"/>
      <c r="E35" s="12"/>
      <c r="F35" s="145"/>
      <c r="G35" s="140"/>
      <c r="H35" s="12"/>
      <c r="I35" s="12"/>
      <c r="J35" s="12"/>
      <c r="K35" s="12"/>
    </row>
    <row r="36" spans="1:11" ht="17.25">
      <c r="A36" s="25" t="s">
        <v>429</v>
      </c>
      <c r="C36" s="12"/>
      <c r="D36" s="12"/>
      <c r="E36" s="12"/>
      <c r="F36" s="145"/>
      <c r="G36" s="140"/>
      <c r="H36" s="12"/>
      <c r="I36" s="12"/>
      <c r="J36" s="12"/>
      <c r="K36" s="12"/>
    </row>
    <row r="37" spans="1:11" ht="17.25">
      <c r="A37" s="25"/>
      <c r="C37" s="12"/>
      <c r="D37" s="12"/>
      <c r="E37" s="12"/>
      <c r="F37" s="145"/>
      <c r="G37" s="140"/>
      <c r="H37" s="12"/>
      <c r="I37" s="12"/>
      <c r="J37" s="12"/>
      <c r="K37" s="12"/>
    </row>
    <row r="38" spans="1:11" ht="17.25">
      <c r="A38" s="25"/>
      <c r="C38" s="12"/>
      <c r="D38" s="12"/>
      <c r="E38" s="12"/>
      <c r="F38" s="145"/>
      <c r="G38" s="140"/>
      <c r="H38" s="12"/>
      <c r="I38" s="12"/>
      <c r="J38" s="12"/>
      <c r="K38" s="12"/>
    </row>
    <row r="39" spans="1:11" ht="17.25">
      <c r="A39" s="25"/>
      <c r="C39" s="12"/>
      <c r="D39" s="12"/>
      <c r="E39" s="12"/>
      <c r="F39" s="145"/>
      <c r="G39" s="140"/>
      <c r="H39" s="12"/>
      <c r="I39" s="12"/>
      <c r="J39" s="12"/>
      <c r="K39" s="12"/>
    </row>
    <row r="40" spans="1:11" ht="17.25">
      <c r="A40" s="25"/>
      <c r="C40" s="12"/>
      <c r="D40" s="12"/>
      <c r="E40" s="12"/>
      <c r="F40" s="145"/>
      <c r="G40" s="140"/>
      <c r="H40" s="12"/>
      <c r="I40" s="12"/>
      <c r="J40" s="12"/>
      <c r="K40" s="12"/>
    </row>
    <row r="41" spans="1:11" ht="17.25">
      <c r="A41" s="25"/>
      <c r="C41" s="12"/>
      <c r="D41" s="12"/>
      <c r="E41" s="12"/>
      <c r="F41" s="145"/>
      <c r="G41" s="140"/>
      <c r="H41" s="12"/>
      <c r="I41" s="12"/>
      <c r="J41" s="12"/>
      <c r="K41" s="12"/>
    </row>
    <row r="42" spans="1:11" ht="17.25">
      <c r="A42" s="25"/>
      <c r="C42" s="12"/>
      <c r="D42" s="12"/>
      <c r="E42" s="12"/>
      <c r="F42" s="145"/>
      <c r="G42" s="140"/>
      <c r="H42" s="12"/>
      <c r="I42" s="12"/>
      <c r="J42" s="12"/>
      <c r="K42" s="12"/>
    </row>
    <row r="43" spans="1:11" ht="17.25">
      <c r="A43" s="25"/>
      <c r="C43" s="12"/>
      <c r="D43" s="12"/>
      <c r="E43" s="12"/>
      <c r="F43" s="145"/>
      <c r="G43" s="140"/>
      <c r="H43" s="12"/>
      <c r="I43" s="12"/>
      <c r="J43" s="12"/>
      <c r="K43" s="12"/>
    </row>
    <row r="44" spans="1:11" ht="20.25">
      <c r="A44" s="25"/>
      <c r="C44" s="12"/>
      <c r="D44" s="78" t="s">
        <v>63</v>
      </c>
      <c r="E44" s="12"/>
      <c r="F44" s="145"/>
      <c r="G44" s="140"/>
      <c r="H44" s="12"/>
      <c r="I44" s="12"/>
      <c r="J44" s="12"/>
      <c r="K44" s="12"/>
    </row>
    <row r="45" spans="1:11" ht="20.25">
      <c r="A45" s="25"/>
      <c r="C45" s="12"/>
      <c r="D45" s="78"/>
      <c r="E45" s="12"/>
      <c r="F45" s="145"/>
      <c r="G45" s="140"/>
      <c r="H45" s="12"/>
      <c r="I45" s="12"/>
      <c r="J45" s="12"/>
      <c r="K45" s="12"/>
    </row>
    <row r="46" spans="1:11" ht="20.25">
      <c r="A46" s="25"/>
      <c r="C46" s="12"/>
      <c r="D46" s="78"/>
      <c r="E46" s="12"/>
      <c r="F46" s="145"/>
      <c r="G46" s="140"/>
      <c r="H46" s="12"/>
      <c r="I46" s="12"/>
      <c r="J46" s="12"/>
      <c r="K46" s="12"/>
    </row>
    <row r="47" spans="1:11" ht="17.25" thickBot="1">
      <c r="B47" s="12"/>
      <c r="C47" s="28"/>
      <c r="D47" s="28"/>
      <c r="E47" s="28"/>
      <c r="F47" s="12"/>
      <c r="G47" s="12"/>
      <c r="H47" s="12"/>
      <c r="I47" s="12"/>
      <c r="J47" s="12"/>
      <c r="K47" s="12"/>
    </row>
    <row r="48" spans="1:11" ht="26.25">
      <c r="B48" s="12"/>
      <c r="C48" s="12"/>
      <c r="D48" s="31" t="str">
        <f>+D15</f>
        <v>Liquid Transportation Pipeline Carriers</v>
      </c>
      <c r="E48" s="12"/>
      <c r="F48" s="12"/>
      <c r="G48" s="12"/>
      <c r="H48" s="12"/>
      <c r="I48" s="12"/>
      <c r="J48" s="12"/>
      <c r="K48" s="12"/>
    </row>
    <row r="49" spans="2:11" ht="21" thickBot="1">
      <c r="B49" s="12"/>
      <c r="C49" s="28"/>
      <c r="D49" s="138" t="s">
        <v>65</v>
      </c>
      <c r="E49" s="28"/>
      <c r="F49" s="12"/>
      <c r="G49" s="12"/>
      <c r="H49" s="12"/>
      <c r="I49" s="12"/>
      <c r="J49" s="12"/>
      <c r="K49" s="12"/>
    </row>
    <row r="50" spans="2:11" ht="16.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ht="17.25" thickBot="1">
      <c r="B51" s="28"/>
      <c r="C51" s="28"/>
      <c r="D51" s="36" t="s">
        <v>0</v>
      </c>
      <c r="E51" s="28"/>
      <c r="F51" s="28"/>
      <c r="G51" s="28"/>
      <c r="H51" s="12"/>
      <c r="I51" s="12"/>
      <c r="J51" s="12"/>
      <c r="K51" s="12"/>
    </row>
    <row r="52" spans="2:11" ht="16.5">
      <c r="B52" s="34" t="s">
        <v>31</v>
      </c>
      <c r="C52" s="34" t="s">
        <v>32</v>
      </c>
      <c r="D52" s="34" t="s">
        <v>67</v>
      </c>
      <c r="E52" s="34" t="s">
        <v>68</v>
      </c>
      <c r="F52" s="34" t="s">
        <v>66</v>
      </c>
      <c r="G52" s="34" t="s">
        <v>34</v>
      </c>
      <c r="H52" s="12"/>
      <c r="I52" s="12"/>
      <c r="J52" s="12"/>
      <c r="K52" s="12"/>
    </row>
    <row r="53" spans="2:11" ht="17.25" thickBot="1">
      <c r="B53" s="36" t="s">
        <v>32</v>
      </c>
      <c r="C53" s="36" t="s">
        <v>35</v>
      </c>
      <c r="D53" s="36" t="s">
        <v>36</v>
      </c>
      <c r="E53" s="36" t="s">
        <v>23</v>
      </c>
      <c r="F53" s="36" t="s">
        <v>37</v>
      </c>
      <c r="G53" s="36" t="s">
        <v>69</v>
      </c>
      <c r="H53" s="12"/>
      <c r="I53" s="12"/>
      <c r="J53" s="12"/>
      <c r="K53" s="12"/>
    </row>
    <row r="54" spans="2:11" ht="16.5">
      <c r="B54" s="38" t="s">
        <v>0</v>
      </c>
      <c r="C54" s="38" t="s">
        <v>0</v>
      </c>
      <c r="D54" s="38" t="s">
        <v>0</v>
      </c>
      <c r="E54" s="38" t="s">
        <v>0</v>
      </c>
      <c r="F54" s="38" t="s">
        <v>0</v>
      </c>
      <c r="G54" s="38" t="s">
        <v>0</v>
      </c>
      <c r="H54" s="12"/>
      <c r="I54" s="12"/>
      <c r="J54" s="12"/>
      <c r="K54" s="12"/>
    </row>
    <row r="55" spans="2:11" ht="16.5">
      <c r="B55" s="34"/>
      <c r="C55" s="34"/>
      <c r="D55" s="34"/>
      <c r="E55" s="34"/>
      <c r="F55" s="34"/>
      <c r="G55" s="34"/>
      <c r="H55" s="12"/>
      <c r="I55" s="12"/>
      <c r="J55" s="12"/>
      <c r="K55" s="12"/>
    </row>
    <row r="56" spans="2:11" ht="17.25">
      <c r="B56" s="90" t="s">
        <v>39</v>
      </c>
      <c r="C56" s="139">
        <f>'S&amp;D'!I49</f>
        <v>0.62</v>
      </c>
      <c r="D56" s="139">
        <f>+'Direct GCF'!H31</f>
        <v>0.15620000000000001</v>
      </c>
      <c r="E56" s="104" t="s">
        <v>40</v>
      </c>
      <c r="F56" s="139">
        <f>+D56</f>
        <v>0.15620000000000001</v>
      </c>
      <c r="G56" s="140">
        <f>+F56*C56</f>
        <v>9.6844E-2</v>
      </c>
      <c r="H56" s="12"/>
      <c r="I56" s="12"/>
      <c r="J56" s="12"/>
      <c r="K56" s="12"/>
    </row>
    <row r="57" spans="2:11" ht="17.25">
      <c r="B57" s="90" t="s">
        <v>0</v>
      </c>
      <c r="C57" s="104" t="s">
        <v>0</v>
      </c>
      <c r="D57" s="104" t="s">
        <v>0</v>
      </c>
      <c r="E57" s="104" t="s">
        <v>0</v>
      </c>
      <c r="F57" s="141" t="s">
        <v>0</v>
      </c>
      <c r="G57" s="129" t="s">
        <v>0</v>
      </c>
      <c r="H57" s="12"/>
      <c r="I57" s="12"/>
      <c r="J57" s="12"/>
      <c r="K57" s="12"/>
    </row>
    <row r="58" spans="2:11" ht="17.25">
      <c r="B58" s="90" t="s">
        <v>41</v>
      </c>
      <c r="C58" s="139">
        <f>'S&amp;D'!J49</f>
        <v>0.38</v>
      </c>
      <c r="D58" s="139">
        <f>+Debt!J28</f>
        <v>6.0999999999999999E-2</v>
      </c>
      <c r="E58" s="139">
        <v>0.26</v>
      </c>
      <c r="F58" s="139">
        <f>+D58*(1-E58)</f>
        <v>4.514E-2</v>
      </c>
      <c r="G58" s="140">
        <f>+C58*F58</f>
        <v>1.71532E-2</v>
      </c>
      <c r="H58" s="12"/>
      <c r="I58" s="12"/>
      <c r="J58" s="12"/>
      <c r="K58" s="12"/>
    </row>
    <row r="59" spans="2:11" ht="18" thickBot="1">
      <c r="B59" s="97" t="s">
        <v>0</v>
      </c>
      <c r="C59" s="97" t="s">
        <v>0</v>
      </c>
      <c r="D59" s="97" t="s">
        <v>0</v>
      </c>
      <c r="E59" s="97" t="s">
        <v>0</v>
      </c>
      <c r="F59" s="142" t="s">
        <v>0</v>
      </c>
      <c r="G59" s="143" t="s">
        <v>0</v>
      </c>
      <c r="H59" s="12"/>
      <c r="I59" s="12"/>
      <c r="J59" s="12"/>
      <c r="K59" s="12"/>
    </row>
    <row r="60" spans="2:11" ht="17.25">
      <c r="B60" s="90" t="s">
        <v>42</v>
      </c>
      <c r="C60" s="144">
        <f>+C56+C58</f>
        <v>1</v>
      </c>
      <c r="D60" s="90" t="s">
        <v>0</v>
      </c>
      <c r="E60" s="90" t="s">
        <v>0</v>
      </c>
      <c r="F60" s="145" t="s">
        <v>0</v>
      </c>
      <c r="G60" s="140">
        <f>+G56+G58</f>
        <v>0.11399719999999999</v>
      </c>
      <c r="H60" s="12"/>
      <c r="I60" s="12"/>
      <c r="J60" s="12"/>
      <c r="K60" s="12"/>
    </row>
    <row r="61" spans="2:11" ht="18" thickBot="1">
      <c r="B61" s="61"/>
      <c r="C61" s="61"/>
      <c r="D61" s="61"/>
      <c r="E61" s="61"/>
      <c r="F61" s="61"/>
      <c r="G61" s="146"/>
      <c r="H61" s="12"/>
      <c r="I61" s="12"/>
      <c r="J61" s="12"/>
      <c r="K61" s="12"/>
    </row>
    <row r="62" spans="2:11" ht="18" thickBot="1">
      <c r="B62" s="12"/>
      <c r="C62" s="12"/>
      <c r="D62" s="12"/>
      <c r="E62" s="12"/>
      <c r="F62" s="193" t="s">
        <v>74</v>
      </c>
      <c r="G62" s="298">
        <v>0.114</v>
      </c>
      <c r="H62" s="12"/>
      <c r="I62" s="12"/>
      <c r="J62" s="12"/>
      <c r="K62" s="12"/>
    </row>
    <row r="63" spans="2:11" ht="15.75" thickBot="1"/>
    <row r="64" spans="2:11" ht="18" thickBot="1">
      <c r="F64" s="193" t="s">
        <v>219</v>
      </c>
      <c r="G64" s="225">
        <f>1/G62</f>
        <v>8.7719298245614024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89"/>
  <sheetViews>
    <sheetView view="pageBreakPreview" topLeftCell="A9" zoomScale="60" zoomScaleNormal="80" zoomScalePageLayoutView="70" workbookViewId="0">
      <pane xSplit="1" topLeftCell="B1" activePane="topRight" state="frozen"/>
      <selection activeCell="F11" sqref="F11"/>
      <selection pane="topRight" activeCell="J49" sqref="J49"/>
    </sheetView>
  </sheetViews>
  <sheetFormatPr defaultRowHeight="15"/>
  <cols>
    <col min="1" max="1" width="63" customWidth="1"/>
    <col min="2" max="2" width="11.5703125" bestFit="1" customWidth="1"/>
    <col min="3" max="3" width="20.42578125" bestFit="1" customWidth="1"/>
    <col min="4" max="4" width="25.5703125" bestFit="1" customWidth="1"/>
    <col min="5" max="5" width="28" customWidth="1"/>
    <col min="6" max="7" width="29.140625" customWidth="1"/>
    <col min="8" max="8" width="31.85546875" customWidth="1"/>
    <col min="9" max="9" width="31.5703125" customWidth="1"/>
    <col min="10" max="10" width="30.85546875" customWidth="1"/>
    <col min="11" max="11" width="12.8554687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6.5">
      <c r="A3" s="25" t="s">
        <v>429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6.5">
      <c r="A4" s="25"/>
      <c r="B4" s="12"/>
      <c r="C4" s="12"/>
      <c r="D4" s="12"/>
      <c r="E4" s="12"/>
      <c r="F4" s="191" t="s">
        <v>0</v>
      </c>
      <c r="G4" s="12"/>
      <c r="H4" s="12"/>
      <c r="I4" s="12"/>
      <c r="J4" s="12"/>
      <c r="K4" s="12"/>
    </row>
    <row r="5" spans="1:12" ht="16.5">
      <c r="B5" s="12"/>
      <c r="C5" s="12"/>
      <c r="D5" s="12"/>
      <c r="E5" s="26"/>
      <c r="F5" s="191" t="s">
        <v>0</v>
      </c>
      <c r="G5" s="12"/>
      <c r="H5" s="12"/>
      <c r="I5" s="12"/>
      <c r="J5" s="12"/>
      <c r="K5" s="12" t="s">
        <v>0</v>
      </c>
    </row>
    <row r="6" spans="1:12" ht="16.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2" ht="16.5">
      <c r="A7" s="12"/>
      <c r="B7" s="34"/>
      <c r="C7" s="34"/>
      <c r="D7" s="34"/>
      <c r="E7" s="34"/>
      <c r="F7" s="34"/>
      <c r="G7" s="14"/>
      <c r="H7" s="43"/>
      <c r="I7" s="43"/>
      <c r="J7" s="85"/>
      <c r="K7" s="85"/>
      <c r="L7" s="3"/>
    </row>
    <row r="8" spans="1:12" ht="16.5">
      <c r="A8" s="86"/>
      <c r="B8" s="34"/>
      <c r="C8" s="34"/>
      <c r="D8" s="34"/>
      <c r="F8" s="34" t="s">
        <v>0</v>
      </c>
      <c r="G8" s="14"/>
      <c r="H8" s="43"/>
      <c r="I8" s="43"/>
      <c r="J8" s="85"/>
      <c r="K8" s="85"/>
      <c r="L8" s="3"/>
    </row>
    <row r="9" spans="1:12" ht="16.5">
      <c r="A9" s="86"/>
      <c r="B9" s="34"/>
      <c r="D9" s="34"/>
      <c r="E9" s="34" t="s">
        <v>0</v>
      </c>
      <c r="F9" s="34"/>
      <c r="G9" s="14"/>
      <c r="H9" s="43"/>
      <c r="I9" s="43"/>
      <c r="J9" s="85"/>
      <c r="K9" s="85"/>
      <c r="L9" s="3"/>
    </row>
    <row r="10" spans="1:12" ht="16.5">
      <c r="A10" s="43"/>
      <c r="D10" s="43"/>
      <c r="E10" s="43" t="s">
        <v>0</v>
      </c>
      <c r="F10" s="43"/>
      <c r="G10" s="43"/>
      <c r="H10" s="43"/>
      <c r="I10" s="43"/>
      <c r="J10" s="43"/>
      <c r="K10" s="43"/>
      <c r="L10" s="2"/>
    </row>
    <row r="11" spans="1:12" ht="17.25" thickBot="1">
      <c r="A11" s="43"/>
      <c r="D11" s="43"/>
      <c r="E11" s="87"/>
      <c r="F11" s="28"/>
      <c r="G11" s="87"/>
      <c r="H11" s="43"/>
      <c r="I11" s="43"/>
      <c r="J11" s="43"/>
      <c r="K11" s="43"/>
      <c r="L11" s="2"/>
    </row>
    <row r="12" spans="1:12" ht="27" thickBot="1">
      <c r="A12" s="27" t="s">
        <v>338</v>
      </c>
      <c r="D12" s="43"/>
      <c r="E12" s="43"/>
      <c r="F12" s="31" t="s">
        <v>75</v>
      </c>
      <c r="G12" s="43"/>
      <c r="H12" s="43"/>
      <c r="I12" s="43"/>
      <c r="J12" s="43"/>
      <c r="K12" s="12"/>
    </row>
    <row r="13" spans="1:12" ht="21" thickBot="1">
      <c r="A13" s="30"/>
      <c r="D13" s="43"/>
      <c r="E13" s="87"/>
      <c r="F13" s="36" t="s">
        <v>430</v>
      </c>
      <c r="G13" s="87"/>
      <c r="H13" s="43"/>
      <c r="I13" s="43"/>
      <c r="J13" s="43"/>
      <c r="K13" s="12"/>
    </row>
    <row r="14" spans="1:12" ht="20.25">
      <c r="A14" s="30"/>
      <c r="B14" s="43"/>
      <c r="C14" s="43"/>
      <c r="D14" s="43"/>
      <c r="E14" s="43"/>
      <c r="F14" s="13" t="s">
        <v>0</v>
      </c>
      <c r="G14" s="43"/>
      <c r="H14" s="43"/>
      <c r="I14" s="43"/>
      <c r="J14" s="43"/>
      <c r="K14" s="12"/>
    </row>
    <row r="15" spans="1:12" ht="17.25" thickBot="1">
      <c r="A15" s="41" t="s">
        <v>0</v>
      </c>
      <c r="B15" s="41" t="s">
        <v>0</v>
      </c>
      <c r="C15" s="41" t="s">
        <v>0</v>
      </c>
      <c r="D15" s="41"/>
      <c r="E15" s="41"/>
      <c r="F15" s="41"/>
      <c r="G15" s="41" t="s">
        <v>0</v>
      </c>
      <c r="H15" s="87"/>
      <c r="I15" s="87"/>
      <c r="J15" s="87"/>
      <c r="K15" s="12"/>
    </row>
    <row r="16" spans="1:12" ht="17.25">
      <c r="A16" s="241"/>
      <c r="B16" s="242"/>
      <c r="C16" s="258"/>
      <c r="D16" s="226" t="s">
        <v>13</v>
      </c>
      <c r="E16" s="254" t="s">
        <v>13</v>
      </c>
      <c r="F16" s="226" t="s">
        <v>13</v>
      </c>
      <c r="G16" s="243" t="s">
        <v>228</v>
      </c>
      <c r="H16" s="255" t="s">
        <v>432</v>
      </c>
      <c r="I16" s="243" t="s">
        <v>432</v>
      </c>
      <c r="J16" s="255" t="s">
        <v>432</v>
      </c>
      <c r="K16" s="12"/>
    </row>
    <row r="17" spans="1:13" ht="17.25">
      <c r="A17" s="88" t="s">
        <v>0</v>
      </c>
      <c r="B17" s="89" t="s">
        <v>3</v>
      </c>
      <c r="C17" s="229" t="s">
        <v>5</v>
      </c>
      <c r="D17" s="91" t="s">
        <v>10</v>
      </c>
      <c r="E17" s="256" t="s">
        <v>10</v>
      </c>
      <c r="F17" s="91" t="s">
        <v>19</v>
      </c>
      <c r="G17" s="92" t="s">
        <v>432</v>
      </c>
      <c r="H17" s="89" t="s">
        <v>12</v>
      </c>
      <c r="I17" s="93" t="s">
        <v>11</v>
      </c>
      <c r="J17" s="94" t="s">
        <v>142</v>
      </c>
      <c r="K17" s="12"/>
    </row>
    <row r="18" spans="1:13" ht="17.25">
      <c r="A18" s="88" t="s">
        <v>2</v>
      </c>
      <c r="B18" s="89" t="s">
        <v>4</v>
      </c>
      <c r="C18" s="229" t="s">
        <v>6</v>
      </c>
      <c r="D18" s="91" t="s">
        <v>45</v>
      </c>
      <c r="E18" s="256" t="s">
        <v>46</v>
      </c>
      <c r="F18" s="91" t="s">
        <v>10</v>
      </c>
      <c r="G18" s="92" t="s">
        <v>10</v>
      </c>
      <c r="H18" s="89" t="s">
        <v>73</v>
      </c>
      <c r="I18" s="246" t="s">
        <v>374</v>
      </c>
      <c r="J18" s="94" t="s">
        <v>229</v>
      </c>
      <c r="K18" s="12" t="s">
        <v>0</v>
      </c>
    </row>
    <row r="19" spans="1:13" ht="18" thickBot="1">
      <c r="A19" s="95" t="s">
        <v>0</v>
      </c>
      <c r="B19" s="96" t="s">
        <v>0</v>
      </c>
      <c r="C19" s="117" t="s">
        <v>0</v>
      </c>
      <c r="D19" s="96" t="s">
        <v>0</v>
      </c>
      <c r="E19" s="97" t="s">
        <v>0</v>
      </c>
      <c r="F19" s="96" t="s">
        <v>0</v>
      </c>
      <c r="G19" s="97" t="s">
        <v>0</v>
      </c>
      <c r="H19" s="98" t="s">
        <v>61</v>
      </c>
      <c r="I19" s="99" t="s">
        <v>60</v>
      </c>
      <c r="J19" s="98" t="s">
        <v>60</v>
      </c>
      <c r="K19" s="12"/>
    </row>
    <row r="20" spans="1:13" ht="16.5">
      <c r="A20" s="259" t="s">
        <v>7</v>
      </c>
      <c r="B20" s="283" t="s">
        <v>7</v>
      </c>
      <c r="C20" s="259" t="s">
        <v>7</v>
      </c>
      <c r="D20" s="292" t="s">
        <v>7</v>
      </c>
      <c r="E20" s="292" t="s">
        <v>7</v>
      </c>
      <c r="F20" s="42" t="s">
        <v>15</v>
      </c>
      <c r="G20" s="259" t="s">
        <v>7</v>
      </c>
      <c r="H20" s="259" t="s">
        <v>8</v>
      </c>
      <c r="I20" s="259" t="s">
        <v>8</v>
      </c>
      <c r="J20" s="259" t="s">
        <v>8</v>
      </c>
      <c r="K20" s="12"/>
    </row>
    <row r="21" spans="1:13" ht="17.25">
      <c r="A21" s="89"/>
      <c r="B21" s="90"/>
      <c r="C21" s="89"/>
      <c r="D21" s="229"/>
      <c r="E21" s="90"/>
      <c r="F21" s="88"/>
      <c r="G21" s="89"/>
      <c r="H21" s="89"/>
      <c r="I21" s="119"/>
      <c r="J21" s="102"/>
      <c r="K21" s="12"/>
    </row>
    <row r="22" spans="1:13" ht="17.25">
      <c r="A22" s="319" t="s">
        <v>340</v>
      </c>
      <c r="B22" s="34" t="s">
        <v>341</v>
      </c>
      <c r="C22" s="89" t="s">
        <v>339</v>
      </c>
      <c r="D22" s="293">
        <v>19.78</v>
      </c>
      <c r="E22" s="58">
        <v>15.95</v>
      </c>
      <c r="F22" s="352">
        <f t="shared" ref="F22:F27" si="0">AVERAGE(D22,E22)</f>
        <v>17.865000000000002</v>
      </c>
      <c r="G22" s="105">
        <v>19.59</v>
      </c>
      <c r="H22" s="322">
        <v>3431214964</v>
      </c>
      <c r="I22" s="322">
        <v>3852000000</v>
      </c>
      <c r="J22" s="322">
        <v>59752000000</v>
      </c>
      <c r="K22" s="12"/>
    </row>
    <row r="23" spans="1:13" ht="17.25">
      <c r="A23" s="319" t="s">
        <v>342</v>
      </c>
      <c r="B23" s="246" t="s">
        <v>343</v>
      </c>
      <c r="C23" s="89" t="s">
        <v>339</v>
      </c>
      <c r="D23" s="293">
        <v>34.630000000000003</v>
      </c>
      <c r="E23" s="58">
        <v>28.63</v>
      </c>
      <c r="F23" s="352">
        <f t="shared" si="0"/>
        <v>31.630000000000003</v>
      </c>
      <c r="G23" s="105">
        <v>31.36</v>
      </c>
      <c r="H23" s="325">
        <v>2165699962</v>
      </c>
      <c r="I23" s="322">
        <v>50000000</v>
      </c>
      <c r="J23" s="326">
        <v>30746000000</v>
      </c>
      <c r="K23" s="12"/>
    </row>
    <row r="24" spans="1:13" ht="17.25">
      <c r="A24" s="347" t="s">
        <v>344</v>
      </c>
      <c r="B24" s="246" t="s">
        <v>345</v>
      </c>
      <c r="C24" s="89" t="s">
        <v>339</v>
      </c>
      <c r="D24" s="293">
        <v>38.229999999999997</v>
      </c>
      <c r="E24" s="58">
        <v>34.119999999999997</v>
      </c>
      <c r="F24" s="352">
        <f t="shared" si="0"/>
        <v>36.174999999999997</v>
      </c>
      <c r="G24" s="105">
        <v>37.03</v>
      </c>
      <c r="H24" s="322">
        <v>116736900</v>
      </c>
      <c r="I24" s="323">
        <v>0</v>
      </c>
      <c r="J24" s="322">
        <v>3471900000</v>
      </c>
      <c r="K24" s="12"/>
    </row>
    <row r="25" spans="1:13" ht="17.25">
      <c r="A25" s="319" t="s">
        <v>346</v>
      </c>
      <c r="B25" s="34" t="s">
        <v>347</v>
      </c>
      <c r="C25" s="89" t="s">
        <v>339</v>
      </c>
      <c r="D25" s="293">
        <v>51.94</v>
      </c>
      <c r="E25" s="58">
        <v>43.53</v>
      </c>
      <c r="F25" s="352">
        <f>AVERAGE(D25,E25)</f>
        <v>47.734999999999999</v>
      </c>
      <c r="G25" s="105">
        <v>47.86</v>
      </c>
      <c r="H25" s="322">
        <v>1022509781</v>
      </c>
      <c r="I25" s="322">
        <v>203000000</v>
      </c>
      <c r="J25" s="322">
        <f>19255000000+217000000</f>
        <v>19472000000</v>
      </c>
      <c r="K25" s="12"/>
      <c r="L25" t="s">
        <v>0</v>
      </c>
    </row>
    <row r="26" spans="1:13" ht="17.25">
      <c r="A26" s="319" t="s">
        <v>348</v>
      </c>
      <c r="B26" s="34" t="s">
        <v>349</v>
      </c>
      <c r="C26" s="89" t="s">
        <v>339</v>
      </c>
      <c r="D26" s="293">
        <v>18.829999999999998</v>
      </c>
      <c r="E26" s="58">
        <v>16.21</v>
      </c>
      <c r="F26" s="352">
        <f t="shared" si="0"/>
        <v>17.52</v>
      </c>
      <c r="G26" s="105">
        <v>17.079999999999998</v>
      </c>
      <c r="H26" s="322">
        <v>703775950</v>
      </c>
      <c r="I26" s="323">
        <f>787000000+1514000000</f>
        <v>2301000000</v>
      </c>
      <c r="J26" s="324">
        <f>7141000000+72000000+313000000</f>
        <v>7526000000</v>
      </c>
      <c r="K26" s="12"/>
      <c r="L26" t="s">
        <v>0</v>
      </c>
    </row>
    <row r="27" spans="1:13" ht="18" thickBot="1">
      <c r="A27" s="348" t="s">
        <v>350</v>
      </c>
      <c r="B27" s="36" t="s">
        <v>351</v>
      </c>
      <c r="C27" s="96" t="s">
        <v>339</v>
      </c>
      <c r="D27" s="356">
        <v>41.29</v>
      </c>
      <c r="E27" s="355">
        <v>35.4</v>
      </c>
      <c r="F27" s="354">
        <f t="shared" si="0"/>
        <v>38.344999999999999</v>
      </c>
      <c r="G27" s="353">
        <v>38.43</v>
      </c>
      <c r="H27" s="320">
        <v>381321137</v>
      </c>
      <c r="I27" s="321">
        <v>10803000</v>
      </c>
      <c r="J27" s="320">
        <v>6926647000</v>
      </c>
      <c r="K27" s="12"/>
      <c r="M27" s="10" t="s">
        <v>0</v>
      </c>
    </row>
    <row r="28" spans="1:13" ht="17.2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2"/>
      <c r="L28" t="s">
        <v>0</v>
      </c>
    </row>
    <row r="29" spans="1:13" ht="17.25">
      <c r="A29" s="107"/>
      <c r="B29" s="107"/>
      <c r="C29" s="107"/>
      <c r="D29" s="107"/>
      <c r="E29" s="107"/>
      <c r="F29" s="107"/>
      <c r="G29" s="107"/>
      <c r="H29" s="107"/>
      <c r="I29" s="107"/>
      <c r="J29" s="107" t="s">
        <v>0</v>
      </c>
      <c r="K29" s="12"/>
    </row>
    <row r="30" spans="1:13" ht="18" thickBot="1">
      <c r="A30" s="108" t="s">
        <v>0</v>
      </c>
      <c r="B30" s="109"/>
      <c r="C30" s="109"/>
      <c r="D30" s="109"/>
      <c r="E30" s="109"/>
      <c r="F30" s="28"/>
      <c r="G30" s="109"/>
      <c r="H30" s="109"/>
      <c r="I30" s="109"/>
      <c r="J30" s="107"/>
      <c r="K30" s="107"/>
      <c r="L30" s="4"/>
    </row>
    <row r="31" spans="1:13" ht="17.25">
      <c r="A31" s="110"/>
      <c r="B31" s="420"/>
      <c r="C31" s="420"/>
      <c r="D31" s="111"/>
      <c r="E31" s="255" t="s">
        <v>0</v>
      </c>
      <c r="F31" s="112" t="s">
        <v>0</v>
      </c>
      <c r="G31" s="203"/>
      <c r="H31" s="111"/>
      <c r="I31" s="420"/>
      <c r="J31" s="114"/>
      <c r="K31" s="107"/>
      <c r="L31" s="4"/>
    </row>
    <row r="32" spans="1:13" ht="17.25">
      <c r="A32" s="88"/>
      <c r="B32" s="89"/>
      <c r="C32" s="89"/>
      <c r="D32" s="92" t="s">
        <v>432</v>
      </c>
      <c r="E32" s="89" t="s">
        <v>432</v>
      </c>
      <c r="F32" s="90" t="s">
        <v>432</v>
      </c>
      <c r="G32" s="425" t="s">
        <v>432</v>
      </c>
      <c r="H32" s="92" t="s">
        <v>432</v>
      </c>
      <c r="I32" s="425" t="s">
        <v>432</v>
      </c>
      <c r="J32" s="115" t="s">
        <v>432</v>
      </c>
      <c r="K32" s="12"/>
      <c r="L32" s="5"/>
    </row>
    <row r="33" spans="1:12" ht="17.25">
      <c r="A33" s="88" t="s">
        <v>0</v>
      </c>
      <c r="B33" s="89" t="s">
        <v>3</v>
      </c>
      <c r="C33" s="89" t="s">
        <v>5</v>
      </c>
      <c r="D33" s="90" t="s">
        <v>12</v>
      </c>
      <c r="E33" s="94" t="s">
        <v>141</v>
      </c>
      <c r="F33" s="104" t="s">
        <v>265</v>
      </c>
      <c r="G33" s="89" t="s">
        <v>196</v>
      </c>
      <c r="H33" s="104" t="s">
        <v>16</v>
      </c>
      <c r="I33" s="94" t="s">
        <v>17</v>
      </c>
      <c r="J33" s="116" t="s">
        <v>51</v>
      </c>
      <c r="K33" s="12"/>
      <c r="L33" s="5"/>
    </row>
    <row r="34" spans="1:12" ht="18" thickBot="1">
      <c r="A34" s="95" t="s">
        <v>2</v>
      </c>
      <c r="B34" s="96" t="s">
        <v>4</v>
      </c>
      <c r="C34" s="96" t="s">
        <v>6</v>
      </c>
      <c r="D34" s="97" t="s">
        <v>14</v>
      </c>
      <c r="E34" s="96" t="s">
        <v>14</v>
      </c>
      <c r="F34" s="97" t="s">
        <v>277</v>
      </c>
      <c r="G34" s="96" t="s">
        <v>14</v>
      </c>
      <c r="H34" s="97" t="s">
        <v>329</v>
      </c>
      <c r="I34" s="96" t="s">
        <v>0</v>
      </c>
      <c r="J34" s="117" t="s">
        <v>330</v>
      </c>
      <c r="K34" s="12"/>
      <c r="L34" s="1"/>
    </row>
    <row r="35" spans="1:12" ht="16.5">
      <c r="A35" s="100" t="s">
        <v>7</v>
      </c>
      <c r="B35" s="101" t="s">
        <v>7</v>
      </c>
      <c r="C35" s="101" t="s">
        <v>7</v>
      </c>
      <c r="D35" s="42" t="s">
        <v>15</v>
      </c>
      <c r="E35" s="101" t="s">
        <v>8</v>
      </c>
      <c r="F35" s="42" t="s">
        <v>8</v>
      </c>
      <c r="G35" s="101" t="s">
        <v>8</v>
      </c>
      <c r="H35" s="42" t="s">
        <v>15</v>
      </c>
      <c r="I35" s="101" t="s">
        <v>15</v>
      </c>
      <c r="J35" s="118" t="s">
        <v>15</v>
      </c>
      <c r="K35" s="12"/>
      <c r="L35" s="5"/>
    </row>
    <row r="36" spans="1:12" ht="17.25">
      <c r="A36" s="88"/>
      <c r="B36" s="89"/>
      <c r="C36" s="89"/>
      <c r="D36" s="107"/>
      <c r="E36" s="422"/>
      <c r="F36" s="107"/>
      <c r="G36" s="422"/>
      <c r="H36" s="61"/>
      <c r="I36" s="102"/>
      <c r="J36" s="119"/>
      <c r="K36" s="12"/>
      <c r="L36" s="4"/>
    </row>
    <row r="37" spans="1:12" ht="17.25">
      <c r="A37" s="103" t="str">
        <f t="shared" ref="A37:C40" si="1">+A22</f>
        <v>Energy Transfer LP</v>
      </c>
      <c r="B37" s="89" t="str">
        <f t="shared" si="1"/>
        <v>ET</v>
      </c>
      <c r="C37" s="89" t="str">
        <f t="shared" si="1"/>
        <v>Pipeline MLPs</v>
      </c>
      <c r="D37" s="120">
        <f t="shared" ref="D37:D42" si="2">(+H22)*G22</f>
        <v>67217501144.760002</v>
      </c>
      <c r="E37" s="423">
        <f t="shared" ref="E37:E42" si="3">(1/1)*I22</f>
        <v>3852000000</v>
      </c>
      <c r="F37" s="120">
        <v>809000000</v>
      </c>
      <c r="G37" s="322">
        <v>59010000000</v>
      </c>
      <c r="H37" s="106">
        <f t="shared" ref="H37:H39" si="4">+D37+E37+F37+G37</f>
        <v>130888501144.76001</v>
      </c>
      <c r="I37" s="426">
        <f t="shared" ref="I37:I39" si="5">(+D37)/H37</f>
        <v>0.51354779493134251</v>
      </c>
      <c r="J37" s="122">
        <f t="shared" ref="J37:J38" si="6">(+E37+F37+G37)/H37</f>
        <v>0.48645220506865744</v>
      </c>
      <c r="K37" s="12"/>
      <c r="L37" s="4"/>
    </row>
    <row r="38" spans="1:12" ht="17.25">
      <c r="A38" s="103" t="str">
        <f t="shared" si="1"/>
        <v>Enterprise Products Partnership LP</v>
      </c>
      <c r="B38" s="89" t="str">
        <f t="shared" si="1"/>
        <v>EPD</v>
      </c>
      <c r="C38" s="89" t="str">
        <f t="shared" si="1"/>
        <v>Pipeline MLPs</v>
      </c>
      <c r="D38" s="120">
        <f t="shared" si="2"/>
        <v>67916350808.32</v>
      </c>
      <c r="E38" s="423">
        <f t="shared" si="3"/>
        <v>50000000</v>
      </c>
      <c r="F38" s="120">
        <v>471000000</v>
      </c>
      <c r="G38" s="322">
        <v>28900000000</v>
      </c>
      <c r="H38" s="106">
        <f t="shared" si="4"/>
        <v>97337350808.320007</v>
      </c>
      <c r="I38" s="426">
        <f t="shared" si="5"/>
        <v>0.69774192788607081</v>
      </c>
      <c r="J38" s="122">
        <f t="shared" si="6"/>
        <v>0.30225807211392908</v>
      </c>
      <c r="K38" s="12"/>
      <c r="L38" s="4"/>
    </row>
    <row r="39" spans="1:12" ht="17.25">
      <c r="A39" s="327" t="str">
        <f t="shared" si="1"/>
        <v>Hess Midstream LP</v>
      </c>
      <c r="B39" s="89" t="str">
        <f t="shared" si="1"/>
        <v>HESM</v>
      </c>
      <c r="C39" s="89" t="str">
        <f t="shared" si="1"/>
        <v>Pipeline MLPs</v>
      </c>
      <c r="D39" s="120">
        <f t="shared" si="2"/>
        <v>4322767407</v>
      </c>
      <c r="E39" s="424">
        <f t="shared" si="3"/>
        <v>0</v>
      </c>
      <c r="F39" s="120">
        <v>0</v>
      </c>
      <c r="G39" s="322">
        <v>3421200000</v>
      </c>
      <c r="H39" s="106">
        <f t="shared" si="4"/>
        <v>7743967407</v>
      </c>
      <c r="I39" s="426">
        <f t="shared" si="5"/>
        <v>0.55821095051259173</v>
      </c>
      <c r="J39" s="122">
        <f>(+E39+F39+G39)/H39</f>
        <v>0.44178904948740833</v>
      </c>
      <c r="K39" s="12"/>
      <c r="L39" s="4"/>
    </row>
    <row r="40" spans="1:12" ht="17.25">
      <c r="A40" s="103" t="str">
        <f t="shared" si="1"/>
        <v>MPLX, LP</v>
      </c>
      <c r="B40" s="89" t="str">
        <f t="shared" si="1"/>
        <v>MPLX</v>
      </c>
      <c r="C40" s="89" t="str">
        <f t="shared" si="1"/>
        <v>Pipeline MLPs</v>
      </c>
      <c r="D40" s="120">
        <f t="shared" si="2"/>
        <v>48937318118.659996</v>
      </c>
      <c r="E40" s="423">
        <f t="shared" si="3"/>
        <v>203000000</v>
      </c>
      <c r="F40" s="120">
        <v>2000000</v>
      </c>
      <c r="G40" s="322">
        <v>19574000000</v>
      </c>
      <c r="H40" s="106">
        <f t="shared" ref="H40:H42" si="7">+D40+E40+F40+G40</f>
        <v>68716318118.659996</v>
      </c>
      <c r="I40" s="426">
        <f t="shared" ref="I40:I42" si="8">(+D40)/H40</f>
        <v>0.71216443864402867</v>
      </c>
      <c r="J40" s="122">
        <f t="shared" ref="J40:J42" si="9">(+E40+F40+G40)/H40</f>
        <v>0.28783556135597127</v>
      </c>
      <c r="K40" s="12"/>
      <c r="L40" s="4" t="s">
        <v>0</v>
      </c>
    </row>
    <row r="41" spans="1:12" ht="17.25">
      <c r="A41" s="103" t="str">
        <f t="shared" ref="A41:C41" si="10">+A26</f>
        <v>Plains All American Pipeline LP</v>
      </c>
      <c r="B41" s="89" t="str">
        <f t="shared" si="10"/>
        <v>PAA</v>
      </c>
      <c r="C41" s="89" t="str">
        <f t="shared" si="10"/>
        <v>Pipeline MLPs</v>
      </c>
      <c r="D41" s="120">
        <f t="shared" si="2"/>
        <v>12020493225.999998</v>
      </c>
      <c r="E41" s="423">
        <f t="shared" si="3"/>
        <v>2301000000</v>
      </c>
      <c r="F41" s="120">
        <v>376000000</v>
      </c>
      <c r="G41" s="322">
        <v>6700000000</v>
      </c>
      <c r="H41" s="106">
        <f t="shared" si="7"/>
        <v>21397493226</v>
      </c>
      <c r="I41" s="426">
        <f t="shared" si="8"/>
        <v>0.56177109622326926</v>
      </c>
      <c r="J41" s="122">
        <f t="shared" si="9"/>
        <v>0.43822890377673063</v>
      </c>
      <c r="K41" s="12"/>
      <c r="L41" s="4"/>
    </row>
    <row r="42" spans="1:12" ht="17.25">
      <c r="A42" s="327" t="str">
        <f t="shared" ref="A42:C42" si="11">+A27</f>
        <v>Western Midstream Partners LP</v>
      </c>
      <c r="B42" s="89" t="str">
        <f t="shared" si="11"/>
        <v>WES</v>
      </c>
      <c r="C42" s="89" t="str">
        <f t="shared" si="11"/>
        <v>Pipeline MLPs</v>
      </c>
      <c r="D42" s="120">
        <f t="shared" si="2"/>
        <v>14654171294.91</v>
      </c>
      <c r="E42" s="423">
        <f t="shared" si="3"/>
        <v>10803000</v>
      </c>
      <c r="F42" s="120">
        <v>202698000</v>
      </c>
      <c r="G42" s="322">
        <v>6571456000</v>
      </c>
      <c r="H42" s="106">
        <f t="shared" si="7"/>
        <v>21439128294.91</v>
      </c>
      <c r="I42" s="426">
        <f t="shared" si="8"/>
        <v>0.68352458613670131</v>
      </c>
      <c r="J42" s="122">
        <f t="shared" si="9"/>
        <v>0.31647541386329869</v>
      </c>
      <c r="K42" s="12"/>
      <c r="L42" s="4"/>
    </row>
    <row r="43" spans="1:12" ht="18" thickBot="1">
      <c r="A43" s="123"/>
      <c r="B43" s="421"/>
      <c r="C43" s="421"/>
      <c r="D43" s="109"/>
      <c r="E43" s="421"/>
      <c r="F43" s="109"/>
      <c r="G43" s="421"/>
      <c r="H43" s="109"/>
      <c r="I43" s="421"/>
      <c r="J43" s="124"/>
      <c r="K43" s="12"/>
    </row>
    <row r="44" spans="1:12" ht="17.25">
      <c r="A44" s="12"/>
      <c r="B44" s="12"/>
      <c r="C44" s="12"/>
      <c r="D44" s="12"/>
      <c r="E44" s="12"/>
      <c r="F44" s="12"/>
      <c r="G44" s="12"/>
      <c r="H44" s="125" t="s">
        <v>45</v>
      </c>
      <c r="I44" s="128">
        <f>MAX(I37:I42)</f>
        <v>0.71216443864402867</v>
      </c>
      <c r="J44" s="128">
        <f>MAX(J37:J42)</f>
        <v>0.48645220506865744</v>
      </c>
      <c r="K44" s="12"/>
    </row>
    <row r="45" spans="1:12" ht="17.25">
      <c r="E45" s="12" t="s">
        <v>0</v>
      </c>
      <c r="G45" s="12" t="s">
        <v>0</v>
      </c>
      <c r="H45" s="337" t="s">
        <v>46</v>
      </c>
      <c r="I45" s="338">
        <f>MIN(I37:I42)</f>
        <v>0.51354779493134251</v>
      </c>
      <c r="J45" s="338">
        <f>MIN(J37:J42)</f>
        <v>0.28783556135597127</v>
      </c>
      <c r="K45" s="12"/>
    </row>
    <row r="46" spans="1:12" ht="17.25">
      <c r="E46" s="126"/>
      <c r="F46" s="294" t="s">
        <v>0</v>
      </c>
      <c r="G46" s="12" t="s">
        <v>0</v>
      </c>
      <c r="H46" s="14" t="s">
        <v>18</v>
      </c>
      <c r="I46" s="127">
        <f>MEDIAN(I37:I42)</f>
        <v>0.62264784117998528</v>
      </c>
      <c r="J46" s="128">
        <f>MEDIAN(J37:J42)</f>
        <v>0.37735215882001466</v>
      </c>
      <c r="K46" s="12"/>
    </row>
    <row r="47" spans="1:12" ht="17.25">
      <c r="E47" s="295" t="s">
        <v>0</v>
      </c>
      <c r="F47" s="294" t="s">
        <v>0</v>
      </c>
      <c r="G47" s="12" t="s">
        <v>0</v>
      </c>
      <c r="H47" s="14" t="s">
        <v>392</v>
      </c>
      <c r="I47" s="127">
        <f>AVERAGE(I37:I42)</f>
        <v>0.6211601323890007</v>
      </c>
      <c r="J47" s="128">
        <f>AVERAGE(J37:J42)</f>
        <v>0.37883986761099925</v>
      </c>
      <c r="K47" s="12"/>
    </row>
    <row r="48" spans="1:12" ht="18" thickBot="1">
      <c r="E48" s="126"/>
      <c r="G48" s="12"/>
      <c r="H48" s="12"/>
      <c r="I48" s="61"/>
      <c r="J48" s="61"/>
      <c r="K48" s="12"/>
    </row>
    <row r="49" spans="1:11" ht="27" thickBot="1">
      <c r="E49" s="126"/>
      <c r="G49" s="12"/>
      <c r="H49" s="192" t="s">
        <v>198</v>
      </c>
      <c r="I49" s="296">
        <v>0.62</v>
      </c>
      <c r="J49" s="297">
        <v>0.38</v>
      </c>
      <c r="K49" s="12"/>
    </row>
    <row r="50" spans="1:11" ht="17.25">
      <c r="E50" s="126"/>
      <c r="F50" s="12"/>
      <c r="G50" s="12"/>
      <c r="H50" s="12"/>
      <c r="I50" s="61"/>
      <c r="J50" s="61" t="s">
        <v>0</v>
      </c>
      <c r="K50" s="12"/>
    </row>
    <row r="51" spans="1:11" ht="16.5">
      <c r="E51" s="126"/>
      <c r="F51" s="12"/>
      <c r="G51" s="12"/>
      <c r="H51" s="12"/>
      <c r="I51" s="12"/>
      <c r="J51" s="12"/>
      <c r="K51" s="12"/>
    </row>
    <row r="52" spans="1:11" ht="16.5">
      <c r="E52" s="126"/>
      <c r="F52" s="12"/>
      <c r="G52" s="12"/>
      <c r="H52" s="12"/>
      <c r="I52" s="12"/>
      <c r="J52" s="12"/>
      <c r="K52" s="12"/>
    </row>
    <row r="53" spans="1:11" ht="26.25">
      <c r="A53" s="22" t="s">
        <v>72</v>
      </c>
      <c r="B53" s="12"/>
      <c r="C53" s="75"/>
      <c r="D53" s="130"/>
      <c r="E53" s="126"/>
      <c r="F53" s="12"/>
      <c r="G53" s="12"/>
      <c r="H53" s="12"/>
      <c r="I53" s="12"/>
      <c r="J53" s="12"/>
      <c r="K53" s="12"/>
    </row>
    <row r="54" spans="1:11" ht="16.5">
      <c r="A54" s="86" t="s">
        <v>54</v>
      </c>
      <c r="B54" s="12"/>
      <c r="C54" s="75"/>
      <c r="D54" s="130"/>
      <c r="E54" s="126"/>
      <c r="F54" s="12"/>
      <c r="G54" s="12"/>
      <c r="H54" s="12"/>
      <c r="I54" s="12"/>
      <c r="J54" s="12"/>
      <c r="K54" s="12"/>
    </row>
    <row r="55" spans="1:11" ht="16.5">
      <c r="A55" s="12" t="s">
        <v>0</v>
      </c>
      <c r="B55" s="12"/>
      <c r="C55" s="75"/>
      <c r="D55" s="130"/>
      <c r="E55" s="126"/>
      <c r="F55" s="12"/>
      <c r="G55" s="12"/>
      <c r="H55" s="12"/>
      <c r="I55" s="12"/>
      <c r="J55" s="12"/>
      <c r="K55" s="12"/>
    </row>
    <row r="56" spans="1:11" ht="16.5">
      <c r="A56" s="12" t="s">
        <v>145</v>
      </c>
    </row>
    <row r="57" spans="1:11" ht="16.5">
      <c r="A57" s="12" t="s">
        <v>143</v>
      </c>
    </row>
    <row r="58" spans="1:11" ht="16.5">
      <c r="A58" s="12" t="s">
        <v>144</v>
      </c>
    </row>
    <row r="59" spans="1:11" ht="16.5">
      <c r="A59" s="12" t="s">
        <v>428</v>
      </c>
    </row>
    <row r="62" spans="1:11" ht="26.25">
      <c r="A62" s="257" t="s">
        <v>282</v>
      </c>
    </row>
    <row r="63" spans="1:11" ht="17.25" customHeight="1">
      <c r="A63" s="133" t="s">
        <v>352</v>
      </c>
      <c r="B63" s="318"/>
      <c r="C63" s="318"/>
      <c r="D63" s="312"/>
      <c r="E63" s="312"/>
    </row>
    <row r="64" spans="1:11" ht="16.5">
      <c r="A64" s="133" t="s">
        <v>353</v>
      </c>
      <c r="B64" s="318"/>
      <c r="C64" s="318"/>
      <c r="D64" s="312"/>
      <c r="E64" s="312"/>
    </row>
    <row r="65" spans="1:5" ht="16.5">
      <c r="A65" s="133" t="s">
        <v>354</v>
      </c>
      <c r="B65" s="312"/>
      <c r="C65" s="312"/>
      <c r="D65" s="312"/>
      <c r="E65" s="312"/>
    </row>
    <row r="66" spans="1:5" ht="16.5">
      <c r="A66" s="133" t="s">
        <v>355</v>
      </c>
      <c r="B66" s="312"/>
      <c r="C66" s="312"/>
      <c r="D66" s="312"/>
      <c r="E66" s="312"/>
    </row>
    <row r="67" spans="1:5" ht="16.5">
      <c r="A67" s="133" t="s">
        <v>356</v>
      </c>
      <c r="B67" s="312"/>
      <c r="C67" s="312"/>
      <c r="D67" s="312"/>
      <c r="E67" s="312"/>
    </row>
    <row r="68" spans="1:5" ht="16.5">
      <c r="A68" s="133" t="s">
        <v>421</v>
      </c>
      <c r="B68" s="312"/>
      <c r="C68" s="312"/>
      <c r="D68" s="312"/>
      <c r="E68" s="312"/>
    </row>
    <row r="69" spans="1:5" ht="16.5">
      <c r="A69" s="133" t="s">
        <v>357</v>
      </c>
      <c r="B69" s="312"/>
      <c r="C69" s="312"/>
      <c r="D69" s="312"/>
      <c r="E69" s="312"/>
    </row>
    <row r="70" spans="1:5" ht="20.25" customHeight="1">
      <c r="A70" s="133" t="s">
        <v>358</v>
      </c>
      <c r="B70" s="312"/>
      <c r="C70" s="312"/>
      <c r="D70" s="312"/>
      <c r="E70" s="312"/>
    </row>
    <row r="71" spans="1:5" ht="20.25" customHeight="1">
      <c r="A71" s="133" t="s">
        <v>422</v>
      </c>
      <c r="B71" s="312"/>
      <c r="C71" s="312"/>
      <c r="D71" s="312"/>
      <c r="E71" s="312"/>
    </row>
    <row r="72" spans="1:5" ht="20.25" customHeight="1">
      <c r="A72" s="133" t="s">
        <v>423</v>
      </c>
      <c r="B72" s="312"/>
      <c r="C72" s="312"/>
      <c r="D72" s="312"/>
      <c r="E72" s="312"/>
    </row>
    <row r="73" spans="1:5" ht="20.25" customHeight="1">
      <c r="A73" s="133" t="s">
        <v>438</v>
      </c>
      <c r="B73" s="312"/>
      <c r="C73" s="312"/>
      <c r="D73" s="312"/>
      <c r="E73" s="312"/>
    </row>
    <row r="74" spans="1:5" ht="16.5">
      <c r="A74" s="133" t="s">
        <v>359</v>
      </c>
      <c r="B74" s="312"/>
      <c r="C74" s="312"/>
      <c r="D74" s="312"/>
      <c r="E74" s="312"/>
    </row>
    <row r="75" spans="1:5" ht="17.25">
      <c r="A75" s="346" t="s">
        <v>373</v>
      </c>
      <c r="B75" s="312"/>
      <c r="C75" s="312"/>
      <c r="D75" s="312"/>
      <c r="E75" s="312"/>
    </row>
    <row r="76" spans="1:5" ht="16.5">
      <c r="A76" s="133" t="s">
        <v>360</v>
      </c>
      <c r="B76" s="312"/>
      <c r="C76" s="312"/>
      <c r="D76" s="312"/>
      <c r="E76" s="312"/>
    </row>
    <row r="77" spans="1:5" ht="16.5">
      <c r="A77" s="133" t="s">
        <v>361</v>
      </c>
    </row>
    <row r="78" spans="1:5" ht="16.5">
      <c r="A78" s="133" t="s">
        <v>362</v>
      </c>
      <c r="B78" s="312"/>
      <c r="C78" s="312"/>
      <c r="D78" s="312"/>
      <c r="E78" s="312"/>
    </row>
    <row r="79" spans="1:5" ht="16.5">
      <c r="A79" s="133" t="s">
        <v>363</v>
      </c>
      <c r="B79" s="312"/>
      <c r="C79" s="312"/>
      <c r="D79" s="312"/>
      <c r="E79" s="312"/>
    </row>
    <row r="80" spans="1:5" ht="16.5">
      <c r="A80" s="133" t="s">
        <v>364</v>
      </c>
      <c r="B80" s="312"/>
      <c r="C80" s="312"/>
      <c r="D80" s="312"/>
      <c r="E80" s="312"/>
    </row>
    <row r="81" spans="1:5" ht="16.5">
      <c r="A81" s="133" t="s">
        <v>365</v>
      </c>
      <c r="B81" s="312"/>
      <c r="C81" s="312"/>
      <c r="D81" s="312"/>
      <c r="E81" s="312"/>
    </row>
    <row r="82" spans="1:5" ht="16.5">
      <c r="A82" s="133" t="s">
        <v>366</v>
      </c>
      <c r="B82" s="312"/>
      <c r="C82" s="312"/>
      <c r="D82" s="312"/>
      <c r="E82" s="312"/>
    </row>
    <row r="83" spans="1:5" ht="16.5">
      <c r="A83" s="133" t="s">
        <v>367</v>
      </c>
    </row>
    <row r="84" spans="1:5" ht="16.5">
      <c r="A84" s="133"/>
    </row>
    <row r="85" spans="1:5" ht="26.25">
      <c r="A85" s="257" t="s">
        <v>368</v>
      </c>
    </row>
    <row r="86" spans="1:5" ht="16.5">
      <c r="A86" s="191" t="s">
        <v>369</v>
      </c>
    </row>
    <row r="87" spans="1:5" ht="16.5">
      <c r="A87" s="191" t="s">
        <v>370</v>
      </c>
    </row>
    <row r="88" spans="1:5" ht="26.25">
      <c r="A88" s="257" t="s">
        <v>371</v>
      </c>
    </row>
    <row r="89" spans="1:5" ht="16.5">
      <c r="A89" s="191" t="s">
        <v>372</v>
      </c>
    </row>
  </sheetData>
  <pageMargins left="0.25" right="0.25" top="0.75" bottom="0.75" header="0.3" footer="0.3"/>
  <pageSetup scale="32" orientation="landscape" r:id="rId1"/>
  <rowBreaks count="1" manualBreakCount="1">
    <brk id="49" max="11" man="1"/>
  </rowBreaks>
  <colBreaks count="1" manualBreakCount="1">
    <brk id="11" max="9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J58"/>
  <sheetViews>
    <sheetView view="pageBreakPreview" topLeftCell="A17" zoomScale="70" zoomScaleNormal="80" zoomScaleSheetLayoutView="70" zoomScalePageLayoutView="70" workbookViewId="0">
      <pane xSplit="1" topLeftCell="B1" activePane="topRight" state="frozen"/>
      <selection activeCell="F11" sqref="F11"/>
      <selection pane="topRight" activeCell="D27" sqref="D27"/>
    </sheetView>
  </sheetViews>
  <sheetFormatPr defaultRowHeight="15"/>
  <cols>
    <col min="1" max="1" width="62.42578125" customWidth="1"/>
    <col min="2" max="2" width="11.5703125" bestFit="1" customWidth="1"/>
    <col min="3" max="3" width="20.42578125" bestFit="1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3" t="s">
        <v>1</v>
      </c>
      <c r="B1" s="12"/>
      <c r="C1" s="12"/>
      <c r="D1" s="12"/>
      <c r="E1" s="12"/>
      <c r="F1" s="12"/>
      <c r="G1" s="12"/>
      <c r="H1" s="12"/>
    </row>
    <row r="2" spans="1:9" ht="17.25">
      <c r="A2" s="24" t="s">
        <v>9</v>
      </c>
      <c r="B2" s="12"/>
      <c r="C2" s="12"/>
      <c r="D2" s="12"/>
      <c r="E2" s="12"/>
      <c r="F2" s="12"/>
      <c r="G2" s="12"/>
      <c r="H2" s="12"/>
    </row>
    <row r="3" spans="1:9" ht="16.5">
      <c r="A3" s="25" t="s">
        <v>429</v>
      </c>
      <c r="B3" s="12"/>
      <c r="C3" s="12"/>
      <c r="D3" s="12"/>
      <c r="E3" s="12"/>
      <c r="F3" s="12"/>
      <c r="G3" s="12"/>
      <c r="H3" s="12"/>
    </row>
    <row r="4" spans="1:9" ht="16.5">
      <c r="A4" s="25"/>
      <c r="B4" s="12"/>
      <c r="C4" s="12"/>
      <c r="D4" s="12"/>
      <c r="E4" s="12"/>
      <c r="F4" s="191" t="s">
        <v>0</v>
      </c>
      <c r="G4" s="12"/>
      <c r="H4" s="12"/>
    </row>
    <row r="5" spans="1:9" ht="16.5">
      <c r="B5" s="12"/>
      <c r="C5" s="12"/>
      <c r="D5" s="12"/>
      <c r="E5" s="26"/>
      <c r="F5" s="191" t="s">
        <v>0</v>
      </c>
      <c r="G5" s="12"/>
      <c r="H5" s="12" t="s">
        <v>0</v>
      </c>
    </row>
    <row r="6" spans="1:9" ht="16.5">
      <c r="A6" s="86"/>
      <c r="B6" s="34"/>
      <c r="C6" s="34"/>
      <c r="D6" s="34"/>
      <c r="E6" s="34"/>
      <c r="F6" s="34"/>
      <c r="G6" s="14"/>
      <c r="H6" s="85"/>
      <c r="I6" s="3"/>
    </row>
    <row r="7" spans="1:9" ht="16.5">
      <c r="A7" s="43"/>
      <c r="B7" s="43"/>
      <c r="C7" s="43"/>
      <c r="D7" s="43"/>
      <c r="E7" s="43"/>
      <c r="F7" s="43"/>
      <c r="G7" s="43"/>
      <c r="H7" s="43"/>
      <c r="I7" s="2"/>
    </row>
    <row r="8" spans="1:9" ht="17.25" thickBot="1">
      <c r="A8" s="43"/>
      <c r="B8" s="43"/>
      <c r="C8" s="43"/>
      <c r="D8" s="87"/>
      <c r="E8" s="87" t="s">
        <v>0</v>
      </c>
      <c r="F8" s="87" t="s">
        <v>0</v>
      </c>
      <c r="H8" s="43"/>
      <c r="I8" s="2"/>
    </row>
    <row r="9" spans="1:9" ht="27" thickBot="1">
      <c r="A9" s="27" t="str">
        <f>+'S&amp;D'!A12</f>
        <v>Liquid Transportation Pipeline Carriers</v>
      </c>
      <c r="B9" s="43"/>
      <c r="D9" s="43"/>
      <c r="E9" s="31" t="s">
        <v>433</v>
      </c>
      <c r="F9" s="43"/>
      <c r="H9" s="12"/>
    </row>
    <row r="10" spans="1:9" ht="21" thickBot="1">
      <c r="A10" s="30"/>
      <c r="B10" s="43"/>
      <c r="C10" s="43"/>
      <c r="D10" s="87"/>
      <c r="E10" s="36" t="s">
        <v>430</v>
      </c>
      <c r="F10" s="87"/>
      <c r="H10" s="12"/>
    </row>
    <row r="11" spans="1:9" ht="20.25">
      <c r="A11" s="30"/>
      <c r="B11" s="43"/>
      <c r="C11" s="43"/>
      <c r="D11" s="43"/>
      <c r="E11" s="34"/>
      <c r="F11" s="43"/>
      <c r="H11" s="12"/>
    </row>
    <row r="12" spans="1:9" ht="20.25">
      <c r="A12" s="30"/>
      <c r="B12" s="43"/>
      <c r="C12" s="43"/>
      <c r="D12" s="43"/>
      <c r="E12" s="34"/>
      <c r="F12" s="43"/>
      <c r="H12" s="12"/>
    </row>
    <row r="13" spans="1:9" ht="16.5">
      <c r="B13" s="43"/>
      <c r="C13" s="43"/>
      <c r="D13" s="43"/>
      <c r="E13" s="34"/>
      <c r="F13" s="43"/>
      <c r="H13" s="12"/>
    </row>
    <row r="14" spans="1:9" ht="20.25">
      <c r="A14" s="30"/>
      <c r="B14" s="43"/>
      <c r="C14" s="43"/>
      <c r="D14" s="43"/>
      <c r="E14" s="13" t="s">
        <v>0</v>
      </c>
      <c r="F14" s="43"/>
      <c r="H14" s="12"/>
    </row>
    <row r="15" spans="1:9" ht="17.25" thickBot="1">
      <c r="A15" s="41" t="s">
        <v>0</v>
      </c>
      <c r="B15" s="41" t="s">
        <v>0</v>
      </c>
      <c r="C15" s="41" t="s">
        <v>0</v>
      </c>
      <c r="D15" s="41"/>
      <c r="E15" s="41"/>
      <c r="F15" s="41"/>
      <c r="H15" s="12"/>
    </row>
    <row r="16" spans="1:9" ht="17.25">
      <c r="A16" s="241"/>
      <c r="B16" s="242"/>
      <c r="C16" s="243"/>
      <c r="D16" s="226" t="s">
        <v>0</v>
      </c>
      <c r="E16" s="227" t="s">
        <v>0</v>
      </c>
      <c r="F16" s="226" t="s">
        <v>0</v>
      </c>
      <c r="H16" s="12"/>
    </row>
    <row r="17" spans="1:10" ht="17.25">
      <c r="A17" s="88" t="s">
        <v>0</v>
      </c>
      <c r="B17" s="89" t="s">
        <v>3</v>
      </c>
      <c r="C17" s="90" t="s">
        <v>5</v>
      </c>
      <c r="D17" s="91" t="s">
        <v>0</v>
      </c>
      <c r="E17" s="228" t="s">
        <v>0</v>
      </c>
      <c r="F17" s="91" t="s">
        <v>268</v>
      </c>
      <c r="H17" s="12"/>
    </row>
    <row r="18" spans="1:10" ht="17.25">
      <c r="A18" s="88"/>
      <c r="B18" s="89" t="s">
        <v>4</v>
      </c>
      <c r="C18" s="90" t="s">
        <v>6</v>
      </c>
      <c r="D18" s="91" t="s">
        <v>276</v>
      </c>
      <c r="E18" s="228" t="s">
        <v>276</v>
      </c>
      <c r="F18" s="91" t="s">
        <v>123</v>
      </c>
      <c r="H18" s="12"/>
    </row>
    <row r="19" spans="1:10" ht="18" thickBot="1">
      <c r="A19" s="95" t="s">
        <v>2</v>
      </c>
      <c r="B19" s="96" t="s">
        <v>0</v>
      </c>
      <c r="C19" s="97" t="s">
        <v>0</v>
      </c>
      <c r="D19" s="281" t="s">
        <v>266</v>
      </c>
      <c r="E19" s="280" t="s">
        <v>60</v>
      </c>
      <c r="F19" s="96" t="s">
        <v>0</v>
      </c>
      <c r="H19" s="12"/>
    </row>
    <row r="20" spans="1:10" ht="16.5">
      <c r="A20" s="282" t="s">
        <v>7</v>
      </c>
      <c r="B20" s="259" t="s">
        <v>7</v>
      </c>
      <c r="C20" s="283" t="s">
        <v>7</v>
      </c>
      <c r="D20" s="259" t="s">
        <v>7</v>
      </c>
      <c r="E20" s="118" t="s">
        <v>267</v>
      </c>
      <c r="F20" s="101"/>
      <c r="H20" s="12"/>
    </row>
    <row r="21" spans="1:10" ht="17.25">
      <c r="A21" s="88"/>
      <c r="B21" s="89"/>
      <c r="C21" s="90"/>
      <c r="D21" s="89"/>
      <c r="E21" s="229"/>
      <c r="F21" s="89"/>
      <c r="H21" s="12"/>
    </row>
    <row r="22" spans="1:10" ht="17.25">
      <c r="A22" s="103" t="str">
        <f>+'S&amp;D'!A22</f>
        <v>Energy Transfer LP</v>
      </c>
      <c r="B22" s="80" t="str">
        <f>+'S&amp;D'!B22</f>
        <v>ET</v>
      </c>
      <c r="C22" s="90" t="str">
        <f>+'S&amp;D'!C22</f>
        <v>Pipeline MLPs</v>
      </c>
      <c r="D22" s="244">
        <f>'S&amp;D'!D37</f>
        <v>67217501144.760002</v>
      </c>
      <c r="E22" s="245">
        <f>46017000000-10899000000</f>
        <v>35118000000</v>
      </c>
      <c r="F22" s="105">
        <f t="shared" ref="F22:F27" si="0">+D22/E22</f>
        <v>1.9140469600990946</v>
      </c>
      <c r="H22" s="12"/>
    </row>
    <row r="23" spans="1:10" ht="17.25">
      <c r="A23" s="103" t="str">
        <f>+'S&amp;D'!A23</f>
        <v>Enterprise Products Partnership LP</v>
      </c>
      <c r="B23" s="80" t="str">
        <f>+'S&amp;D'!B23</f>
        <v>EPD</v>
      </c>
      <c r="C23" s="90" t="str">
        <f>+'S&amp;D'!C23</f>
        <v>Pipeline MLPs</v>
      </c>
      <c r="D23" s="244">
        <f>'S&amp;D'!D38</f>
        <v>67916350808.32</v>
      </c>
      <c r="E23" s="245">
        <f>29589000000-857000000</f>
        <v>28732000000</v>
      </c>
      <c r="F23" s="105">
        <f t="shared" si="0"/>
        <v>2.3637877909063065</v>
      </c>
      <c r="H23" s="12"/>
    </row>
    <row r="24" spans="1:10" ht="17.25">
      <c r="A24" s="103" t="str">
        <f>+'S&amp;D'!A24</f>
        <v>Hess Midstream LP</v>
      </c>
      <c r="B24" s="80" t="str">
        <f>+'S&amp;D'!B24</f>
        <v>HESM</v>
      </c>
      <c r="C24" s="90" t="str">
        <f>+'S&amp;D'!C24</f>
        <v>Pipeline MLPs</v>
      </c>
      <c r="D24" s="244">
        <f>'S&amp;D'!D39</f>
        <v>4322767407</v>
      </c>
      <c r="E24" s="245">
        <f>465300000+65400000</f>
        <v>530700000</v>
      </c>
      <c r="F24" s="105">
        <f t="shared" si="0"/>
        <v>8.1454068343696999</v>
      </c>
      <c r="H24" s="12"/>
    </row>
    <row r="25" spans="1:10" ht="17.25">
      <c r="A25" s="103" t="str">
        <f>+'S&amp;D'!A25</f>
        <v>MPLX, LP</v>
      </c>
      <c r="B25" s="80" t="str">
        <f>+'S&amp;D'!B25</f>
        <v>MPLX</v>
      </c>
      <c r="C25" s="90" t="str">
        <f>+'S&amp;D'!C25</f>
        <v>Pipeline MLPs</v>
      </c>
      <c r="D25" s="244">
        <f>'S&amp;D'!D40</f>
        <v>48937318118.659996</v>
      </c>
      <c r="E25" s="245">
        <f>13807000000-231000000</f>
        <v>13576000000</v>
      </c>
      <c r="F25" s="105">
        <f t="shared" si="0"/>
        <v>3.6046934383220388</v>
      </c>
      <c r="H25" s="12"/>
    </row>
    <row r="26" spans="1:10" ht="17.25">
      <c r="A26" s="103" t="str">
        <f>+'S&amp;D'!A26</f>
        <v>Plains All American Pipeline LP</v>
      </c>
      <c r="B26" s="80" t="str">
        <f>+'S&amp;D'!B26</f>
        <v>PAA</v>
      </c>
      <c r="C26" s="90" t="str">
        <f>+'S&amp;D'!C26</f>
        <v>Pipeline MLPs</v>
      </c>
      <c r="D26" s="244">
        <f>'S&amp;D'!D41</f>
        <v>12020493225.999998</v>
      </c>
      <c r="E26" s="245">
        <f>13096000000-3283000000</f>
        <v>9813000000</v>
      </c>
      <c r="F26" s="105">
        <f t="shared" si="0"/>
        <v>1.2249559997961885</v>
      </c>
      <c r="H26" s="12"/>
    </row>
    <row r="27" spans="1:10" ht="18" thickBot="1">
      <c r="A27" s="287" t="str">
        <f>+'S&amp;D'!A27</f>
        <v>Western Midstream Partners LP</v>
      </c>
      <c r="B27" s="81" t="str">
        <f>+'S&amp;D'!B27</f>
        <v>WES</v>
      </c>
      <c r="C27" s="97" t="str">
        <f>+'S&amp;D'!C27</f>
        <v>Pipeline MLPs</v>
      </c>
      <c r="D27" s="244">
        <f>'S&amp;D'!D42</f>
        <v>14654171294.91</v>
      </c>
      <c r="E27" s="245">
        <v>3235605000</v>
      </c>
      <c r="F27" s="105">
        <f t="shared" si="0"/>
        <v>4.5290359283379766</v>
      </c>
      <c r="H27" s="12"/>
      <c r="J27" s="10" t="s">
        <v>0</v>
      </c>
    </row>
    <row r="28" spans="1:10" ht="27" customHeight="1" thickBot="1">
      <c r="A28" s="123"/>
      <c r="B28" s="109"/>
      <c r="C28" s="109"/>
      <c r="D28" s="124"/>
      <c r="E28" s="286" t="s">
        <v>275</v>
      </c>
      <c r="F28" s="193">
        <f>AVERAGE(F22:F27)</f>
        <v>3.6303211586385502</v>
      </c>
      <c r="H28" s="12"/>
    </row>
    <row r="29" spans="1:10" ht="17.25">
      <c r="A29" s="107"/>
      <c r="B29" s="107"/>
      <c r="C29" s="107"/>
      <c r="D29" s="107"/>
      <c r="E29" s="238"/>
      <c r="F29" s="240"/>
      <c r="H29" s="12"/>
    </row>
    <row r="30" spans="1:10" ht="17.25">
      <c r="A30" s="107"/>
      <c r="B30" s="107"/>
      <c r="C30" s="107"/>
      <c r="D30" s="107"/>
      <c r="E30" s="238"/>
      <c r="F30" s="240"/>
      <c r="H30" s="12"/>
    </row>
    <row r="31" spans="1:10" ht="17.25">
      <c r="A31" s="107"/>
      <c r="B31" s="107"/>
      <c r="C31" s="107"/>
      <c r="D31" s="107"/>
      <c r="E31" s="238"/>
      <c r="F31" s="240"/>
      <c r="H31" s="12"/>
    </row>
    <row r="32" spans="1:10" ht="18" thickBot="1">
      <c r="A32" s="107"/>
      <c r="B32" s="107"/>
      <c r="C32" s="107"/>
      <c r="D32" s="107"/>
      <c r="E32" s="107"/>
      <c r="F32" s="107"/>
      <c r="H32" s="12"/>
    </row>
    <row r="33" spans="1:8" ht="17.25">
      <c r="A33" s="241"/>
      <c r="B33" s="242"/>
      <c r="C33" s="243"/>
      <c r="D33" s="226" t="s">
        <v>0</v>
      </c>
      <c r="E33" s="227" t="s">
        <v>0</v>
      </c>
      <c r="F33" s="226" t="s">
        <v>0</v>
      </c>
      <c r="H33" s="12"/>
    </row>
    <row r="34" spans="1:8" ht="17.25">
      <c r="A34" s="88" t="s">
        <v>0</v>
      </c>
      <c r="B34" s="89" t="s">
        <v>3</v>
      </c>
      <c r="C34" s="90" t="s">
        <v>5</v>
      </c>
      <c r="D34" s="91" t="s">
        <v>0</v>
      </c>
      <c r="E34" s="228" t="s">
        <v>0</v>
      </c>
      <c r="F34" s="91" t="s">
        <v>268</v>
      </c>
      <c r="H34" s="12"/>
    </row>
    <row r="35" spans="1:8" ht="17.25">
      <c r="A35" s="88"/>
      <c r="B35" s="89" t="s">
        <v>4</v>
      </c>
      <c r="C35" s="90" t="s">
        <v>6</v>
      </c>
      <c r="D35" s="91" t="s">
        <v>269</v>
      </c>
      <c r="E35" s="228" t="s">
        <v>269</v>
      </c>
      <c r="F35" s="91" t="s">
        <v>123</v>
      </c>
    </row>
    <row r="36" spans="1:8" ht="18" thickBot="1">
      <c r="A36" s="95" t="s">
        <v>2</v>
      </c>
      <c r="B36" s="96" t="s">
        <v>0</v>
      </c>
      <c r="C36" s="97" t="s">
        <v>0</v>
      </c>
      <c r="D36" s="281" t="s">
        <v>266</v>
      </c>
      <c r="E36" s="280" t="s">
        <v>60</v>
      </c>
      <c r="F36" s="96" t="s">
        <v>0</v>
      </c>
    </row>
    <row r="37" spans="1:8">
      <c r="A37" s="282" t="s">
        <v>7</v>
      </c>
      <c r="B37" s="259" t="s">
        <v>7</v>
      </c>
      <c r="C37" s="283" t="s">
        <v>7</v>
      </c>
      <c r="D37" s="259" t="s">
        <v>267</v>
      </c>
      <c r="E37" s="118" t="s">
        <v>267</v>
      </c>
      <c r="F37" s="101"/>
    </row>
    <row r="38" spans="1:8" ht="17.25">
      <c r="A38" s="88"/>
      <c r="B38" s="89"/>
      <c r="C38" s="90"/>
      <c r="D38" s="89"/>
      <c r="E38" s="229"/>
      <c r="F38" s="89"/>
    </row>
    <row r="39" spans="1:8" ht="17.25">
      <c r="A39" s="103" t="str">
        <f t="shared" ref="A39:C44" si="1">+A22</f>
        <v>Energy Transfer LP</v>
      </c>
      <c r="B39" s="80" t="str">
        <f t="shared" si="1"/>
        <v>ET</v>
      </c>
      <c r="C39" s="90" t="str">
        <f t="shared" si="1"/>
        <v>Pipeline MLPs</v>
      </c>
      <c r="D39" s="244">
        <f>+'S&amp;D'!G37</f>
        <v>59010000000</v>
      </c>
      <c r="E39" s="245">
        <f>+'S&amp;D'!J22</f>
        <v>59752000000</v>
      </c>
      <c r="F39" s="105">
        <f t="shared" ref="F39:F41" si="2">+D39/E39</f>
        <v>0.98758200562324272</v>
      </c>
    </row>
    <row r="40" spans="1:8" ht="17.25">
      <c r="A40" s="103" t="str">
        <f t="shared" si="1"/>
        <v>Enterprise Products Partnership LP</v>
      </c>
      <c r="B40" s="80" t="str">
        <f t="shared" si="1"/>
        <v>EPD</v>
      </c>
      <c r="C40" s="90" t="str">
        <f t="shared" si="1"/>
        <v>Pipeline MLPs</v>
      </c>
      <c r="D40" s="244">
        <f>+'S&amp;D'!G38</f>
        <v>28900000000</v>
      </c>
      <c r="E40" s="245">
        <f>+'S&amp;D'!J23</f>
        <v>30746000000</v>
      </c>
      <c r="F40" s="105">
        <f t="shared" si="2"/>
        <v>0.93995966955051069</v>
      </c>
    </row>
    <row r="41" spans="1:8" ht="17.25">
      <c r="A41" s="103" t="str">
        <f t="shared" si="1"/>
        <v>Hess Midstream LP</v>
      </c>
      <c r="B41" s="80" t="str">
        <f t="shared" si="1"/>
        <v>HESM</v>
      </c>
      <c r="C41" s="90" t="str">
        <f t="shared" si="1"/>
        <v>Pipeline MLPs</v>
      </c>
      <c r="D41" s="244">
        <f>+'S&amp;D'!G39</f>
        <v>3421200000</v>
      </c>
      <c r="E41" s="245">
        <f>+'S&amp;D'!J24</f>
        <v>3471900000</v>
      </c>
      <c r="F41" s="105">
        <f t="shared" si="2"/>
        <v>0.98539704484576174</v>
      </c>
    </row>
    <row r="42" spans="1:8" ht="17.25">
      <c r="A42" s="103" t="str">
        <f t="shared" si="1"/>
        <v>MPLX, LP</v>
      </c>
      <c r="B42" s="80" t="str">
        <f t="shared" si="1"/>
        <v>MPLX</v>
      </c>
      <c r="C42" s="90" t="str">
        <f t="shared" si="1"/>
        <v>Pipeline MLPs</v>
      </c>
      <c r="D42" s="244">
        <f>+'S&amp;D'!G40</f>
        <v>19574000000</v>
      </c>
      <c r="E42" s="245">
        <f>+'S&amp;D'!J25</f>
        <v>19472000000</v>
      </c>
      <c r="F42" s="105">
        <f>+D42/E42</f>
        <v>1.0052382908792112</v>
      </c>
    </row>
    <row r="43" spans="1:8" ht="17.25">
      <c r="A43" s="103" t="str">
        <f t="shared" si="1"/>
        <v>Plains All American Pipeline LP</v>
      </c>
      <c r="B43" s="80" t="str">
        <f t="shared" si="1"/>
        <v>PAA</v>
      </c>
      <c r="C43" s="90" t="str">
        <f t="shared" si="1"/>
        <v>Pipeline MLPs</v>
      </c>
      <c r="D43" s="244">
        <f>+'S&amp;D'!G41</f>
        <v>6700000000</v>
      </c>
      <c r="E43" s="245">
        <f>+'S&amp;D'!J26</f>
        <v>7526000000</v>
      </c>
      <c r="F43" s="105">
        <f t="shared" ref="F43:F44" si="3">+D43/E43</f>
        <v>0.89024714323677911</v>
      </c>
    </row>
    <row r="44" spans="1:8" ht="18" thickBot="1">
      <c r="A44" s="287" t="str">
        <f t="shared" si="1"/>
        <v>Western Midstream Partners LP</v>
      </c>
      <c r="B44" s="81" t="str">
        <f t="shared" si="1"/>
        <v>WES</v>
      </c>
      <c r="C44" s="97" t="str">
        <f t="shared" si="1"/>
        <v>Pipeline MLPs</v>
      </c>
      <c r="D44" s="288">
        <f>+'S&amp;D'!G42</f>
        <v>6571456000</v>
      </c>
      <c r="E44" s="288">
        <f>+'S&amp;D'!J27</f>
        <v>6926647000</v>
      </c>
      <c r="F44" s="105">
        <f t="shared" si="3"/>
        <v>0.94872107673452966</v>
      </c>
    </row>
    <row r="45" spans="1:8" ht="27.75" customHeight="1" thickBot="1">
      <c r="A45" s="284"/>
      <c r="B45" s="151"/>
      <c r="C45" s="151"/>
      <c r="D45" s="285"/>
      <c r="E45" s="286" t="s">
        <v>275</v>
      </c>
      <c r="F45" s="193">
        <f>AVERAGE(F39:F44)</f>
        <v>0.95952420514500592</v>
      </c>
    </row>
    <row r="50" spans="1:6">
      <c r="C50" s="230" t="s">
        <v>270</v>
      </c>
      <c r="D50" s="230" t="s">
        <v>271</v>
      </c>
      <c r="E50" s="230"/>
    </row>
    <row r="51" spans="1:6">
      <c r="A51" s="232"/>
      <c r="B51" s="232"/>
      <c r="C51" s="231" t="s">
        <v>35</v>
      </c>
      <c r="D51" s="231" t="s">
        <v>272</v>
      </c>
      <c r="E51" s="231" t="s">
        <v>273</v>
      </c>
    </row>
    <row r="52" spans="1:6" ht="17.25">
      <c r="A52" s="90" t="s">
        <v>39</v>
      </c>
      <c r="B52" s="139" t="s">
        <v>0</v>
      </c>
      <c r="C52" s="139">
        <f>+'Yield CapRate'!C23</f>
        <v>0.62</v>
      </c>
      <c r="D52" s="236">
        <f>+F28</f>
        <v>3.6303211586385502</v>
      </c>
      <c r="E52" s="237">
        <f>+C52*D52</f>
        <v>2.2507991183559013</v>
      </c>
      <c r="F52" s="140" t="s">
        <v>0</v>
      </c>
    </row>
    <row r="53" spans="1:6" ht="17.25">
      <c r="A53" s="233" t="s">
        <v>41</v>
      </c>
      <c r="B53" s="234" t="str">
        <f>'S&amp;D'!I34</f>
        <v xml:space="preserve"> </v>
      </c>
      <c r="C53" s="234">
        <f>+'Yield CapRate'!C25</f>
        <v>0.38</v>
      </c>
      <c r="D53" s="235">
        <f>+F45</f>
        <v>0.95952420514500592</v>
      </c>
      <c r="E53" s="235">
        <f>+C53*D53</f>
        <v>0.36461919795510223</v>
      </c>
      <c r="F53" s="140" t="s">
        <v>0</v>
      </c>
    </row>
    <row r="54" spans="1:6">
      <c r="D54" s="238" t="s">
        <v>274</v>
      </c>
      <c r="E54" s="239">
        <f>+E52+E53</f>
        <v>2.6154183163110036</v>
      </c>
    </row>
    <row r="57" spans="1:6" ht="20.25">
      <c r="A57" s="30" t="s">
        <v>394</v>
      </c>
    </row>
    <row r="58" spans="1:6" ht="19.5" customHeight="1">
      <c r="A58" s="30" t="s">
        <v>381</v>
      </c>
    </row>
  </sheetData>
  <pageMargins left="0.25" right="0.25" top="0.75" bottom="0.75" header="0.3" footer="0.3"/>
  <pageSetup scale="49" orientation="landscape" r:id="rId1"/>
  <rowBreaks count="1" manualBreakCount="1">
    <brk id="32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74"/>
  <sheetViews>
    <sheetView view="pageBreakPreview" topLeftCell="A8" zoomScale="70" zoomScaleNormal="80" zoomScaleSheetLayoutView="70" workbookViewId="0">
      <selection activeCell="L32" sqref="L32"/>
    </sheetView>
  </sheetViews>
  <sheetFormatPr defaultRowHeight="15"/>
  <cols>
    <col min="1" max="1" width="41" customWidth="1"/>
    <col min="2" max="2" width="10.85546875" bestFit="1" customWidth="1"/>
    <col min="3" max="3" width="10.7109375" customWidth="1"/>
    <col min="4" max="4" width="28.5703125" customWidth="1"/>
    <col min="5" max="5" width="22.28515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7109375" customWidth="1"/>
    <col min="12" max="12" width="23.140625" customWidth="1"/>
  </cols>
  <sheetData>
    <row r="1" spans="1:12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6.5">
      <c r="A3" s="25" t="s">
        <v>429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6.5">
      <c r="A4" s="2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6.5">
      <c r="A5" s="2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6.5">
      <c r="A6" s="2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7.25" thickBot="1">
      <c r="A7" s="12"/>
      <c r="B7" s="12"/>
      <c r="C7" s="12"/>
      <c r="D7" s="12"/>
      <c r="E7" s="12"/>
      <c r="F7" s="28"/>
      <c r="G7" s="28"/>
      <c r="H7" s="29" t="s">
        <v>0</v>
      </c>
      <c r="I7" s="12"/>
      <c r="J7" s="12"/>
      <c r="K7" s="12"/>
      <c r="L7" s="12"/>
    </row>
    <row r="8" spans="1:12" ht="27" thickBot="1">
      <c r="A8" s="250" t="str">
        <f>+'S&amp;D'!A12</f>
        <v>Liquid Transportation Pipeline Carriers</v>
      </c>
      <c r="B8" s="251"/>
      <c r="C8" s="184"/>
      <c r="D8" s="12"/>
      <c r="G8" s="31" t="s">
        <v>76</v>
      </c>
      <c r="H8" s="12"/>
      <c r="I8" s="12"/>
      <c r="J8" s="12"/>
      <c r="K8" s="12"/>
      <c r="L8" s="12"/>
    </row>
    <row r="9" spans="1:12" ht="20.25">
      <c r="A9" s="30"/>
      <c r="B9" s="12"/>
      <c r="D9" s="12"/>
      <c r="E9" s="12" t="s">
        <v>0</v>
      </c>
      <c r="F9" s="12"/>
      <c r="G9" s="90" t="s">
        <v>77</v>
      </c>
      <c r="H9" s="12"/>
      <c r="I9" s="12"/>
      <c r="J9" s="12"/>
      <c r="K9" s="12"/>
      <c r="L9" s="12"/>
    </row>
    <row r="10" spans="1:12" ht="18" customHeight="1" thickBot="1">
      <c r="A10" s="40" t="s">
        <v>0</v>
      </c>
      <c r="B10" s="40" t="s">
        <v>0</v>
      </c>
      <c r="C10" s="40" t="s">
        <v>0</v>
      </c>
      <c r="D10" s="12"/>
      <c r="E10" s="12" t="s">
        <v>0</v>
      </c>
      <c r="F10" s="33" t="s">
        <v>0</v>
      </c>
      <c r="G10" s="36" t="s">
        <v>430</v>
      </c>
      <c r="H10" s="33" t="s">
        <v>0</v>
      </c>
      <c r="I10" s="40" t="s">
        <v>0</v>
      </c>
      <c r="J10" s="12"/>
      <c r="K10" s="12"/>
      <c r="L10" s="12"/>
    </row>
    <row r="11" spans="1:12" ht="18" customHeight="1">
      <c r="A11" s="40"/>
      <c r="B11" s="40"/>
      <c r="C11" s="40"/>
      <c r="D11" s="12"/>
      <c r="E11" s="12"/>
      <c r="J11" s="12"/>
      <c r="K11" s="12"/>
      <c r="L11" s="12"/>
    </row>
    <row r="12" spans="1:12" ht="18" customHeight="1">
      <c r="A12" s="40"/>
      <c r="B12" s="40"/>
      <c r="C12" s="40"/>
      <c r="D12" s="12" t="s">
        <v>0</v>
      </c>
      <c r="E12" s="12" t="s">
        <v>0</v>
      </c>
      <c r="G12" s="13" t="s">
        <v>0</v>
      </c>
      <c r="J12" s="12"/>
      <c r="K12" s="12"/>
      <c r="L12" s="12" t="s">
        <v>0</v>
      </c>
    </row>
    <row r="13" spans="1:12" ht="17.25" thickBot="1">
      <c r="A13" s="33"/>
      <c r="B13" s="33"/>
      <c r="C13" s="33"/>
      <c r="D13" s="33"/>
      <c r="E13" s="36"/>
      <c r="F13" s="33"/>
      <c r="G13" s="33"/>
      <c r="H13" s="33"/>
      <c r="I13" s="33"/>
      <c r="J13" s="28"/>
      <c r="K13" s="28"/>
      <c r="L13" s="28"/>
    </row>
    <row r="14" spans="1:12" ht="15" customHeight="1" thickBot="1">
      <c r="A14" s="33" t="s">
        <v>24</v>
      </c>
      <c r="B14" s="33" t="s">
        <v>89</v>
      </c>
      <c r="C14" s="33" t="s">
        <v>90</v>
      </c>
      <c r="D14" s="41" t="s">
        <v>91</v>
      </c>
      <c r="E14" s="33" t="s">
        <v>92</v>
      </c>
      <c r="F14" s="33" t="s">
        <v>93</v>
      </c>
      <c r="G14" s="33" t="s">
        <v>94</v>
      </c>
      <c r="H14" s="33" t="s">
        <v>95</v>
      </c>
      <c r="I14" s="33" t="s">
        <v>96</v>
      </c>
      <c r="J14" s="33" t="s">
        <v>97</v>
      </c>
      <c r="K14" s="33" t="s">
        <v>98</v>
      </c>
      <c r="L14" s="33" t="s">
        <v>106</v>
      </c>
    </row>
    <row r="15" spans="1:12" ht="16.5">
      <c r="A15" s="34" t="s">
        <v>0</v>
      </c>
      <c r="B15" s="34" t="s">
        <v>3</v>
      </c>
      <c r="C15" s="34" t="s">
        <v>78</v>
      </c>
      <c r="D15" s="34" t="s">
        <v>81</v>
      </c>
      <c r="E15" s="34" t="s">
        <v>81</v>
      </c>
      <c r="F15" s="34" t="s">
        <v>82</v>
      </c>
      <c r="G15" s="34" t="s">
        <v>85</v>
      </c>
      <c r="H15" s="34" t="s">
        <v>87</v>
      </c>
      <c r="I15" s="34" t="s">
        <v>109</v>
      </c>
      <c r="J15" s="34" t="s">
        <v>109</v>
      </c>
      <c r="K15" s="34" t="s">
        <v>102</v>
      </c>
      <c r="L15" s="34" t="s">
        <v>104</v>
      </c>
    </row>
    <row r="16" spans="1:12" ht="17.25" thickBot="1">
      <c r="A16" s="36" t="s">
        <v>2</v>
      </c>
      <c r="B16" s="36" t="s">
        <v>4</v>
      </c>
      <c r="C16" s="36" t="s">
        <v>79</v>
      </c>
      <c r="D16" s="36" t="s">
        <v>84</v>
      </c>
      <c r="E16" s="36" t="s">
        <v>83</v>
      </c>
      <c r="F16" s="36" t="s">
        <v>19</v>
      </c>
      <c r="G16" s="36" t="s">
        <v>86</v>
      </c>
      <c r="H16" s="36" t="s">
        <v>88</v>
      </c>
      <c r="I16" s="36" t="s">
        <v>0</v>
      </c>
      <c r="J16" s="36" t="s">
        <v>0</v>
      </c>
      <c r="K16" s="36" t="s">
        <v>103</v>
      </c>
      <c r="L16" s="36" t="s">
        <v>85</v>
      </c>
    </row>
    <row r="17" spans="1:12">
      <c r="A17" s="42" t="s">
        <v>7</v>
      </c>
      <c r="B17" s="42" t="s">
        <v>7</v>
      </c>
      <c r="C17" s="42" t="s">
        <v>80</v>
      </c>
      <c r="D17" s="42" t="s">
        <v>231</v>
      </c>
      <c r="E17" s="42" t="s">
        <v>231</v>
      </c>
      <c r="F17" s="42" t="s">
        <v>107</v>
      </c>
      <c r="G17" s="42" t="s">
        <v>230</v>
      </c>
      <c r="H17" s="42" t="s">
        <v>99</v>
      </c>
      <c r="I17" s="42" t="s">
        <v>100</v>
      </c>
      <c r="J17" s="42" t="s">
        <v>101</v>
      </c>
      <c r="K17" s="42" t="s">
        <v>108</v>
      </c>
      <c r="L17" s="42" t="s">
        <v>105</v>
      </c>
    </row>
    <row r="18" spans="1:12" ht="16.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16.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22.5" customHeight="1">
      <c r="A20" s="61" t="str">
        <f>+'S&amp;D'!A22</f>
        <v>Energy Transfer LP</v>
      </c>
      <c r="B20" s="90" t="str">
        <f>+'S&amp;D'!B22</f>
        <v>ET</v>
      </c>
      <c r="C20" s="64">
        <f>+'Growth &amp; Inflation Rates '!$D$57</f>
        <v>2.3E-2</v>
      </c>
      <c r="D20" s="289">
        <v>129242000000</v>
      </c>
      <c r="E20" s="289">
        <v>114932000000</v>
      </c>
      <c r="F20" s="135">
        <f t="shared" ref="F20:F22" si="0">(D20+E20)/2</f>
        <v>122087000000</v>
      </c>
      <c r="G20" s="135">
        <v>5165000000</v>
      </c>
      <c r="H20" s="18">
        <f t="shared" ref="H20:H22" si="1">+F20/G20</f>
        <v>23.637366892545984</v>
      </c>
      <c r="I20" s="44">
        <f t="shared" ref="I20:I22" si="2">+C20*H20</f>
        <v>0.54365943852855758</v>
      </c>
      <c r="J20" s="45">
        <f t="shared" ref="J20:J22" si="3">1/(1+C20)^H20</f>
        <v>0.58420601295758734</v>
      </c>
      <c r="K20" s="136">
        <f t="shared" ref="K20:K22" si="4">(G20*I20)/(1-J20)</f>
        <v>6753346819.5959568</v>
      </c>
      <c r="L20" s="137">
        <f t="shared" ref="L20:L22" si="5">+K20/G20</f>
        <v>1.3075211654590428</v>
      </c>
    </row>
    <row r="21" spans="1:12" ht="22.5" customHeight="1">
      <c r="A21" s="61" t="str">
        <f>+'S&amp;D'!A23</f>
        <v>Enterprise Products Partnership LP</v>
      </c>
      <c r="B21" s="90" t="str">
        <f>+'S&amp;D'!B23</f>
        <v>EPD</v>
      </c>
      <c r="C21" s="64">
        <f>+'Growth &amp; Inflation Rates '!$D$57</f>
        <v>2.3E-2</v>
      </c>
      <c r="D21" s="289">
        <v>49062000000</v>
      </c>
      <c r="E21" s="289">
        <v>66217000000</v>
      </c>
      <c r="F21" s="135">
        <f t="shared" si="0"/>
        <v>57639500000</v>
      </c>
      <c r="G21" s="135">
        <v>2402000000</v>
      </c>
      <c r="H21" s="18">
        <f t="shared" si="1"/>
        <v>23.996461282264779</v>
      </c>
      <c r="I21" s="44">
        <f t="shared" si="2"/>
        <v>0.55191860949208993</v>
      </c>
      <c r="J21" s="45">
        <f t="shared" si="3"/>
        <v>0.57945503113113017</v>
      </c>
      <c r="K21" s="136">
        <f t="shared" si="4"/>
        <v>3152358482.7699351</v>
      </c>
      <c r="L21" s="137">
        <f t="shared" si="5"/>
        <v>1.3123890436177914</v>
      </c>
    </row>
    <row r="22" spans="1:12" ht="22.5" customHeight="1">
      <c r="A22" s="61" t="str">
        <f>+'S&amp;D'!A24</f>
        <v>Hess Midstream LP</v>
      </c>
      <c r="B22" s="90" t="str">
        <f>+'S&amp;D'!B24</f>
        <v>HESM</v>
      </c>
      <c r="C22" s="64">
        <f>+'Growth &amp; Inflation Rates '!$D$57</f>
        <v>2.3E-2</v>
      </c>
      <c r="D22" s="289">
        <v>3325400000</v>
      </c>
      <c r="E22" s="289">
        <v>4818700000</v>
      </c>
      <c r="F22" s="135">
        <f t="shared" si="0"/>
        <v>4072050000</v>
      </c>
      <c r="G22" s="135">
        <v>203100000</v>
      </c>
      <c r="H22" s="18">
        <f t="shared" si="1"/>
        <v>20.049483013293944</v>
      </c>
      <c r="I22" s="44">
        <f t="shared" si="2"/>
        <v>0.46113810930576071</v>
      </c>
      <c r="J22" s="45">
        <f t="shared" si="3"/>
        <v>0.63386774036067373</v>
      </c>
      <c r="K22" s="136">
        <f t="shared" si="4"/>
        <v>255801414.74630192</v>
      </c>
      <c r="L22" s="137">
        <f t="shared" si="5"/>
        <v>1.2594850553732246</v>
      </c>
    </row>
    <row r="23" spans="1:12" ht="22.5" customHeight="1">
      <c r="A23" s="61" t="str">
        <f>+'S&amp;D'!A25</f>
        <v>MPLX, LP</v>
      </c>
      <c r="B23" s="90" t="str">
        <f>+'S&amp;D'!B25</f>
        <v>MPLX</v>
      </c>
      <c r="C23" s="64">
        <f>+'Growth &amp; Inflation Rates '!$D$57</f>
        <v>2.3E-2</v>
      </c>
      <c r="D23" s="289">
        <v>19154000000</v>
      </c>
      <c r="E23" s="289">
        <v>27385000000</v>
      </c>
      <c r="F23" s="135">
        <f t="shared" ref="F23:F25" si="6">(D23+E23)/2</f>
        <v>23269500000</v>
      </c>
      <c r="G23" s="135">
        <v>1283000000</v>
      </c>
      <c r="H23" s="18">
        <f>+F23/G23</f>
        <v>18.136788776305533</v>
      </c>
      <c r="I23" s="44">
        <f>+C23*H23</f>
        <v>0.41714614185502724</v>
      </c>
      <c r="J23" s="45">
        <f>1/(1+C23)^H23</f>
        <v>0.6620453161115909</v>
      </c>
      <c r="K23" s="136">
        <f>(G23*I23)/(1-J23)</f>
        <v>1583639835.5014951</v>
      </c>
      <c r="L23" s="137">
        <f>+K23/G23</f>
        <v>1.234325670694852</v>
      </c>
    </row>
    <row r="24" spans="1:12" ht="22.5" customHeight="1">
      <c r="A24" s="61" t="str">
        <f>+'S&amp;D'!A26</f>
        <v>Plains All American Pipeline LP</v>
      </c>
      <c r="B24" s="90" t="str">
        <f>+'S&amp;D'!B26</f>
        <v>PAA</v>
      </c>
      <c r="C24" s="64">
        <f>+'Growth &amp; Inflation Rates '!$D$57</f>
        <v>2.3E-2</v>
      </c>
      <c r="D24" s="289">
        <v>21300000000</v>
      </c>
      <c r="E24" s="289">
        <v>21143000000</v>
      </c>
      <c r="F24" s="135">
        <f t="shared" si="6"/>
        <v>21221500000</v>
      </c>
      <c r="G24" s="135">
        <v>1026000000</v>
      </c>
      <c r="H24" s="18">
        <f t="shared" ref="H24:H25" si="7">+F24/G24</f>
        <v>20.683723196881093</v>
      </c>
      <c r="I24" s="44">
        <f t="shared" ref="I24:I25" si="8">+C24*H24</f>
        <v>0.47572563352826513</v>
      </c>
      <c r="J24" s="45">
        <f t="shared" ref="J24:J25" si="9">1/(1+C24)^H24</f>
        <v>0.62479151923520126</v>
      </c>
      <c r="K24" s="136">
        <f t="shared" ref="K24:K25" si="10">(G24*I24)/(1-J24)</f>
        <v>1300862120.7204654</v>
      </c>
      <c r="L24" s="137">
        <f t="shared" ref="L24:L25" si="11">+K24/G24</f>
        <v>1.2678968038211165</v>
      </c>
    </row>
    <row r="25" spans="1:12" ht="22.5" customHeight="1">
      <c r="A25" s="61" t="str">
        <f>+'S&amp;D'!A27</f>
        <v>Western Midstream Partners LP</v>
      </c>
      <c r="B25" s="90" t="str">
        <f>+'S&amp;D'!B27</f>
        <v>WES</v>
      </c>
      <c r="C25" s="64">
        <f>+'Growth &amp; Inflation Rates '!$D$57</f>
        <v>2.3E-2</v>
      </c>
      <c r="D25" s="289">
        <v>15509910000</v>
      </c>
      <c r="E25" s="289">
        <v>14945431000</v>
      </c>
      <c r="F25" s="135">
        <f t="shared" si="6"/>
        <v>15227670500</v>
      </c>
      <c r="G25" s="135">
        <f>650428*1000</f>
        <v>650428000</v>
      </c>
      <c r="H25" s="18">
        <f t="shared" si="7"/>
        <v>23.411769634763569</v>
      </c>
      <c r="I25" s="44">
        <f t="shared" si="8"/>
        <v>0.53847070159956212</v>
      </c>
      <c r="J25" s="45">
        <f t="shared" si="9"/>
        <v>0.58721067019002293</v>
      </c>
      <c r="K25" s="136">
        <f t="shared" si="10"/>
        <v>848462874.9033494</v>
      </c>
      <c r="L25" s="137">
        <f t="shared" si="11"/>
        <v>1.304468557478075</v>
      </c>
    </row>
    <row r="26" spans="1:12" ht="22.5" customHeight="1" thickBot="1">
      <c r="A26" s="69"/>
      <c r="B26" s="69"/>
      <c r="C26" s="46"/>
      <c r="D26" s="46"/>
      <c r="E26" s="46"/>
      <c r="F26" s="46"/>
      <c r="G26" s="46" t="s">
        <v>0</v>
      </c>
      <c r="H26" s="46"/>
      <c r="I26" s="46" t="s">
        <v>44</v>
      </c>
      <c r="J26" s="46"/>
      <c r="K26" s="46"/>
      <c r="L26" s="46"/>
    </row>
    <row r="27" spans="1:12" ht="22.5" customHeight="1" thickTop="1">
      <c r="A27" s="12"/>
      <c r="B27" s="12"/>
      <c r="C27" s="47" t="s">
        <v>0</v>
      </c>
      <c r="D27" s="47" t="s">
        <v>0</v>
      </c>
      <c r="E27" s="34" t="s">
        <v>0</v>
      </c>
      <c r="F27" s="34"/>
      <c r="G27" s="47" t="s">
        <v>0</v>
      </c>
      <c r="H27" s="34"/>
      <c r="I27" s="47" t="s">
        <v>0</v>
      </c>
      <c r="J27" s="47" t="s">
        <v>0</v>
      </c>
      <c r="K27" s="14" t="s">
        <v>45</v>
      </c>
      <c r="L27" s="51">
        <f>MAX(L20:L25)</f>
        <v>1.3123890436177914</v>
      </c>
    </row>
    <row r="28" spans="1:12" ht="22.5" customHeight="1">
      <c r="B28" s="12"/>
      <c r="C28" s="47"/>
      <c r="D28" s="47"/>
      <c r="E28" s="34"/>
      <c r="F28" s="34"/>
      <c r="G28" s="47"/>
      <c r="H28" s="34"/>
      <c r="I28" s="47"/>
      <c r="J28" s="47"/>
      <c r="K28" s="335" t="s">
        <v>46</v>
      </c>
      <c r="L28" s="336">
        <f>MIN(L20:L25)</f>
        <v>1.234325670694852</v>
      </c>
    </row>
    <row r="29" spans="1:12" ht="22.5" customHeight="1">
      <c r="B29" s="12"/>
      <c r="C29" s="12"/>
      <c r="D29" s="12"/>
      <c r="E29" s="12"/>
      <c r="F29" s="12"/>
      <c r="G29" s="12"/>
      <c r="H29" s="12"/>
      <c r="I29" s="12"/>
      <c r="J29" s="12"/>
      <c r="K29" s="14" t="s">
        <v>18</v>
      </c>
      <c r="L29" s="53">
        <f>MEDIAN(L20:L25)</f>
        <v>1.2861826806495957</v>
      </c>
    </row>
    <row r="30" spans="1:12" ht="22.5" customHeight="1">
      <c r="A30" s="12" t="s">
        <v>0</v>
      </c>
      <c r="B30" s="12"/>
      <c r="C30" s="12"/>
      <c r="D30" s="12"/>
      <c r="E30" s="12"/>
      <c r="F30" s="12"/>
      <c r="G30" s="12"/>
      <c r="H30" s="12"/>
      <c r="I30" s="12"/>
      <c r="J30" s="12"/>
      <c r="K30" s="14" t="s">
        <v>392</v>
      </c>
      <c r="L30" s="53">
        <f>AVERAGE(L20:L25)</f>
        <v>1.2810143827406837</v>
      </c>
    </row>
    <row r="31" spans="1:12" ht="22.5" customHeight="1" thickBot="1">
      <c r="A31" s="12"/>
      <c r="B31" s="12"/>
      <c r="C31" s="12"/>
      <c r="D31" s="12"/>
      <c r="E31" s="12"/>
      <c r="F31" s="12"/>
      <c r="G31" s="12" t="s">
        <v>0</v>
      </c>
      <c r="H31" s="12"/>
      <c r="I31" s="12"/>
      <c r="J31" s="12"/>
      <c r="K31" s="12"/>
      <c r="L31" s="12"/>
    </row>
    <row r="32" spans="1:12" ht="22.5" customHeight="1" thickBo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90" t="s">
        <v>198</v>
      </c>
      <c r="L32" s="387">
        <v>1.2809999999999999</v>
      </c>
    </row>
    <row r="33" spans="1:12" ht="16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6.5">
      <c r="A35" s="12" t="s">
        <v>72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6.5">
      <c r="A36" s="12" t="s">
        <v>242</v>
      </c>
    </row>
    <row r="37" spans="1:12" ht="16.5">
      <c r="A37" s="12"/>
    </row>
    <row r="38" spans="1:12" ht="16.5">
      <c r="A38" s="12" t="s">
        <v>380</v>
      </c>
    </row>
    <row r="39" spans="1:12" ht="20.25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</row>
    <row r="40" spans="1:12" ht="26.25">
      <c r="A40" s="23" t="s">
        <v>1</v>
      </c>
      <c r="B40" s="12"/>
      <c r="C40" s="12"/>
      <c r="D40" s="12"/>
      <c r="E40" s="12"/>
      <c r="F40" s="12"/>
      <c r="G40" s="12"/>
      <c r="H40" s="12"/>
      <c r="I40" s="12"/>
      <c r="J40" s="12"/>
      <c r="K40" s="222"/>
      <c r="L40" s="222"/>
    </row>
    <row r="41" spans="1:12" ht="20.25">
      <c r="A41" s="24" t="s">
        <v>9</v>
      </c>
      <c r="B41" s="12"/>
      <c r="C41" s="12"/>
      <c r="D41" s="12"/>
      <c r="E41" s="12"/>
      <c r="F41" s="12"/>
      <c r="G41" s="12"/>
      <c r="H41" s="12"/>
      <c r="I41" s="12"/>
      <c r="J41" s="12"/>
      <c r="K41" s="222"/>
      <c r="L41" s="222"/>
    </row>
    <row r="42" spans="1:12" ht="20.25">
      <c r="A42" s="25" t="s">
        <v>429</v>
      </c>
      <c r="B42" s="12"/>
      <c r="C42" s="12"/>
      <c r="D42" s="12"/>
      <c r="E42" s="12"/>
      <c r="F42" s="12"/>
      <c r="G42" s="12"/>
      <c r="H42" s="12"/>
      <c r="I42" s="12"/>
      <c r="J42" s="12"/>
      <c r="K42" s="222"/>
      <c r="L42" s="222"/>
    </row>
    <row r="43" spans="1:12" ht="20.25">
      <c r="A43" s="25"/>
      <c r="B43" s="12"/>
      <c r="C43" s="12"/>
      <c r="D43" s="12"/>
      <c r="E43" s="12"/>
      <c r="F43" s="12"/>
      <c r="G43" s="12"/>
      <c r="H43" s="12"/>
      <c r="I43" s="12"/>
      <c r="J43" s="12"/>
      <c r="K43" s="222"/>
      <c r="L43" s="222"/>
    </row>
    <row r="44" spans="1:12" ht="20.25">
      <c r="A44" s="25"/>
      <c r="B44" s="12"/>
      <c r="C44" s="12"/>
      <c r="D44" s="12"/>
      <c r="E44" s="12"/>
      <c r="F44" s="12"/>
      <c r="G44" s="12"/>
      <c r="H44" s="12"/>
      <c r="I44" s="12"/>
      <c r="J44" s="12"/>
      <c r="K44" s="222"/>
      <c r="L44" s="222"/>
    </row>
    <row r="45" spans="1:12" ht="20.25">
      <c r="A45" s="25"/>
      <c r="B45" s="12"/>
      <c r="C45" s="12"/>
      <c r="D45" s="12"/>
      <c r="E45" s="12"/>
      <c r="F45" s="12"/>
      <c r="G45" s="12"/>
      <c r="H45" s="12"/>
      <c r="I45" s="12"/>
      <c r="J45" s="12"/>
      <c r="K45" s="222"/>
      <c r="L45" s="222"/>
    </row>
    <row r="46" spans="1:12" ht="21" thickBot="1">
      <c r="B46" s="12"/>
      <c r="C46" s="12"/>
      <c r="D46" s="12"/>
      <c r="E46" s="12"/>
      <c r="F46" s="28"/>
      <c r="G46" s="28"/>
      <c r="H46" s="29" t="s">
        <v>0</v>
      </c>
      <c r="I46" s="12"/>
      <c r="J46" s="12"/>
      <c r="K46" s="222"/>
      <c r="L46" s="222"/>
    </row>
    <row r="47" spans="1:12" ht="26.25">
      <c r="B47" s="12"/>
      <c r="C47" s="12"/>
      <c r="D47" s="12"/>
      <c r="E47" s="12"/>
      <c r="F47" s="12"/>
      <c r="G47" s="31" t="s">
        <v>264</v>
      </c>
      <c r="H47" s="12"/>
      <c r="I47" s="12"/>
      <c r="J47" s="12"/>
      <c r="K47" s="222"/>
      <c r="L47" s="222"/>
    </row>
    <row r="48" spans="1:12" ht="21" thickBot="1">
      <c r="B48" s="40" t="s">
        <v>0</v>
      </c>
      <c r="C48" s="40" t="s">
        <v>0</v>
      </c>
      <c r="D48" s="12"/>
      <c r="E48" s="12"/>
      <c r="F48" s="33" t="s">
        <v>0</v>
      </c>
      <c r="G48" s="36" t="s">
        <v>430</v>
      </c>
      <c r="H48" s="33" t="s">
        <v>0</v>
      </c>
      <c r="I48" s="40" t="s">
        <v>0</v>
      </c>
      <c r="J48" s="12"/>
      <c r="K48" s="222"/>
      <c r="L48" s="222"/>
    </row>
    <row r="49" spans="1:12" ht="2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</row>
    <row r="50" spans="1:12" ht="20.2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1:12" ht="20.2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</row>
    <row r="52" spans="1:12" ht="16.5">
      <c r="A52" s="40"/>
      <c r="B52" s="40"/>
      <c r="C52" s="40"/>
      <c r="D52" s="12"/>
      <c r="E52" s="12"/>
      <c r="J52" s="12"/>
      <c r="K52" s="12"/>
      <c r="L52" s="12"/>
    </row>
    <row r="53" spans="1:12" ht="31.5">
      <c r="A53" s="216" t="s">
        <v>253</v>
      </c>
      <c r="B53" s="40"/>
      <c r="C53" s="218" t="s">
        <v>258</v>
      </c>
      <c r="D53" s="12"/>
      <c r="E53" s="12"/>
      <c r="J53" s="12"/>
      <c r="K53" s="12"/>
      <c r="L53" s="12"/>
    </row>
    <row r="54" spans="1:12" ht="31.5">
      <c r="A54" s="216" t="s">
        <v>257</v>
      </c>
      <c r="B54" s="40"/>
      <c r="C54" s="218" t="s">
        <v>263</v>
      </c>
      <c r="D54" s="12"/>
      <c r="E54" s="12"/>
      <c r="J54" s="12"/>
      <c r="K54" s="12"/>
      <c r="L54" s="12"/>
    </row>
    <row r="55" spans="1:12" ht="17.25">
      <c r="A55" s="217" t="s">
        <v>254</v>
      </c>
      <c r="B55" s="40"/>
      <c r="C55" s="40"/>
      <c r="D55" s="12"/>
      <c r="E55" s="12"/>
      <c r="J55" s="12"/>
      <c r="K55" s="12"/>
      <c r="L55" s="12"/>
    </row>
    <row r="56" spans="1:12" ht="17.25">
      <c r="A56" s="217" t="s">
        <v>255</v>
      </c>
      <c r="B56" s="40"/>
      <c r="C56" s="40"/>
      <c r="D56" s="12"/>
      <c r="E56" s="12"/>
      <c r="J56" s="12"/>
      <c r="K56" s="12"/>
      <c r="L56" s="12"/>
    </row>
    <row r="57" spans="1:12" ht="17.25">
      <c r="A57" s="217" t="s">
        <v>256</v>
      </c>
      <c r="B57" s="40"/>
      <c r="C57" s="40"/>
      <c r="D57" s="12"/>
      <c r="E57" s="12"/>
      <c r="J57" s="12"/>
      <c r="K57" s="12"/>
      <c r="L57" s="12"/>
    </row>
    <row r="63" spans="1:12" ht="31.5">
      <c r="A63" s="219" t="s">
        <v>262</v>
      </c>
      <c r="B63" s="107"/>
      <c r="C63" s="107"/>
      <c r="D63" s="107"/>
      <c r="E63" s="107"/>
      <c r="F63" s="107"/>
      <c r="G63" s="12"/>
      <c r="H63" s="12"/>
      <c r="I63" s="12"/>
    </row>
    <row r="64" spans="1:12" ht="17.25">
      <c r="A64" s="107"/>
      <c r="B64" s="107"/>
      <c r="C64" s="107"/>
      <c r="D64" s="107"/>
      <c r="E64" s="107"/>
      <c r="F64" s="107"/>
      <c r="G64" s="12"/>
      <c r="H64" s="12"/>
      <c r="I64" s="12"/>
    </row>
    <row r="65" spans="1:9" ht="18" thickBot="1">
      <c r="A65" s="220" t="s">
        <v>259</v>
      </c>
      <c r="B65" s="109"/>
      <c r="C65" s="109"/>
      <c r="D65" s="221" t="s">
        <v>261</v>
      </c>
      <c r="E65" s="109"/>
      <c r="F65" s="107"/>
      <c r="G65" s="12"/>
      <c r="H65" s="12"/>
      <c r="I65" s="12"/>
    </row>
    <row r="66" spans="1:9" ht="17.25">
      <c r="A66" s="107"/>
      <c r="B66" s="107"/>
      <c r="C66" s="107"/>
      <c r="D66" s="107" t="s">
        <v>260</v>
      </c>
      <c r="E66" s="107"/>
      <c r="F66" s="107"/>
      <c r="G66" s="12"/>
      <c r="H66" s="12"/>
      <c r="I66" s="12"/>
    </row>
    <row r="67" spans="1:9" ht="17.25">
      <c r="A67" s="107"/>
      <c r="B67" s="107"/>
      <c r="C67" s="107"/>
      <c r="D67" s="107"/>
      <c r="E67" s="107"/>
      <c r="F67" s="107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 t="s">
        <v>0</v>
      </c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</sheetData>
  <pageMargins left="0.25" right="0.25" top="0.75" bottom="0.75" header="0.3" footer="0.3"/>
  <pageSetup scale="51" orientation="landscape" r:id="rId1"/>
  <rowBreaks count="1" manualBreakCount="1">
    <brk id="38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H33"/>
  <sheetViews>
    <sheetView view="pageBreakPreview" zoomScale="50" zoomScaleNormal="80" zoomScaleSheetLayoutView="50" workbookViewId="0">
      <selection activeCell="H29" sqref="H29"/>
    </sheetView>
  </sheetViews>
  <sheetFormatPr defaultRowHeight="15"/>
  <cols>
    <col min="1" max="1" width="45.140625" customWidth="1"/>
    <col min="2" max="2" width="17" customWidth="1"/>
    <col min="3" max="3" width="24.140625" customWidth="1"/>
    <col min="4" max="4" width="21.85546875" customWidth="1"/>
    <col min="5" max="5" width="27.42578125" customWidth="1"/>
    <col min="6" max="6" width="26.7109375" customWidth="1"/>
    <col min="7" max="7" width="21.28515625" customWidth="1"/>
    <col min="8" max="8" width="32.5703125" customWidth="1"/>
    <col min="9" max="9" width="14.140625" bestFit="1" customWidth="1"/>
    <col min="11" max="11" width="10.5703125" customWidth="1"/>
  </cols>
  <sheetData>
    <row r="1" spans="1:8" ht="26.25">
      <c r="A1" s="23" t="s">
        <v>1</v>
      </c>
      <c r="B1" s="12"/>
      <c r="C1" s="12"/>
      <c r="D1" s="12"/>
      <c r="E1" s="12"/>
      <c r="F1" s="12"/>
      <c r="G1" s="12"/>
      <c r="H1" s="12"/>
    </row>
    <row r="2" spans="1:8" ht="17.25">
      <c r="A2" s="24" t="s">
        <v>9</v>
      </c>
      <c r="B2" s="12"/>
      <c r="C2" s="12"/>
      <c r="D2" s="12"/>
      <c r="E2" s="12"/>
      <c r="F2" s="12"/>
      <c r="G2" s="12"/>
      <c r="H2" s="12"/>
    </row>
    <row r="3" spans="1:8" ht="16.5">
      <c r="A3" s="25" t="s">
        <v>429</v>
      </c>
      <c r="B3" s="12"/>
      <c r="C3" s="12"/>
      <c r="D3" s="12"/>
      <c r="E3" s="12"/>
      <c r="F3" s="12"/>
      <c r="G3" s="12"/>
      <c r="H3" s="12"/>
    </row>
    <row r="4" spans="1:8" ht="16.5">
      <c r="A4" s="25"/>
      <c r="B4" s="12"/>
      <c r="C4" s="12"/>
      <c r="D4" s="12"/>
      <c r="E4" s="12"/>
      <c r="F4" s="12"/>
      <c r="G4" s="12"/>
      <c r="H4" s="12"/>
    </row>
    <row r="5" spans="1:8" ht="16.5">
      <c r="A5" s="25"/>
      <c r="B5" s="12"/>
      <c r="C5" s="12"/>
      <c r="D5" s="12"/>
      <c r="E5" s="12"/>
      <c r="F5" s="12"/>
      <c r="G5" s="12"/>
      <c r="H5" s="12"/>
    </row>
    <row r="6" spans="1:8" ht="16.5">
      <c r="A6" s="25"/>
      <c r="B6" s="12"/>
      <c r="C6" s="12"/>
      <c r="D6" s="12"/>
      <c r="E6" s="12"/>
      <c r="F6" s="12"/>
      <c r="G6" s="12"/>
      <c r="H6" s="12"/>
    </row>
    <row r="7" spans="1:8" ht="17.25" thickBot="1">
      <c r="A7" s="12"/>
      <c r="B7" s="12"/>
      <c r="C7" s="12"/>
      <c r="H7" s="12"/>
    </row>
    <row r="8" spans="1:8" ht="21" thickBot="1">
      <c r="A8" s="250" t="str">
        <f>+'S&amp;D'!A12</f>
        <v>Liquid Transportation Pipeline Carriers</v>
      </c>
      <c r="B8" s="184"/>
      <c r="C8" s="12"/>
      <c r="D8" s="28"/>
      <c r="E8" s="28" t="s">
        <v>0</v>
      </c>
      <c r="F8" s="28" t="s">
        <v>0</v>
      </c>
      <c r="H8" s="12"/>
    </row>
    <row r="9" spans="1:8" ht="26.25">
      <c r="A9" s="30"/>
      <c r="B9" s="12"/>
      <c r="D9" s="12"/>
      <c r="E9" s="31" t="s">
        <v>434</v>
      </c>
      <c r="F9" s="31"/>
      <c r="H9" s="12"/>
    </row>
    <row r="10" spans="1:8" ht="21" thickBot="1">
      <c r="A10" s="30"/>
      <c r="B10" s="12"/>
      <c r="C10" s="12"/>
      <c r="D10" s="28"/>
      <c r="E10" s="36" t="s">
        <v>430</v>
      </c>
      <c r="F10" s="36"/>
      <c r="H10" s="12"/>
    </row>
    <row r="11" spans="1:8" ht="20.25">
      <c r="A11" s="30"/>
      <c r="B11" s="12"/>
      <c r="H11" s="12"/>
    </row>
    <row r="12" spans="1:8" ht="17.25" thickBot="1">
      <c r="A12" s="33" t="s">
        <v>0</v>
      </c>
      <c r="B12" s="33" t="s">
        <v>0</v>
      </c>
      <c r="C12" s="33" t="s">
        <v>0</v>
      </c>
      <c r="D12" s="33" t="s">
        <v>0</v>
      </c>
      <c r="E12" s="33" t="s">
        <v>0</v>
      </c>
      <c r="F12" s="33"/>
      <c r="G12" s="33"/>
      <c r="H12" s="28"/>
    </row>
    <row r="13" spans="1:8" ht="17.25">
      <c r="A13" s="90" t="s">
        <v>0</v>
      </c>
      <c r="B13" s="90" t="s">
        <v>3</v>
      </c>
      <c r="C13" s="90" t="s">
        <v>5</v>
      </c>
      <c r="D13" s="90" t="s">
        <v>21</v>
      </c>
      <c r="E13" s="173" t="s">
        <v>217</v>
      </c>
      <c r="F13" s="173" t="s">
        <v>305</v>
      </c>
      <c r="G13" s="90" t="s">
        <v>20</v>
      </c>
      <c r="H13" s="90" t="s">
        <v>138</v>
      </c>
    </row>
    <row r="14" spans="1:8" ht="18" thickBot="1">
      <c r="A14" s="97" t="s">
        <v>2</v>
      </c>
      <c r="B14" s="97" t="s">
        <v>4</v>
      </c>
      <c r="C14" s="97" t="s">
        <v>6</v>
      </c>
      <c r="D14" s="97" t="s">
        <v>23</v>
      </c>
      <c r="E14" s="97" t="s">
        <v>306</v>
      </c>
      <c r="F14" s="97" t="s">
        <v>180</v>
      </c>
      <c r="G14" s="97" t="s">
        <v>22</v>
      </c>
      <c r="H14" s="97" t="s">
        <v>116</v>
      </c>
    </row>
    <row r="15" spans="1:8">
      <c r="A15" s="38" t="s">
        <v>7</v>
      </c>
      <c r="B15" s="38" t="s">
        <v>7</v>
      </c>
      <c r="C15" s="38" t="s">
        <v>7</v>
      </c>
      <c r="D15" s="38" t="s">
        <v>7</v>
      </c>
      <c r="E15" s="212" t="s">
        <v>499</v>
      </c>
      <c r="F15" s="212" t="s">
        <v>499</v>
      </c>
      <c r="G15" s="38" t="s">
        <v>7</v>
      </c>
      <c r="H15" s="212" t="s">
        <v>498</v>
      </c>
    </row>
    <row r="16" spans="1:8" ht="17.25" thickBot="1">
      <c r="A16" s="34"/>
      <c r="B16" s="34"/>
      <c r="C16" s="34"/>
      <c r="D16" s="34"/>
      <c r="G16" s="34"/>
      <c r="H16" s="34"/>
    </row>
    <row r="17" spans="1:8" ht="16.5">
      <c r="A17" s="153"/>
      <c r="B17" s="113"/>
      <c r="C17" s="113"/>
      <c r="D17" s="113"/>
      <c r="E17" s="300"/>
      <c r="F17" s="300"/>
      <c r="G17" s="113"/>
      <c r="H17" s="154"/>
    </row>
    <row r="18" spans="1:8" ht="20.25" customHeight="1">
      <c r="A18" s="103" t="str">
        <f>+'S&amp;D'!A22</f>
        <v>Energy Transfer LP</v>
      </c>
      <c r="B18" s="90" t="str">
        <f>+'S&amp;D'!B22</f>
        <v>ET</v>
      </c>
      <c r="C18" s="90" t="str">
        <f>+'S&amp;D'!C22</f>
        <v>Pipeline MLPs</v>
      </c>
      <c r="D18" s="330" t="s">
        <v>439</v>
      </c>
      <c r="E18" s="247">
        <v>0.14499999999999999</v>
      </c>
      <c r="F18" s="247">
        <v>0.02</v>
      </c>
      <c r="G18" s="90" t="s">
        <v>424</v>
      </c>
      <c r="H18" s="293">
        <v>1.1000000000000001</v>
      </c>
    </row>
    <row r="19" spans="1:8" ht="20.25" customHeight="1">
      <c r="A19" s="103" t="str">
        <f>+'S&amp;D'!A23</f>
        <v>Enterprise Products Partnership LP</v>
      </c>
      <c r="B19" s="90" t="str">
        <f>+'S&amp;D'!B23</f>
        <v>EPD</v>
      </c>
      <c r="C19" s="90" t="str">
        <f>+'S&amp;D'!C23</f>
        <v>Pipeline MLPs</v>
      </c>
      <c r="D19" s="301">
        <v>2.5000000000000001E-2</v>
      </c>
      <c r="E19" s="247">
        <v>0.21</v>
      </c>
      <c r="F19" s="247">
        <v>0.05</v>
      </c>
      <c r="G19" s="90" t="s">
        <v>24</v>
      </c>
      <c r="H19" s="293">
        <v>1</v>
      </c>
    </row>
    <row r="20" spans="1:8" ht="20.25" customHeight="1">
      <c r="A20" s="103" t="str">
        <f>+'S&amp;D'!A24</f>
        <v>Hess Midstream LP</v>
      </c>
      <c r="B20" s="90" t="str">
        <f>+'S&amp;D'!B24</f>
        <v>HESM</v>
      </c>
      <c r="C20" s="90" t="str">
        <f>+'S&amp;D'!C24</f>
        <v>Pipeline MLPs</v>
      </c>
      <c r="D20" s="301">
        <v>0.1</v>
      </c>
      <c r="E20" s="330">
        <v>0.45500000000000002</v>
      </c>
      <c r="F20" s="330" t="s">
        <v>439</v>
      </c>
      <c r="G20" s="90" t="s">
        <v>89</v>
      </c>
      <c r="H20" s="293">
        <v>0.95</v>
      </c>
    </row>
    <row r="21" spans="1:8" ht="20.25" customHeight="1">
      <c r="A21" s="103" t="str">
        <f>+'S&amp;D'!A25</f>
        <v>MPLX, LP</v>
      </c>
      <c r="B21" s="90" t="str">
        <f>+'S&amp;D'!B25</f>
        <v>MPLX</v>
      </c>
      <c r="C21" s="90" t="str">
        <f>+'S&amp;D'!C25</f>
        <v>Pipeline MLPs</v>
      </c>
      <c r="D21" s="121">
        <v>0.03</v>
      </c>
      <c r="E21" s="247">
        <v>0.315</v>
      </c>
      <c r="F21" s="247">
        <v>7.0000000000000007E-2</v>
      </c>
      <c r="G21" s="90" t="s">
        <v>424</v>
      </c>
      <c r="H21" s="293">
        <v>0.95</v>
      </c>
    </row>
    <row r="22" spans="1:8" ht="20.25" customHeight="1">
      <c r="A22" s="103" t="str">
        <f>+'S&amp;D'!A26</f>
        <v>Plains All American Pipeline LP</v>
      </c>
      <c r="B22" s="90" t="str">
        <f>+'S&amp;D'!B26</f>
        <v>PAA</v>
      </c>
      <c r="C22" s="90" t="str">
        <f>+'S&amp;D'!C26</f>
        <v>Pipeline MLPs</v>
      </c>
      <c r="D22" s="121">
        <v>0.13</v>
      </c>
      <c r="E22" s="247">
        <v>0.18</v>
      </c>
      <c r="F22" s="247">
        <v>5.5E-2</v>
      </c>
      <c r="G22" s="90" t="s">
        <v>424</v>
      </c>
      <c r="H22" s="293">
        <v>1.25</v>
      </c>
    </row>
    <row r="23" spans="1:8" ht="20.25" customHeight="1" thickBot="1">
      <c r="A23" s="391" t="str">
        <f>+'S&amp;D'!A27</f>
        <v>Western Midstream Partners LP</v>
      </c>
      <c r="B23" s="392" t="str">
        <f>+'S&amp;D'!B27</f>
        <v>WES</v>
      </c>
      <c r="C23" s="392" t="str">
        <f>+'S&amp;D'!C27</f>
        <v>Pipeline MLPs</v>
      </c>
      <c r="D23" s="393">
        <v>1.4999999999999999E-2</v>
      </c>
      <c r="E23" s="394">
        <v>0.46500000000000002</v>
      </c>
      <c r="F23" s="394" t="s">
        <v>439</v>
      </c>
      <c r="G23" s="392" t="s">
        <v>424</v>
      </c>
      <c r="H23" s="331">
        <v>1.35</v>
      </c>
    </row>
    <row r="24" spans="1:8" ht="20.25" customHeight="1" thickTop="1">
      <c r="A24" s="107"/>
      <c r="B24" s="107"/>
      <c r="C24" s="4"/>
      <c r="D24" s="168" t="s">
        <v>0</v>
      </c>
      <c r="E24" s="4"/>
      <c r="F24" s="4"/>
      <c r="G24" s="125" t="s">
        <v>45</v>
      </c>
      <c r="H24" s="169">
        <f>+MAX(H18:H23)</f>
        <v>1.35</v>
      </c>
    </row>
    <row r="25" spans="1:8" ht="20.25" customHeight="1">
      <c r="A25" s="107"/>
      <c r="B25" s="107"/>
      <c r="C25" s="4"/>
      <c r="D25" s="168" t="s">
        <v>0</v>
      </c>
      <c r="E25" s="4"/>
      <c r="F25" s="4"/>
      <c r="G25" s="125" t="s">
        <v>46</v>
      </c>
      <c r="H25" s="334">
        <f>MIN(H18:H23)</f>
        <v>0.95</v>
      </c>
    </row>
    <row r="26" spans="1:8" ht="20.25" customHeight="1">
      <c r="A26" s="107"/>
      <c r="B26" s="107"/>
      <c r="C26" s="4"/>
      <c r="D26" s="170" t="s">
        <v>0</v>
      </c>
      <c r="E26" s="4"/>
      <c r="F26" s="4"/>
      <c r="G26" s="125" t="s">
        <v>18</v>
      </c>
      <c r="H26" s="171">
        <f>MEDIAN(H18:H23)</f>
        <v>1.05</v>
      </c>
    </row>
    <row r="27" spans="1:8" ht="20.25" customHeight="1">
      <c r="A27" s="107"/>
      <c r="B27" s="107"/>
      <c r="C27" s="4"/>
      <c r="D27" s="128" t="s">
        <v>0</v>
      </c>
      <c r="E27" s="4"/>
      <c r="F27" s="4"/>
      <c r="G27" s="125" t="s">
        <v>392</v>
      </c>
      <c r="H27" s="172">
        <f>AVERAGE(H18:H23)</f>
        <v>1.0999999999999999</v>
      </c>
    </row>
    <row r="28" spans="1:8" ht="20.25" customHeight="1" thickBot="1">
      <c r="A28" s="12"/>
      <c r="B28" s="12"/>
      <c r="C28" s="12"/>
      <c r="D28" s="12" t="s">
        <v>0</v>
      </c>
      <c r="G28" s="12"/>
      <c r="H28" s="12"/>
    </row>
    <row r="29" spans="1:8" ht="20.25" customHeight="1" thickBot="1">
      <c r="A29" s="12"/>
      <c r="B29" s="12"/>
      <c r="C29" s="12"/>
      <c r="D29" s="12"/>
      <c r="G29" s="190" t="s">
        <v>74</v>
      </c>
      <c r="H29" s="299">
        <v>1.1000000000000001</v>
      </c>
    </row>
    <row r="30" spans="1:8" ht="20.25" customHeight="1">
      <c r="A30" s="12"/>
      <c r="B30" s="12"/>
      <c r="C30" s="12"/>
      <c r="D30" s="12"/>
      <c r="G30" s="12"/>
      <c r="H30" s="271"/>
    </row>
    <row r="31" spans="1:8" ht="20.25" customHeight="1">
      <c r="A31" s="12"/>
      <c r="B31" s="12"/>
      <c r="C31" s="12"/>
      <c r="D31" s="12"/>
      <c r="G31" s="12"/>
      <c r="H31" s="271"/>
    </row>
    <row r="32" spans="1:8" ht="17.25">
      <c r="A32" s="107" t="s">
        <v>308</v>
      </c>
    </row>
    <row r="33" spans="1:1" ht="17.25">
      <c r="A33" s="107" t="s">
        <v>307</v>
      </c>
    </row>
  </sheetData>
  <pageMargins left="0.25" right="0.25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29"/>
  <sheetViews>
    <sheetView view="pageBreakPreview" zoomScale="60" zoomScaleNormal="80" workbookViewId="0">
      <selection activeCell="K25" sqref="K25"/>
    </sheetView>
  </sheetViews>
  <sheetFormatPr defaultRowHeight="15"/>
  <cols>
    <col min="1" max="1" width="50.42578125" customWidth="1"/>
    <col min="2" max="2" width="10.85546875" bestFit="1" customWidth="1"/>
    <col min="3" max="3" width="19.140625" bestFit="1" customWidth="1"/>
    <col min="4" max="4" width="15.28515625" customWidth="1"/>
    <col min="5" max="5" width="24.140625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>
      <c r="A3" s="25" t="s">
        <v>429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6.5">
      <c r="A4" s="25"/>
      <c r="B4" s="12"/>
      <c r="C4" s="12"/>
      <c r="D4" s="12"/>
      <c r="E4" s="12"/>
      <c r="F4" s="12"/>
      <c r="G4" s="12"/>
      <c r="H4" s="12"/>
      <c r="I4" s="12"/>
      <c r="J4" s="12"/>
    </row>
    <row r="5" spans="1:11" ht="17.25" thickBot="1">
      <c r="A5" s="12"/>
      <c r="B5" s="12"/>
      <c r="C5" s="12"/>
      <c r="D5" s="12"/>
      <c r="E5" s="12"/>
      <c r="F5" s="12"/>
      <c r="G5" s="26"/>
      <c r="H5" s="12"/>
      <c r="I5" s="12"/>
      <c r="J5" s="12"/>
    </row>
    <row r="6" spans="1:11" ht="21" thickBot="1">
      <c r="A6" s="250" t="str">
        <f>+'S&amp;D'!A12</f>
        <v>Liquid Transportation Pipeline Carriers</v>
      </c>
      <c r="B6" s="184"/>
      <c r="C6" s="12"/>
      <c r="D6" s="28"/>
      <c r="E6" s="28"/>
      <c r="F6" s="29" t="s">
        <v>0</v>
      </c>
      <c r="G6" s="12"/>
      <c r="H6" s="12"/>
      <c r="I6" s="12"/>
      <c r="J6" s="12"/>
    </row>
    <row r="7" spans="1:11" ht="26.25">
      <c r="A7" s="30"/>
      <c r="B7" s="12"/>
      <c r="C7" s="12"/>
      <c r="D7" s="12"/>
      <c r="E7" s="31" t="s">
        <v>161</v>
      </c>
      <c r="F7" s="12"/>
      <c r="G7" s="12"/>
      <c r="H7" s="12"/>
      <c r="I7" s="12"/>
      <c r="J7" s="12"/>
    </row>
    <row r="8" spans="1:11" ht="21" thickBot="1">
      <c r="A8" s="30"/>
      <c r="B8" s="12"/>
      <c r="C8" s="12"/>
      <c r="D8" s="28"/>
      <c r="E8" s="36" t="s">
        <v>430</v>
      </c>
      <c r="F8" s="28" t="s">
        <v>0</v>
      </c>
      <c r="G8" s="12"/>
      <c r="H8" s="12"/>
      <c r="I8" s="12"/>
      <c r="J8" s="12"/>
    </row>
    <row r="9" spans="1:11" ht="17.25" thickBot="1">
      <c r="A9" s="33" t="s">
        <v>0</v>
      </c>
      <c r="B9" s="33" t="s">
        <v>0</v>
      </c>
      <c r="C9" s="151"/>
      <c r="D9" s="33" t="s">
        <v>0</v>
      </c>
      <c r="E9" s="33" t="s">
        <v>0</v>
      </c>
      <c r="F9" s="33"/>
      <c r="G9" s="28"/>
      <c r="H9" s="28"/>
      <c r="I9" s="28"/>
      <c r="J9" s="28"/>
      <c r="K9" s="151"/>
    </row>
    <row r="10" spans="1:11" ht="16.5">
      <c r="A10" s="34" t="s">
        <v>0</v>
      </c>
      <c r="B10" s="34" t="s">
        <v>3</v>
      </c>
      <c r="C10" s="34" t="s">
        <v>5</v>
      </c>
      <c r="D10" s="34" t="s">
        <v>156</v>
      </c>
      <c r="E10" s="34" t="s">
        <v>157</v>
      </c>
      <c r="F10" s="34" t="s">
        <v>159</v>
      </c>
      <c r="G10" s="34" t="s">
        <v>157</v>
      </c>
      <c r="H10" s="34" t="s">
        <v>159</v>
      </c>
      <c r="I10" s="34" t="s">
        <v>157</v>
      </c>
      <c r="J10" s="34" t="s">
        <v>159</v>
      </c>
      <c r="K10" s="34" t="s">
        <v>246</v>
      </c>
    </row>
    <row r="11" spans="1:11" ht="16.5">
      <c r="A11" s="34"/>
      <c r="B11" s="34" t="s">
        <v>4</v>
      </c>
      <c r="C11" s="34" t="s">
        <v>6</v>
      </c>
      <c r="D11" s="34" t="s">
        <v>27</v>
      </c>
      <c r="E11" s="34" t="s">
        <v>158</v>
      </c>
      <c r="F11" s="34" t="s">
        <v>117</v>
      </c>
      <c r="G11" s="34" t="s">
        <v>158</v>
      </c>
      <c r="H11" s="34" t="s">
        <v>117</v>
      </c>
      <c r="I11" s="34" t="s">
        <v>158</v>
      </c>
      <c r="J11" s="34" t="s">
        <v>117</v>
      </c>
      <c r="K11" s="34" t="s">
        <v>172</v>
      </c>
    </row>
    <row r="12" spans="1:11" ht="17.25" thickBot="1">
      <c r="A12" s="36" t="s">
        <v>2</v>
      </c>
      <c r="B12" s="36" t="s">
        <v>0</v>
      </c>
      <c r="C12" s="36" t="s">
        <v>0</v>
      </c>
      <c r="D12" s="36" t="s">
        <v>0</v>
      </c>
      <c r="E12" s="36" t="s">
        <v>160</v>
      </c>
      <c r="F12" s="36" t="s">
        <v>160</v>
      </c>
      <c r="G12" s="36" t="s">
        <v>244</v>
      </c>
      <c r="H12" s="36" t="s">
        <v>244</v>
      </c>
      <c r="I12" s="36" t="s">
        <v>245</v>
      </c>
      <c r="J12" s="36" t="s">
        <v>245</v>
      </c>
      <c r="K12" s="214" t="s">
        <v>247</v>
      </c>
    </row>
    <row r="13" spans="1:11">
      <c r="A13" s="38" t="s">
        <v>7</v>
      </c>
      <c r="B13" s="38" t="s">
        <v>7</v>
      </c>
      <c r="C13" s="38" t="s">
        <v>7</v>
      </c>
      <c r="D13" s="39" t="s">
        <v>113</v>
      </c>
      <c r="E13" s="38" t="s">
        <v>7</v>
      </c>
      <c r="F13" s="38" t="s">
        <v>15</v>
      </c>
      <c r="G13" s="38" t="s">
        <v>7</v>
      </c>
      <c r="H13" s="38" t="s">
        <v>15</v>
      </c>
      <c r="I13" s="38" t="s">
        <v>7</v>
      </c>
      <c r="J13" s="38" t="s">
        <v>15</v>
      </c>
      <c r="K13" s="38" t="s">
        <v>15</v>
      </c>
    </row>
    <row r="14" spans="1:11" ht="16.5">
      <c r="A14" s="34"/>
      <c r="B14" s="34"/>
      <c r="C14" s="34"/>
      <c r="D14" s="34"/>
      <c r="E14" s="34"/>
      <c r="F14" s="34"/>
      <c r="G14" s="12"/>
      <c r="H14" s="12"/>
      <c r="I14" s="12"/>
      <c r="J14" s="12"/>
      <c r="K14" s="12"/>
    </row>
    <row r="15" spans="1:11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7.25">
      <c r="A16" s="61" t="str">
        <f>+'S&amp;D'!A22</f>
        <v>Energy Transfer LP</v>
      </c>
      <c r="B16" s="90" t="str">
        <f>+'S&amp;D'!B22</f>
        <v>ET</v>
      </c>
      <c r="C16" s="90" t="str">
        <f>+'S&amp;D'!C22</f>
        <v>Pipeline MLPs</v>
      </c>
      <c r="D16" s="58">
        <f>+'S&amp;D'!G22</f>
        <v>19.59</v>
      </c>
      <c r="E16" s="60">
        <v>1.36</v>
      </c>
      <c r="F16" s="64">
        <f t="shared" ref="F16:F18" si="0">+E16/D16</f>
        <v>6.9423175089331296E-2</v>
      </c>
      <c r="G16" s="60">
        <v>1.36</v>
      </c>
      <c r="H16" s="64">
        <f t="shared" ref="H16:H18" si="1">+G16/D16</f>
        <v>6.9423175089331296E-2</v>
      </c>
      <c r="I16" s="60">
        <v>1.5</v>
      </c>
      <c r="J16" s="64">
        <f t="shared" ref="J16:J18" si="2">+I16/D16</f>
        <v>7.6569678407350683E-2</v>
      </c>
      <c r="K16" s="213">
        <f>RATE(3,,-G16,I16)</f>
        <v>3.3199332429568629E-2</v>
      </c>
    </row>
    <row r="17" spans="1:11" ht="17.25">
      <c r="A17" s="61" t="str">
        <f>+'S&amp;D'!A23</f>
        <v>Enterprise Products Partnership LP</v>
      </c>
      <c r="B17" s="90" t="str">
        <f>+'S&amp;D'!B23</f>
        <v>EPD</v>
      </c>
      <c r="C17" s="90" t="str">
        <f>+'S&amp;D'!C23</f>
        <v>Pipeline MLPs</v>
      </c>
      <c r="D17" s="58">
        <f>+'S&amp;D'!G23</f>
        <v>31.36</v>
      </c>
      <c r="E17" s="60">
        <v>2.2000000000000002</v>
      </c>
      <c r="F17" s="64">
        <f t="shared" si="0"/>
        <v>7.0153061224489804E-2</v>
      </c>
      <c r="G17" s="60">
        <v>2.3199999999999998</v>
      </c>
      <c r="H17" s="64">
        <f t="shared" si="1"/>
        <v>7.3979591836734693E-2</v>
      </c>
      <c r="I17" s="60">
        <v>3.6</v>
      </c>
      <c r="J17" s="64">
        <f t="shared" si="2"/>
        <v>0.11479591836734694</v>
      </c>
      <c r="K17" s="213">
        <f t="shared" ref="K17:K18" si="3">RATE(3,,-G17,I17)</f>
        <v>0.15772347264219444</v>
      </c>
    </row>
    <row r="18" spans="1:11" ht="17.25">
      <c r="A18" s="61" t="str">
        <f>+'S&amp;D'!A24</f>
        <v>Hess Midstream LP</v>
      </c>
      <c r="B18" s="90" t="str">
        <f>+'S&amp;D'!B24</f>
        <v>HESM</v>
      </c>
      <c r="C18" s="90" t="str">
        <f>+'S&amp;D'!C24</f>
        <v>Pipeline MLPs</v>
      </c>
      <c r="D18" s="58">
        <f>+'S&amp;D'!G24</f>
        <v>37.03</v>
      </c>
      <c r="E18" s="60">
        <v>3.05</v>
      </c>
      <c r="F18" s="64">
        <f t="shared" si="0"/>
        <v>8.2365649473399943E-2</v>
      </c>
      <c r="G18" s="60">
        <v>3.35</v>
      </c>
      <c r="H18" s="64">
        <f t="shared" si="1"/>
        <v>9.0467188765865514E-2</v>
      </c>
      <c r="I18" s="60">
        <v>4</v>
      </c>
      <c r="J18" s="64">
        <f t="shared" si="2"/>
        <v>0.10802052389954091</v>
      </c>
      <c r="K18" s="213">
        <f t="shared" si="3"/>
        <v>6.0893352365963209E-2</v>
      </c>
    </row>
    <row r="19" spans="1:11" ht="17.25">
      <c r="A19" s="61" t="str">
        <f>+'S&amp;D'!A25</f>
        <v>MPLX, LP</v>
      </c>
      <c r="B19" s="90" t="str">
        <f>+'S&amp;D'!B25</f>
        <v>MPLX</v>
      </c>
      <c r="C19" s="90" t="str">
        <f>+'S&amp;D'!C25</f>
        <v>Pipeline MLPs</v>
      </c>
      <c r="D19" s="58">
        <f>+'S&amp;D'!G25</f>
        <v>47.86</v>
      </c>
      <c r="E19" s="60">
        <v>3.85</v>
      </c>
      <c r="F19" s="64">
        <f t="shared" ref="F19:F21" si="4">+E19/D19</f>
        <v>8.0442958629335565E-2</v>
      </c>
      <c r="G19" s="60">
        <v>3.85</v>
      </c>
      <c r="H19" s="64">
        <f>+G19/D19</f>
        <v>8.0442958629335565E-2</v>
      </c>
      <c r="I19" s="60">
        <v>5</v>
      </c>
      <c r="J19" s="64">
        <f t="shared" ref="J19:J21" si="5">+I19/D19</f>
        <v>0.10447137484329294</v>
      </c>
      <c r="K19" s="213">
        <f>RATE(3,,-G19,I19)</f>
        <v>9.1029327776691857E-2</v>
      </c>
    </row>
    <row r="20" spans="1:11" ht="17.25">
      <c r="A20" s="61" t="str">
        <f>+'S&amp;D'!A26</f>
        <v>Plains All American Pipeline LP</v>
      </c>
      <c r="B20" s="90" t="str">
        <f>+'S&amp;D'!B26</f>
        <v>PAA</v>
      </c>
      <c r="C20" s="90" t="str">
        <f>+'S&amp;D'!C26</f>
        <v>Pipeline MLPs</v>
      </c>
      <c r="D20" s="58">
        <f>+'S&amp;D'!G26</f>
        <v>17.079999999999998</v>
      </c>
      <c r="E20" s="60">
        <v>1.52</v>
      </c>
      <c r="F20" s="64">
        <f t="shared" si="4"/>
        <v>8.8992974238875894E-2</v>
      </c>
      <c r="G20" s="60">
        <v>1.8</v>
      </c>
      <c r="H20" s="64">
        <f t="shared" ref="H20:H21" si="6">+G20/D20</f>
        <v>0.10538641686182672</v>
      </c>
      <c r="I20" s="60">
        <v>2.2999999999999998</v>
      </c>
      <c r="J20" s="64">
        <f t="shared" si="5"/>
        <v>0.13466042154566746</v>
      </c>
      <c r="K20" s="213">
        <f t="shared" ref="K20:K21" si="7">RATE(3,,-G20,I20)</f>
        <v>8.5138345254407111E-2</v>
      </c>
    </row>
    <row r="21" spans="1:11" ht="17.25">
      <c r="A21" s="61" t="str">
        <f>+'S&amp;D'!A27</f>
        <v>Western Midstream Partners LP</v>
      </c>
      <c r="B21" s="90" t="str">
        <f>+'S&amp;D'!B27</f>
        <v>WES</v>
      </c>
      <c r="C21" s="90" t="str">
        <f>+'S&amp;D'!C27</f>
        <v>Pipeline MLPs</v>
      </c>
      <c r="D21" s="58">
        <f>+'S&amp;D'!G27</f>
        <v>38.43</v>
      </c>
      <c r="E21" s="60">
        <v>3.61</v>
      </c>
      <c r="F21" s="64">
        <f t="shared" si="4"/>
        <v>9.3937028363257874E-2</v>
      </c>
      <c r="G21" s="60">
        <v>3.75</v>
      </c>
      <c r="H21" s="64">
        <f t="shared" si="6"/>
        <v>9.7580015612802495E-2</v>
      </c>
      <c r="I21" s="60">
        <v>4.2</v>
      </c>
      <c r="J21" s="64">
        <f t="shared" si="5"/>
        <v>0.10928961748633881</v>
      </c>
      <c r="K21" s="213">
        <f t="shared" si="7"/>
        <v>3.8498820370220933E-2</v>
      </c>
    </row>
    <row r="22" spans="1:11" ht="17.25" thickBot="1">
      <c r="A22" s="12"/>
      <c r="B22" s="12"/>
      <c r="C22" s="43"/>
      <c r="D22" s="46"/>
      <c r="E22" s="46"/>
      <c r="F22" s="46"/>
      <c r="G22" s="46"/>
      <c r="H22" s="46"/>
      <c r="I22" s="46"/>
      <c r="J22" s="46"/>
      <c r="K22" s="46"/>
    </row>
    <row r="23" spans="1:11" ht="17.25" thickTop="1">
      <c r="A23" s="12"/>
      <c r="B23" s="12"/>
      <c r="D23" s="14" t="s">
        <v>45</v>
      </c>
      <c r="E23" s="16">
        <f t="shared" ref="E23:K23" si="8">MAX(E16:E21)</f>
        <v>3.85</v>
      </c>
      <c r="F23" s="304">
        <f t="shared" si="8"/>
        <v>9.3937028363257874E-2</v>
      </c>
      <c r="G23" s="16">
        <f t="shared" si="8"/>
        <v>3.85</v>
      </c>
      <c r="H23" s="304">
        <f t="shared" si="8"/>
        <v>0.10538641686182672</v>
      </c>
      <c r="I23" s="16">
        <f t="shared" si="8"/>
        <v>5</v>
      </c>
      <c r="J23" s="304">
        <f t="shared" si="8"/>
        <v>0.13466042154566746</v>
      </c>
      <c r="K23" s="304">
        <f t="shared" si="8"/>
        <v>0.15772347264219444</v>
      </c>
    </row>
    <row r="24" spans="1:11" ht="16.5">
      <c r="A24" s="12"/>
      <c r="B24" s="12"/>
      <c r="D24" s="14" t="s">
        <v>46</v>
      </c>
      <c r="E24" s="332">
        <f t="shared" ref="E24:K24" si="9">MIN(E16:E21)</f>
        <v>1.36</v>
      </c>
      <c r="F24" s="333">
        <f t="shared" si="9"/>
        <v>6.9423175089331296E-2</v>
      </c>
      <c r="G24" s="332">
        <f t="shared" si="9"/>
        <v>1.36</v>
      </c>
      <c r="H24" s="333">
        <f t="shared" si="9"/>
        <v>6.9423175089331296E-2</v>
      </c>
      <c r="I24" s="332">
        <f t="shared" si="9"/>
        <v>1.5</v>
      </c>
      <c r="J24" s="333">
        <f t="shared" si="9"/>
        <v>7.6569678407350683E-2</v>
      </c>
      <c r="K24" s="333">
        <f t="shared" si="9"/>
        <v>3.3199332429568629E-2</v>
      </c>
    </row>
    <row r="25" spans="1:11" ht="16.5">
      <c r="A25" s="12"/>
      <c r="B25" s="12"/>
      <c r="D25" s="14" t="s">
        <v>18</v>
      </c>
      <c r="E25" s="17">
        <f t="shared" ref="E25:K25" si="10">MEDIAN(E16:E21)</f>
        <v>2.625</v>
      </c>
      <c r="F25" s="53">
        <f t="shared" si="10"/>
        <v>8.1404304051367754E-2</v>
      </c>
      <c r="G25" s="17">
        <f t="shared" si="10"/>
        <v>2.835</v>
      </c>
      <c r="H25" s="53">
        <f t="shared" si="10"/>
        <v>8.5455073697600539E-2</v>
      </c>
      <c r="I25" s="17">
        <f t="shared" si="10"/>
        <v>3.8</v>
      </c>
      <c r="J25" s="53">
        <f t="shared" si="10"/>
        <v>0.10865507069293986</v>
      </c>
      <c r="K25" s="53">
        <f t="shared" si="10"/>
        <v>7.3015848810185163E-2</v>
      </c>
    </row>
    <row r="26" spans="1:11" ht="16.5">
      <c r="A26" s="12"/>
      <c r="B26" s="12"/>
      <c r="D26" s="14" t="s">
        <v>392</v>
      </c>
      <c r="E26" s="21">
        <f t="shared" ref="E26:K26" si="11">AVERAGE(E16:E21)</f>
        <v>2.5983333333333332</v>
      </c>
      <c r="F26" s="55">
        <f t="shared" si="11"/>
        <v>8.0885807836448401E-2</v>
      </c>
      <c r="G26" s="21">
        <f t="shared" si="11"/>
        <v>2.7383333333333333</v>
      </c>
      <c r="H26" s="55">
        <f t="shared" si="11"/>
        <v>8.6213224465982716E-2</v>
      </c>
      <c r="I26" s="21">
        <f t="shared" si="11"/>
        <v>3.4333333333333331</v>
      </c>
      <c r="J26" s="55">
        <f t="shared" si="11"/>
        <v>0.10796792242492297</v>
      </c>
      <c r="K26" s="55">
        <f t="shared" si="11"/>
        <v>7.774710847317437E-2</v>
      </c>
    </row>
    <row r="27" spans="1:11" ht="16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6.25">
      <c r="A28" s="12"/>
      <c r="B28" s="12"/>
      <c r="C28" s="12"/>
      <c r="D28" s="12"/>
      <c r="E28" s="12"/>
      <c r="F28" s="48" t="s">
        <v>0</v>
      </c>
      <c r="G28" s="62" t="s">
        <v>0</v>
      </c>
      <c r="H28" s="12"/>
      <c r="I28" s="12"/>
      <c r="J28" s="12"/>
      <c r="K28" s="12"/>
    </row>
    <row r="29" spans="1:11" ht="18.75">
      <c r="A29" s="215" t="s">
        <v>248</v>
      </c>
    </row>
  </sheetData>
  <pageMargins left="0.25" right="0.25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29"/>
  <sheetViews>
    <sheetView view="pageBreakPreview" zoomScale="60" zoomScaleNormal="80" workbookViewId="0">
      <selection activeCell="K26" sqref="K26"/>
    </sheetView>
  </sheetViews>
  <sheetFormatPr defaultRowHeight="15"/>
  <cols>
    <col min="1" max="1" width="51.5703125" customWidth="1"/>
    <col min="2" max="2" width="10.85546875" bestFit="1" customWidth="1"/>
    <col min="3" max="3" width="19.140625" bestFit="1" customWidth="1"/>
    <col min="4" max="4" width="15.28515625" customWidth="1"/>
    <col min="5" max="5" width="25.28515625" bestFit="1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>
      <c r="A3" s="25" t="s">
        <v>429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6.5">
      <c r="A4" s="25"/>
      <c r="B4" s="12"/>
      <c r="C4" s="12"/>
      <c r="D4" s="12"/>
      <c r="E4" s="12"/>
      <c r="F4" s="12"/>
      <c r="G4" s="12"/>
      <c r="H4" s="12"/>
      <c r="I4" s="12"/>
      <c r="J4" s="12"/>
    </row>
    <row r="5" spans="1:11" ht="17.25" thickBot="1">
      <c r="A5" s="12"/>
      <c r="B5" s="12"/>
      <c r="C5" s="12"/>
      <c r="D5" s="12"/>
      <c r="E5" s="12"/>
      <c r="F5" s="12"/>
      <c r="G5" s="26"/>
      <c r="H5" s="12"/>
      <c r="I5" s="12"/>
      <c r="J5" s="12"/>
    </row>
    <row r="6" spans="1:11" ht="21" thickBot="1">
      <c r="A6" s="250" t="str">
        <f>+'S&amp;D'!A12</f>
        <v>Liquid Transportation Pipeline Carriers</v>
      </c>
      <c r="B6" s="184"/>
      <c r="C6" s="12"/>
      <c r="D6" s="28"/>
      <c r="E6" s="28"/>
      <c r="F6" s="29" t="s">
        <v>0</v>
      </c>
      <c r="G6" s="12"/>
      <c r="H6" s="12"/>
      <c r="I6" s="12"/>
      <c r="J6" s="12"/>
    </row>
    <row r="7" spans="1:11" ht="26.25">
      <c r="A7" s="30"/>
      <c r="B7" s="12"/>
      <c r="C7" s="12"/>
      <c r="D7" s="12"/>
      <c r="E7" s="31" t="s">
        <v>249</v>
      </c>
      <c r="F7" s="12"/>
      <c r="G7" s="12"/>
      <c r="H7" s="12"/>
      <c r="I7" s="12"/>
      <c r="J7" s="12"/>
    </row>
    <row r="8" spans="1:11" ht="21" thickBot="1">
      <c r="A8" s="30"/>
      <c r="B8" s="12"/>
      <c r="C8" s="12"/>
      <c r="D8" s="28"/>
      <c r="E8" s="36" t="s">
        <v>430</v>
      </c>
      <c r="F8" s="28" t="s">
        <v>0</v>
      </c>
      <c r="G8" s="12"/>
      <c r="H8" s="12"/>
      <c r="I8" s="12"/>
      <c r="J8" s="12"/>
    </row>
    <row r="9" spans="1:11" ht="17.25" thickBot="1">
      <c r="A9" s="33" t="s">
        <v>0</v>
      </c>
      <c r="B9" s="33" t="s">
        <v>0</v>
      </c>
      <c r="C9" s="151"/>
      <c r="D9" s="33" t="s">
        <v>0</v>
      </c>
      <c r="E9" s="33" t="s">
        <v>0</v>
      </c>
      <c r="F9" s="33"/>
      <c r="G9" s="28"/>
      <c r="H9" s="28"/>
      <c r="I9" s="28"/>
      <c r="J9" s="28"/>
      <c r="K9" s="151"/>
    </row>
    <row r="10" spans="1:11" ht="16.5">
      <c r="A10" s="34" t="s">
        <v>0</v>
      </c>
      <c r="B10" s="34" t="s">
        <v>3</v>
      </c>
      <c r="C10" s="34" t="s">
        <v>5</v>
      </c>
      <c r="D10" s="34" t="s">
        <v>156</v>
      </c>
      <c r="E10" s="34" t="s">
        <v>0</v>
      </c>
      <c r="F10" s="34" t="s">
        <v>162</v>
      </c>
      <c r="G10" s="34" t="s">
        <v>162</v>
      </c>
      <c r="H10" s="34" t="s">
        <v>162</v>
      </c>
      <c r="I10" s="34" t="s">
        <v>162</v>
      </c>
      <c r="J10" s="34" t="s">
        <v>162</v>
      </c>
      <c r="K10" s="34" t="s">
        <v>246</v>
      </c>
    </row>
    <row r="11" spans="1:11" ht="16.5">
      <c r="A11" s="34"/>
      <c r="B11" s="34" t="s">
        <v>4</v>
      </c>
      <c r="C11" s="34" t="s">
        <v>6</v>
      </c>
      <c r="D11" s="34" t="s">
        <v>27</v>
      </c>
      <c r="E11" s="34" t="s">
        <v>158</v>
      </c>
      <c r="F11" s="34" t="s">
        <v>117</v>
      </c>
      <c r="G11" s="34" t="s">
        <v>158</v>
      </c>
      <c r="H11" s="34" t="s">
        <v>117</v>
      </c>
      <c r="I11" s="34" t="s">
        <v>158</v>
      </c>
      <c r="J11" s="34" t="s">
        <v>117</v>
      </c>
      <c r="K11" s="34" t="s">
        <v>172</v>
      </c>
    </row>
    <row r="12" spans="1:11" ht="17.25" thickBot="1">
      <c r="A12" s="36" t="s">
        <v>2</v>
      </c>
      <c r="B12" s="36" t="s">
        <v>0</v>
      </c>
      <c r="C12" s="36" t="s">
        <v>0</v>
      </c>
      <c r="D12" s="36" t="s">
        <v>0</v>
      </c>
      <c r="E12" s="36" t="s">
        <v>160</v>
      </c>
      <c r="F12" s="36" t="s">
        <v>160</v>
      </c>
      <c r="G12" s="36" t="s">
        <v>244</v>
      </c>
      <c r="H12" s="36" t="s">
        <v>244</v>
      </c>
      <c r="I12" s="36" t="s">
        <v>245</v>
      </c>
      <c r="J12" s="36" t="s">
        <v>245</v>
      </c>
      <c r="K12" s="214" t="s">
        <v>247</v>
      </c>
    </row>
    <row r="13" spans="1:11">
      <c r="A13" s="38" t="s">
        <v>7</v>
      </c>
      <c r="B13" s="38" t="s">
        <v>7</v>
      </c>
      <c r="C13" s="38" t="s">
        <v>7</v>
      </c>
      <c r="D13" s="39" t="s">
        <v>113</v>
      </c>
      <c r="E13" s="38" t="s">
        <v>7</v>
      </c>
      <c r="F13" s="38" t="s">
        <v>15</v>
      </c>
      <c r="G13" s="38" t="s">
        <v>7</v>
      </c>
      <c r="H13" s="38" t="s">
        <v>15</v>
      </c>
      <c r="I13" s="38" t="s">
        <v>7</v>
      </c>
      <c r="J13" s="38" t="s">
        <v>15</v>
      </c>
      <c r="K13" s="38" t="s">
        <v>15</v>
      </c>
    </row>
    <row r="14" spans="1:11" ht="16.5">
      <c r="A14" s="34"/>
      <c r="B14" s="34"/>
      <c r="C14" s="34"/>
      <c r="D14" s="34"/>
      <c r="E14" s="34"/>
      <c r="F14" s="34"/>
      <c r="G14" s="12"/>
      <c r="H14" s="12"/>
      <c r="I14" s="12"/>
      <c r="J14" s="12"/>
      <c r="K14" s="12"/>
    </row>
    <row r="15" spans="1:11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7.25">
      <c r="A16" s="43" t="str">
        <f>+'S&amp;D'!A22</f>
        <v>Energy Transfer LP</v>
      </c>
      <c r="B16" s="34" t="str">
        <f>+'S&amp;D'!B22</f>
        <v>ET</v>
      </c>
      <c r="C16" s="34" t="str">
        <f>+'S&amp;D'!C22</f>
        <v>Pipeline MLPs</v>
      </c>
      <c r="D16" s="58">
        <f>+'S&amp;D'!G22</f>
        <v>19.59</v>
      </c>
      <c r="E16" s="60">
        <v>1.5</v>
      </c>
      <c r="F16" s="64">
        <f t="shared" ref="F16:F18" si="0">+E16/D16</f>
        <v>7.6569678407350683E-2</v>
      </c>
      <c r="G16" s="60">
        <v>1.6</v>
      </c>
      <c r="H16" s="64">
        <f t="shared" ref="H16:H18" si="1">+G16/D16</f>
        <v>8.1674323634507412E-2</v>
      </c>
      <c r="I16" s="60">
        <v>2.15</v>
      </c>
      <c r="J16" s="64">
        <f t="shared" ref="J16:J18" si="2">+I16/D16</f>
        <v>0.10974987238386932</v>
      </c>
      <c r="K16" s="213">
        <f t="shared" ref="K16:K18" si="3">RATE(3,,-G16,I16)</f>
        <v>0.10350124060976253</v>
      </c>
    </row>
    <row r="17" spans="1:11" ht="17.25">
      <c r="A17" s="43" t="str">
        <f>+'S&amp;D'!A23</f>
        <v>Enterprise Products Partnership LP</v>
      </c>
      <c r="B17" s="34" t="str">
        <f>+'S&amp;D'!B23</f>
        <v>EPD</v>
      </c>
      <c r="C17" s="34" t="str">
        <f>+'S&amp;D'!C23</f>
        <v>Pipeline MLPs</v>
      </c>
      <c r="D17" s="58">
        <f>+'S&amp;D'!G23</f>
        <v>31.36</v>
      </c>
      <c r="E17" s="60">
        <v>2.85</v>
      </c>
      <c r="F17" s="64">
        <f t="shared" si="0"/>
        <v>9.0880102040816327E-2</v>
      </c>
      <c r="G17" s="60">
        <v>3.05</v>
      </c>
      <c r="H17" s="64">
        <f t="shared" si="1"/>
        <v>9.7257653061224483E-2</v>
      </c>
      <c r="I17" s="60">
        <v>3.6</v>
      </c>
      <c r="J17" s="64">
        <f t="shared" si="2"/>
        <v>0.11479591836734694</v>
      </c>
      <c r="K17" s="213">
        <f t="shared" si="3"/>
        <v>5.6819667993607152E-2</v>
      </c>
    </row>
    <row r="18" spans="1:11" ht="17.25">
      <c r="A18" s="43" t="str">
        <f>+'S&amp;D'!A24</f>
        <v>Hess Midstream LP</v>
      </c>
      <c r="B18" s="34" t="str">
        <f>+'S&amp;D'!B24</f>
        <v>HESM</v>
      </c>
      <c r="C18" s="34" t="str">
        <f>+'S&amp;D'!C24</f>
        <v>Pipeline MLPs</v>
      </c>
      <c r="D18" s="58">
        <f>+'S&amp;D'!G24</f>
        <v>37.03</v>
      </c>
      <c r="E18" s="60">
        <v>2.8</v>
      </c>
      <c r="F18" s="64">
        <f t="shared" si="0"/>
        <v>7.5614366729678625E-2</v>
      </c>
      <c r="G18" s="60">
        <v>3.2</v>
      </c>
      <c r="H18" s="64">
        <f t="shared" si="1"/>
        <v>8.6416419119632729E-2</v>
      </c>
      <c r="I18" s="60">
        <v>4</v>
      </c>
      <c r="J18" s="64">
        <f t="shared" si="2"/>
        <v>0.10802052389954091</v>
      </c>
      <c r="K18" s="213">
        <f t="shared" si="3"/>
        <v>7.7217345015989466E-2</v>
      </c>
    </row>
    <row r="19" spans="1:11" ht="17.25">
      <c r="A19" s="43" t="str">
        <f>+'S&amp;D'!A25</f>
        <v>MPLX, LP</v>
      </c>
      <c r="B19" s="34" t="str">
        <f>+'S&amp;D'!B25</f>
        <v>MPLX</v>
      </c>
      <c r="C19" s="34" t="str">
        <f>+'S&amp;D'!C25</f>
        <v>Pipeline MLPs</v>
      </c>
      <c r="D19" s="58">
        <f>+'S&amp;D'!G25</f>
        <v>47.86</v>
      </c>
      <c r="E19" s="60">
        <v>4.5</v>
      </c>
      <c r="F19" s="64">
        <f t="shared" ref="F19:F21" si="4">+E19/D19</f>
        <v>9.4024237358963647E-2</v>
      </c>
      <c r="G19" s="60">
        <v>4.9000000000000004</v>
      </c>
      <c r="H19" s="64">
        <f>+G19/D19</f>
        <v>0.10238194734642708</v>
      </c>
      <c r="I19" s="60">
        <v>5.9</v>
      </c>
      <c r="J19" s="64">
        <f t="shared" ref="J19:J21" si="5">+I19/D19</f>
        <v>0.12327622231508567</v>
      </c>
      <c r="K19" s="213">
        <f t="shared" ref="K19:K21" si="6">RATE(3,,-G19,I19)</f>
        <v>6.3862034051100178E-2</v>
      </c>
    </row>
    <row r="20" spans="1:11" ht="17.25">
      <c r="A20" s="43" t="str">
        <f>+'S&amp;D'!A26</f>
        <v>Plains All American Pipeline LP</v>
      </c>
      <c r="B20" s="34" t="str">
        <f>+'S&amp;D'!B26</f>
        <v>PAA</v>
      </c>
      <c r="C20" s="34" t="str">
        <f>+'S&amp;D'!C26</f>
        <v>Pipeline MLPs</v>
      </c>
      <c r="D20" s="58">
        <f>+'S&amp;D'!G26</f>
        <v>17.079999999999998</v>
      </c>
      <c r="E20" s="60">
        <v>1.5</v>
      </c>
      <c r="F20" s="64">
        <f t="shared" si="4"/>
        <v>8.7822014051522262E-2</v>
      </c>
      <c r="G20" s="60">
        <v>1.8</v>
      </c>
      <c r="H20" s="64">
        <f t="shared" ref="H20:H21" si="7">+G20/D20</f>
        <v>0.10538641686182672</v>
      </c>
      <c r="I20" s="60">
        <v>2.25</v>
      </c>
      <c r="J20" s="64">
        <f t="shared" si="5"/>
        <v>0.13173302107728338</v>
      </c>
      <c r="K20" s="213">
        <f t="shared" si="6"/>
        <v>7.721734501598955E-2</v>
      </c>
    </row>
    <row r="21" spans="1:11" ht="17.25">
      <c r="A21" s="43" t="str">
        <f>+'S&amp;D'!A27</f>
        <v>Western Midstream Partners LP</v>
      </c>
      <c r="B21" s="34" t="str">
        <f>+'S&amp;D'!B27</f>
        <v>WES</v>
      </c>
      <c r="C21" s="34" t="str">
        <f>+'S&amp;D'!C27</f>
        <v>Pipeline MLPs</v>
      </c>
      <c r="D21" s="58">
        <f>+'S&amp;D'!G27</f>
        <v>38.43</v>
      </c>
      <c r="E21" s="60">
        <v>3.45</v>
      </c>
      <c r="F21" s="64">
        <f t="shared" si="4"/>
        <v>8.9773614363778301E-2</v>
      </c>
      <c r="G21" s="60">
        <v>3.7</v>
      </c>
      <c r="H21" s="64">
        <f t="shared" si="7"/>
        <v>9.6278948737965137E-2</v>
      </c>
      <c r="I21" s="60">
        <v>4.3</v>
      </c>
      <c r="J21" s="64">
        <f t="shared" si="5"/>
        <v>0.11189175123601353</v>
      </c>
      <c r="K21" s="213">
        <f t="shared" si="6"/>
        <v>5.1369991663735799E-2</v>
      </c>
    </row>
    <row r="22" spans="1:11" ht="17.25" thickBot="1">
      <c r="A22" s="12"/>
      <c r="B22" s="12"/>
      <c r="C22" s="43"/>
      <c r="D22" s="46"/>
      <c r="E22" s="46"/>
      <c r="F22" s="46"/>
      <c r="G22" s="46"/>
      <c r="H22" s="46"/>
      <c r="I22" s="46"/>
      <c r="J22" s="46"/>
      <c r="K22" s="46"/>
    </row>
    <row r="23" spans="1:11" ht="17.25" thickTop="1">
      <c r="A23" s="12"/>
      <c r="B23" s="12"/>
      <c r="C23" s="14" t="s">
        <v>45</v>
      </c>
      <c r="D23" s="16">
        <f t="shared" ref="D23:K23" si="8">MAX(D16:D21)</f>
        <v>47.86</v>
      </c>
      <c r="E23" s="16">
        <f t="shared" si="8"/>
        <v>4.5</v>
      </c>
      <c r="F23" s="304">
        <f t="shared" si="8"/>
        <v>9.4024237358963647E-2</v>
      </c>
      <c r="G23" s="16">
        <f t="shared" si="8"/>
        <v>4.9000000000000004</v>
      </c>
      <c r="H23" s="304">
        <f t="shared" si="8"/>
        <v>0.10538641686182672</v>
      </c>
      <c r="I23" s="16">
        <f t="shared" si="8"/>
        <v>5.9</v>
      </c>
      <c r="J23" s="304">
        <f t="shared" si="8"/>
        <v>0.13173302107728338</v>
      </c>
      <c r="K23" s="304">
        <f t="shared" si="8"/>
        <v>0.10350124060976253</v>
      </c>
    </row>
    <row r="24" spans="1:11" ht="16.5">
      <c r="A24" s="12"/>
      <c r="B24" s="12"/>
      <c r="C24" s="335" t="s">
        <v>46</v>
      </c>
      <c r="D24" s="332">
        <f t="shared" ref="D24:K24" si="9">MIN(D16:D21)</f>
        <v>17.079999999999998</v>
      </c>
      <c r="E24" s="332">
        <f t="shared" si="9"/>
        <v>1.5</v>
      </c>
      <c r="F24" s="333">
        <f t="shared" si="9"/>
        <v>7.5614366729678625E-2</v>
      </c>
      <c r="G24" s="332">
        <f t="shared" si="9"/>
        <v>1.6</v>
      </c>
      <c r="H24" s="333">
        <f t="shared" si="9"/>
        <v>8.1674323634507412E-2</v>
      </c>
      <c r="I24" s="332">
        <f t="shared" si="9"/>
        <v>2.15</v>
      </c>
      <c r="J24" s="333">
        <f t="shared" si="9"/>
        <v>0.10802052389954091</v>
      </c>
      <c r="K24" s="333">
        <f t="shared" si="9"/>
        <v>5.1369991663735799E-2</v>
      </c>
    </row>
    <row r="25" spans="1:11" ht="16.5">
      <c r="A25" s="12"/>
      <c r="B25" s="12"/>
      <c r="C25" s="14" t="s">
        <v>18</v>
      </c>
      <c r="D25" s="17">
        <f t="shared" ref="D25:J25" si="10">MEDIAN(D16:D21)</f>
        <v>34.195</v>
      </c>
      <c r="E25" s="17">
        <f t="shared" si="10"/>
        <v>2.8250000000000002</v>
      </c>
      <c r="F25" s="53">
        <f t="shared" si="10"/>
        <v>8.8797814207650289E-2</v>
      </c>
      <c r="G25" s="17">
        <f t="shared" si="10"/>
        <v>3.125</v>
      </c>
      <c r="H25" s="53">
        <f t="shared" si="10"/>
        <v>9.6768300899594817E-2</v>
      </c>
      <c r="I25" s="17">
        <f t="shared" si="10"/>
        <v>3.8</v>
      </c>
      <c r="J25" s="53">
        <f t="shared" si="10"/>
        <v>0.11334383480168023</v>
      </c>
      <c r="K25" s="53">
        <f>MEDIAN(K16:K21)</f>
        <v>7.0539689533544822E-2</v>
      </c>
    </row>
    <row r="26" spans="1:11" ht="16.5">
      <c r="A26" s="12"/>
      <c r="B26" s="12"/>
      <c r="C26" s="14" t="s">
        <v>392</v>
      </c>
      <c r="D26" s="21">
        <f t="shared" ref="D26:K26" si="11">AVERAGE(D16:D21)</f>
        <v>31.891666666666669</v>
      </c>
      <c r="E26" s="21">
        <f t="shared" si="11"/>
        <v>2.7666666666666662</v>
      </c>
      <c r="F26" s="55">
        <f t="shared" si="11"/>
        <v>8.5780668825351639E-2</v>
      </c>
      <c r="G26" s="21">
        <f t="shared" si="11"/>
        <v>3.0416666666666665</v>
      </c>
      <c r="H26" s="55">
        <f t="shared" si="11"/>
        <v>9.4899284793597258E-2</v>
      </c>
      <c r="I26" s="21">
        <f t="shared" si="11"/>
        <v>3.6999999999999997</v>
      </c>
      <c r="J26" s="55">
        <f t="shared" si="11"/>
        <v>0.11657788487985661</v>
      </c>
      <c r="K26" s="55">
        <f t="shared" si="11"/>
        <v>7.1664604058364112E-2</v>
      </c>
    </row>
    <row r="27" spans="1:11" ht="16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6.25">
      <c r="A28" s="12"/>
      <c r="B28" s="12"/>
      <c r="C28" s="12"/>
      <c r="D28" s="12"/>
      <c r="E28" s="12"/>
      <c r="F28" s="48" t="s">
        <v>0</v>
      </c>
      <c r="G28" s="62" t="s">
        <v>0</v>
      </c>
      <c r="H28" s="12"/>
      <c r="I28" s="12"/>
      <c r="J28" s="12"/>
      <c r="K28" s="12"/>
    </row>
    <row r="29" spans="1:11" ht="18.75">
      <c r="A29" s="215" t="s">
        <v>248</v>
      </c>
    </row>
  </sheetData>
  <pageMargins left="0.25" right="0.25" top="0.75" bottom="0.75" header="0.3" footer="0.3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D21A49-B427-4311-8061-D3B6D0ACF85A}"/>
</file>

<file path=customXml/itemProps2.xml><?xml version="1.0" encoding="utf-8"?>
<ds:datastoreItem xmlns:ds="http://schemas.openxmlformats.org/officeDocument/2006/customXml" ds:itemID="{26F8C1E8-9877-4680-AE33-D565B3316FA4}"/>
</file>

<file path=customXml/itemProps3.xml><?xml version="1.0" encoding="utf-8"?>
<ds:datastoreItem xmlns:ds="http://schemas.openxmlformats.org/officeDocument/2006/customXml" ds:itemID="{A7BADE93-4885-467E-A8F6-43F21021A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CAPM</vt:lpstr>
      <vt:lpstr>Growth &amp; Inflation Rates </vt:lpstr>
      <vt:lpstr>Indicated Yield Equity Rate</vt:lpstr>
      <vt:lpstr>Single Stage Div Growth Model</vt:lpstr>
      <vt:lpstr>Two-Stage Div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 '!Print_Area</vt:lpstr>
      <vt:lpstr>'Indicated Yield Equity Rate'!Print_Area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Liquid MLP Pipelines</dc:title>
  <dc:creator>%USERNAME%</dc:creator>
  <cp:lastModifiedBy>Sheeks, Ashley (DOR)</cp:lastModifiedBy>
  <cp:lastPrinted>2023-05-30T15:41:49Z</cp:lastPrinted>
  <dcterms:created xsi:type="dcterms:W3CDTF">2016-02-12T19:29:24Z</dcterms:created>
  <dcterms:modified xsi:type="dcterms:W3CDTF">2025-10-01T15:54:59Z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