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04BB98C1-5D6E-455E-A47E-8CBDD2B8EC26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34" r:id="rId13"/>
    <sheet name="Growth &amp; Inflation Rates" sheetId="38" r:id="rId14"/>
    <sheet name="Indicated Yield Equity Rate " sheetId="33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CAPM'!$A$1:$I$37</definedName>
    <definedName name="_xlnm.Print_Area" localSheetId="12">CAPM!$A$1:$H$87</definedName>
    <definedName name="_xlnm.Print_Area" localSheetId="0">'Cover Sheet'!$A$1:$I$37</definedName>
    <definedName name="_xlnm.Print_Area" localSheetId="9">Debt!$A$1:$M$60</definedName>
    <definedName name="_xlnm.Print_Area" localSheetId="2">'Direct CapRates'!$A$1:$H$66</definedName>
    <definedName name="_xlnm.Print_Area" localSheetId="10">'Direct GCF'!$A$1:$N$39</definedName>
    <definedName name="_xlnm.Print_Area" localSheetId="11">'Direct NOPAT'!$A$1:$N$60</definedName>
    <definedName name="_xlnm.Print_Area" localSheetId="7">'Dividends '!$A$1:$K$31</definedName>
    <definedName name="_xlnm.Print_Area" localSheetId="8">Earnings!$A$1:$K$31</definedName>
    <definedName name="_xlnm.Print_Area" localSheetId="13">'Growth &amp; Inflation Rates'!$A$1:$I$109</definedName>
    <definedName name="_xlnm.Print_Area" localSheetId="14">'Indicated Yield Equity Rate '!$A$1:$F$57</definedName>
    <definedName name="_xlnm.Print_Area" localSheetId="5">'Maintenance CapEx'!$A$1:$L$76</definedName>
    <definedName name="_xlnm.Print_Area" localSheetId="4">'Market to Book Ratios'!$A$1:$G$60</definedName>
    <definedName name="_xlnm.Print_Area" localSheetId="17">Multiples!$A$1:$H$43</definedName>
    <definedName name="_xlnm.Print_Area" localSheetId="3">'S&amp;D'!$A$1:$L$74</definedName>
    <definedName name="_xlnm.Print_Area" localSheetId="15">'Single Stage Div Growth Model'!$A$1:$K$47</definedName>
    <definedName name="_xlnm.Print_Area" localSheetId="16">'Two-Stage Div Growth Model'!$A$1:$I$45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8" l="1"/>
  <c r="J17" i="8"/>
  <c r="J18" i="8"/>
  <c r="J19" i="8"/>
  <c r="J20" i="8"/>
  <c r="J21" i="8"/>
  <c r="J15" i="8"/>
  <c r="I27" i="19"/>
  <c r="E47" i="12"/>
  <c r="E48" i="12"/>
  <c r="E49" i="12"/>
  <c r="E50" i="12"/>
  <c r="E51" i="12"/>
  <c r="E52" i="12"/>
  <c r="E46" i="12"/>
  <c r="D58" i="10"/>
  <c r="D25" i="10"/>
  <c r="F15" i="38" l="1"/>
  <c r="A7" i="38"/>
  <c r="I16" i="8"/>
  <c r="I17" i="8"/>
  <c r="I18" i="8"/>
  <c r="I19" i="8"/>
  <c r="I20" i="8"/>
  <c r="I21" i="8"/>
  <c r="I15" i="8"/>
  <c r="H25" i="14" l="1"/>
  <c r="K17" i="12" l="1"/>
  <c r="K18" i="12"/>
  <c r="K19" i="12"/>
  <c r="K20" i="12"/>
  <c r="K21" i="12"/>
  <c r="K22" i="12"/>
  <c r="K16" i="12"/>
  <c r="E17" i="12"/>
  <c r="E18" i="12"/>
  <c r="E19" i="12"/>
  <c r="E20" i="12"/>
  <c r="E21" i="12"/>
  <c r="E22" i="12"/>
  <c r="E16" i="12"/>
  <c r="J28" i="3" l="1"/>
  <c r="G43" i="3" s="1"/>
  <c r="H28" i="3"/>
  <c r="F42" i="3"/>
  <c r="J27" i="3"/>
  <c r="G42" i="3" s="1"/>
  <c r="I27" i="3"/>
  <c r="E27" i="29"/>
  <c r="D25" i="11"/>
  <c r="G25" i="11"/>
  <c r="J26" i="3"/>
  <c r="G41" i="3" s="1"/>
  <c r="J25" i="3"/>
  <c r="G40" i="3" s="1"/>
  <c r="D23" i="11"/>
  <c r="J24" i="3"/>
  <c r="G39" i="3" s="1"/>
  <c r="F38" i="3" l="1"/>
  <c r="J23" i="3"/>
  <c r="G38" i="3" s="1"/>
  <c r="G20" i="11"/>
  <c r="D20" i="11"/>
  <c r="E22" i="29"/>
  <c r="F37" i="3"/>
  <c r="J22" i="3" l="1"/>
  <c r="G37" i="3" s="1"/>
  <c r="I22" i="3"/>
  <c r="C26" i="11" l="1"/>
  <c r="C25" i="11"/>
  <c r="C24" i="11"/>
  <c r="C23" i="11"/>
  <c r="C22" i="11"/>
  <c r="C21" i="11"/>
  <c r="C20" i="11"/>
  <c r="F59" i="34"/>
  <c r="F58" i="34"/>
  <c r="F57" i="34"/>
  <c r="F55" i="34"/>
  <c r="F54" i="34"/>
  <c r="F52" i="34"/>
  <c r="F50" i="34"/>
  <c r="F48" i="34"/>
  <c r="F47" i="34"/>
  <c r="F46" i="34"/>
  <c r="F45" i="34"/>
  <c r="F43" i="34"/>
  <c r="F42" i="34"/>
  <c r="E26" i="34"/>
  <c r="E28" i="34"/>
  <c r="E29" i="34"/>
  <c r="E31" i="34"/>
  <c r="E32" i="34"/>
  <c r="E33" i="34"/>
  <c r="E24" i="34"/>
  <c r="E22" i="34"/>
  <c r="E21" i="34"/>
  <c r="E20" i="34"/>
  <c r="E19" i="34"/>
  <c r="E17" i="34"/>
  <c r="E16" i="34"/>
  <c r="F57" i="38"/>
  <c r="E54" i="38"/>
  <c r="D54" i="38"/>
  <c r="F54" i="38" s="1"/>
  <c r="E53" i="38"/>
  <c r="D53" i="38"/>
  <c r="F53" i="38" s="1"/>
  <c r="E52" i="38"/>
  <c r="D52" i="38"/>
  <c r="E51" i="38"/>
  <c r="D51" i="38"/>
  <c r="F50" i="38"/>
  <c r="F48" i="38"/>
  <c r="F47" i="38"/>
  <c r="F46" i="38"/>
  <c r="F45" i="38"/>
  <c r="F44" i="38"/>
  <c r="F43" i="38"/>
  <c r="F52" i="38" s="1"/>
  <c r="F42" i="38"/>
  <c r="F51" i="38" s="1"/>
  <c r="A15" i="38"/>
  <c r="E25" i="11"/>
  <c r="E23" i="11"/>
  <c r="E20" i="11"/>
  <c r="J33" i="12"/>
  <c r="I33" i="12"/>
  <c r="I24" i="8"/>
  <c r="I23" i="8"/>
  <c r="G24" i="8"/>
  <c r="G23" i="8"/>
  <c r="J24" i="8"/>
  <c r="J23" i="8"/>
  <c r="D40" i="3"/>
  <c r="D41" i="3"/>
  <c r="F23" i="20" l="1"/>
  <c r="F27" i="20"/>
  <c r="F22" i="20"/>
  <c r="F24" i="20"/>
  <c r="F25" i="20"/>
  <c r="F26" i="20"/>
  <c r="F21" i="20"/>
  <c r="E55" i="12"/>
  <c r="E54" i="12"/>
  <c r="K25" i="12"/>
  <c r="K24" i="12"/>
  <c r="E25" i="12"/>
  <c r="E24" i="12"/>
  <c r="J26" i="5"/>
  <c r="J25" i="5"/>
  <c r="D26" i="5"/>
  <c r="D25" i="5"/>
  <c r="H27" i="14"/>
  <c r="I25" i="27"/>
  <c r="G25" i="27"/>
  <c r="I24" i="27"/>
  <c r="G24" i="27"/>
  <c r="E25" i="27"/>
  <c r="E24" i="27"/>
  <c r="I25" i="17"/>
  <c r="G25" i="17"/>
  <c r="I24" i="17"/>
  <c r="G24" i="17"/>
  <c r="E25" i="17"/>
  <c r="E24" i="17"/>
  <c r="I26" i="14"/>
  <c r="I25" i="14"/>
  <c r="I27" i="14"/>
  <c r="H26" i="14"/>
  <c r="D15" i="10" l="1"/>
  <c r="A46" i="34"/>
  <c r="B46" i="34"/>
  <c r="E46" i="34" s="1"/>
  <c r="B58" i="34"/>
  <c r="B48" i="34"/>
  <c r="E48" i="34" s="1"/>
  <c r="B47" i="34"/>
  <c r="A6" i="25"/>
  <c r="A6" i="20"/>
  <c r="A6" i="19"/>
  <c r="A6" i="34"/>
  <c r="A6" i="33"/>
  <c r="A6" i="12"/>
  <c r="A6" i="5"/>
  <c r="A6" i="8"/>
  <c r="A6" i="27"/>
  <c r="A6" i="17"/>
  <c r="A8" i="14"/>
  <c r="A8" i="11"/>
  <c r="A9" i="29"/>
  <c r="A16" i="6"/>
  <c r="D16" i="7"/>
  <c r="D48" i="10"/>
  <c r="C16" i="34"/>
  <c r="C42" i="34" s="1"/>
  <c r="B59" i="34"/>
  <c r="E59" i="34" s="1"/>
  <c r="B57" i="34"/>
  <c r="E57" i="34" s="1"/>
  <c r="B55" i="34"/>
  <c r="E55" i="34" s="1"/>
  <c r="B54" i="34"/>
  <c r="E54" i="34" s="1"/>
  <c r="B52" i="34"/>
  <c r="E52" i="34" s="1"/>
  <c r="B50" i="34"/>
  <c r="E50" i="34" s="1"/>
  <c r="B45" i="34"/>
  <c r="E45" i="34" s="1"/>
  <c r="B43" i="34"/>
  <c r="E43" i="34" s="1"/>
  <c r="B42" i="34"/>
  <c r="E42" i="34" s="1"/>
  <c r="C20" i="34" l="1"/>
  <c r="C21" i="34"/>
  <c r="C22" i="34"/>
  <c r="E58" i="34"/>
  <c r="E47" i="34"/>
  <c r="D42" i="34"/>
  <c r="G42" i="34" s="1"/>
  <c r="D28" i="33" s="1"/>
  <c r="D16" i="34"/>
  <c r="F16" i="34" s="1"/>
  <c r="C24" i="34"/>
  <c r="C19" i="34"/>
  <c r="C29" i="34"/>
  <c r="C26" i="34"/>
  <c r="C33" i="34"/>
  <c r="C59" i="34" s="1"/>
  <c r="C31" i="34"/>
  <c r="C17" i="34"/>
  <c r="C32" i="34" s="1"/>
  <c r="C28" i="34"/>
  <c r="D20" i="34" l="1"/>
  <c r="F20" i="34" s="1"/>
  <c r="D18" i="33" s="1"/>
  <c r="C46" i="34"/>
  <c r="D46" i="34" s="1"/>
  <c r="G46" i="34" s="1"/>
  <c r="D31" i="33" s="1"/>
  <c r="D32" i="34"/>
  <c r="F32" i="34" s="1"/>
  <c r="D26" i="33" s="1"/>
  <c r="C58" i="34"/>
  <c r="D58" i="34" s="1"/>
  <c r="G58" i="34" s="1"/>
  <c r="D39" i="33" s="1"/>
  <c r="D22" i="34"/>
  <c r="F22" i="34" s="1"/>
  <c r="D20" i="33" s="1"/>
  <c r="C48" i="34"/>
  <c r="D48" i="34" s="1"/>
  <c r="G48" i="34" s="1"/>
  <c r="D33" i="33" s="1"/>
  <c r="C47" i="34"/>
  <c r="D47" i="34" s="1"/>
  <c r="G47" i="34" s="1"/>
  <c r="D32" i="33" s="1"/>
  <c r="D21" i="34"/>
  <c r="F21" i="34" s="1"/>
  <c r="D19" i="33" s="1"/>
  <c r="C43" i="34"/>
  <c r="D43" i="34" s="1"/>
  <c r="G43" i="34" s="1"/>
  <c r="D29" i="33" s="1"/>
  <c r="D17" i="34"/>
  <c r="F17" i="34" s="1"/>
  <c r="C57" i="34"/>
  <c r="D57" i="34" s="1"/>
  <c r="G57" i="34" s="1"/>
  <c r="D38" i="33" s="1"/>
  <c r="D31" i="34"/>
  <c r="F31" i="34" s="1"/>
  <c r="D25" i="33" s="1"/>
  <c r="D59" i="34"/>
  <c r="G59" i="34" s="1"/>
  <c r="D40" i="33" s="1"/>
  <c r="C55" i="34"/>
  <c r="D55" i="34" s="1"/>
  <c r="G55" i="34" s="1"/>
  <c r="D37" i="33" s="1"/>
  <c r="D29" i="34"/>
  <c r="F29" i="34" s="1"/>
  <c r="D33" i="34"/>
  <c r="F33" i="34" s="1"/>
  <c r="D27" i="33" s="1"/>
  <c r="C45" i="34"/>
  <c r="D45" i="34" s="1"/>
  <c r="G45" i="34" s="1"/>
  <c r="D30" i="33" s="1"/>
  <c r="D19" i="34"/>
  <c r="F19" i="34" s="1"/>
  <c r="C54" i="34"/>
  <c r="D54" i="34" s="1"/>
  <c r="G54" i="34" s="1"/>
  <c r="D36" i="33" s="1"/>
  <c r="D28" i="34"/>
  <c r="F28" i="34" s="1"/>
  <c r="C52" i="34"/>
  <c r="D52" i="34" s="1"/>
  <c r="G52" i="34" s="1"/>
  <c r="D35" i="33" s="1"/>
  <c r="D26" i="34"/>
  <c r="F26" i="34" s="1"/>
  <c r="D24" i="34"/>
  <c r="F24" i="34" s="1"/>
  <c r="C50" i="34"/>
  <c r="D50" i="34" s="1"/>
  <c r="G50" i="34" s="1"/>
  <c r="D34" i="33" s="1"/>
  <c r="J26" i="8" l="1"/>
  <c r="D23" i="7"/>
  <c r="D44" i="33"/>
  <c r="D43" i="33"/>
  <c r="D42" i="33"/>
  <c r="D41" i="33"/>
  <c r="D23" i="33" l="1"/>
  <c r="D15" i="33"/>
  <c r="D21" i="33" l="1"/>
  <c r="D22" i="33"/>
  <c r="D16" i="33"/>
  <c r="D17" i="33"/>
  <c r="D24" i="33"/>
  <c r="D47" i="33" l="1"/>
  <c r="D46" i="33"/>
  <c r="D48" i="33"/>
  <c r="D49" i="33"/>
  <c r="E43" i="3" l="1"/>
  <c r="E41" i="3"/>
  <c r="E40" i="3"/>
  <c r="E39" i="3"/>
  <c r="E38" i="3"/>
  <c r="E37" i="3"/>
  <c r="C28" i="29"/>
  <c r="C46" i="29" s="1"/>
  <c r="B28" i="29"/>
  <c r="B46" i="29" s="1"/>
  <c r="A28" i="29"/>
  <c r="A46" i="29" s="1"/>
  <c r="E46" i="29"/>
  <c r="F28" i="3"/>
  <c r="E42" i="3"/>
  <c r="F27" i="3"/>
  <c r="F26" i="3"/>
  <c r="F25" i="3"/>
  <c r="F24" i="3"/>
  <c r="F23" i="3"/>
  <c r="F22" i="3"/>
  <c r="D46" i="29" l="1"/>
  <c r="F46" i="29" s="1"/>
  <c r="A46" i="12" l="1"/>
  <c r="C46" i="12"/>
  <c r="D46" i="12"/>
  <c r="A47" i="12"/>
  <c r="C47" i="12"/>
  <c r="D47" i="12"/>
  <c r="A48" i="12"/>
  <c r="C48" i="12"/>
  <c r="D48" i="12"/>
  <c r="A49" i="12"/>
  <c r="C49" i="12"/>
  <c r="D49" i="12"/>
  <c r="A50" i="12"/>
  <c r="C50" i="12"/>
  <c r="D50" i="12"/>
  <c r="A51" i="12"/>
  <c r="C51" i="12"/>
  <c r="D51" i="12"/>
  <c r="A52" i="12"/>
  <c r="C52" i="12"/>
  <c r="D52" i="12"/>
  <c r="E57" i="12" l="1"/>
  <c r="E56" i="12"/>
  <c r="F52" i="12"/>
  <c r="G52" i="12" s="1"/>
  <c r="F51" i="12"/>
  <c r="G51" i="12" s="1"/>
  <c r="F50" i="12"/>
  <c r="G50" i="12" s="1"/>
  <c r="F49" i="12"/>
  <c r="G49" i="12" s="1"/>
  <c r="F48" i="12"/>
  <c r="G48" i="12" s="1"/>
  <c r="F47" i="12"/>
  <c r="G47" i="12" s="1"/>
  <c r="F46" i="12"/>
  <c r="G46" i="12" l="1"/>
  <c r="G57" i="12" s="1"/>
  <c r="F54" i="12"/>
  <c r="F55" i="12"/>
  <c r="F57" i="12"/>
  <c r="F56" i="12"/>
  <c r="G56" i="12" l="1"/>
  <c r="G54" i="12"/>
  <c r="G55" i="12"/>
  <c r="D39" i="3"/>
  <c r="H39" i="3" s="1"/>
  <c r="D19" i="25"/>
  <c r="C19" i="25"/>
  <c r="B19" i="25"/>
  <c r="D18" i="25"/>
  <c r="C18" i="25"/>
  <c r="B18" i="25"/>
  <c r="D17" i="25"/>
  <c r="C17" i="25"/>
  <c r="B17" i="25"/>
  <c r="D16" i="25"/>
  <c r="C16" i="25"/>
  <c r="B16" i="25"/>
  <c r="E24" i="20"/>
  <c r="C24" i="20"/>
  <c r="B24" i="20"/>
  <c r="A24" i="20"/>
  <c r="E23" i="20"/>
  <c r="C23" i="20"/>
  <c r="B23" i="20"/>
  <c r="A23" i="20"/>
  <c r="E22" i="20"/>
  <c r="C22" i="20"/>
  <c r="B22" i="20"/>
  <c r="A22" i="20"/>
  <c r="E21" i="20"/>
  <c r="C21" i="20"/>
  <c r="B21" i="20"/>
  <c r="A21" i="20"/>
  <c r="D20" i="19"/>
  <c r="C20" i="19"/>
  <c r="B20" i="19"/>
  <c r="A20" i="19"/>
  <c r="D19" i="19"/>
  <c r="C19" i="19"/>
  <c r="B19" i="19"/>
  <c r="A19" i="19"/>
  <c r="D18" i="19"/>
  <c r="C18" i="19"/>
  <c r="B18" i="19"/>
  <c r="A18" i="19"/>
  <c r="D17" i="19"/>
  <c r="C17" i="19"/>
  <c r="B17" i="19"/>
  <c r="A17" i="19"/>
  <c r="D19" i="12"/>
  <c r="J19" i="12" s="1"/>
  <c r="L19" i="12" s="1"/>
  <c r="M19" i="12" s="1"/>
  <c r="C19" i="12"/>
  <c r="I19" i="12" s="1"/>
  <c r="A19" i="12"/>
  <c r="D18" i="12"/>
  <c r="J18" i="12" s="1"/>
  <c r="L18" i="12" s="1"/>
  <c r="M18" i="12" s="1"/>
  <c r="C18" i="12"/>
  <c r="I18" i="12" s="1"/>
  <c r="A18" i="12"/>
  <c r="D17" i="12"/>
  <c r="F17" i="12" s="1"/>
  <c r="G17" i="12" s="1"/>
  <c r="C17" i="12"/>
  <c r="I17" i="12" s="1"/>
  <c r="A17" i="12"/>
  <c r="D16" i="12"/>
  <c r="J16" i="12" s="1"/>
  <c r="L16" i="12" s="1"/>
  <c r="C16" i="12"/>
  <c r="I16" i="12" s="1"/>
  <c r="A16" i="12"/>
  <c r="C20" i="5"/>
  <c r="E20" i="5" s="1"/>
  <c r="F20" i="5" s="1"/>
  <c r="B20" i="5"/>
  <c r="H20" i="5" s="1"/>
  <c r="A20" i="5"/>
  <c r="C19" i="5"/>
  <c r="E19" i="5" s="1"/>
  <c r="F19" i="5" s="1"/>
  <c r="B19" i="5"/>
  <c r="H19" i="5" s="1"/>
  <c r="A19" i="5"/>
  <c r="C18" i="5"/>
  <c r="I18" i="5" s="1"/>
  <c r="L18" i="5" s="1"/>
  <c r="M18" i="5" s="1"/>
  <c r="B18" i="5"/>
  <c r="H18" i="5" s="1"/>
  <c r="A18" i="5"/>
  <c r="C17" i="5"/>
  <c r="E17" i="5" s="1"/>
  <c r="B17" i="5"/>
  <c r="H17" i="5" s="1"/>
  <c r="A17" i="5"/>
  <c r="E18" i="8"/>
  <c r="D18" i="8"/>
  <c r="C18" i="8"/>
  <c r="B18" i="8"/>
  <c r="A18" i="8"/>
  <c r="E17" i="8"/>
  <c r="D17" i="8"/>
  <c r="C17" i="8"/>
  <c r="B17" i="8"/>
  <c r="A17" i="8"/>
  <c r="E16" i="8"/>
  <c r="D16" i="8"/>
  <c r="C16" i="8"/>
  <c r="B16" i="8"/>
  <c r="A16" i="8"/>
  <c r="E15" i="8"/>
  <c r="D15" i="8"/>
  <c r="C15" i="8"/>
  <c r="B15" i="8"/>
  <c r="A15" i="8"/>
  <c r="K19" i="27"/>
  <c r="D19" i="27"/>
  <c r="J19" i="27" s="1"/>
  <c r="C19" i="27"/>
  <c r="B19" i="27"/>
  <c r="A19" i="27"/>
  <c r="K18" i="27"/>
  <c r="D18" i="27"/>
  <c r="J18" i="27" s="1"/>
  <c r="C18" i="27"/>
  <c r="B18" i="27"/>
  <c r="A18" i="27"/>
  <c r="K17" i="27"/>
  <c r="D17" i="27"/>
  <c r="J17" i="27" s="1"/>
  <c r="C17" i="27"/>
  <c r="B17" i="27"/>
  <c r="A17" i="27"/>
  <c r="K16" i="27"/>
  <c r="D16" i="27"/>
  <c r="J16" i="27" s="1"/>
  <c r="C16" i="27"/>
  <c r="B16" i="27"/>
  <c r="A16" i="27"/>
  <c r="K19" i="17"/>
  <c r="D19" i="17"/>
  <c r="J19" i="17" s="1"/>
  <c r="C19" i="17"/>
  <c r="B19" i="17"/>
  <c r="A19" i="17"/>
  <c r="K18" i="17"/>
  <c r="D18" i="17"/>
  <c r="J18" i="17" s="1"/>
  <c r="C18" i="17"/>
  <c r="B18" i="17"/>
  <c r="A18" i="17"/>
  <c r="K17" i="17"/>
  <c r="D17" i="17"/>
  <c r="J17" i="17" s="1"/>
  <c r="C17" i="17"/>
  <c r="B17" i="17"/>
  <c r="A17" i="17"/>
  <c r="K16" i="17"/>
  <c r="D16" i="17"/>
  <c r="J16" i="17" s="1"/>
  <c r="C16" i="17"/>
  <c r="B16" i="17"/>
  <c r="A16" i="17"/>
  <c r="C21" i="14"/>
  <c r="B21" i="14"/>
  <c r="A21" i="14"/>
  <c r="C20" i="14"/>
  <c r="B20" i="14"/>
  <c r="A20" i="14"/>
  <c r="C19" i="14"/>
  <c r="B19" i="14"/>
  <c r="A19" i="14"/>
  <c r="C18" i="14"/>
  <c r="B18" i="14"/>
  <c r="A18" i="14"/>
  <c r="F23" i="11"/>
  <c r="H23" i="11" s="1"/>
  <c r="I23" i="11" s="1"/>
  <c r="B23" i="11"/>
  <c r="A23" i="11"/>
  <c r="F22" i="11"/>
  <c r="H22" i="11" s="1"/>
  <c r="B22" i="11"/>
  <c r="A22" i="11"/>
  <c r="F21" i="11"/>
  <c r="H21" i="11" s="1"/>
  <c r="B21" i="11"/>
  <c r="A21" i="11"/>
  <c r="F20" i="11"/>
  <c r="H20" i="11" s="1"/>
  <c r="B20" i="11"/>
  <c r="A20" i="11"/>
  <c r="C27" i="29"/>
  <c r="B27" i="29"/>
  <c r="A27" i="29"/>
  <c r="C26" i="29"/>
  <c r="B26" i="29"/>
  <c r="A26" i="29"/>
  <c r="C25" i="29"/>
  <c r="C43" i="29" s="1"/>
  <c r="B25" i="29"/>
  <c r="B43" i="29" s="1"/>
  <c r="A25" i="29"/>
  <c r="A43" i="29" s="1"/>
  <c r="C24" i="29"/>
  <c r="C42" i="29" s="1"/>
  <c r="B24" i="29"/>
  <c r="B42" i="29" s="1"/>
  <c r="A24" i="29"/>
  <c r="A42" i="29" s="1"/>
  <c r="C23" i="29"/>
  <c r="C41" i="29" s="1"/>
  <c r="B23" i="29"/>
  <c r="B41" i="29" s="1"/>
  <c r="A23" i="29"/>
  <c r="A41" i="29" s="1"/>
  <c r="C22" i="29"/>
  <c r="C40" i="29" s="1"/>
  <c r="B22" i="29"/>
  <c r="B40" i="29" s="1"/>
  <c r="A22" i="29"/>
  <c r="A40" i="29" s="1"/>
  <c r="D38" i="3"/>
  <c r="D37" i="3"/>
  <c r="H37" i="3" s="1"/>
  <c r="E41" i="29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M16" i="12" l="1"/>
  <c r="F17" i="5"/>
  <c r="E18" i="19"/>
  <c r="H38" i="3"/>
  <c r="D25" i="29"/>
  <c r="F25" i="29" s="1"/>
  <c r="H40" i="3"/>
  <c r="F17" i="25"/>
  <c r="H17" i="25"/>
  <c r="F16" i="25"/>
  <c r="H16" i="25"/>
  <c r="F19" i="25"/>
  <c r="H19" i="25"/>
  <c r="F18" i="25"/>
  <c r="H18" i="25"/>
  <c r="J22" i="11"/>
  <c r="I20" i="11"/>
  <c r="J23" i="11"/>
  <c r="K23" i="11" s="1"/>
  <c r="L23" i="11" s="1"/>
  <c r="E42" i="29"/>
  <c r="D40" i="29"/>
  <c r="E43" i="29"/>
  <c r="F18" i="27"/>
  <c r="F17" i="17"/>
  <c r="F18" i="17"/>
  <c r="F17" i="27"/>
  <c r="E40" i="29"/>
  <c r="I39" i="3"/>
  <c r="F19" i="27"/>
  <c r="E18" i="5"/>
  <c r="F16" i="27"/>
  <c r="F19" i="17"/>
  <c r="F19" i="12"/>
  <c r="G19" i="12" s="1"/>
  <c r="F16" i="17"/>
  <c r="F16" i="12"/>
  <c r="E19" i="19"/>
  <c r="D24" i="29"/>
  <c r="F24" i="29" s="1"/>
  <c r="D22" i="29"/>
  <c r="F22" i="29" s="1"/>
  <c r="D23" i="29"/>
  <c r="F23" i="29" s="1"/>
  <c r="E17" i="19"/>
  <c r="E20" i="19"/>
  <c r="F18" i="12"/>
  <c r="G18" i="12" s="1"/>
  <c r="J17" i="12"/>
  <c r="L17" i="12" s="1"/>
  <c r="M17" i="12" s="1"/>
  <c r="I19" i="5"/>
  <c r="I17" i="5"/>
  <c r="L17" i="5" s="1"/>
  <c r="I20" i="5"/>
  <c r="L20" i="5" s="1"/>
  <c r="M20" i="5" s="1"/>
  <c r="H16" i="27"/>
  <c r="H17" i="27"/>
  <c r="H18" i="27"/>
  <c r="H19" i="27"/>
  <c r="H16" i="17"/>
  <c r="H17" i="17"/>
  <c r="H18" i="17"/>
  <c r="H19" i="17"/>
  <c r="J20" i="11"/>
  <c r="I21" i="11"/>
  <c r="I22" i="11"/>
  <c r="J21" i="11"/>
  <c r="I37" i="3"/>
  <c r="M17" i="5" l="1"/>
  <c r="G16" i="12"/>
  <c r="F18" i="5"/>
  <c r="D23" i="20"/>
  <c r="F19" i="19"/>
  <c r="J19" i="19" s="1"/>
  <c r="D22" i="20"/>
  <c r="F18" i="19"/>
  <c r="J18" i="19" s="1"/>
  <c r="D24" i="20"/>
  <c r="F20" i="19"/>
  <c r="D21" i="20"/>
  <c r="F17" i="19"/>
  <c r="K22" i="11"/>
  <c r="L22" i="11" s="1"/>
  <c r="K20" i="11"/>
  <c r="L20" i="11" s="1"/>
  <c r="K21" i="11"/>
  <c r="L21" i="11" s="1"/>
  <c r="D41" i="29"/>
  <c r="F41" i="29" s="1"/>
  <c r="D42" i="29"/>
  <c r="F42" i="29" s="1"/>
  <c r="D43" i="29"/>
  <c r="F43" i="29" s="1"/>
  <c r="I40" i="3"/>
  <c r="F40" i="29"/>
  <c r="J39" i="3"/>
  <c r="J37" i="3"/>
  <c r="I18" i="19" l="1"/>
  <c r="I19" i="19"/>
  <c r="J40" i="3"/>
  <c r="I38" i="3"/>
  <c r="J38" i="3"/>
  <c r="J20" i="19"/>
  <c r="I20" i="19"/>
  <c r="J17" i="19"/>
  <c r="I17" i="19"/>
  <c r="G26" i="8"/>
  <c r="G25" i="8"/>
  <c r="E27" i="20" l="1"/>
  <c r="E26" i="20"/>
  <c r="E25" i="20"/>
  <c r="D42" i="3" l="1"/>
  <c r="D27" i="29" s="1"/>
  <c r="F27" i="29" s="1"/>
  <c r="D22" i="27" l="1"/>
  <c r="D21" i="27"/>
  <c r="D20" i="27"/>
  <c r="H20" i="27" s="1"/>
  <c r="C27" i="20"/>
  <c r="B27" i="20"/>
  <c r="A27" i="20"/>
  <c r="C26" i="20"/>
  <c r="B26" i="20"/>
  <c r="A26" i="20"/>
  <c r="C25" i="20"/>
  <c r="B25" i="20"/>
  <c r="A25" i="20"/>
  <c r="D22" i="17"/>
  <c r="D21" i="17"/>
  <c r="D20" i="17"/>
  <c r="H20" i="17" s="1"/>
  <c r="E22" i="19"/>
  <c r="D23" i="19"/>
  <c r="D22" i="19"/>
  <c r="D21" i="19"/>
  <c r="C23" i="19"/>
  <c r="B23" i="19"/>
  <c r="A23" i="19"/>
  <c r="C22" i="19"/>
  <c r="B22" i="19"/>
  <c r="A22" i="19"/>
  <c r="C21" i="19"/>
  <c r="B21" i="19"/>
  <c r="A21" i="19"/>
  <c r="A22" i="12"/>
  <c r="A21" i="12"/>
  <c r="A20" i="12"/>
  <c r="C22" i="12"/>
  <c r="I22" i="12" s="1"/>
  <c r="C21" i="12"/>
  <c r="I21" i="12" s="1"/>
  <c r="C20" i="12"/>
  <c r="I20" i="12" s="1"/>
  <c r="D22" i="12"/>
  <c r="D21" i="12"/>
  <c r="D20" i="12"/>
  <c r="C23" i="5"/>
  <c r="B23" i="5"/>
  <c r="H23" i="5" s="1"/>
  <c r="A23" i="5"/>
  <c r="C22" i="5"/>
  <c r="B22" i="5"/>
  <c r="H22" i="5" s="1"/>
  <c r="A22" i="5"/>
  <c r="C21" i="5"/>
  <c r="B21" i="5"/>
  <c r="H21" i="5" s="1"/>
  <c r="A21" i="5"/>
  <c r="D21" i="8"/>
  <c r="D20" i="8"/>
  <c r="D19" i="8"/>
  <c r="F21" i="19" l="1"/>
  <c r="D25" i="20"/>
  <c r="D22" i="25"/>
  <c r="H22" i="25" s="1"/>
  <c r="D21" i="25"/>
  <c r="H21" i="25" s="1"/>
  <c r="D20" i="25"/>
  <c r="H20" i="25" s="1"/>
  <c r="C22" i="25"/>
  <c r="B22" i="25"/>
  <c r="C21" i="25"/>
  <c r="B21" i="25"/>
  <c r="C20" i="25"/>
  <c r="B20" i="25"/>
  <c r="C21" i="8"/>
  <c r="B21" i="8"/>
  <c r="A21" i="8"/>
  <c r="C20" i="8"/>
  <c r="B20" i="8"/>
  <c r="A20" i="8"/>
  <c r="A19" i="8"/>
  <c r="B19" i="8"/>
  <c r="C19" i="8"/>
  <c r="C22" i="27"/>
  <c r="B22" i="27"/>
  <c r="A22" i="27"/>
  <c r="C21" i="27"/>
  <c r="B21" i="27"/>
  <c r="A21" i="27"/>
  <c r="C20" i="27"/>
  <c r="B20" i="27"/>
  <c r="A20" i="27"/>
  <c r="C22" i="17"/>
  <c r="B22" i="17"/>
  <c r="A22" i="17"/>
  <c r="C21" i="17"/>
  <c r="B21" i="17"/>
  <c r="A21" i="17"/>
  <c r="C20" i="17"/>
  <c r="B20" i="17"/>
  <c r="A20" i="17"/>
  <c r="H25" i="25" l="1"/>
  <c r="H24" i="25"/>
  <c r="C24" i="14"/>
  <c r="B24" i="14"/>
  <c r="A24" i="14"/>
  <c r="C23" i="14"/>
  <c r="B23" i="14"/>
  <c r="A23" i="14"/>
  <c r="C22" i="14"/>
  <c r="B22" i="14"/>
  <c r="A22" i="14"/>
  <c r="B25" i="11"/>
  <c r="A25" i="11"/>
  <c r="B24" i="11"/>
  <c r="A24" i="11"/>
  <c r="D45" i="29"/>
  <c r="E45" i="29"/>
  <c r="H42" i="3" l="1"/>
  <c r="I42" i="3" s="1"/>
  <c r="B26" i="11"/>
  <c r="A26" i="11"/>
  <c r="C45" i="29"/>
  <c r="B45" i="29"/>
  <c r="A45" i="29"/>
  <c r="C44" i="29"/>
  <c r="B44" i="29"/>
  <c r="A44" i="29"/>
  <c r="J42" i="3" l="1"/>
  <c r="G64" i="10"/>
  <c r="K20" i="17"/>
  <c r="B55" i="29"/>
  <c r="I27" i="27"/>
  <c r="G27" i="27"/>
  <c r="E27" i="27"/>
  <c r="I26" i="27"/>
  <c r="G26" i="27"/>
  <c r="E26" i="27"/>
  <c r="K22" i="27"/>
  <c r="J22" i="27"/>
  <c r="K21" i="27"/>
  <c r="F21" i="27"/>
  <c r="K20" i="27"/>
  <c r="K22" i="17"/>
  <c r="K21" i="17"/>
  <c r="K24" i="27" l="1"/>
  <c r="K25" i="27"/>
  <c r="K24" i="17"/>
  <c r="K25" i="17"/>
  <c r="G24" i="20"/>
  <c r="H24" i="20" s="1"/>
  <c r="G21" i="20"/>
  <c r="H21" i="20" s="1"/>
  <c r="G22" i="20"/>
  <c r="H22" i="20" s="1"/>
  <c r="G23" i="20"/>
  <c r="H23" i="20" s="1"/>
  <c r="F20" i="27"/>
  <c r="J20" i="27"/>
  <c r="H22" i="27"/>
  <c r="K27" i="27"/>
  <c r="H21" i="27"/>
  <c r="K26" i="27"/>
  <c r="G15" i="38" s="1"/>
  <c r="J21" i="27"/>
  <c r="F22" i="27"/>
  <c r="K26" i="17"/>
  <c r="K27" i="17"/>
  <c r="G16" i="38" l="1"/>
  <c r="F16" i="38"/>
  <c r="F25" i="27"/>
  <c r="F24" i="27"/>
  <c r="H24" i="27"/>
  <c r="H25" i="27"/>
  <c r="J25" i="27"/>
  <c r="J24" i="27"/>
  <c r="J27" i="27"/>
  <c r="J26" i="27"/>
  <c r="F27" i="27"/>
  <c r="F26" i="27"/>
  <c r="H27" i="27"/>
  <c r="H26" i="27"/>
  <c r="I27" i="17" l="1"/>
  <c r="I26" i="17"/>
  <c r="G31" i="10" l="1"/>
  <c r="F21" i="25"/>
  <c r="H27" i="25" l="1"/>
  <c r="H26" i="25"/>
  <c r="G26" i="20"/>
  <c r="G25" i="20"/>
  <c r="G27" i="20"/>
  <c r="F20" i="25"/>
  <c r="F22" i="25"/>
  <c r="H27" i="19"/>
  <c r="G27" i="19"/>
  <c r="H26" i="19"/>
  <c r="G26" i="19"/>
  <c r="G27" i="17"/>
  <c r="G26" i="17"/>
  <c r="J22" i="17"/>
  <c r="J21" i="17"/>
  <c r="J20" i="17"/>
  <c r="E27" i="17"/>
  <c r="E26" i="17"/>
  <c r="I28" i="14"/>
  <c r="I26" i="8"/>
  <c r="I25" i="8"/>
  <c r="F26" i="11"/>
  <c r="H26" i="11" s="1"/>
  <c r="F25" i="11"/>
  <c r="H25" i="11" s="1"/>
  <c r="F24" i="11"/>
  <c r="H24" i="11" s="1"/>
  <c r="E21" i="8"/>
  <c r="E20" i="8"/>
  <c r="E19" i="8"/>
  <c r="I23" i="5"/>
  <c r="L23" i="5" s="1"/>
  <c r="I22" i="5"/>
  <c r="L22" i="5" s="1"/>
  <c r="I21" i="5"/>
  <c r="L21" i="5" s="1"/>
  <c r="D23" i="10"/>
  <c r="H32" i="5"/>
  <c r="D56" i="10" s="1"/>
  <c r="G32" i="5"/>
  <c r="H28" i="14"/>
  <c r="K27" i="12"/>
  <c r="E27" i="12"/>
  <c r="K26" i="12"/>
  <c r="E26" i="12"/>
  <c r="F21" i="12"/>
  <c r="G21" i="12" s="1"/>
  <c r="J20" i="12"/>
  <c r="L25" i="5" l="1"/>
  <c r="L26" i="5"/>
  <c r="F24" i="25"/>
  <c r="F25" i="25"/>
  <c r="J24" i="17"/>
  <c r="J25" i="17"/>
  <c r="J25" i="11"/>
  <c r="I25" i="11"/>
  <c r="J24" i="11"/>
  <c r="I24" i="11"/>
  <c r="J27" i="17"/>
  <c r="J26" i="17"/>
  <c r="J21" i="12"/>
  <c r="F20" i="17"/>
  <c r="H21" i="17"/>
  <c r="F21" i="17"/>
  <c r="H22" i="17"/>
  <c r="F22" i="17"/>
  <c r="L20" i="12"/>
  <c r="J22" i="12"/>
  <c r="F27" i="25"/>
  <c r="F26" i="25"/>
  <c r="F22" i="12"/>
  <c r="G22" i="12" s="1"/>
  <c r="F20" i="12"/>
  <c r="G20" i="12" l="1"/>
  <c r="F24" i="12"/>
  <c r="F25" i="12"/>
  <c r="H24" i="17"/>
  <c r="M20" i="12"/>
  <c r="H25" i="17"/>
  <c r="F24" i="17"/>
  <c r="F25" i="17"/>
  <c r="D27" i="20"/>
  <c r="H27" i="20" s="1"/>
  <c r="F23" i="19"/>
  <c r="F22" i="19"/>
  <c r="D26" i="20"/>
  <c r="H26" i="20" s="1"/>
  <c r="H25" i="20"/>
  <c r="I21" i="19"/>
  <c r="K24" i="11"/>
  <c r="L24" i="11" s="1"/>
  <c r="K25" i="11"/>
  <c r="L25" i="11" s="1"/>
  <c r="L21" i="12"/>
  <c r="M21" i="12" s="1"/>
  <c r="F26" i="17"/>
  <c r="F27" i="17"/>
  <c r="L22" i="12"/>
  <c r="M22" i="12" s="1"/>
  <c r="H26" i="17"/>
  <c r="H27" i="17"/>
  <c r="G26" i="12"/>
  <c r="F27" i="12"/>
  <c r="F26" i="12"/>
  <c r="G27" i="12"/>
  <c r="H29" i="20" l="1"/>
  <c r="H28" i="20"/>
  <c r="L25" i="12"/>
  <c r="L24" i="12"/>
  <c r="J22" i="19"/>
  <c r="F25" i="19"/>
  <c r="F24" i="19"/>
  <c r="M25" i="12"/>
  <c r="M24" i="12"/>
  <c r="J23" i="19"/>
  <c r="I23" i="19"/>
  <c r="G24" i="12"/>
  <c r="G25" i="12"/>
  <c r="J21" i="19"/>
  <c r="I22" i="19"/>
  <c r="I24" i="19" s="1"/>
  <c r="H31" i="20"/>
  <c r="H30" i="20"/>
  <c r="L27" i="12"/>
  <c r="L26" i="12"/>
  <c r="F27" i="19"/>
  <c r="F26" i="19"/>
  <c r="M27" i="12"/>
  <c r="M26" i="12"/>
  <c r="J24" i="19" l="1"/>
  <c r="J25" i="19"/>
  <c r="I25" i="19"/>
  <c r="J27" i="19"/>
  <c r="J26" i="19"/>
  <c r="I26" i="19"/>
  <c r="J28" i="5"/>
  <c r="J27" i="5"/>
  <c r="J26" i="11"/>
  <c r="I26" i="11"/>
  <c r="F56" i="10"/>
  <c r="C58" i="10"/>
  <c r="C56" i="10"/>
  <c r="F58" i="10"/>
  <c r="F25" i="10"/>
  <c r="C25" i="10"/>
  <c r="F23" i="10"/>
  <c r="C23" i="10"/>
  <c r="K26" i="11" l="1"/>
  <c r="L26" i="11" s="1"/>
  <c r="G25" i="10"/>
  <c r="C27" i="10"/>
  <c r="C60" i="10"/>
  <c r="G23" i="10"/>
  <c r="G56" i="10"/>
  <c r="G58" i="10"/>
  <c r="E44" i="29"/>
  <c r="L30" i="11" l="1"/>
  <c r="L29" i="11"/>
  <c r="L28" i="11"/>
  <c r="D44" i="29"/>
  <c r="F44" i="29" s="1"/>
  <c r="L31" i="11"/>
  <c r="G27" i="10"/>
  <c r="G60" i="10"/>
  <c r="M21" i="5"/>
  <c r="M22" i="5"/>
  <c r="M23" i="5"/>
  <c r="M25" i="5" l="1"/>
  <c r="M26" i="5"/>
  <c r="F45" i="29"/>
  <c r="L27" i="5"/>
  <c r="L28" i="5"/>
  <c r="F47" i="29" l="1"/>
  <c r="D55" i="29" s="1"/>
  <c r="M28" i="5"/>
  <c r="M27" i="5"/>
  <c r="D43" i="3" l="1"/>
  <c r="D28" i="29" s="1"/>
  <c r="F28" i="29" s="1"/>
  <c r="D26" i="29" l="1"/>
  <c r="F26" i="29" s="1"/>
  <c r="H41" i="3"/>
  <c r="J41" i="3" s="1"/>
  <c r="E23" i="19"/>
  <c r="E21" i="19"/>
  <c r="H43" i="3"/>
  <c r="J43" i="3" s="1"/>
  <c r="J45" i="3" l="1"/>
  <c r="J44" i="3"/>
  <c r="J46" i="3"/>
  <c r="C23" i="7"/>
  <c r="C54" i="29" s="1"/>
  <c r="C25" i="7"/>
  <c r="C55" i="29" s="1"/>
  <c r="E55" i="29" s="1"/>
  <c r="D25" i="7" l="1"/>
  <c r="J25" i="8" l="1"/>
  <c r="F29" i="29" l="1"/>
  <c r="D54" i="29" s="1"/>
  <c r="E54" i="29" s="1"/>
  <c r="E56" i="29" s="1"/>
  <c r="I43" i="3"/>
  <c r="D28" i="5" l="1"/>
  <c r="D27" i="5"/>
  <c r="I41" i="3" l="1"/>
  <c r="I46" i="3" l="1"/>
  <c r="I45" i="3"/>
  <c r="I44" i="3"/>
  <c r="J47" i="3"/>
  <c r="E23" i="5" l="1"/>
  <c r="F23" i="5" s="1"/>
  <c r="E22" i="5"/>
  <c r="F22" i="5" s="1"/>
  <c r="E21" i="5"/>
  <c r="E26" i="5" l="1"/>
  <c r="E25" i="5"/>
  <c r="F21" i="5"/>
  <c r="E27" i="5"/>
  <c r="E28" i="5"/>
  <c r="I47" i="3"/>
  <c r="F27" i="5"/>
  <c r="F25" i="5" l="1"/>
  <c r="F26" i="5"/>
  <c r="F23" i="7"/>
  <c r="G23" i="7" s="1"/>
  <c r="F28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  <author>rev3569</author>
  </authors>
  <commentList>
    <comment ref="H22" authorId="0" shapeId="0" xr:uid="{534674D0-5ECE-4507-96C3-00589CB80E4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111</t>
        </r>
      </text>
    </comment>
    <comment ref="I22" authorId="0" shapeId="0" xr:uid="{D747DE68-CAD7-4B39-B670-C8A2FF270AB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111 </t>
        </r>
      </text>
    </comment>
    <comment ref="J22" authorId="0" shapeId="0" xr:uid="{5CB32511-5B4F-45C3-8C72-381C8C59C02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111</t>
        </r>
      </text>
    </comment>
    <comment ref="H23" authorId="0" shapeId="0" xr:uid="{8A24F20E-9F4C-48BE-9A68-0421C2D27A1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I23" authorId="0" shapeId="0" xr:uid="{EB8818B1-E227-4E39-BD5B-1DD08340393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J23" authorId="0" shapeId="0" xr:uid="{9FC34427-FA1E-483D-AFE0-B7DD65B0B01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H24" authorId="0" shapeId="0" xr:uid="{F0DCDE63-BFF1-4396-937C-A57F821A929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F-4 (138)</t>
        </r>
      </text>
    </comment>
    <comment ref="I24" authorId="0" shapeId="0" xr:uid="{D2394912-F4E3-40C2-BC11-D79532BBA9B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F-4 (138)</t>
        </r>
      </text>
    </comment>
    <comment ref="J24" authorId="0" shapeId="0" xr:uid="{D4E9F2AB-B222-4B07-AB8E-68C8853072E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F-4 (138)</t>
        </r>
      </text>
    </comment>
    <comment ref="H25" authorId="0" shapeId="0" xr:uid="{745C5053-F8FD-49FC-864D-A5493612C6F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73</t>
        </r>
      </text>
    </comment>
    <comment ref="J25" authorId="0" shapeId="0" xr:uid="{E7A2EB52-5E5E-463F-A84F-ED0D77B75E5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73</t>
        </r>
      </text>
    </comment>
    <comment ref="H26" authorId="0" shapeId="0" xr:uid="{55910A3C-52AF-4885-80C6-3BAE7029755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  <comment ref="J26" authorId="0" shapeId="0" xr:uid="{26D1CFB2-DD2E-4848-866F-BB08B3FDF84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  <comment ref="H27" authorId="0" shapeId="0" xr:uid="{60253D38-D8D9-4A7A-B2F0-925F6FE12FB0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146</t>
        </r>
      </text>
    </comment>
    <comment ref="I27" authorId="0" shapeId="0" xr:uid="{AF7B7622-6154-49EB-92DE-827E227EF4E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146</t>
        </r>
      </text>
    </comment>
    <comment ref="J27" authorId="0" shapeId="0" xr:uid="{0D2B2DCF-B73E-413A-8CBD-904D87CE2AE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146</t>
        </r>
      </text>
    </comment>
    <comment ref="H28" authorId="0" shapeId="0" xr:uid="{98B87376-D160-4CC0-A495-76002ACEFBF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I28" authorId="0" shapeId="0" xr:uid="{F7807B44-C7D0-4F00-9D12-7218675F7D0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J28" authorId="0" shapeId="0" xr:uid="{55ED0913-AD17-46F0-BFE1-7412AC23045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F33" authorId="1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37" authorId="0" shapeId="0" xr:uid="{F51D8EE9-563E-4A54-89C2-28E1C56E5AD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192</t>
        </r>
      </text>
    </comment>
    <comment ref="G37" authorId="0" shapeId="0" xr:uid="{8F4E074E-B5E8-472B-B766-7C713F82BBC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180 
IN THE TEXT UNDER FAIR VALUE OF OTHER FINANCIAL INSTRUMENTS</t>
        </r>
      </text>
    </comment>
    <comment ref="F38" authorId="0" shapeId="0" xr:uid="{0C662C71-9FCE-421E-9AD0-47C2943D37B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F39" authorId="0" shapeId="0" xr:uid="{E6930874-3F72-4022-922F-F575FE72DF9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F-66 (200)</t>
        </r>
      </text>
    </comment>
    <comment ref="G39" authorId="0" shapeId="0" xr:uid="{31CB59D1-9A0F-40C5-8306-52E6B3E07A8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F-60 (194)
NOTE  14</t>
        </r>
      </text>
    </comment>
    <comment ref="F40" authorId="0" shapeId="0" xr:uid="{9A9A6240-7F4C-4F5A-A397-9517A0491D7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121 NOTE 16</t>
        </r>
      </text>
    </comment>
    <comment ref="G40" authorId="0" shapeId="0" xr:uid="{0776EF52-A0A5-46DA-BFCB-1B78B351A9B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66 
UNDER INTEREST RATE RISK</t>
        </r>
      </text>
    </comment>
    <comment ref="F41" authorId="0" shapeId="0" xr:uid="{AE215A40-833C-4000-9C6C-5ACCA98C4D8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108 NOTE Q LEASES</t>
        </r>
      </text>
    </comment>
    <comment ref="G41" authorId="0" shapeId="0" xr:uid="{E521E0DB-ADAB-4C58-8879-A2DC0AB406A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87 NOTE D FAIR VALUE MEASURMENTS</t>
        </r>
      </text>
    </comment>
    <comment ref="F42" authorId="0" shapeId="0" xr:uid="{B4C90D42-9759-4142-8300-4C86F30A149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174 NOTE 10 LEASES</t>
        </r>
      </text>
    </comment>
    <comment ref="G42" authorId="0" shapeId="0" xr:uid="{7F6DFA64-3E05-458C-9052-825CE75567D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213 NOTE 28 RISK MANAGEMENT </t>
        </r>
      </text>
    </comment>
    <comment ref="F43" authorId="0" shapeId="0" xr:uid="{B0B873C2-AB53-4596-ADCD-ACEEBDBC503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172 NOTE 14 LEASES</t>
        </r>
      </text>
    </comment>
    <comment ref="G43" authorId="0" shapeId="0" xr:uid="{883DF4FB-11F7-4A9E-8947-826C22526A5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176 NOTE 16 FAIR VALUE MEASUREMENTS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</authors>
  <commentList>
    <comment ref="E22" authorId="0" shapeId="0" xr:uid="{57595A53-6AB0-4C0D-8318-B121FDE5181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111</t>
        </r>
      </text>
    </comment>
    <comment ref="E23" authorId="0" shapeId="0" xr:uid="{DCADA8A8-E9E5-4944-BA3A-F8C6CA0B45E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E24" authorId="0" shapeId="0" xr:uid="{EBB36751-EDEB-4A86-B025-B6DB1290F64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F-4 (138)</t>
        </r>
      </text>
    </comment>
    <comment ref="E25" authorId="0" shapeId="0" xr:uid="{9289CD71-37F1-4A5B-9BDF-96589F38423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73</t>
        </r>
      </text>
    </comment>
    <comment ref="E26" authorId="0" shapeId="0" xr:uid="{E2767796-9C04-4DEE-BF2D-EDC7FA7758C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  <comment ref="E27" authorId="0" shapeId="0" xr:uid="{C2BAEE0D-5AAA-41EA-BBF4-1AD5DBE30BF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146</t>
        </r>
      </text>
    </comment>
    <comment ref="E28" authorId="0" shapeId="0" xr:uid="{9799F25A-38F5-4CB4-B4A2-86B2011C39C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  <author>rev4175</author>
  </authors>
  <commentList>
    <comment ref="D20" authorId="0" shapeId="0" xr:uid="{393388EA-AF62-466C-8C10-C846B96739A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148</t>
        </r>
      </text>
    </comment>
    <comment ref="E20" authorId="1" shapeId="0" xr:uid="{7211559D-7F06-4AD6-93F8-90F4B907539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Page 135 NOTE 11</t>
        </r>
      </text>
    </comment>
    <comment ref="G20" authorId="0" shapeId="0" xr:uid="{4771B60D-314A-4598-935D-32118C633C8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107</t>
        </r>
      </text>
    </comment>
    <comment ref="D21" authorId="0" shapeId="0" xr:uid="{95C10E24-34C7-45D0-8E6D-EB51B8A7180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F-6 (173)</t>
        </r>
      </text>
    </comment>
    <comment ref="E21" authorId="1" shapeId="0" xr:uid="{EC05CE55-2285-48BC-9EE8-0DDBF206803C}">
      <text>
        <r>
          <rPr>
            <sz val="9"/>
            <color indexed="81"/>
            <rFont val="Tahoma"/>
            <family val="2"/>
          </rPr>
          <t>10K PG F-4 (173)</t>
        </r>
      </text>
    </comment>
    <comment ref="G21" authorId="0" shapeId="0" xr:uid="{2D489EA5-77CE-4DBA-9936-F57CD7E550B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F-6 (175)</t>
        </r>
      </text>
    </comment>
    <comment ref="D22" authorId="0" shapeId="0" xr:uid="{F8864D79-6E77-41A1-B34D-8E78563924C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F-20 (154)</t>
        </r>
      </text>
    </comment>
    <comment ref="E22" authorId="1" shapeId="0" xr:uid="{CF9ACFB3-1DE4-4BF6-B312-B548D057C0CB}">
      <text>
        <r>
          <rPr>
            <sz val="9"/>
            <color indexed="81"/>
            <rFont val="Tahoma"/>
            <family val="2"/>
          </rPr>
          <t>10K PG F-20 (154) NOTE 4</t>
        </r>
      </text>
    </comment>
    <comment ref="G22" authorId="0" shapeId="0" xr:uid="{D5F1D8FF-4229-4656-891E-EB9555F3D91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69</t>
        </r>
      </text>
    </comment>
    <comment ref="D23" authorId="0" shapeId="0" xr:uid="{560C697A-D76C-4D98-8F18-F5FED3F9EEE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92 NOTE 5</t>
        </r>
      </text>
    </comment>
    <comment ref="E23" authorId="1" shapeId="0" xr:uid="{583CA8A7-5535-4709-AE4F-15143D681BD7}">
      <text>
        <r>
          <rPr>
            <sz val="9"/>
            <color indexed="81"/>
            <rFont val="Tahoma"/>
            <family val="2"/>
          </rPr>
          <t>10K PG 97 NOTE 6</t>
        </r>
      </text>
    </comment>
    <comment ref="G23" authorId="0" shapeId="0" xr:uid="{AFCC4137-36A1-41EB-A107-9AC01EF6964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71</t>
        </r>
      </text>
    </comment>
    <comment ref="D24" authorId="0" shapeId="0" xr:uid="{30323634-C714-44EE-9635-7D327ACFF2A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  <comment ref="E24" authorId="1" shapeId="0" xr:uid="{1F69966E-E376-473F-A1A5-7249C8B37F2B}">
      <text>
        <r>
          <rPr>
            <sz val="9"/>
            <color indexed="81"/>
            <rFont val="Tahoma"/>
            <family val="2"/>
          </rPr>
          <t>10K PG 64</t>
        </r>
      </text>
    </comment>
    <comment ref="G24" authorId="0" shapeId="0" xr:uid="{C047149F-A843-407F-B253-3755293293B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67</t>
        </r>
      </text>
    </comment>
    <comment ref="D25" authorId="0" shapeId="0" xr:uid="{34A7FD12-3E8B-49EC-ADB9-A9F1710552E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173 NOTE 9</t>
        </r>
      </text>
    </comment>
    <comment ref="E25" authorId="1" shapeId="0" xr:uid="{040D985A-FD8A-4168-B99A-AB8C6C363BB3}">
      <text>
        <r>
          <rPr>
            <sz val="9"/>
            <color indexed="81"/>
            <rFont val="Tahoma"/>
            <family val="2"/>
          </rPr>
          <t>FORM 40F PG 169</t>
        </r>
      </text>
    </comment>
    <comment ref="G25" authorId="0" shapeId="0" xr:uid="{7E757C84-DB2F-46F7-B4BC-A01256C35B0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ANNUAL REPORT PG 143</t>
        </r>
      </text>
    </comment>
    <comment ref="E26" authorId="1" shapeId="0" xr:uid="{A5F2C087-00B1-4953-A8FD-E3C878E7DAF0}">
      <text>
        <r>
          <rPr>
            <sz val="9"/>
            <color indexed="81"/>
            <rFont val="Tahoma"/>
            <family val="2"/>
          </rPr>
          <t>10K PG 121 NOTE 9</t>
        </r>
      </text>
    </comment>
    <comment ref="G26" authorId="0" shapeId="0" xr:uid="{6E17CE46-F0B5-41C0-AC40-9A5CDFF26AF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</authors>
  <commentList>
    <comment ref="J19" authorId="0" shapeId="0" xr:uid="{4D6F5400-ADE4-4DBD-BE11-DB20E3C3184B}">
      <text>
        <r>
          <rPr>
            <b/>
            <sz val="9"/>
            <color indexed="81"/>
            <rFont val="Tahoma"/>
            <charset val="1"/>
          </rPr>
          <t>rev3569:</t>
        </r>
        <r>
          <rPr>
            <sz val="9"/>
            <color indexed="81"/>
            <rFont val="Tahoma"/>
            <charset val="1"/>
          </rPr>
          <t xml:space="preserve">
Omitted due to outlier with gross cash flow</t>
        </r>
      </text>
    </comment>
  </commentList>
</comments>
</file>

<file path=xl/sharedStrings.xml><?xml version="1.0" encoding="utf-8"?>
<sst xmlns="http://schemas.openxmlformats.org/spreadsheetml/2006/main" count="1467" uniqueCount="500">
  <si>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</si>
  <si>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</si>
  <si>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</si>
  <si>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</si>
  <si>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</si>
  <si>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</si>
  <si>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</si>
  <si>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</si>
  <si>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</si>
  <si>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</si>
  <si>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</si>
  <si>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</si>
  <si>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</si>
  <si>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</si>
  <si>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</si>
  <si>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</si>
  <si>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</si>
  <si>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</si>
  <si>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</si>
  <si>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</si>
  <si>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</si>
  <si>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</si>
  <si>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</si>
  <si>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</si>
  <si>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</si>
  <si>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</si>
  <si>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B++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</si>
  <si>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</si>
  <si>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</si>
  <si>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</si>
  <si>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</si>
  <si>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</si>
  <si>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</si>
  <si>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</si>
  <si>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</si>
  <si>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</si>
  <si>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</si>
  <si>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</si>
  <si>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</si>
  <si>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</si>
  <si>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</si>
  <si>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</si>
  <si>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</si>
  <si>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</si>
  <si>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</si>
  <si>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</si>
  <si>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</si>
  <si>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</si>
  <si>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</si>
  <si>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</si>
  <si>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</si>
  <si>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</si>
  <si>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</si>
  <si>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</si>
  <si>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</si>
  <si>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</si>
  <si>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</si>
  <si>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</si>
  <si>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</si>
  <si>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</si>
  <si>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</si>
  <si>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</si>
  <si>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</si>
  <si>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</si>
  <si>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</si>
  <si>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</si>
  <si>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</si>
  <si>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</si>
  <si>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</si>
  <si>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</si>
  <si>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</si>
  <si>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</si>
  <si>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</si>
  <si>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</si>
  <si>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</si>
  <si>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</si>
  <si>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</si>
  <si>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</si>
  <si>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</si>
  <si>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</si>
  <si>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</si>
  <si>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</si>
  <si>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</si>
  <si>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</si>
  <si>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</si>
  <si>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</si>
  <si>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</si>
  <si>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</si>
  <si>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</si>
  <si>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</si>
  <si>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</si>
  <si>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</si>
  <si>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</si>
  <si>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</si>
  <si>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</si>
  <si>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</si>
  <si>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</si>
  <si>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</si>
  <si>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</si>
  <si>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</si>
  <si>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</si>
  <si>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</si>
  <si>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</si>
  <si>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</si>
  <si>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</si>
  <si>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</si>
  <si>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</si>
  <si>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</si>
  <si>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</si>
  <si>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</si>
  <si>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</si>
  <si>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</si>
  <si>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</si>
  <si>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</si>
  <si>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</si>
  <si>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</si>
  <si>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</si>
  <si>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</si>
  <si>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</si>
  <si>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</si>
  <si>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</si>
  <si>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</si>
  <si>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</si>
  <si>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</si>
  <si>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</si>
  <si>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</si>
  <si>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</si>
  <si>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</si>
  <si>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</si>
  <si>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</si>
  <si>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</si>
  <si>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</si>
  <si>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</si>
  <si>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</si>
  <si>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</si>
  <si>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</si>
  <si>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</si>
  <si>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</si>
  <si>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</si>
  <si>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</si>
  <si>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</si>
  <si>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</si>
  <si>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</si>
  <si>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</si>
  <si>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</si>
  <si>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</si>
  <si>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</si>
  <si>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</si>
  <si>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</si>
  <si>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</si>
  <si>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</si>
  <si>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</si>
  <si>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</si>
  <si>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</si>
  <si>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</si>
  <si>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</si>
  <si>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</si>
  <si>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</si>
  <si>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</si>
  <si>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</si>
  <si>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</si>
  <si>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</si>
  <si>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</si>
  <si>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</si>
  <si>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</si>
  <si>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</si>
  <si>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</si>
  <si>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</si>
  <si>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 xml:space="preserve">Yield Equity Rate - DGM (Dividend Growth) &amp; DGM (Earnings Growth)  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</si>
  <si>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</si>
  <si>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</si>
  <si>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</si>
  <si>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</si>
  <si>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</si>
  <si>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</si>
  <si>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</si>
  <si>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</si>
  <si>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</si>
  <si>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</si>
  <si>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</si>
  <si>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</si>
  <si>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</si>
  <si>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</si>
  <si>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</si>
  <si>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</si>
  <si>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</si>
  <si>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</si>
  <si>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</si>
  <si>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</si>
  <si>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</si>
  <si>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</si>
  <si>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</si>
  <si>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</si>
  <si>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</si>
  <si>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</si>
  <si>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</si>
  <si>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</si>
  <si>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</si>
  <si>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</si>
  <si>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</si>
  <si>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</si>
  <si>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</si>
  <si>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</si>
  <si>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</si>
  <si>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</si>
  <si>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</si>
  <si>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</si>
  <si>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</si>
  <si>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</si>
  <si>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</si>
  <si>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</si>
  <si>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</si>
  <si>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</si>
  <si>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</si>
  <si>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</si>
  <si>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</si>
  <si>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</si>
  <si>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</si>
  <si>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</si>
  <si>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</si>
  <si>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</si>
  <si>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</si>
  <si>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</si>
  <si>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</si>
  <si>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</si>
  <si>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</si>
  <si>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</si>
  <si>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</si>
  <si>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</si>
  <si>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</si>
  <si>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</si>
  <si>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</si>
  <si>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</si>
  <si>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</si>
  <si>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</si>
  <si>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</si>
  <si>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</si>
  <si>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NOTE: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</si>
  <si>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</si>
  <si>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</si>
  <si>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</si>
  <si>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</si>
  <si>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</si>
  <si>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</si>
  <si>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</si>
  <si>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</si>
  <si>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</si>
  <si>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</si>
  <si>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</si>
  <si>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</si>
  <si>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</si>
  <si>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</si>
  <si>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</si>
  <si>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</si>
  <si>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</si>
  <si>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</si>
  <si>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</si>
  <si>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</si>
  <si>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</si>
  <si>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</si>
  <si>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</si>
  <si>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</si>
  <si>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</si>
  <si>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</si>
  <si>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</si>
  <si>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</si>
  <si>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</si>
  <si>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</si>
  <si>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</si>
  <si>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</si>
  <si>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</si>
  <si>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</si>
  <si>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</si>
  <si>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</si>
  <si>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</si>
  <si>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</si>
  <si>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</si>
  <si>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</si>
  <si>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</si>
  <si>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</si>
  <si>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</si>
  <si>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</si>
  <si>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</si>
  <si>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</si>
  <si>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</si>
  <si>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</si>
  <si>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</si>
  <si>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</si>
  <si>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*** Market value of operating leases for all companies including the airlines and railroads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</si>
  <si>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</si>
  <si>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</si>
  <si>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</si>
  <si>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</si>
  <si>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</si>
  <si>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</si>
  <si>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</si>
  <si>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</si>
  <si>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</si>
  <si>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</si>
  <si>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</si>
  <si>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</si>
  <si>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</si>
  <si>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</si>
  <si>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</si>
  <si>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</si>
  <si>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</si>
  <si>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</si>
  <si>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</si>
  <si>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</si>
  <si>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</si>
  <si>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</si>
  <si>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</si>
  <si>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</si>
  <si>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</si>
  <si>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</si>
  <si>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</si>
  <si>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</si>
  <si>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</si>
  <si>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</si>
  <si>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</si>
  <si>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</si>
  <si>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</si>
  <si>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</si>
  <si>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</si>
  <si>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</si>
  <si>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</si>
  <si>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</si>
  <si>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</si>
  <si>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</si>
  <si>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</si>
  <si>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</si>
  <si>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</si>
  <si>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</si>
  <si>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</si>
  <si>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</si>
  <si>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</si>
  <si>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CS+LTD +PS + OL</t>
  </si>
  <si>
    <t>&amp; Op Leases</t>
  </si>
  <si>
    <t xml:space="preserve">For rate based companies, the maximum allowed  'rate of return' established by state regulators is not comparable (a mismatch) to the 'cost of equity' calculated above.   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</si>
  <si>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</si>
  <si>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</si>
  <si>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</si>
  <si>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</si>
  <si>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</si>
  <si>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</si>
  <si>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</si>
  <si>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Pipeline MLPs</t>
  </si>
  <si>
    <t>Energy Transfer LP</t>
  </si>
  <si>
    <t>ET</t>
  </si>
  <si>
    <t>Enterprise Products Partnership LP</t>
  </si>
  <si>
    <t>EPD</t>
  </si>
  <si>
    <t>Companies to consider in the study &gt;</t>
  </si>
  <si>
    <t>General Partner Units</t>
  </si>
  <si>
    <t>Gross Book Value Equity</t>
  </si>
  <si>
    <t>GROSS REVENUE &amp; GROSS BOOK (EQUITY) MULTIPLES</t>
  </si>
  <si>
    <t>Multiple *</t>
  </si>
  <si>
    <t>* This multiple is applicable to service type companies, or those with few assets.  These companies sell at prices related to their revenues.</t>
  </si>
  <si>
    <t>** The book value, or common equity, per share is total owners' equity minus preferred stock divided by the number of common shares outstanding.</t>
  </si>
  <si>
    <t xml:space="preserve">Property, Plant &amp; Equipment includes CWIP, but should exclude intangibles and the associated amortization.  </t>
  </si>
  <si>
    <t>Common Total Equity excludes 'noncontrolling interests' equity value.</t>
  </si>
  <si>
    <t xml:space="preserve">http://www.federalreserve.gov/Releases/H15/Current/ </t>
  </si>
  <si>
    <t>Projected 1 Yr</t>
  </si>
  <si>
    <t>Earnings Per Share Growth Rate</t>
  </si>
  <si>
    <t>Estimated 20-22 to 26-28</t>
  </si>
  <si>
    <t>Enbridge Inc</t>
  </si>
  <si>
    <t>ENB.TO</t>
  </si>
  <si>
    <t>Oil &amp; Gas Distribution</t>
  </si>
  <si>
    <t>Kinder Morgan Inc</t>
  </si>
  <si>
    <t>KMI</t>
  </si>
  <si>
    <t>ONEOK Inc</t>
  </si>
  <si>
    <t>OKE</t>
  </si>
  <si>
    <t>TC Energy Corp</t>
  </si>
  <si>
    <t>TRP</t>
  </si>
  <si>
    <t>Williams Companys Inc</t>
  </si>
  <si>
    <t>WMB</t>
  </si>
  <si>
    <t>Antero Midstream Corp (AM) - This company is engaged in gas gathering, processing, well clean-up, compression, and well completion operations</t>
  </si>
  <si>
    <t>Clean Energy Fuels (CLNE) - Provides compressed gas to service stations and gas leased vehicles.</t>
  </si>
  <si>
    <t>Pembina Pipeline (PPL.TO) Candian location.  Does have pipelines for gas &amp; oil tranportation in western Canada.</t>
  </si>
  <si>
    <t>World Fuel Services (INT) - This company sells marine and aviation fuel products.</t>
  </si>
  <si>
    <t>Companies added to the study &gt;</t>
  </si>
  <si>
    <t>Cheniere Energy - LNG business.  Pipelines in the Gulf coast area</t>
  </si>
  <si>
    <t>Per Share  or Unit**</t>
  </si>
  <si>
    <t>US Dollars</t>
  </si>
  <si>
    <t xml:space="preserve">Risk Free Rate (Rf) 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</si>
  <si>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</si>
  <si>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</si>
  <si>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</si>
  <si>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</si>
  <si>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Mean</t>
  </si>
  <si>
    <t xml:space="preserve">S&amp;P Rating </t>
  </si>
  <si>
    <t>A market to book ratio over one would be an indication of no obsolescence.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</si>
  <si>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</si>
  <si>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</si>
  <si>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</si>
  <si>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Natural Gas Transmission Pipeline Carrier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</si>
  <si>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</si>
  <si>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</si>
  <si>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</si>
  <si>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</si>
  <si>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</si>
  <si>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</si>
  <si>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</si>
  <si>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</si>
  <si>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</si>
  <si>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</si>
  <si>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 KROLL ERP Supply Side</t>
  </si>
  <si>
    <t>CAPM - Ex Ante 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</si>
  <si>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</si>
  <si>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</si>
  <si>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</si>
  <si>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</si>
  <si>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 KROLL ERP Supply Side</t>
  </si>
  <si>
    <t>Empirical CAPM - Ex Ante  KROLL ERP Conditional</t>
  </si>
  <si>
    <t>Damodaran Implied ERP Ex Ante   Avg CF Yield Last 10 Yrs (3)</t>
  </si>
  <si>
    <t>P. Fernandez, T. Garcia de Santos &amp; J.F.Acin  (5)</t>
  </si>
  <si>
    <t>CAPM - Ex Ante  Damodaran Avg CF Yield Last 10 Yrs</t>
  </si>
  <si>
    <t>Empirical CAPM - Ex Ante  Damodaran Avg CF Yield Last 10 Yrs</t>
  </si>
  <si>
    <t xml:space="preserve">DCP Midstream (DCP) - Company sold to Philips 66 </t>
  </si>
  <si>
    <t>Corporate                          December Avg</t>
  </si>
  <si>
    <t>Utility                                                December Avg</t>
  </si>
  <si>
    <t>na</t>
  </si>
  <si>
    <t>2025 Tax Year</t>
  </si>
  <si>
    <t>YEAR END 12/31/2024</t>
  </si>
  <si>
    <t>2025 CAPITALIZATION RATE STUDY</t>
  </si>
  <si>
    <t>Dec. 31, 2024</t>
  </si>
  <si>
    <t>Vl Projected 2025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</si>
  <si>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</si>
  <si>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</si>
  <si>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</si>
  <si>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</si>
  <si>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</si>
  <si>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</si>
  <si>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</si>
  <si>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</si>
  <si>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</si>
  <si>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</si>
  <si>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</si>
  <si>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</si>
  <si>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</si>
  <si>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</si>
  <si>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</si>
  <si>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</si>
  <si>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</si>
  <si>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</si>
  <si>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</si>
  <si>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</si>
  <si>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</si>
  <si>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</si>
  <si>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</si>
  <si>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</si>
  <si>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</si>
  <si>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</si>
  <si>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</si>
  <si>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</si>
  <si>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</si>
  <si>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</si>
  <si>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</si>
  <si>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</si>
  <si>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</si>
  <si>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</si>
  <si>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</si>
  <si>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</si>
  <si>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</si>
  <si>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</si>
  <si>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</si>
  <si>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</si>
  <si>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</si>
  <si>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</si>
  <si>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</si>
  <si>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</si>
  <si>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</si>
  <si>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</si>
  <si>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</si>
  <si>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</si>
  <si>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</si>
  <si>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</si>
  <si>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</si>
  <si>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</si>
  <si>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</si>
  <si>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</si>
  <si>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</si>
  <si>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</si>
  <si>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>Three Stage Ex Ante  Version 1  (1)</t>
  </si>
  <si>
    <t>Three Stage Ex Ante  Version 2   (2)</t>
  </si>
  <si>
    <t>Canadian Conversion = .6948 USD</t>
  </si>
  <si>
    <t>Enlink Midstream (ENLC) - Bought by ONEOK INC. No longer Publicly Traded</t>
  </si>
  <si>
    <t>NMF</t>
  </si>
  <si>
    <t>Estimated 21-23 to 28-30</t>
  </si>
  <si>
    <t>Vl Projected 2026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</si>
  <si>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28-30 Yr Projected VL)</t>
    </r>
  </si>
  <si>
    <t>Moody's Bond</t>
  </si>
  <si>
    <t>Moody's Rating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</si>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</sst>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.000_);_(* \(#,##0.000\);_(* &quot;-&quot;??_);_(@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color rgb="FF0000CC"/>
      <name val="Microsoft GothicNeo"/>
      <family val="2"/>
      <charset val="129"/>
    </font>
    <font>
      <sz val="12"/>
      <color rgb="FF000000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color rgb="FF000000"/>
      <name val="Microsoft GothicNeo"/>
      <family val="2"/>
      <charset val="129"/>
    </font>
    <font>
      <b/>
      <sz val="9"/>
      <name val="Microsoft GothicNeo"/>
      <family val="2"/>
      <charset val="129"/>
    </font>
    <font>
      <i/>
      <sz val="12"/>
      <color theme="1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b/>
      <i/>
      <sz val="14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1"/>
      <color theme="1"/>
      <name val="Microsoft GothicNeo Light"/>
      <family val="2"/>
      <charset val="129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</cellStyleXfs>
  <cellXfs count="47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43" fontId="22" fillId="0" borderId="0" xfId="1" applyFont="1" applyAlignment="1">
      <alignment horizontal="right" vertical="center"/>
    </xf>
    <xf numFmtId="43" fontId="22" fillId="0" borderId="0" xfId="1" applyFont="1" applyFill="1" applyAlignment="1">
      <alignment horizontal="right" vertical="center"/>
    </xf>
    <xf numFmtId="43" fontId="21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0" xfId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5" xfId="0" applyFont="1" applyBorder="1"/>
    <xf numFmtId="0" fontId="19" fillId="0" borderId="2" xfId="0" applyFont="1" applyBorder="1"/>
    <xf numFmtId="0" fontId="27" fillId="0" borderId="2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0" xfId="0" applyFont="1"/>
    <xf numFmtId="166" fontId="22" fillId="0" borderId="0" xfId="1" applyNumberFormat="1" applyFont="1" applyFill="1" applyAlignment="1">
      <alignment horizontal="center"/>
    </xf>
    <xf numFmtId="166" fontId="22" fillId="0" borderId="0" xfId="1" applyNumberFormat="1" applyFont="1" applyFill="1"/>
    <xf numFmtId="0" fontId="21" fillId="0" borderId="4" xfId="0" applyFont="1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Border="1" applyAlignment="1">
      <alignment horizontal="center" vertical="center"/>
    </xf>
    <xf numFmtId="10" fontId="22" fillId="0" borderId="0" xfId="2" applyNumberFormat="1" applyFont="1" applyAlignment="1">
      <alignment horizontal="right" vertical="center"/>
    </xf>
    <xf numFmtId="10" fontId="22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center"/>
    </xf>
    <xf numFmtId="10" fontId="21" fillId="0" borderId="0" xfId="2" applyNumberFormat="1" applyFont="1" applyFill="1"/>
    <xf numFmtId="0" fontId="19" fillId="2" borderId="19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64" fontId="38" fillId="0" borderId="0" xfId="1" applyNumberFormat="1" applyFont="1" applyAlignment="1"/>
    <xf numFmtId="2" fontId="22" fillId="0" borderId="0" xfId="0" applyNumberFormat="1" applyFont="1" applyAlignment="1">
      <alignment horizontal="center"/>
    </xf>
    <xf numFmtId="0" fontId="34" fillId="0" borderId="0" xfId="0" applyFont="1"/>
    <xf numFmtId="43" fontId="24" fillId="0" borderId="0" xfId="1" applyFont="1" applyFill="1"/>
    <xf numFmtId="2" fontId="38" fillId="0" borderId="4" xfId="0" applyNumberFormat="1" applyFont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0" borderId="4" xfId="0" applyFont="1" applyBorder="1"/>
    <xf numFmtId="2" fontId="22" fillId="0" borderId="0" xfId="0" applyNumberFormat="1" applyFont="1" applyAlignment="1">
      <alignment horizontal="right" vertical="center"/>
    </xf>
    <xf numFmtId="2" fontId="21" fillId="0" borderId="0" xfId="0" applyNumberFormat="1" applyFont="1" applyAlignment="1">
      <alignment horizontal="right"/>
    </xf>
    <xf numFmtId="10" fontId="21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16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21" fillId="0" borderId="0" xfId="2" applyNumberFormat="1" applyFont="1"/>
    <xf numFmtId="10" fontId="21" fillId="0" borderId="0" xfId="1" applyNumberFormat="1" applyFont="1" applyFill="1"/>
    <xf numFmtId="10" fontId="43" fillId="0" borderId="0" xfId="2" applyNumberFormat="1" applyFont="1" applyFill="1" applyAlignment="1">
      <alignment horizontal="center"/>
    </xf>
    <xf numFmtId="164" fontId="21" fillId="0" borderId="0" xfId="1" applyNumberFormat="1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34" fillId="0" borderId="7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0" xfId="0" applyFont="1" applyAlignment="1">
      <alignment horizontal="center"/>
    </xf>
    <xf numFmtId="15" fontId="34" fillId="0" borderId="9" xfId="0" applyNumberFormat="1" applyFont="1" applyBorder="1" applyAlignment="1">
      <alignment horizontal="center"/>
    </xf>
    <xf numFmtId="15" fontId="34" fillId="0" borderId="0" xfId="0" quotePrefix="1" applyNumberFormat="1" applyFont="1" applyAlignment="1">
      <alignment horizontal="center"/>
    </xf>
    <xf numFmtId="0" fontId="22" fillId="0" borderId="9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4" fillId="0" borderId="9" xfId="0" applyFont="1" applyBorder="1"/>
    <xf numFmtId="0" fontId="34" fillId="0" borderId="7" xfId="0" applyFont="1" applyBorder="1"/>
    <xf numFmtId="0" fontId="38" fillId="0" borderId="0" xfId="0" applyFont="1" applyAlignment="1">
      <alignment horizontal="center"/>
    </xf>
    <xf numFmtId="2" fontId="38" fillId="0" borderId="9" xfId="0" applyNumberFormat="1" applyFont="1" applyBorder="1" applyAlignment="1">
      <alignment horizontal="center"/>
    </xf>
    <xf numFmtId="3" fontId="38" fillId="0" borderId="0" xfId="0" applyNumberFormat="1" applyFont="1"/>
    <xf numFmtId="0" fontId="37" fillId="0" borderId="0" xfId="0" applyFont="1"/>
    <xf numFmtId="0" fontId="45" fillId="0" borderId="2" xfId="0" applyFont="1" applyBorder="1"/>
    <xf numFmtId="0" fontId="37" fillId="0" borderId="2" xfId="0" applyFont="1" applyBorder="1"/>
    <xf numFmtId="0" fontId="37" fillId="0" borderId="5" xfId="0" applyFont="1" applyBorder="1"/>
    <xf numFmtId="0" fontId="37" fillId="0" borderId="6" xfId="0" applyFont="1" applyBorder="1"/>
    <xf numFmtId="15" fontId="34" fillId="0" borderId="6" xfId="0" quotePrefix="1" applyNumberFormat="1" applyFont="1" applyBorder="1" applyAlignment="1">
      <alignment horizontal="center"/>
    </xf>
    <xf numFmtId="0" fontId="19" fillId="0" borderId="6" xfId="0" applyFont="1" applyBorder="1"/>
    <xf numFmtId="0" fontId="34" fillId="0" borderId="1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164" fontId="38" fillId="0" borderId="0" xfId="1" applyNumberFormat="1" applyFont="1" applyFill="1" applyBorder="1"/>
    <xf numFmtId="0" fontId="37" fillId="0" borderId="8" xfId="0" applyFont="1" applyBorder="1"/>
    <xf numFmtId="0" fontId="37" fillId="0" borderId="13" xfId="0" applyFont="1" applyBorder="1"/>
    <xf numFmtId="0" fontId="34" fillId="0" borderId="0" xfId="0" applyFont="1" applyAlignment="1">
      <alignment horizontal="right"/>
    </xf>
    <xf numFmtId="164" fontId="21" fillId="0" borderId="0" xfId="0" applyNumberFormat="1" applyFont="1"/>
    <xf numFmtId="10" fontId="34" fillId="0" borderId="0" xfId="0" applyNumberFormat="1" applyFont="1" applyAlignment="1">
      <alignment horizontal="right"/>
    </xf>
    <xf numFmtId="10" fontId="34" fillId="0" borderId="0" xfId="2" applyNumberFormat="1" applyFont="1" applyFill="1"/>
    <xf numFmtId="10" fontId="34" fillId="0" borderId="0" xfId="2" applyNumberFormat="1" applyFont="1"/>
    <xf numFmtId="2" fontId="19" fillId="0" borderId="0" xfId="0" applyNumberFormat="1" applyFont="1"/>
    <xf numFmtId="0" fontId="28" fillId="0" borderId="0" xfId="0" applyFont="1" applyAlignment="1">
      <alignment horizontal="right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165" fontId="21" fillId="0" borderId="0" xfId="3" applyNumberFormat="1" applyFont="1" applyFill="1" applyAlignment="1">
      <alignment horizontal="center"/>
    </xf>
    <xf numFmtId="164" fontId="22" fillId="0" borderId="0" xfId="1" applyNumberFormat="1" applyFont="1" applyFill="1"/>
    <xf numFmtId="10" fontId="22" fillId="0" borderId="0" xfId="2" applyNumberFormat="1" applyFont="1" applyFill="1"/>
    <xf numFmtId="0" fontId="28" fillId="0" borderId="2" xfId="0" applyFont="1" applyBorder="1" applyAlignment="1">
      <alignment horizontal="center"/>
    </xf>
    <xf numFmtId="10" fontId="38" fillId="0" borderId="0" xfId="2" applyNumberFormat="1" applyFont="1" applyFill="1" applyAlignment="1">
      <alignment horizontal="center"/>
    </xf>
    <xf numFmtId="10" fontId="38" fillId="0" borderId="0" xfId="2" applyNumberFormat="1" applyFont="1" applyFill="1"/>
    <xf numFmtId="2" fontId="48" fillId="0" borderId="0" xfId="0" applyNumberFormat="1" applyFont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2" applyNumberFormat="1" applyFont="1" applyBorder="1"/>
    <xf numFmtId="10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/>
    <xf numFmtId="0" fontId="34" fillId="0" borderId="0" xfId="0" applyFont="1" applyAlignment="1">
      <alignment horizontal="left"/>
    </xf>
    <xf numFmtId="10" fontId="19" fillId="0" borderId="0" xfId="0" applyNumberFormat="1" applyFont="1"/>
    <xf numFmtId="0" fontId="18" fillId="0" borderId="0" xfId="6"/>
    <xf numFmtId="0" fontId="49" fillId="0" borderId="2" xfId="0" applyFont="1" applyBorder="1"/>
    <xf numFmtId="0" fontId="0" fillId="0" borderId="2" xfId="0" applyBorder="1"/>
    <xf numFmtId="0" fontId="28" fillId="0" borderId="2" xfId="0" applyFont="1" applyBorder="1"/>
    <xf numFmtId="0" fontId="19" fillId="0" borderId="5" xfId="0" applyFont="1" applyBorder="1"/>
    <xf numFmtId="0" fontId="19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50" fillId="0" borderId="0" xfId="0" applyFont="1"/>
    <xf numFmtId="0" fontId="2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9" fillId="0" borderId="32" xfId="0" applyFont="1" applyBorder="1"/>
    <xf numFmtId="0" fontId="34" fillId="0" borderId="30" xfId="0" applyFont="1" applyBorder="1"/>
    <xf numFmtId="0" fontId="34" fillId="0" borderId="19" xfId="0" applyFont="1" applyBorder="1"/>
    <xf numFmtId="0" fontId="34" fillId="0" borderId="1" xfId="0" applyFont="1" applyBorder="1"/>
    <xf numFmtId="10" fontId="38" fillId="0" borderId="0" xfId="2" applyNumberFormat="1" applyFont="1" applyAlignment="1">
      <alignment horizontal="right" vertical="center"/>
    </xf>
    <xf numFmtId="43" fontId="38" fillId="0" borderId="0" xfId="1" applyFont="1" applyAlignment="1">
      <alignment horizontal="right" vertical="center"/>
    </xf>
    <xf numFmtId="43" fontId="38" fillId="0" borderId="0" xfId="1" applyFont="1" applyFill="1" applyAlignment="1">
      <alignment horizontal="right" vertical="center"/>
    </xf>
    <xf numFmtId="10" fontId="34" fillId="0" borderId="0" xfId="2" applyNumberFormat="1" applyFont="1" applyFill="1" applyAlignment="1">
      <alignment horizontal="right"/>
    </xf>
    <xf numFmtId="43" fontId="34" fillId="0" borderId="0" xfId="1" applyFont="1" applyFill="1" applyAlignment="1">
      <alignment horizontal="right"/>
    </xf>
    <xf numFmtId="43" fontId="34" fillId="0" borderId="0" xfId="1" applyFont="1" applyFill="1"/>
    <xf numFmtId="0" fontId="34" fillId="0" borderId="0" xfId="0" applyFont="1" applyAlignment="1">
      <alignment horizontal="center" vertical="center"/>
    </xf>
    <xf numFmtId="44" fontId="38" fillId="0" borderId="0" xfId="3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44" fillId="0" borderId="0" xfId="0" applyFont="1"/>
    <xf numFmtId="0" fontId="0" fillId="0" borderId="33" xfId="0" applyBorder="1"/>
    <xf numFmtId="0" fontId="19" fillId="0" borderId="31" xfId="0" applyFont="1" applyBorder="1"/>
    <xf numFmtId="0" fontId="24" fillId="0" borderId="33" xfId="0" applyFont="1" applyBorder="1" applyAlignment="1">
      <alignment horizontal="right"/>
    </xf>
    <xf numFmtId="0" fontId="23" fillId="0" borderId="31" xfId="0" applyFont="1" applyBorder="1"/>
    <xf numFmtId="0" fontId="23" fillId="0" borderId="33" xfId="0" applyFont="1" applyBorder="1" applyAlignment="1">
      <alignment horizontal="right"/>
    </xf>
    <xf numFmtId="0" fontId="23" fillId="0" borderId="33" xfId="0" applyFont="1" applyBorder="1"/>
    <xf numFmtId="0" fontId="19" fillId="0" borderId="33" xfId="0" applyFont="1" applyBorder="1"/>
    <xf numFmtId="0" fontId="34" fillId="0" borderId="7" xfId="0" applyFont="1" applyBorder="1" applyAlignment="1">
      <alignment horizontal="center" vertical="center"/>
    </xf>
    <xf numFmtId="10" fontId="34" fillId="0" borderId="0" xfId="2" applyNumberFormat="1" applyFont="1" applyBorder="1" applyAlignment="1">
      <alignment horizontal="center" vertical="center"/>
    </xf>
    <xf numFmtId="10" fontId="34" fillId="0" borderId="12" xfId="2" applyNumberFormat="1" applyFont="1" applyBorder="1" applyAlignment="1">
      <alignment horizontal="center" vertical="center"/>
    </xf>
    <xf numFmtId="0" fontId="37" fillId="0" borderId="7" xfId="0" applyFont="1" applyBorder="1"/>
    <xf numFmtId="0" fontId="37" fillId="0" borderId="12" xfId="0" applyFont="1" applyBorder="1"/>
    <xf numFmtId="0" fontId="0" fillId="3" borderId="0" xfId="0" applyFill="1"/>
    <xf numFmtId="0" fontId="24" fillId="0" borderId="15" xfId="0" applyFont="1" applyBorder="1" applyAlignment="1">
      <alignment horizontal="center" vertical="center"/>
    </xf>
    <xf numFmtId="0" fontId="52" fillId="0" borderId="0" xfId="0" applyFont="1"/>
    <xf numFmtId="0" fontId="24" fillId="0" borderId="15" xfId="0" applyFont="1" applyBorder="1" applyAlignment="1">
      <alignment horizontal="right"/>
    </xf>
    <xf numFmtId="2" fontId="34" fillId="0" borderId="15" xfId="0" applyNumberFormat="1" applyFont="1" applyBorder="1" applyAlignment="1">
      <alignment horizontal="center"/>
    </xf>
    <xf numFmtId="43" fontId="34" fillId="0" borderId="0" xfId="1" applyFont="1" applyBorder="1" applyAlignment="1">
      <alignment horizontal="center" vertical="center"/>
    </xf>
    <xf numFmtId="43" fontId="34" fillId="0" borderId="0" xfId="1" applyFont="1" applyBorder="1" applyAlignment="1">
      <alignment vertical="center"/>
    </xf>
    <xf numFmtId="10" fontId="34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4" fillId="0" borderId="0" xfId="2" applyNumberFormat="1" applyFont="1" applyFill="1" applyBorder="1" applyAlignment="1">
      <alignment horizontal="center" vertical="center"/>
    </xf>
    <xf numFmtId="0" fontId="34" fillId="0" borderId="29" xfId="0" applyFont="1" applyBorder="1"/>
    <xf numFmtId="0" fontId="34" fillId="0" borderId="20" xfId="0" applyFont="1" applyBorder="1"/>
    <xf numFmtId="0" fontId="34" fillId="0" borderId="22" xfId="0" applyFont="1" applyBorder="1"/>
    <xf numFmtId="0" fontId="19" fillId="0" borderId="23" xfId="0" applyFont="1" applyBorder="1"/>
    <xf numFmtId="10" fontId="28" fillId="0" borderId="3" xfId="2" applyNumberFormat="1" applyFont="1" applyBorder="1" applyAlignment="1">
      <alignment horizontal="center" vertical="center"/>
    </xf>
    <xf numFmtId="164" fontId="21" fillId="0" borderId="0" xfId="1" applyNumberFormat="1" applyFont="1" applyFill="1" applyAlignment="1">
      <alignment horizontal="center"/>
    </xf>
    <xf numFmtId="164" fontId="21" fillId="0" borderId="0" xfId="1" applyNumberFormat="1" applyFont="1" applyFill="1" applyAlignment="1"/>
    <xf numFmtId="2" fontId="24" fillId="0" borderId="15" xfId="0" applyNumberFormat="1" applyFont="1" applyBorder="1" applyAlignment="1">
      <alignment horizontal="center"/>
    </xf>
    <xf numFmtId="10" fontId="24" fillId="0" borderId="15" xfId="2" applyNumberFormat="1" applyFont="1" applyBorder="1" applyAlignment="1">
      <alignment horizontal="center"/>
    </xf>
    <xf numFmtId="2" fontId="24" fillId="0" borderId="15" xfId="0" applyNumberFormat="1" applyFont="1" applyBorder="1" applyAlignment="1">
      <alignment horizontal="center" vertical="center"/>
    </xf>
    <xf numFmtId="10" fontId="24" fillId="0" borderId="15" xfId="2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right" vertical="center"/>
    </xf>
    <xf numFmtId="0" fontId="30" fillId="0" borderId="16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6" fillId="0" borderId="0" xfId="0" applyFont="1"/>
    <xf numFmtId="0" fontId="53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4" fillId="0" borderId="0" xfId="0" applyFont="1"/>
    <xf numFmtId="0" fontId="37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51" fillId="0" borderId="0" xfId="0" applyFont="1"/>
    <xf numFmtId="10" fontId="28" fillId="0" borderId="9" xfId="2" applyNumberFormat="1" applyFont="1" applyFill="1" applyBorder="1" applyAlignment="1">
      <alignment horizontal="center" vertical="center"/>
    </xf>
    <xf numFmtId="43" fontId="24" fillId="0" borderId="15" xfId="1" applyFont="1" applyBorder="1" applyAlignment="1">
      <alignment horizontal="center" vertical="center"/>
    </xf>
    <xf numFmtId="167" fontId="38" fillId="0" borderId="15" xfId="1" applyNumberFormat="1" applyFont="1" applyFill="1" applyBorder="1"/>
    <xf numFmtId="15" fontId="34" fillId="0" borderId="23" xfId="0" applyNumberFormat="1" applyFont="1" applyBorder="1" applyAlignment="1">
      <alignment horizontal="center"/>
    </xf>
    <xf numFmtId="15" fontId="34" fillId="0" borderId="11" xfId="0" applyNumberFormat="1" applyFont="1" applyBorder="1" applyAlignment="1">
      <alignment horizontal="center"/>
    </xf>
    <xf numFmtId="15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Border="1"/>
    <xf numFmtId="0" fontId="34" fillId="0" borderId="1" xfId="0" applyFont="1" applyBorder="1" applyAlignment="1">
      <alignment horizontal="center"/>
    </xf>
    <xf numFmtId="10" fontId="38" fillId="0" borderId="1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center"/>
    </xf>
    <xf numFmtId="43" fontId="38" fillId="0" borderId="0" xfId="1" applyFont="1" applyAlignment="1">
      <alignment horizontal="center"/>
    </xf>
    <xf numFmtId="43" fontId="38" fillId="0" borderId="0" xfId="1" applyFont="1" applyFill="1" applyAlignment="1">
      <alignment horizontal="center"/>
    </xf>
    <xf numFmtId="0" fontId="50" fillId="0" borderId="0" xfId="0" applyFont="1" applyAlignment="1">
      <alignment horizontal="right"/>
    </xf>
    <xf numFmtId="43" fontId="50" fillId="0" borderId="0" xfId="0" applyNumberFormat="1" applyFont="1"/>
    <xf numFmtId="2" fontId="50" fillId="0" borderId="0" xfId="0" applyNumberFormat="1" applyFont="1"/>
    <xf numFmtId="0" fontId="34" fillId="0" borderId="5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8" fillId="0" borderId="9" xfId="1" applyNumberFormat="1" applyFont="1" applyFill="1" applyBorder="1" applyAlignment="1">
      <alignment horizontal="center"/>
    </xf>
    <xf numFmtId="164" fontId="38" fillId="0" borderId="12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0" fontId="38" fillId="0" borderId="0" xfId="2" applyNumberFormat="1" applyFont="1" applyFill="1" applyBorder="1" applyAlignment="1">
      <alignment horizontal="center"/>
    </xf>
    <xf numFmtId="10" fontId="38" fillId="0" borderId="0" xfId="2" applyNumberFormat="1" applyFont="1" applyBorder="1" applyAlignment="1">
      <alignment horizontal="center" vertical="center"/>
    </xf>
    <xf numFmtId="10" fontId="28" fillId="0" borderId="3" xfId="2" applyNumberFormat="1" applyFont="1" applyFill="1" applyBorder="1" applyAlignment="1">
      <alignment horizontal="center" vertical="center"/>
    </xf>
    <xf numFmtId="0" fontId="28" fillId="0" borderId="31" xfId="0" applyFont="1" applyBorder="1"/>
    <xf numFmtId="0" fontId="19" fillId="0" borderId="32" xfId="0" applyFont="1" applyBorder="1"/>
    <xf numFmtId="0" fontId="34" fillId="0" borderId="31" xfId="0" applyFont="1" applyBorder="1"/>
    <xf numFmtId="0" fontId="34" fillId="0" borderId="33" xfId="0" applyFont="1" applyBorder="1"/>
    <xf numFmtId="15" fontId="34" fillId="0" borderId="6" xfId="0" applyNumberFormat="1" applyFont="1" applyBorder="1" applyAlignment="1">
      <alignment horizontal="center"/>
    </xf>
    <xf numFmtId="15" fontId="34" fillId="0" borderId="0" xfId="0" applyNumberFormat="1" applyFont="1" applyAlignment="1">
      <alignment horizontal="center"/>
    </xf>
    <xf numFmtId="0" fontId="57" fillId="0" borderId="0" xfId="0" applyFont="1"/>
    <xf numFmtId="0" fontId="34" fillId="0" borderId="11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10" fontId="36" fillId="0" borderId="0" xfId="2" applyNumberFormat="1" applyFont="1" applyFill="1" applyBorder="1"/>
    <xf numFmtId="0" fontId="38" fillId="2" borderId="19" xfId="0" applyFont="1" applyFill="1" applyBorder="1"/>
    <xf numFmtId="0" fontId="58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center"/>
    </xf>
    <xf numFmtId="0" fontId="28" fillId="0" borderId="27" xfId="0" applyFont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34" fillId="0" borderId="15" xfId="0" applyFont="1" applyBorder="1" applyAlignment="1">
      <alignment horizontal="right"/>
    </xf>
    <xf numFmtId="0" fontId="34" fillId="0" borderId="8" xfId="0" applyFont="1" applyBorder="1"/>
    <xf numFmtId="164" fontId="38" fillId="0" borderId="3" xfId="1" applyNumberFormat="1" applyFont="1" applyFill="1" applyBorder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164" fontId="0" fillId="0" borderId="0" xfId="1" applyNumberFormat="1" applyFont="1"/>
    <xf numFmtId="164" fontId="21" fillId="0" borderId="0" xfId="0" applyNumberFormat="1" applyFont="1" applyAlignment="1">
      <alignment horizontal="right"/>
    </xf>
    <xf numFmtId="10" fontId="38" fillId="0" borderId="15" xfId="2" applyNumberFormat="1" applyFont="1" applyFill="1" applyBorder="1"/>
    <xf numFmtId="43" fontId="24" fillId="0" borderId="15" xfId="1" applyFont="1" applyFill="1" applyBorder="1" applyAlignment="1">
      <alignment horizontal="center" vertical="center"/>
    </xf>
    <xf numFmtId="0" fontId="0" fillId="0" borderId="6" xfId="0" applyBorder="1"/>
    <xf numFmtId="10" fontId="22" fillId="0" borderId="0" xfId="2" applyNumberFormat="1" applyFont="1" applyFill="1" applyAlignment="1">
      <alignment horizontal="center" vertical="center"/>
    </xf>
    <xf numFmtId="10" fontId="22" fillId="0" borderId="1" xfId="2" applyNumberFormat="1" applyFont="1" applyFill="1" applyBorder="1" applyAlignment="1">
      <alignment horizontal="center" vertical="center"/>
    </xf>
    <xf numFmtId="10" fontId="22" fillId="0" borderId="0" xfId="2" applyNumberFormat="1" applyFont="1" applyFill="1" applyAlignment="1">
      <alignment horizontal="right" vertical="center"/>
    </xf>
    <xf numFmtId="0" fontId="36" fillId="0" borderId="17" xfId="0" applyFont="1" applyBorder="1"/>
    <xf numFmtId="10" fontId="36" fillId="0" borderId="27" xfId="2" applyNumberFormat="1" applyFont="1" applyFill="1" applyBorder="1"/>
    <xf numFmtId="43" fontId="36" fillId="0" borderId="27" xfId="1" applyFont="1" applyFill="1" applyBorder="1"/>
    <xf numFmtId="0" fontId="36" fillId="0" borderId="27" xfId="0" applyFont="1" applyBorder="1"/>
    <xf numFmtId="2" fontId="36" fillId="0" borderId="27" xfId="0" applyNumberFormat="1" applyFont="1" applyBorder="1"/>
    <xf numFmtId="10" fontId="21" fillId="0" borderId="0" xfId="2" applyNumberFormat="1" applyFont="1" applyFill="1" applyAlignment="1">
      <alignment horizontal="right" vertical="center"/>
    </xf>
    <xf numFmtId="10" fontId="21" fillId="0" borderId="0" xfId="2" applyNumberFormat="1" applyFont="1" applyFill="1" applyBorder="1" applyAlignment="1">
      <alignment horizontal="right" vertical="center"/>
    </xf>
    <xf numFmtId="10" fontId="23" fillId="0" borderId="15" xfId="2" applyNumberFormat="1" applyFont="1" applyFill="1" applyBorder="1"/>
    <xf numFmtId="44" fontId="22" fillId="0" borderId="0" xfId="3" applyFont="1" applyFill="1" applyAlignment="1">
      <alignment horizontal="center"/>
    </xf>
    <xf numFmtId="10" fontId="23" fillId="0" borderId="15" xfId="2" applyNumberFormat="1" applyFont="1" applyFill="1" applyBorder="1" applyAlignment="1">
      <alignment horizontal="center"/>
    </xf>
    <xf numFmtId="0" fontId="60" fillId="0" borderId="0" xfId="0" applyFont="1"/>
    <xf numFmtId="0" fontId="19" fillId="0" borderId="22" xfId="0" applyFont="1" applyBorder="1"/>
    <xf numFmtId="0" fontId="0" fillId="0" borderId="32" xfId="0" applyBorder="1"/>
    <xf numFmtId="10" fontId="22" fillId="0" borderId="0" xfId="2" applyNumberFormat="1" applyFont="1" applyAlignment="1">
      <alignment horizontal="right"/>
    </xf>
    <xf numFmtId="0" fontId="15" fillId="0" borderId="0" xfId="0" applyFont="1" applyAlignment="1">
      <alignment horizontal="center"/>
    </xf>
    <xf numFmtId="3" fontId="38" fillId="0" borderId="3" xfId="0" applyNumberFormat="1" applyFont="1" applyBorder="1"/>
    <xf numFmtId="3" fontId="38" fillId="0" borderId="9" xfId="0" applyNumberFormat="1" applyFont="1" applyBorder="1"/>
    <xf numFmtId="164" fontId="22" fillId="0" borderId="0" xfId="1" applyNumberFormat="1" applyFont="1" applyFill="1" applyAlignment="1"/>
    <xf numFmtId="164" fontId="22" fillId="0" borderId="1" xfId="1" applyNumberFormat="1" applyFont="1" applyFill="1" applyBorder="1" applyAlignment="1"/>
    <xf numFmtId="43" fontId="22" fillId="0" borderId="1" xfId="1" applyFont="1" applyFill="1" applyBorder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43" fontId="38" fillId="0" borderId="1" xfId="1" applyFont="1" applyBorder="1" applyAlignment="1">
      <alignment horizontal="right" vertical="center"/>
    </xf>
    <xf numFmtId="43" fontId="38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10" fontId="22" fillId="0" borderId="1" xfId="2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/>
    </xf>
    <xf numFmtId="2" fontId="22" fillId="0" borderId="1" xfId="0" applyNumberFormat="1" applyFont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center" vertical="center"/>
    </xf>
    <xf numFmtId="10" fontId="28" fillId="0" borderId="2" xfId="2" applyNumberFormat="1" applyFont="1" applyBorder="1" applyAlignment="1">
      <alignment horizontal="center" vertical="center"/>
    </xf>
    <xf numFmtId="0" fontId="19" fillId="0" borderId="20" xfId="0" applyFont="1" applyBorder="1"/>
    <xf numFmtId="0" fontId="38" fillId="0" borderId="7" xfId="0" applyFont="1" applyBorder="1"/>
    <xf numFmtId="0" fontId="38" fillId="0" borderId="8" xfId="0" applyFont="1" applyBorder="1"/>
    <xf numFmtId="0" fontId="22" fillId="0" borderId="3" xfId="0" applyFont="1" applyBorder="1" applyAlignment="1">
      <alignment horizontal="center"/>
    </xf>
    <xf numFmtId="3" fontId="38" fillId="0" borderId="2" xfId="0" applyNumberFormat="1" applyFont="1" applyBorder="1"/>
    <xf numFmtId="164" fontId="38" fillId="0" borderId="2" xfId="1" applyNumberFormat="1" applyFont="1" applyFill="1" applyBorder="1"/>
    <xf numFmtId="0" fontId="20" fillId="0" borderId="19" xfId="0" applyFont="1" applyBorder="1"/>
    <xf numFmtId="0" fontId="34" fillId="0" borderId="37" xfId="0" applyFont="1" applyBorder="1" applyAlignment="1">
      <alignment horizontal="center"/>
    </xf>
    <xf numFmtId="10" fontId="22" fillId="0" borderId="4" xfId="2" applyNumberFormat="1" applyFont="1" applyFill="1" applyBorder="1" applyAlignment="1">
      <alignment horizontal="center"/>
    </xf>
    <xf numFmtId="10" fontId="48" fillId="0" borderId="0" xfId="2" applyNumberFormat="1" applyFont="1" applyFill="1" applyBorder="1" applyAlignment="1">
      <alignment horizontal="center"/>
    </xf>
    <xf numFmtId="10" fontId="27" fillId="0" borderId="0" xfId="2" applyNumberFormat="1" applyFont="1" applyFill="1" applyAlignment="1">
      <alignment horizontal="center"/>
    </xf>
    <xf numFmtId="2" fontId="38" fillId="0" borderId="3" xfId="0" applyNumberFormat="1" applyFont="1" applyBorder="1" applyAlignment="1">
      <alignment horizontal="center"/>
    </xf>
    <xf numFmtId="164" fontId="38" fillId="0" borderId="13" xfId="1" applyNumberFormat="1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10" fontId="34" fillId="0" borderId="1" xfId="2" applyNumberFormat="1" applyFont="1" applyFill="1" applyBorder="1"/>
    <xf numFmtId="2" fontId="22" fillId="0" borderId="0" xfId="0" applyNumberFormat="1" applyFont="1" applyAlignment="1">
      <alignment horizontal="right"/>
    </xf>
    <xf numFmtId="0" fontId="19" fillId="0" borderId="4" xfId="0" applyFont="1" applyBorder="1" applyAlignment="1">
      <alignment horizontal="right"/>
    </xf>
    <xf numFmtId="0" fontId="28" fillId="0" borderId="3" xfId="0" applyFont="1" applyBorder="1" applyAlignment="1">
      <alignment horizontal="center"/>
    </xf>
    <xf numFmtId="0" fontId="34" fillId="4" borderId="38" xfId="0" applyFont="1" applyFill="1" applyBorder="1"/>
    <xf numFmtId="10" fontId="38" fillId="4" borderId="38" xfId="2" applyNumberFormat="1" applyFont="1" applyFill="1" applyBorder="1" applyAlignment="1">
      <alignment horizontal="center"/>
    </xf>
    <xf numFmtId="0" fontId="19" fillId="0" borderId="19" xfId="0" applyFont="1" applyBorder="1"/>
    <xf numFmtId="0" fontId="34" fillId="4" borderId="19" xfId="0" applyFont="1" applyFill="1" applyBorder="1"/>
    <xf numFmtId="10" fontId="38" fillId="4" borderId="19" xfId="2" applyNumberFormat="1" applyFont="1" applyFill="1" applyBorder="1" applyAlignment="1">
      <alignment horizontal="center"/>
    </xf>
    <xf numFmtId="0" fontId="38" fillId="4" borderId="19" xfId="0" applyFont="1" applyFill="1" applyBorder="1"/>
    <xf numFmtId="10" fontId="19" fillId="0" borderId="19" xfId="2" applyNumberFormat="1" applyFont="1" applyFill="1" applyBorder="1"/>
    <xf numFmtId="10" fontId="19" fillId="0" borderId="19" xfId="0" applyNumberFormat="1" applyFont="1" applyBorder="1"/>
    <xf numFmtId="0" fontId="38" fillId="2" borderId="21" xfId="0" applyFont="1" applyFill="1" applyBorder="1"/>
    <xf numFmtId="10" fontId="38" fillId="2" borderId="26" xfId="2" applyNumberFormat="1" applyFont="1" applyFill="1" applyBorder="1" applyAlignment="1">
      <alignment horizontal="center"/>
    </xf>
    <xf numFmtId="0" fontId="38" fillId="0" borderId="17" xfId="0" applyFont="1" applyBorder="1"/>
    <xf numFmtId="10" fontId="38" fillId="0" borderId="27" xfId="2" applyNumberFormat="1" applyFont="1" applyFill="1" applyBorder="1" applyAlignment="1">
      <alignment horizontal="center"/>
    </xf>
    <xf numFmtId="2" fontId="38" fillId="0" borderId="0" xfId="0" applyNumberFormat="1" applyFont="1" applyAlignment="1">
      <alignment horizontal="right"/>
    </xf>
    <xf numFmtId="2" fontId="38" fillId="0" borderId="4" xfId="0" applyNumberFormat="1" applyFont="1" applyBorder="1" applyAlignment="1">
      <alignment horizontal="right"/>
    </xf>
    <xf numFmtId="10" fontId="21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9" fillId="0" borderId="8" xfId="0" applyFont="1" applyBorder="1"/>
    <xf numFmtId="0" fontId="19" fillId="0" borderId="13" xfId="0" applyFont="1" applyBorder="1"/>
    <xf numFmtId="10" fontId="38" fillId="2" borderId="19" xfId="2" applyNumberFormat="1" applyFont="1" applyFill="1" applyBorder="1" applyAlignment="1">
      <alignment horizontal="center"/>
    </xf>
    <xf numFmtId="0" fontId="34" fillId="4" borderId="25" xfId="0" applyFont="1" applyFill="1" applyBorder="1"/>
    <xf numFmtId="10" fontId="42" fillId="0" borderId="0" xfId="2" applyNumberFormat="1" applyFont="1" applyFill="1" applyBorder="1" applyAlignment="1">
      <alignment horizontal="center"/>
    </xf>
    <xf numFmtId="10" fontId="24" fillId="0" borderId="15" xfId="2" applyNumberFormat="1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/>
    </xf>
    <xf numFmtId="10" fontId="24" fillId="0" borderId="15" xfId="2" applyNumberFormat="1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28" xfId="0" applyFont="1" applyFill="1" applyBorder="1" applyAlignment="1">
      <alignment horizontal="center"/>
    </xf>
    <xf numFmtId="0" fontId="37" fillId="2" borderId="19" xfId="0" applyFont="1" applyFill="1" applyBorder="1" applyAlignment="1">
      <alignment horizontal="center"/>
    </xf>
    <xf numFmtId="0" fontId="37" fillId="2" borderId="21" xfId="0" applyFont="1" applyFill="1" applyBorder="1" applyAlignment="1">
      <alignment horizontal="center"/>
    </xf>
    <xf numFmtId="165" fontId="22" fillId="0" borderId="0" xfId="3" applyNumberFormat="1" applyFont="1" applyFill="1" applyAlignment="1">
      <alignment horizontal="right"/>
    </xf>
    <xf numFmtId="10" fontId="24" fillId="0" borderId="31" xfId="2" applyNumberFormat="1" applyFont="1" applyFill="1" applyBorder="1" applyAlignment="1">
      <alignment horizontal="right"/>
    </xf>
    <xf numFmtId="10" fontId="24" fillId="0" borderId="33" xfId="0" applyNumberFormat="1" applyFont="1" applyBorder="1"/>
    <xf numFmtId="10" fontId="42" fillId="0" borderId="15" xfId="2" applyNumberFormat="1" applyFont="1" applyFill="1" applyBorder="1" applyAlignment="1">
      <alignment horizontal="center"/>
    </xf>
    <xf numFmtId="0" fontId="0" fillId="0" borderId="19" xfId="0" applyBorder="1"/>
    <xf numFmtId="0" fontId="47" fillId="0" borderId="0" xfId="6" applyFont="1"/>
    <xf numFmtId="0" fontId="65" fillId="0" borderId="7" xfId="0" applyFont="1" applyBorder="1" applyAlignment="1">
      <alignment horizontal="center" vertical="center"/>
    </xf>
    <xf numFmtId="10" fontId="65" fillId="0" borderId="0" xfId="2" applyNumberFormat="1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/>
    </xf>
    <xf numFmtId="10" fontId="22" fillId="2" borderId="9" xfId="2" applyNumberFormat="1" applyFont="1" applyFill="1" applyBorder="1" applyAlignment="1">
      <alignment horizontal="center"/>
    </xf>
    <xf numFmtId="10" fontId="22" fillId="2" borderId="3" xfId="2" applyNumberFormat="1" applyFont="1" applyFill="1" applyBorder="1" applyAlignment="1">
      <alignment horizontal="center"/>
    </xf>
    <xf numFmtId="10" fontId="22" fillId="2" borderId="3" xfId="1" applyNumberFormat="1" applyFont="1" applyFill="1" applyBorder="1" applyAlignment="1">
      <alignment horizontal="center"/>
    </xf>
    <xf numFmtId="10" fontId="22" fillId="2" borderId="23" xfId="1" applyNumberFormat="1" applyFont="1" applyFill="1" applyBorder="1" applyAlignment="1">
      <alignment horizontal="center"/>
    </xf>
    <xf numFmtId="10" fontId="22" fillId="2" borderId="9" xfId="1" applyNumberFormat="1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60" fillId="2" borderId="15" xfId="0" applyFont="1" applyFill="1" applyBorder="1"/>
    <xf numFmtId="10" fontId="22" fillId="0" borderId="1" xfId="1" applyNumberFormat="1" applyFont="1" applyFill="1" applyBorder="1" applyAlignment="1"/>
    <xf numFmtId="10" fontId="22" fillId="0" borderId="0" xfId="1" applyNumberFormat="1" applyFont="1" applyFill="1" applyAlignment="1">
      <alignment horizontal="right"/>
    </xf>
    <xf numFmtId="0" fontId="62" fillId="2" borderId="23" xfId="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/>
    <xf numFmtId="0" fontId="63" fillId="0" borderId="8" xfId="0" applyFont="1" applyBorder="1" applyAlignment="1">
      <alignment horizontal="center"/>
    </xf>
    <xf numFmtId="2" fontId="38" fillId="0" borderId="7" xfId="0" applyNumberFormat="1" applyFont="1" applyBorder="1" applyAlignment="1">
      <alignment horizontal="center"/>
    </xf>
    <xf numFmtId="2" fontId="38" fillId="0" borderId="8" xfId="0" applyNumberFormat="1" applyFont="1" applyBorder="1" applyAlignment="1">
      <alignment horizontal="center"/>
    </xf>
    <xf numFmtId="15" fontId="34" fillId="0" borderId="23" xfId="0" quotePrefix="1" applyNumberFormat="1" applyFont="1" applyBorder="1" applyAlignment="1">
      <alignment horizontal="center"/>
    </xf>
    <xf numFmtId="3" fontId="61" fillId="0" borderId="9" xfId="0" applyNumberFormat="1" applyFont="1" applyBorder="1"/>
    <xf numFmtId="3" fontId="61" fillId="0" borderId="9" xfId="0" applyNumberFormat="1" applyFont="1" applyBorder="1" applyAlignment="1">
      <alignment horizontal="right" vertical="center" wrapText="1"/>
    </xf>
    <xf numFmtId="0" fontId="37" fillId="0" borderId="23" xfId="0" applyFont="1" applyBorder="1"/>
    <xf numFmtId="15" fontId="34" fillId="0" borderId="9" xfId="0" quotePrefix="1" applyNumberFormat="1" applyFont="1" applyBorder="1" applyAlignment="1">
      <alignment horizontal="center"/>
    </xf>
    <xf numFmtId="10" fontId="38" fillId="0" borderId="9" xfId="2" applyNumberFormat="1" applyFont="1" applyFill="1" applyBorder="1"/>
    <xf numFmtId="10" fontId="38" fillId="0" borderId="3" xfId="2" applyNumberFormat="1" applyFont="1" applyFill="1" applyBorder="1"/>
    <xf numFmtId="0" fontId="37" fillId="0" borderId="9" xfId="0" applyFont="1" applyBorder="1"/>
    <xf numFmtId="164" fontId="38" fillId="0" borderId="9" xfId="1" applyNumberFormat="1" applyFont="1" applyFill="1" applyBorder="1"/>
    <xf numFmtId="164" fontId="38" fillId="0" borderId="3" xfId="1" applyNumberFormat="1" applyFont="1" applyFill="1" applyBorder="1"/>
    <xf numFmtId="0" fontId="5" fillId="0" borderId="0" xfId="0" applyFont="1"/>
    <xf numFmtId="0" fontId="46" fillId="5" borderId="24" xfId="0" applyFont="1" applyFill="1" applyBorder="1" applyAlignment="1">
      <alignment horizontal="center"/>
    </xf>
    <xf numFmtId="0" fontId="46" fillId="5" borderId="26" xfId="0" applyFont="1" applyFill="1" applyBorder="1" applyAlignment="1">
      <alignment horizontal="center"/>
    </xf>
    <xf numFmtId="0" fontId="28" fillId="0" borderId="28" xfId="0" applyFont="1" applyBorder="1"/>
    <xf numFmtId="10" fontId="46" fillId="0" borderId="24" xfId="2" applyNumberFormat="1" applyFont="1" applyFill="1" applyBorder="1" applyAlignment="1">
      <alignment horizontal="center"/>
    </xf>
    <xf numFmtId="10" fontId="68" fillId="0" borderId="24" xfId="2" applyNumberFormat="1" applyFont="1" applyFill="1" applyBorder="1" applyAlignment="1">
      <alignment horizontal="center"/>
    </xf>
    <xf numFmtId="0" fontId="28" fillId="0" borderId="19" xfId="0" applyFont="1" applyBorder="1"/>
    <xf numFmtId="10" fontId="46" fillId="0" borderId="25" xfId="2" applyNumberFormat="1" applyFont="1" applyFill="1" applyBorder="1" applyAlignment="1">
      <alignment horizontal="center"/>
    </xf>
    <xf numFmtId="10" fontId="68" fillId="0" borderId="25" xfId="2" applyNumberFormat="1" applyFont="1" applyFill="1" applyBorder="1" applyAlignment="1">
      <alignment horizontal="center"/>
    </xf>
    <xf numFmtId="0" fontId="28" fillId="0" borderId="21" xfId="0" applyFont="1" applyBorder="1"/>
    <xf numFmtId="10" fontId="46" fillId="0" borderId="26" xfId="2" applyNumberFormat="1" applyFont="1" applyFill="1" applyBorder="1" applyAlignment="1">
      <alignment horizontal="center"/>
    </xf>
    <xf numFmtId="10" fontId="68" fillId="0" borderId="26" xfId="2" applyNumberFormat="1" applyFont="1" applyFill="1" applyBorder="1" applyAlignment="1">
      <alignment horizontal="center"/>
    </xf>
    <xf numFmtId="10" fontId="28" fillId="0" borderId="25" xfId="2" applyNumberFormat="1" applyFont="1" applyFill="1" applyBorder="1" applyAlignment="1">
      <alignment horizontal="center"/>
    </xf>
    <xf numFmtId="10" fontId="28" fillId="0" borderId="26" xfId="2" applyNumberFormat="1" applyFont="1" applyFill="1" applyBorder="1" applyAlignment="1">
      <alignment horizontal="center"/>
    </xf>
    <xf numFmtId="10" fontId="46" fillId="0" borderId="25" xfId="2" applyNumberFormat="1" applyFont="1" applyBorder="1" applyAlignment="1">
      <alignment horizontal="center" vertical="center"/>
    </xf>
    <xf numFmtId="10" fontId="46" fillId="0" borderId="26" xfId="2" applyNumberFormat="1" applyFont="1" applyBorder="1" applyAlignment="1">
      <alignment horizontal="center" vertical="center"/>
    </xf>
    <xf numFmtId="10" fontId="28" fillId="0" borderId="24" xfId="2" applyNumberFormat="1" applyFont="1" applyFill="1" applyBorder="1" applyAlignment="1">
      <alignment horizontal="center"/>
    </xf>
    <xf numFmtId="0" fontId="38" fillId="0" borderId="28" xfId="0" applyFont="1" applyBorder="1"/>
    <xf numFmtId="0" fontId="19" fillId="0" borderId="30" xfId="0" applyFont="1" applyBorder="1"/>
    <xf numFmtId="0" fontId="19" fillId="0" borderId="29" xfId="0" applyFont="1" applyBorder="1"/>
    <xf numFmtId="0" fontId="0" fillId="0" borderId="29" xfId="0" applyBorder="1"/>
    <xf numFmtId="0" fontId="38" fillId="0" borderId="19" xfId="0" applyFont="1" applyBorder="1"/>
    <xf numFmtId="0" fontId="0" fillId="0" borderId="20" xfId="0" applyBorder="1"/>
    <xf numFmtId="0" fontId="38" fillId="0" borderId="21" xfId="0" applyFont="1" applyBorder="1"/>
    <xf numFmtId="0" fontId="19" fillId="0" borderId="1" xfId="0" applyFont="1" applyBorder="1"/>
    <xf numFmtId="0" fontId="0" fillId="0" borderId="22" xfId="0" applyBorder="1"/>
    <xf numFmtId="10" fontId="34" fillId="0" borderId="28" xfId="2" applyNumberFormat="1" applyFont="1" applyBorder="1" applyAlignment="1">
      <alignment horizontal="left"/>
    </xf>
    <xf numFmtId="0" fontId="0" fillId="0" borderId="30" xfId="0" applyBorder="1"/>
    <xf numFmtId="0" fontId="71" fillId="0" borderId="21" xfId="6" applyFont="1" applyBorder="1"/>
    <xf numFmtId="0" fontId="67" fillId="0" borderId="0" xfId="0" applyFont="1" applyAlignment="1">
      <alignment vertical="center"/>
    </xf>
    <xf numFmtId="15" fontId="72" fillId="0" borderId="0" xfId="0" quotePrefix="1" applyNumberFormat="1" applyFont="1" applyAlignment="1">
      <alignment horizontal="left"/>
    </xf>
    <xf numFmtId="0" fontId="73" fillId="0" borderId="0" xfId="6" applyFont="1"/>
    <xf numFmtId="0" fontId="64" fillId="0" borderId="0" xfId="0" applyFont="1"/>
    <xf numFmtId="0" fontId="74" fillId="0" borderId="0" xfId="0" applyFont="1" applyAlignment="1">
      <alignment vertical="center"/>
    </xf>
    <xf numFmtId="0" fontId="76" fillId="0" borderId="0" xfId="6" applyFont="1" applyAlignment="1">
      <alignment vertical="center"/>
    </xf>
    <xf numFmtId="0" fontId="73" fillId="0" borderId="0" xfId="6" applyFont="1" applyAlignment="1">
      <alignment vertical="center"/>
    </xf>
    <xf numFmtId="0" fontId="72" fillId="0" borderId="0" xfId="6" applyFont="1"/>
    <xf numFmtId="17" fontId="74" fillId="0" borderId="0" xfId="0" quotePrefix="1" applyNumberFormat="1" applyFont="1" applyAlignment="1">
      <alignment vertical="center"/>
    </xf>
    <xf numFmtId="0" fontId="77" fillId="0" borderId="0" xfId="6" applyFont="1" applyAlignment="1">
      <alignment vertical="center"/>
    </xf>
    <xf numFmtId="0" fontId="77" fillId="0" borderId="0" xfId="0" applyFont="1"/>
    <xf numFmtId="0" fontId="78" fillId="0" borderId="0" xfId="0" applyFont="1" applyAlignment="1">
      <alignment vertical="center"/>
    </xf>
    <xf numFmtId="0" fontId="79" fillId="0" borderId="0" xfId="0" applyFont="1"/>
    <xf numFmtId="0" fontId="28" fillId="5" borderId="27" xfId="0" applyFont="1" applyFill="1" applyBorder="1" applyAlignment="1">
      <alignment horizontal="center"/>
    </xf>
    <xf numFmtId="0" fontId="0" fillId="0" borderId="28" xfId="0" applyBorder="1"/>
    <xf numFmtId="0" fontId="80" fillId="0" borderId="30" xfId="0" applyFont="1" applyBorder="1" applyAlignment="1">
      <alignment horizontal="right"/>
    </xf>
    <xf numFmtId="0" fontId="0" fillId="0" borderId="24" xfId="0" applyBorder="1"/>
    <xf numFmtId="0" fontId="81" fillId="0" borderId="0" xfId="0" applyFont="1" applyAlignment="1">
      <alignment horizontal="right"/>
    </xf>
    <xf numFmtId="10" fontId="28" fillId="0" borderId="25" xfId="2" applyNumberFormat="1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80" fillId="0" borderId="0" xfId="0" applyFont="1" applyAlignment="1">
      <alignment horizontal="right"/>
    </xf>
    <xf numFmtId="0" fontId="19" fillId="0" borderId="25" xfId="0" applyFont="1" applyBorder="1" applyAlignment="1">
      <alignment horizontal="center"/>
    </xf>
    <xf numFmtId="10" fontId="24" fillId="6" borderId="15" xfId="2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10" fontId="80" fillId="0" borderId="25" xfId="0" applyNumberFormat="1" applyFont="1" applyBorder="1" applyAlignment="1">
      <alignment horizontal="center"/>
    </xf>
    <xf numFmtId="0" fontId="0" fillId="0" borderId="21" xfId="0" applyBorder="1"/>
    <xf numFmtId="0" fontId="80" fillId="0" borderId="1" xfId="0" applyFont="1" applyBorder="1" applyAlignment="1">
      <alignment horizontal="right" vertical="center"/>
    </xf>
    <xf numFmtId="10" fontId="80" fillId="0" borderId="26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2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1" fillId="0" borderId="0" xfId="0" applyNumberFormat="1" applyFont="1" applyAlignment="1">
      <alignment horizontal="left"/>
    </xf>
    <xf numFmtId="10" fontId="69" fillId="0" borderId="0" xfId="2" applyNumberFormat="1" applyFont="1" applyFill="1" applyBorder="1" applyAlignment="1">
      <alignment horizontal="left"/>
    </xf>
    <xf numFmtId="0" fontId="70" fillId="0" borderId="0" xfId="0" applyFont="1" applyAlignment="1">
      <alignment horizontal="left"/>
    </xf>
    <xf numFmtId="10" fontId="42" fillId="6" borderId="15" xfId="2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34" fillId="0" borderId="7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46</xdr:row>
      <xdr:rowOff>133350</xdr:rowOff>
    </xdr:to>
    <xdr:pic>
      <xdr:nvPicPr>
        <xdr:cNvPr id="37889" name="Picture 1">
          <a:extLst>
            <a:ext uri="{FF2B5EF4-FFF2-40B4-BE49-F238E27FC236}">
              <a16:creationId xmlns:a16="http://schemas.microsoft.com/office/drawing/2014/main" id="{74E7FA07-F36B-A088-898D-EB82C4BF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0375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323850</xdr:colOff>
      <xdr:row>0</xdr:row>
      <xdr:rowOff>0</xdr:rowOff>
    </xdr:from>
    <xdr:to>
      <xdr:col>22</xdr:col>
      <xdr:colOff>428625</xdr:colOff>
      <xdr:row>46</xdr:row>
      <xdr:rowOff>142875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2ED7E0AC-164E-3F79-EA91-C8F8962A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6810375" cy="890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A10" sqref="A10"/>
    </sheetView>
  </sheetViews>
  <sheetFormatPr defaultRowHeight="15"/>
  <cols>
    <col min="5" max="5" width="12.28515625" customWidth="1"/>
    <col min="9" max="9" width="16.42578125" customWidth="1"/>
  </cols>
  <sheetData>
    <row r="1" spans="1:13" ht="18.75">
      <c r="A1" s="470" t="s">
        <v>0</v>
      </c>
      <c r="B1" s="471"/>
      <c r="C1" s="471"/>
      <c r="D1" s="471"/>
      <c r="E1" s="471"/>
      <c r="F1" s="471"/>
      <c r="G1" s="471"/>
      <c r="H1" s="471"/>
      <c r="I1" s="471"/>
    </row>
    <row r="5" spans="1:13" ht="27">
      <c r="E5" s="472" t="s">
        <v>0</v>
      </c>
      <c r="F5" s="473"/>
      <c r="G5" s="473"/>
      <c r="H5" s="473"/>
      <c r="I5" s="473"/>
      <c r="J5" s="473"/>
      <c r="K5" s="473"/>
      <c r="L5" s="473"/>
      <c r="M5" s="473"/>
    </row>
    <row r="7" spans="1:13" ht="27">
      <c r="A7" s="474" t="s">
        <v>31</v>
      </c>
      <c r="B7" s="475"/>
      <c r="C7" s="475"/>
      <c r="D7" s="475"/>
      <c r="E7" s="475"/>
      <c r="F7" s="475"/>
      <c r="G7" s="475"/>
      <c r="H7" s="475"/>
      <c r="I7" s="475"/>
    </row>
    <row r="8" spans="1:13" ht="27">
      <c r="A8" s="6"/>
      <c r="B8" s="7"/>
      <c r="C8" s="7"/>
      <c r="D8" s="7"/>
      <c r="E8" s="472" t="s">
        <v>0</v>
      </c>
      <c r="F8" s="473"/>
      <c r="G8" s="473"/>
      <c r="H8" s="473"/>
      <c r="I8" s="473"/>
      <c r="J8" s="473"/>
      <c r="K8" s="473"/>
      <c r="L8" s="473"/>
      <c r="M8" s="473"/>
    </row>
    <row r="9" spans="1:13" ht="27">
      <c r="A9" s="472" t="s">
        <v>423</v>
      </c>
      <c r="B9" s="473"/>
      <c r="C9" s="473"/>
      <c r="D9" s="473"/>
      <c r="E9" s="473"/>
      <c r="F9" s="473"/>
      <c r="G9" s="473"/>
      <c r="H9" s="473"/>
      <c r="I9" s="473"/>
    </row>
    <row r="15" spans="1:13">
      <c r="A15" s="467" t="s">
        <v>0</v>
      </c>
      <c r="B15" s="468"/>
      <c r="C15" s="468"/>
      <c r="D15" s="468"/>
      <c r="E15" s="468"/>
      <c r="F15" s="468"/>
      <c r="G15" s="468"/>
      <c r="H15" s="468"/>
      <c r="I15" s="468"/>
    </row>
    <row r="16" spans="1:13" ht="33.75">
      <c r="A16" s="465" t="str">
        <f>+'S&amp;D'!A12</f>
        <v>Natural Gas Transmission Pipeline Carrier</v>
      </c>
      <c r="B16" s="466"/>
      <c r="C16" s="466"/>
      <c r="D16" s="466"/>
      <c r="E16" s="466"/>
      <c r="F16" s="466"/>
      <c r="G16" s="466"/>
      <c r="H16" s="466"/>
      <c r="I16" s="466"/>
    </row>
    <row r="17" spans="1:9">
      <c r="A17" s="467" t="s">
        <v>0</v>
      </c>
      <c r="B17" s="468"/>
      <c r="C17" s="468"/>
      <c r="D17" s="468"/>
      <c r="E17" s="468"/>
      <c r="F17" s="468"/>
      <c r="G17" s="468"/>
      <c r="H17" s="468"/>
      <c r="I17" s="468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67" t="s">
        <v>0</v>
      </c>
      <c r="B29" s="468"/>
      <c r="C29" s="468"/>
      <c r="D29" s="468"/>
      <c r="E29" s="468"/>
      <c r="F29" s="468"/>
      <c r="G29" s="468"/>
      <c r="H29" s="468"/>
      <c r="I29" s="468"/>
    </row>
    <row r="34" spans="1:9">
      <c r="A34" s="469"/>
      <c r="B34" s="469"/>
      <c r="C34" s="469"/>
      <c r="D34" s="469"/>
      <c r="E34" s="469"/>
      <c r="F34" s="469"/>
      <c r="G34" s="469"/>
      <c r="H34" s="469"/>
      <c r="I34" s="469"/>
    </row>
    <row r="35" spans="1:9">
      <c r="A35" s="469"/>
      <c r="B35" s="469"/>
      <c r="C35" s="469"/>
      <c r="D35" s="469"/>
      <c r="E35" s="469"/>
      <c r="F35" s="469"/>
      <c r="G35" s="469"/>
      <c r="H35" s="469"/>
      <c r="I35" s="469"/>
    </row>
    <row r="36" spans="1:9">
      <c r="A36" s="469"/>
      <c r="B36" s="469"/>
      <c r="C36" s="469"/>
      <c r="D36" s="469"/>
      <c r="E36" s="469"/>
      <c r="F36" s="469"/>
      <c r="G36" s="469"/>
      <c r="H36" s="469"/>
      <c r="I36" s="469"/>
    </row>
    <row r="37" spans="1:9">
      <c r="A37" s="469"/>
      <c r="B37" s="469"/>
      <c r="C37" s="469"/>
      <c r="D37" s="469"/>
      <c r="E37" s="469"/>
      <c r="F37" s="469"/>
      <c r="G37" s="469"/>
      <c r="H37" s="469"/>
      <c r="I37" s="469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9"/>
  <sheetViews>
    <sheetView view="pageBreakPreview" zoomScale="60" zoomScaleNormal="80" workbookViewId="0">
      <selection activeCell="J30" sqref="J30"/>
    </sheetView>
  </sheetViews>
  <sheetFormatPr defaultRowHeight="15"/>
  <cols>
    <col min="1" max="1" width="41.42578125" customWidth="1"/>
    <col min="2" max="2" width="13.42578125" customWidth="1"/>
    <col min="3" max="3" width="29.42578125" customWidth="1"/>
    <col min="4" max="4" width="20.7109375" customWidth="1"/>
    <col min="5" max="5" width="21.85546875" customWidth="1"/>
    <col min="6" max="6" width="16.140625" customWidth="1"/>
    <col min="7" max="7" width="12.140625" customWidth="1"/>
    <col min="8" max="8" width="18.5703125" customWidth="1"/>
    <col min="9" max="9" width="19.28515625" customWidth="1"/>
    <col min="10" max="11" width="20.5703125" customWidth="1"/>
    <col min="12" max="12" width="26.5703125" customWidth="1"/>
    <col min="13" max="13" width="10.85546875" customWidth="1"/>
  </cols>
  <sheetData>
    <row r="1" spans="1:13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6.5">
      <c r="A4" s="2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7.25" thickBot="1">
      <c r="A5" s="11"/>
      <c r="B5" s="11"/>
      <c r="C5" s="11"/>
      <c r="D5" s="11"/>
      <c r="E5" s="11"/>
      <c r="F5" s="11"/>
      <c r="G5" s="25"/>
      <c r="H5" s="25"/>
      <c r="I5" s="11"/>
      <c r="J5" s="11"/>
      <c r="K5" s="11"/>
      <c r="L5" s="11"/>
      <c r="M5" s="11"/>
    </row>
    <row r="6" spans="1:13" ht="21" thickBot="1">
      <c r="A6" s="239" t="str">
        <f>+'S&amp;D'!A12</f>
        <v>Natural Gas Transmission Pipeline Carrier</v>
      </c>
      <c r="B6" s="174"/>
      <c r="C6" s="11"/>
      <c r="D6" s="27"/>
      <c r="E6" s="27"/>
      <c r="F6" s="28" t="s">
        <v>0</v>
      </c>
      <c r="G6" s="11"/>
      <c r="H6" s="11"/>
      <c r="I6" s="11"/>
      <c r="J6" s="11"/>
      <c r="K6" s="11"/>
      <c r="L6" s="11"/>
      <c r="M6" s="11"/>
    </row>
    <row r="7" spans="1:13" ht="26.25">
      <c r="A7" s="29"/>
      <c r="B7" s="11"/>
      <c r="C7" s="11"/>
      <c r="D7" s="11"/>
      <c r="E7" s="30" t="s">
        <v>498</v>
      </c>
      <c r="F7" s="11"/>
      <c r="G7" s="11"/>
      <c r="H7" s="11"/>
      <c r="I7" s="11"/>
      <c r="J7" s="11"/>
      <c r="K7" s="11"/>
      <c r="L7" s="11"/>
      <c r="M7" s="11"/>
    </row>
    <row r="8" spans="1:13" ht="21" thickBot="1">
      <c r="A8" s="29"/>
      <c r="B8" s="11"/>
      <c r="C8" s="11"/>
      <c r="D8" s="27"/>
      <c r="E8" s="35" t="s">
        <v>422</v>
      </c>
      <c r="F8" s="27"/>
      <c r="G8" s="11"/>
      <c r="H8" s="11"/>
      <c r="I8" s="11"/>
      <c r="J8" s="11"/>
      <c r="K8" s="11"/>
      <c r="L8" s="11"/>
      <c r="M8" s="11"/>
    </row>
    <row r="9" spans="1:13" ht="17.25" thickBot="1">
      <c r="A9" s="32" t="s">
        <v>0</v>
      </c>
      <c r="B9" s="32" t="s">
        <v>0</v>
      </c>
      <c r="C9" s="32" t="s">
        <v>0</v>
      </c>
      <c r="D9" s="32" t="s">
        <v>0</v>
      </c>
      <c r="E9" s="32" t="s">
        <v>0</v>
      </c>
      <c r="F9" s="32" t="s">
        <v>0</v>
      </c>
      <c r="G9" s="32"/>
      <c r="H9" s="32"/>
      <c r="I9" s="32" t="s">
        <v>0</v>
      </c>
      <c r="J9" s="27"/>
      <c r="L9" s="11"/>
      <c r="M9" s="11"/>
    </row>
    <row r="10" spans="1:13" ht="16.5">
      <c r="A10" s="33" t="s">
        <v>0</v>
      </c>
      <c r="B10" s="33" t="s">
        <v>3</v>
      </c>
      <c r="C10" s="33" t="s">
        <v>5</v>
      </c>
      <c r="D10" s="33" t="s">
        <v>21</v>
      </c>
      <c r="E10" s="33" t="s">
        <v>20</v>
      </c>
      <c r="F10" s="33" t="s">
        <v>51</v>
      </c>
      <c r="G10" s="33" t="s">
        <v>125</v>
      </c>
      <c r="H10" s="33" t="s">
        <v>490</v>
      </c>
      <c r="I10" s="33" t="s">
        <v>125</v>
      </c>
      <c r="J10" s="33" t="s">
        <v>48</v>
      </c>
      <c r="L10" s="11"/>
      <c r="M10" s="11"/>
    </row>
    <row r="11" spans="1:13" ht="17.25" thickBot="1">
      <c r="A11" s="35" t="s">
        <v>2</v>
      </c>
      <c r="B11" s="35" t="s">
        <v>4</v>
      </c>
      <c r="C11" s="35" t="s">
        <v>6</v>
      </c>
      <c r="D11" s="35" t="s">
        <v>23</v>
      </c>
      <c r="E11" s="35" t="s">
        <v>22</v>
      </c>
      <c r="F11" s="35" t="s">
        <v>49</v>
      </c>
      <c r="G11" s="35" t="s">
        <v>49</v>
      </c>
      <c r="H11" s="35" t="s">
        <v>49</v>
      </c>
      <c r="I11" s="35" t="s">
        <v>49</v>
      </c>
      <c r="J11" s="35" t="s">
        <v>50</v>
      </c>
      <c r="L11" s="11"/>
      <c r="M11" s="11"/>
    </row>
    <row r="12" spans="1:13" ht="16.5">
      <c r="A12" s="37" t="s">
        <v>7</v>
      </c>
      <c r="B12" s="37" t="s">
        <v>7</v>
      </c>
      <c r="C12" s="37" t="s">
        <v>7</v>
      </c>
      <c r="D12" s="37" t="s">
        <v>7</v>
      </c>
      <c r="E12" s="37" t="s">
        <v>7</v>
      </c>
      <c r="F12" s="37" t="s">
        <v>0</v>
      </c>
      <c r="G12" s="37" t="s">
        <v>0</v>
      </c>
      <c r="H12" s="37" t="s">
        <v>0</v>
      </c>
      <c r="I12" s="37" t="s">
        <v>0</v>
      </c>
      <c r="J12" s="37" t="s">
        <v>0</v>
      </c>
      <c r="L12" s="11"/>
      <c r="M12" s="11"/>
    </row>
    <row r="13" spans="1:13" ht="16.5">
      <c r="A13" s="33"/>
      <c r="B13" s="33"/>
      <c r="C13" s="33"/>
      <c r="D13" s="33"/>
      <c r="E13" s="33"/>
      <c r="F13" s="33"/>
      <c r="G13" s="33"/>
      <c r="H13" s="33"/>
      <c r="I13" s="33"/>
      <c r="J13" s="33"/>
      <c r="L13" s="11"/>
      <c r="M13" s="11"/>
    </row>
    <row r="14" spans="1:13" ht="16.5">
      <c r="A14" s="11"/>
      <c r="B14" s="11"/>
      <c r="C14" s="11"/>
      <c r="D14" s="11"/>
      <c r="E14" s="11"/>
      <c r="F14" s="11"/>
      <c r="G14" s="11"/>
      <c r="H14" s="11"/>
      <c r="I14" s="11"/>
      <c r="J14" s="11"/>
      <c r="L14" s="11"/>
      <c r="M14" s="11"/>
    </row>
    <row r="15" spans="1:13" ht="17.25">
      <c r="A15" s="60" t="str">
        <f>+'S&amp;D'!A22</f>
        <v>Enbridge Inc</v>
      </c>
      <c r="B15" s="87" t="str">
        <f>+'S&amp;D'!B22</f>
        <v>ENB.TO</v>
      </c>
      <c r="C15" s="33" t="str">
        <f>+'S&amp;D'!C22</f>
        <v>Oil &amp; Gas Distribution</v>
      </c>
      <c r="D15" s="63">
        <f>+'Beta for CAPM'!D18</f>
        <v>0.15</v>
      </c>
      <c r="E15" s="33" t="str">
        <f>+'Beta for CAPM'!G18</f>
        <v>A</v>
      </c>
      <c r="F15" s="33" t="s">
        <v>300</v>
      </c>
      <c r="G15" s="263">
        <v>10</v>
      </c>
      <c r="H15" s="59" t="s">
        <v>54</v>
      </c>
      <c r="I15" s="263">
        <f>VLOOKUP(H15,$A$35:$E$58,2,0)</f>
        <v>11</v>
      </c>
      <c r="J15" s="63">
        <f>VLOOKUP(I15,$B$35:$D$58,3,0)</f>
        <v>5.8000000000000003E-2</v>
      </c>
      <c r="L15" s="11"/>
      <c r="M15" s="11"/>
    </row>
    <row r="16" spans="1:13" ht="17.25">
      <c r="A16" s="60" t="str">
        <f>+'S&amp;D'!A23</f>
        <v>Energy Transfer LP</v>
      </c>
      <c r="B16" s="87" t="str">
        <f>+'S&amp;D'!B23</f>
        <v>ET</v>
      </c>
      <c r="C16" s="33" t="str">
        <f>+'S&amp;D'!C23</f>
        <v>Pipeline MLPs</v>
      </c>
      <c r="D16" s="324" t="str">
        <f>+'Beta for CAPM'!D19</f>
        <v>NMF</v>
      </c>
      <c r="E16" s="33" t="str">
        <f>+'Beta for CAPM'!G19</f>
        <v>B++</v>
      </c>
      <c r="F16" s="33" t="s">
        <v>302</v>
      </c>
      <c r="G16" s="263">
        <v>12</v>
      </c>
      <c r="H16" s="59" t="s">
        <v>54</v>
      </c>
      <c r="I16" s="263">
        <f t="shared" ref="I16:I21" si="0">VLOOKUP(H16,$A$35:$E$58,2,0)</f>
        <v>11</v>
      </c>
      <c r="J16" s="63">
        <f t="shared" ref="J16:J21" si="1">VLOOKUP(I16,$B$35:$D$58,3,0)</f>
        <v>5.8000000000000003E-2</v>
      </c>
      <c r="L16" s="11"/>
      <c r="M16" s="11"/>
    </row>
    <row r="17" spans="1:13" ht="17.25">
      <c r="A17" s="60" t="str">
        <f>+'S&amp;D'!A24</f>
        <v>Enterprise Products Partnership LP</v>
      </c>
      <c r="B17" s="87" t="str">
        <f>+'S&amp;D'!B24</f>
        <v>EPD</v>
      </c>
      <c r="C17" s="33" t="str">
        <f>+'S&amp;D'!C24</f>
        <v>Pipeline MLPs</v>
      </c>
      <c r="D17" s="63">
        <f>+'Beta for CAPM'!D20</f>
        <v>2.5000000000000001E-2</v>
      </c>
      <c r="E17" s="33" t="str">
        <f>+'Beta for CAPM'!G20</f>
        <v>A</v>
      </c>
      <c r="F17" s="33" t="s">
        <v>300</v>
      </c>
      <c r="G17" s="263">
        <v>10</v>
      </c>
      <c r="H17" s="59" t="s">
        <v>58</v>
      </c>
      <c r="I17" s="263">
        <f t="shared" si="0"/>
        <v>9</v>
      </c>
      <c r="J17" s="63">
        <f t="shared" si="1"/>
        <v>5.5300000000000002E-2</v>
      </c>
      <c r="L17" s="11"/>
      <c r="M17" s="11"/>
    </row>
    <row r="18" spans="1:13" ht="17.25">
      <c r="A18" s="60" t="str">
        <f>+'S&amp;D'!A25</f>
        <v>Kinder Morgan Inc</v>
      </c>
      <c r="B18" s="87" t="str">
        <f>+'S&amp;D'!B25</f>
        <v>KMI</v>
      </c>
      <c r="C18" s="33" t="str">
        <f>+'S&amp;D'!C25</f>
        <v>Oil &amp; Gas Distribution</v>
      </c>
      <c r="D18" s="63">
        <f>+'Beta for CAPM'!D21</f>
        <v>0.21</v>
      </c>
      <c r="E18" s="33" t="str">
        <f>+'Beta for CAPM'!G21</f>
        <v>B++</v>
      </c>
      <c r="F18" s="33" t="s">
        <v>301</v>
      </c>
      <c r="G18" s="263">
        <v>11</v>
      </c>
      <c r="H18" s="59" t="s">
        <v>54</v>
      </c>
      <c r="I18" s="263">
        <f t="shared" si="0"/>
        <v>11</v>
      </c>
      <c r="J18" s="63">
        <f t="shared" si="1"/>
        <v>5.8000000000000003E-2</v>
      </c>
      <c r="L18" s="11"/>
      <c r="M18" s="11"/>
    </row>
    <row r="19" spans="1:13" ht="17.25">
      <c r="A19" s="60" t="str">
        <f>+'S&amp;D'!A26</f>
        <v>ONEOK Inc</v>
      </c>
      <c r="B19" s="87" t="str">
        <f>+'S&amp;D'!B26</f>
        <v>OKE</v>
      </c>
      <c r="C19" s="33" t="str">
        <f>+'S&amp;D'!C26</f>
        <v>Oil &amp; Gas Distribution</v>
      </c>
      <c r="D19" s="63">
        <f>+'Beta for CAPM'!D22</f>
        <v>0.21</v>
      </c>
      <c r="E19" s="33" t="str">
        <f>+'Beta for CAPM'!G22</f>
        <v>B+</v>
      </c>
      <c r="F19" s="33" t="s">
        <v>301</v>
      </c>
      <c r="G19" s="263">
        <v>11</v>
      </c>
      <c r="H19" s="59" t="s">
        <v>59</v>
      </c>
      <c r="I19" s="263">
        <f t="shared" si="0"/>
        <v>12</v>
      </c>
      <c r="J19" s="63">
        <f t="shared" si="1"/>
        <v>5.8000000000000003E-2</v>
      </c>
      <c r="L19" s="11"/>
      <c r="M19" s="11"/>
    </row>
    <row r="20" spans="1:13" ht="17.25">
      <c r="A20" s="60" t="str">
        <f>+'S&amp;D'!A27</f>
        <v>TC Energy Corp</v>
      </c>
      <c r="B20" s="87" t="str">
        <f>+'S&amp;D'!B27</f>
        <v>TRP</v>
      </c>
      <c r="C20" s="33" t="str">
        <f>+'S&amp;D'!C27</f>
        <v>Oil &amp; Gas Distribution</v>
      </c>
      <c r="D20" s="63">
        <f>+'Beta for CAPM'!D23</f>
        <v>0.21</v>
      </c>
      <c r="E20" s="33" t="str">
        <f>+'Beta for CAPM'!G23</f>
        <v>A</v>
      </c>
      <c r="F20" s="33" t="s">
        <v>300</v>
      </c>
      <c r="G20" s="263">
        <v>10</v>
      </c>
      <c r="H20" s="59" t="s">
        <v>59</v>
      </c>
      <c r="I20" s="263">
        <f t="shared" si="0"/>
        <v>12</v>
      </c>
      <c r="J20" s="63">
        <f t="shared" si="1"/>
        <v>5.8000000000000003E-2</v>
      </c>
      <c r="L20" s="11"/>
      <c r="M20" s="11"/>
    </row>
    <row r="21" spans="1:13" ht="17.25">
      <c r="A21" s="60" t="str">
        <f>+'S&amp;D'!A28</f>
        <v>Williams Companys Inc</v>
      </c>
      <c r="B21" s="87" t="str">
        <f>+'S&amp;D'!B28</f>
        <v>WMB</v>
      </c>
      <c r="C21" s="33" t="str">
        <f>+'S&amp;D'!C28</f>
        <v>Oil &amp; Gas Distribution</v>
      </c>
      <c r="D21" s="63">
        <f>+'Beta for CAPM'!D24</f>
        <v>0.21</v>
      </c>
      <c r="E21" s="33" t="str">
        <f>+'Beta for CAPM'!G24</f>
        <v>B++</v>
      </c>
      <c r="F21" s="33" t="s">
        <v>301</v>
      </c>
      <c r="G21" s="263">
        <v>11</v>
      </c>
      <c r="H21" s="59" t="s">
        <v>54</v>
      </c>
      <c r="I21" s="263">
        <f t="shared" si="0"/>
        <v>11</v>
      </c>
      <c r="J21" s="63">
        <f t="shared" si="1"/>
        <v>5.8000000000000003E-2</v>
      </c>
      <c r="L21" s="11"/>
      <c r="M21" s="11"/>
    </row>
    <row r="22" spans="1:13" ht="17.25" thickBot="1">
      <c r="A22" s="11"/>
      <c r="B22" s="11"/>
      <c r="C22" s="42"/>
      <c r="D22" s="45"/>
      <c r="E22" s="45"/>
      <c r="F22" s="45"/>
      <c r="G22" s="45"/>
      <c r="H22" s="45" t="s">
        <v>45</v>
      </c>
      <c r="I22" s="45"/>
      <c r="J22" s="45"/>
      <c r="L22" s="11"/>
      <c r="M22" s="11"/>
    </row>
    <row r="23" spans="1:13" ht="17.25" thickTop="1">
      <c r="A23" s="11"/>
      <c r="B23" s="11"/>
      <c r="E23" s="13" t="s">
        <v>46</v>
      </c>
      <c r="G23" s="264">
        <f>MAX(G15:G21)</f>
        <v>12</v>
      </c>
      <c r="H23" s="282" t="s">
        <v>0</v>
      </c>
      <c r="I23" s="302">
        <f>MAX(I15:I21)</f>
        <v>12</v>
      </c>
      <c r="J23" s="282">
        <f>MAX(J15:J21)</f>
        <v>5.8000000000000003E-2</v>
      </c>
      <c r="L23" s="11"/>
      <c r="M23" s="11"/>
    </row>
    <row r="24" spans="1:13" ht="16.5">
      <c r="A24" s="11"/>
      <c r="B24" s="11"/>
      <c r="E24" s="308" t="s">
        <v>47</v>
      </c>
      <c r="F24" s="221"/>
      <c r="G24" s="265">
        <f>MIN(G15:G21)</f>
        <v>10</v>
      </c>
      <c r="H24" s="283" t="s">
        <v>0</v>
      </c>
      <c r="I24" s="303">
        <f>MIN(I15:I21)</f>
        <v>9</v>
      </c>
      <c r="J24" s="283">
        <f>MIN(J15:J21)</f>
        <v>5.5300000000000002E-2</v>
      </c>
      <c r="L24" s="11"/>
      <c r="M24" s="11"/>
    </row>
    <row r="25" spans="1:13" ht="16.5">
      <c r="A25" s="11"/>
      <c r="B25" s="11"/>
      <c r="E25" s="13" t="s">
        <v>18</v>
      </c>
      <c r="G25" s="195">
        <f>MEDIAN(G15:G21)</f>
        <v>11</v>
      </c>
      <c r="H25" s="53" t="s">
        <v>0</v>
      </c>
      <c r="I25" s="196">
        <f>MEDIAN(I15:I21)</f>
        <v>11</v>
      </c>
      <c r="J25" s="53">
        <f>MEDIAN(J15:J21)</f>
        <v>5.8000000000000003E-2</v>
      </c>
      <c r="L25" s="11"/>
      <c r="M25" s="11"/>
    </row>
    <row r="26" spans="1:13" ht="16.5">
      <c r="A26" s="11"/>
      <c r="B26" s="11"/>
      <c r="D26" s="13" t="s">
        <v>0</v>
      </c>
      <c r="E26" s="13" t="s">
        <v>388</v>
      </c>
      <c r="G26" s="196">
        <f>AVERAGE(G15:G21)</f>
        <v>10.714285714285714</v>
      </c>
      <c r="H26" s="53" t="s">
        <v>0</v>
      </c>
      <c r="I26" s="196">
        <f>AVERAGE(I15:I21)</f>
        <v>11</v>
      </c>
      <c r="J26" s="53">
        <f>AVERAGE(J15:J21)</f>
        <v>5.7614285714285715E-2</v>
      </c>
      <c r="L26" s="11"/>
      <c r="M26" s="11"/>
    </row>
    <row r="27" spans="1:13" ht="16.5">
      <c r="A27" s="11"/>
      <c r="B27" s="11"/>
      <c r="D27" s="54"/>
      <c r="E27" s="13"/>
      <c r="G27" s="196"/>
      <c r="H27" s="53"/>
      <c r="I27" s="196"/>
      <c r="J27" s="53"/>
      <c r="L27" s="11"/>
      <c r="M27" s="11"/>
    </row>
    <row r="28" spans="1:13" ht="17.25" thickBot="1">
      <c r="A28" s="11"/>
      <c r="B28" s="11"/>
      <c r="C28" s="11"/>
      <c r="D28" s="11"/>
      <c r="E28" s="13"/>
      <c r="F28" s="54"/>
      <c r="H28" s="11"/>
      <c r="I28" s="11"/>
      <c r="J28" s="11"/>
      <c r="K28" s="11"/>
      <c r="L28" s="11"/>
      <c r="M28" s="11"/>
    </row>
    <row r="29" spans="1:13" ht="27" thickBot="1">
      <c r="A29" s="11"/>
      <c r="B29" s="11"/>
      <c r="C29" s="11"/>
      <c r="D29" s="11"/>
      <c r="E29" s="11"/>
      <c r="F29" s="169"/>
      <c r="G29" s="297"/>
      <c r="H29" s="170" t="s">
        <v>231</v>
      </c>
      <c r="I29" s="354"/>
      <c r="J29" s="355">
        <v>5.7599999999999998E-2</v>
      </c>
      <c r="K29" s="11"/>
      <c r="L29" s="11"/>
      <c r="M29" s="11"/>
    </row>
    <row r="30" spans="1:13" ht="16.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6.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6.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1" thickBot="1">
      <c r="A33" s="252" t="s">
        <v>138</v>
      </c>
      <c r="B33" s="11"/>
      <c r="G33" s="11"/>
      <c r="H33" s="11"/>
      <c r="I33" s="11"/>
      <c r="J33" s="11"/>
      <c r="K33" s="11"/>
      <c r="L33" s="11"/>
      <c r="M33" s="11"/>
    </row>
    <row r="34" spans="1:13" ht="24">
      <c r="A34" s="370" t="s">
        <v>491</v>
      </c>
      <c r="B34" s="370" t="s">
        <v>311</v>
      </c>
      <c r="C34" s="370" t="s">
        <v>389</v>
      </c>
      <c r="D34" s="381" t="s">
        <v>418</v>
      </c>
      <c r="E34" s="381" t="s">
        <v>419</v>
      </c>
      <c r="F34" s="11"/>
      <c r="G34" s="11"/>
      <c r="H34" s="11"/>
      <c r="I34" s="11"/>
      <c r="M34" s="11"/>
    </row>
    <row r="35" spans="1:13" ht="17.25">
      <c r="A35" s="258" t="s">
        <v>323</v>
      </c>
      <c r="B35" s="262">
        <v>1</v>
      </c>
      <c r="C35" s="259" t="s">
        <v>322</v>
      </c>
      <c r="D35" s="371">
        <v>5.1999999999999998E-2</v>
      </c>
      <c r="E35" s="371">
        <v>5.1999999999999998E-2</v>
      </c>
      <c r="F35" s="11"/>
      <c r="G35" s="11"/>
      <c r="H35" s="11"/>
      <c r="I35" s="11"/>
      <c r="M35" s="11"/>
    </row>
    <row r="36" spans="1:13" ht="17.25">
      <c r="A36" s="55" t="s">
        <v>324</v>
      </c>
      <c r="B36" s="253">
        <v>2</v>
      </c>
      <c r="C36" s="260" t="s">
        <v>296</v>
      </c>
      <c r="D36" s="371">
        <v>5.1999999999999998E-2</v>
      </c>
      <c r="E36" s="371">
        <v>5.1999999999999998E-2</v>
      </c>
      <c r="F36" s="11" t="s">
        <v>188</v>
      </c>
      <c r="H36" s="11"/>
      <c r="I36" s="11"/>
      <c r="M36" s="11"/>
    </row>
    <row r="37" spans="1:13" ht="18" thickBot="1">
      <c r="A37" s="56" t="s">
        <v>325</v>
      </c>
      <c r="B37" s="255">
        <v>3</v>
      </c>
      <c r="C37" s="261" t="s">
        <v>321</v>
      </c>
      <c r="D37" s="372">
        <v>5.1999999999999998E-2</v>
      </c>
      <c r="E37" s="371">
        <v>5.1999999999999998E-2</v>
      </c>
      <c r="F37" s="11"/>
      <c r="H37" s="11"/>
      <c r="I37" s="11"/>
      <c r="M37" s="11"/>
    </row>
    <row r="38" spans="1:13" ht="17.25">
      <c r="A38" s="55" t="s">
        <v>137</v>
      </c>
      <c r="B38" s="253">
        <v>4</v>
      </c>
      <c r="C38" s="254" t="s">
        <v>295</v>
      </c>
      <c r="D38" s="371">
        <v>5.3699999999999998E-2</v>
      </c>
      <c r="E38" s="371">
        <v>5.45E-2</v>
      </c>
      <c r="F38" s="11"/>
      <c r="H38" s="11"/>
      <c r="I38" s="11"/>
      <c r="M38" s="11"/>
    </row>
    <row r="39" spans="1:13" ht="17.25">
      <c r="A39" s="55" t="s">
        <v>136</v>
      </c>
      <c r="B39" s="253">
        <v>5</v>
      </c>
      <c r="C39" s="254" t="s">
        <v>297</v>
      </c>
      <c r="D39" s="371">
        <v>5.3699999999999998E-2</v>
      </c>
      <c r="E39" s="371">
        <v>5.45E-2</v>
      </c>
      <c r="F39" s="11" t="s">
        <v>298</v>
      </c>
      <c r="H39" s="11"/>
      <c r="I39" s="11"/>
      <c r="M39" s="11"/>
    </row>
    <row r="40" spans="1:13" ht="18" thickBot="1">
      <c r="A40" s="56" t="s">
        <v>135</v>
      </c>
      <c r="B40" s="255">
        <v>6</v>
      </c>
      <c r="C40" s="256" t="s">
        <v>299</v>
      </c>
      <c r="D40" s="373">
        <v>5.3699999999999998E-2</v>
      </c>
      <c r="E40" s="371">
        <v>5.45E-2</v>
      </c>
      <c r="F40" s="11"/>
      <c r="H40" s="11"/>
      <c r="I40" s="11"/>
      <c r="M40" s="11"/>
    </row>
    <row r="41" spans="1:13" ht="17.25">
      <c r="A41" s="55" t="s">
        <v>56</v>
      </c>
      <c r="B41" s="253">
        <v>7</v>
      </c>
      <c r="C41" s="254" t="s">
        <v>44</v>
      </c>
      <c r="D41" s="374">
        <v>5.5300000000000002E-2</v>
      </c>
      <c r="E41" s="375">
        <v>5.5800000000000002E-2</v>
      </c>
      <c r="H41" s="11"/>
      <c r="I41" s="11"/>
      <c r="M41" s="11"/>
    </row>
    <row r="42" spans="1:13" ht="17.25">
      <c r="A42" s="55" t="s">
        <v>134</v>
      </c>
      <c r="B42" s="253">
        <v>8</v>
      </c>
      <c r="C42" s="254" t="s">
        <v>24</v>
      </c>
      <c r="D42" s="375">
        <v>5.5300000000000002E-2</v>
      </c>
      <c r="E42" s="375">
        <v>5.5800000000000002E-2</v>
      </c>
      <c r="F42" s="11" t="s">
        <v>189</v>
      </c>
      <c r="H42" s="11"/>
      <c r="I42" s="11"/>
      <c r="M42" s="11"/>
    </row>
    <row r="43" spans="1:13" ht="18" thickBot="1">
      <c r="A43" s="56" t="s">
        <v>58</v>
      </c>
      <c r="B43" s="255">
        <v>9</v>
      </c>
      <c r="C43" s="256" t="s">
        <v>60</v>
      </c>
      <c r="D43" s="373">
        <v>5.5300000000000002E-2</v>
      </c>
      <c r="E43" s="375">
        <v>5.5800000000000002E-2</v>
      </c>
      <c r="F43" s="11"/>
      <c r="H43" s="11"/>
      <c r="I43" s="11"/>
      <c r="M43" s="11"/>
    </row>
    <row r="44" spans="1:13" ht="17.25">
      <c r="A44" s="55" t="s">
        <v>53</v>
      </c>
      <c r="B44" s="253">
        <v>10</v>
      </c>
      <c r="C44" s="254" t="s">
        <v>300</v>
      </c>
      <c r="D44" s="375">
        <v>5.8000000000000003E-2</v>
      </c>
      <c r="E44" s="375">
        <v>5.7700000000000001E-2</v>
      </c>
      <c r="H44" s="11"/>
      <c r="I44" s="11"/>
      <c r="J44" s="11"/>
      <c r="K44" s="11"/>
      <c r="L44" s="11"/>
      <c r="M44" s="11"/>
    </row>
    <row r="45" spans="1:13" ht="17.25">
      <c r="A45" s="55" t="s">
        <v>54</v>
      </c>
      <c r="B45" s="253">
        <v>11</v>
      </c>
      <c r="C45" s="254" t="s">
        <v>301</v>
      </c>
      <c r="D45" s="375">
        <v>5.8000000000000003E-2</v>
      </c>
      <c r="E45" s="375">
        <v>5.7700000000000001E-2</v>
      </c>
      <c r="F45" s="11" t="s">
        <v>192</v>
      </c>
      <c r="H45" s="11"/>
      <c r="I45" s="11"/>
      <c r="J45" s="11"/>
      <c r="K45" s="11"/>
      <c r="L45" s="11"/>
      <c r="M45" s="11"/>
    </row>
    <row r="46" spans="1:13" ht="18" thickBot="1">
      <c r="A46" s="56" t="s">
        <v>59</v>
      </c>
      <c r="B46" s="255">
        <v>12</v>
      </c>
      <c r="C46" s="256" t="s">
        <v>302</v>
      </c>
      <c r="D46" s="375">
        <v>5.8000000000000003E-2</v>
      </c>
      <c r="E46" s="375">
        <v>5.7700000000000001E-2</v>
      </c>
      <c r="F46" s="11"/>
      <c r="H46" s="11"/>
      <c r="I46" s="11"/>
      <c r="J46" s="11"/>
      <c r="K46" s="11"/>
      <c r="L46" s="11"/>
      <c r="M46" s="11"/>
    </row>
    <row r="47" spans="1:13" ht="17.25">
      <c r="A47" s="55" t="s">
        <v>57</v>
      </c>
      <c r="B47" s="253">
        <v>13</v>
      </c>
      <c r="C47" s="254" t="s">
        <v>303</v>
      </c>
      <c r="D47" s="374">
        <v>6.8400000000000002E-2</v>
      </c>
      <c r="E47" s="371">
        <v>6.8099999999999994E-2</v>
      </c>
      <c r="H47" s="11"/>
      <c r="I47" s="11"/>
      <c r="J47" s="11"/>
      <c r="K47" s="11"/>
      <c r="L47" s="11"/>
      <c r="M47" s="11"/>
    </row>
    <row r="48" spans="1:13" ht="17.25">
      <c r="A48" s="55" t="s">
        <v>133</v>
      </c>
      <c r="B48" s="253">
        <v>14</v>
      </c>
      <c r="C48" s="254" t="s">
        <v>304</v>
      </c>
      <c r="D48" s="371">
        <v>6.8400000000000002E-2</v>
      </c>
      <c r="E48" s="371">
        <v>6.8099999999999994E-2</v>
      </c>
      <c r="F48" s="11" t="s">
        <v>191</v>
      </c>
      <c r="H48" s="11"/>
      <c r="I48" s="11"/>
      <c r="J48" s="11"/>
      <c r="K48" s="11"/>
      <c r="L48" s="11"/>
      <c r="M48" s="11"/>
    </row>
    <row r="49" spans="1:13" ht="18" thickBot="1">
      <c r="A49" s="56" t="s">
        <v>132</v>
      </c>
      <c r="B49" s="255">
        <v>15</v>
      </c>
      <c r="C49" s="256" t="s">
        <v>305</v>
      </c>
      <c r="D49" s="372">
        <v>6.8400000000000002E-2</v>
      </c>
      <c r="E49" s="371">
        <v>6.8099999999999994E-2</v>
      </c>
      <c r="F49" s="11"/>
      <c r="H49" s="11"/>
      <c r="I49" s="11"/>
      <c r="J49" s="11"/>
      <c r="K49" s="11"/>
      <c r="L49" s="11"/>
      <c r="M49" s="11"/>
    </row>
    <row r="50" spans="1:13" ht="17.25">
      <c r="A50" s="55" t="s">
        <v>131</v>
      </c>
      <c r="B50" s="253">
        <v>16</v>
      </c>
      <c r="C50" s="254" t="s">
        <v>25</v>
      </c>
      <c r="D50" s="374">
        <v>7.3300000000000004E-2</v>
      </c>
      <c r="E50" s="375">
        <v>7.2999999999999995E-2</v>
      </c>
      <c r="H50" s="11"/>
      <c r="I50" s="11"/>
      <c r="J50" s="11"/>
      <c r="K50" s="11"/>
      <c r="L50" s="11"/>
      <c r="M50" s="11"/>
    </row>
    <row r="51" spans="1:13" ht="17.25">
      <c r="A51" s="55" t="s">
        <v>130</v>
      </c>
      <c r="B51" s="253">
        <v>17</v>
      </c>
      <c r="C51" s="254" t="s">
        <v>89</v>
      </c>
      <c r="D51" s="375">
        <v>7.3300000000000004E-2</v>
      </c>
      <c r="E51" s="375">
        <v>7.2999999999999995E-2</v>
      </c>
      <c r="F51" s="11" t="s">
        <v>190</v>
      </c>
      <c r="H51" s="11"/>
      <c r="I51" s="11"/>
      <c r="J51" s="11"/>
      <c r="K51" s="11"/>
      <c r="L51" s="11"/>
      <c r="M51" s="11"/>
    </row>
    <row r="52" spans="1:13" ht="18" thickBot="1">
      <c r="A52" s="56" t="s">
        <v>129</v>
      </c>
      <c r="B52" s="255">
        <v>18</v>
      </c>
      <c r="C52" s="256" t="s">
        <v>306</v>
      </c>
      <c r="D52" s="372">
        <v>7.3300000000000004E-2</v>
      </c>
      <c r="E52" s="375">
        <v>7.2999999999999995E-2</v>
      </c>
      <c r="F52" s="11"/>
      <c r="H52" s="11"/>
      <c r="I52" s="11"/>
      <c r="J52" s="11"/>
      <c r="K52" s="11"/>
      <c r="L52" s="11"/>
      <c r="M52" s="11"/>
    </row>
    <row r="53" spans="1:13" ht="17.25">
      <c r="A53" s="55" t="s">
        <v>128</v>
      </c>
      <c r="B53" s="253">
        <v>19</v>
      </c>
      <c r="C53" s="254" t="s">
        <v>307</v>
      </c>
      <c r="D53" s="375">
        <v>7.8200000000000006E-2</v>
      </c>
      <c r="E53" s="375">
        <v>7.7899999999999997E-2</v>
      </c>
      <c r="H53" s="11"/>
      <c r="I53" s="11"/>
      <c r="J53" s="11"/>
      <c r="K53" s="11"/>
      <c r="L53" s="11"/>
      <c r="M53" s="11"/>
    </row>
    <row r="54" spans="1:13" ht="17.25">
      <c r="A54" s="55" t="s">
        <v>127</v>
      </c>
      <c r="B54" s="253">
        <v>20</v>
      </c>
      <c r="C54" s="254" t="s">
        <v>308</v>
      </c>
      <c r="D54" s="375">
        <v>7.8200000000000006E-2</v>
      </c>
      <c r="E54" s="375">
        <v>7.7899999999999997E-2</v>
      </c>
      <c r="F54" s="11" t="s">
        <v>187</v>
      </c>
      <c r="H54" s="11"/>
      <c r="I54" s="11"/>
      <c r="J54" s="11"/>
      <c r="K54" s="11"/>
      <c r="L54" s="11"/>
      <c r="M54" s="11"/>
    </row>
    <row r="55" spans="1:13" ht="18" thickBot="1">
      <c r="A55" s="56" t="s">
        <v>126</v>
      </c>
      <c r="B55" s="255">
        <v>21</v>
      </c>
      <c r="C55" s="357" t="s">
        <v>309</v>
      </c>
      <c r="D55" s="373">
        <v>7.8200000000000006E-2</v>
      </c>
      <c r="E55" s="375">
        <v>7.7899999999999997E-2</v>
      </c>
      <c r="F55" s="11"/>
      <c r="H55" s="11"/>
      <c r="I55" s="11"/>
      <c r="J55" s="11"/>
      <c r="K55" s="11"/>
      <c r="L55" s="11"/>
      <c r="M55" s="11"/>
    </row>
    <row r="56" spans="1:13" ht="17.25">
      <c r="A56" s="356" t="s">
        <v>316</v>
      </c>
      <c r="B56" s="359">
        <v>22</v>
      </c>
      <c r="C56" s="376" t="s">
        <v>319</v>
      </c>
      <c r="D56" s="375">
        <v>8.3099999999999993E-2</v>
      </c>
      <c r="E56" s="375">
        <v>8.2799999999999999E-2</v>
      </c>
      <c r="H56" s="11"/>
      <c r="I56" s="11"/>
      <c r="J56" s="11"/>
      <c r="K56" s="11"/>
      <c r="L56" s="11"/>
      <c r="M56" s="11"/>
    </row>
    <row r="57" spans="1:13" ht="17.25">
      <c r="A57" s="356" t="s">
        <v>317</v>
      </c>
      <c r="B57" s="360">
        <v>23</v>
      </c>
      <c r="C57" s="377" t="s">
        <v>310</v>
      </c>
      <c r="D57" s="375">
        <v>8.3099999999999993E-2</v>
      </c>
      <c r="E57" s="375">
        <v>8.2799999999999999E-2</v>
      </c>
      <c r="F57" s="11" t="s">
        <v>185</v>
      </c>
      <c r="H57" s="11"/>
      <c r="I57" s="11"/>
      <c r="J57" s="11"/>
      <c r="K57" s="11"/>
      <c r="L57" s="11"/>
      <c r="M57" s="11"/>
    </row>
    <row r="58" spans="1:13" ht="18" thickBot="1">
      <c r="A58" s="358" t="s">
        <v>318</v>
      </c>
      <c r="B58" s="361">
        <v>24</v>
      </c>
      <c r="C58" s="357" t="s">
        <v>320</v>
      </c>
      <c r="D58" s="375">
        <v>8.3099999999999993E-2</v>
      </c>
      <c r="E58" s="375">
        <v>8.2799999999999999E-2</v>
      </c>
      <c r="F58" s="11"/>
      <c r="H58" s="11"/>
      <c r="I58" s="11"/>
      <c r="J58" s="11"/>
      <c r="K58" s="11"/>
      <c r="L58" s="11"/>
      <c r="M58" s="11"/>
    </row>
    <row r="59" spans="1:13" ht="18" thickBot="1">
      <c r="A59" s="56" t="s">
        <v>248</v>
      </c>
      <c r="B59" s="255">
        <v>25</v>
      </c>
      <c r="C59" s="56" t="s">
        <v>90</v>
      </c>
      <c r="D59" s="378"/>
      <c r="E59" s="378"/>
      <c r="F59" s="11" t="s">
        <v>186</v>
      </c>
      <c r="H59" s="11"/>
      <c r="I59" s="11"/>
      <c r="J59" s="11"/>
      <c r="K59" s="11"/>
      <c r="L59" s="11"/>
    </row>
  </sheetData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8"/>
  <sheetViews>
    <sheetView view="pageBreakPreview" zoomScale="60" zoomScaleNormal="80" workbookViewId="0">
      <selection activeCell="J19" sqref="J19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2.42578125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7.25">
      <c r="A2" s="60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>
      <c r="A4" s="11"/>
      <c r="B4" s="11"/>
      <c r="C4" s="11"/>
      <c r="D4" s="25" t="s">
        <v>0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8" thickBot="1">
      <c r="A5" s="6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8" thickBot="1">
      <c r="A6" s="241" t="str">
        <f>+'S&amp;D'!A12</f>
        <v>Natural Gas Transmission Pipeline Carrier</v>
      </c>
      <c r="B6" s="17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7.25">
      <c r="A7" s="6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8" thickBot="1">
      <c r="A8" s="60"/>
      <c r="B8" s="11"/>
      <c r="C8" s="27"/>
      <c r="D8" s="27"/>
      <c r="E8" s="27"/>
      <c r="F8" s="11"/>
      <c r="G8" s="11"/>
      <c r="H8" s="27"/>
      <c r="I8" s="27"/>
      <c r="J8" s="27"/>
      <c r="K8" s="27"/>
      <c r="L8" s="27"/>
      <c r="M8" s="27"/>
      <c r="N8" s="11"/>
    </row>
    <row r="9" spans="1:14" ht="26.25">
      <c r="B9" s="11"/>
      <c r="C9" s="11"/>
      <c r="D9" s="30" t="s">
        <v>284</v>
      </c>
      <c r="E9" s="11"/>
      <c r="F9" s="11"/>
      <c r="G9" s="11"/>
      <c r="H9" s="11"/>
      <c r="I9" s="11"/>
      <c r="J9" s="11"/>
      <c r="K9" s="66" t="s">
        <v>285</v>
      </c>
      <c r="L9" s="11"/>
      <c r="M9" s="11"/>
      <c r="N9" s="11"/>
    </row>
    <row r="10" spans="1:14" ht="21" thickBot="1">
      <c r="A10" s="29"/>
      <c r="B10" s="11"/>
      <c r="C10" s="27"/>
      <c r="D10" s="31" t="s">
        <v>422</v>
      </c>
      <c r="E10" s="27"/>
      <c r="F10" s="11"/>
      <c r="G10" s="11"/>
      <c r="H10" s="27"/>
      <c r="I10" s="27"/>
      <c r="J10" s="27"/>
      <c r="K10" s="31" t="s">
        <v>422</v>
      </c>
      <c r="L10" s="27"/>
      <c r="M10" s="27"/>
      <c r="N10" s="11"/>
    </row>
    <row r="11" spans="1:14" ht="17.25" thickBot="1">
      <c r="A11" s="32" t="s">
        <v>0</v>
      </c>
      <c r="B11" s="32" t="s">
        <v>0</v>
      </c>
      <c r="C11" s="32" t="s">
        <v>0</v>
      </c>
      <c r="D11" s="32" t="s">
        <v>0</v>
      </c>
      <c r="E11" s="32" t="s">
        <v>0</v>
      </c>
      <c r="F11" s="32" t="s">
        <v>0</v>
      </c>
      <c r="G11" s="39"/>
      <c r="H11" s="27"/>
      <c r="I11" s="32" t="s">
        <v>0</v>
      </c>
      <c r="J11" s="27"/>
      <c r="K11" s="27"/>
      <c r="L11" s="27"/>
      <c r="M11" s="27"/>
      <c r="N11" s="11"/>
    </row>
    <row r="12" spans="1:14" ht="16.5">
      <c r="A12" s="33" t="s">
        <v>0</v>
      </c>
      <c r="B12" s="33" t="s">
        <v>3</v>
      </c>
      <c r="C12" s="33" t="s">
        <v>326</v>
      </c>
      <c r="D12" s="33" t="s">
        <v>110</v>
      </c>
      <c r="E12" s="33" t="s">
        <v>110</v>
      </c>
      <c r="F12" s="33" t="s">
        <v>27</v>
      </c>
      <c r="G12" s="33"/>
      <c r="H12" s="33" t="s">
        <v>3</v>
      </c>
      <c r="I12" s="33" t="s">
        <v>326</v>
      </c>
      <c r="J12" s="33" t="s">
        <v>110</v>
      </c>
      <c r="K12" s="33"/>
      <c r="L12" s="33" t="s">
        <v>110</v>
      </c>
      <c r="M12" s="33" t="s">
        <v>27</v>
      </c>
      <c r="N12" s="11"/>
    </row>
    <row r="13" spans="1:14" ht="17.25" thickBot="1">
      <c r="A13" s="35" t="s">
        <v>2</v>
      </c>
      <c r="B13" s="35" t="s">
        <v>4</v>
      </c>
      <c r="C13" s="35" t="s">
        <v>28</v>
      </c>
      <c r="D13" s="35" t="s">
        <v>159</v>
      </c>
      <c r="E13" s="35" t="s">
        <v>29</v>
      </c>
      <c r="F13" s="35" t="s">
        <v>30</v>
      </c>
      <c r="G13" s="33"/>
      <c r="H13" s="35" t="s">
        <v>4</v>
      </c>
      <c r="I13" s="35" t="s">
        <v>28</v>
      </c>
      <c r="J13" s="35" t="s">
        <v>159</v>
      </c>
      <c r="K13" s="35"/>
      <c r="L13" s="35" t="s">
        <v>29</v>
      </c>
      <c r="M13" s="35" t="s">
        <v>30</v>
      </c>
      <c r="N13" s="11"/>
    </row>
    <row r="14" spans="1:14" ht="16.5">
      <c r="A14" s="37" t="s">
        <v>0</v>
      </c>
      <c r="B14" s="37" t="s">
        <v>0</v>
      </c>
      <c r="C14" s="38" t="s">
        <v>113</v>
      </c>
      <c r="D14" s="37" t="s">
        <v>114</v>
      </c>
      <c r="E14" s="37" t="s">
        <v>0</v>
      </c>
      <c r="F14" s="37" t="s">
        <v>0</v>
      </c>
      <c r="G14" s="39"/>
      <c r="H14" s="37" t="s">
        <v>0</v>
      </c>
      <c r="I14" s="38" t="s">
        <v>113</v>
      </c>
      <c r="J14" s="37" t="s">
        <v>115</v>
      </c>
      <c r="K14" s="37"/>
      <c r="L14" s="37" t="s">
        <v>0</v>
      </c>
      <c r="M14" s="37" t="s">
        <v>0</v>
      </c>
      <c r="N14" s="11"/>
    </row>
    <row r="15" spans="1:14" ht="16.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1"/>
    </row>
    <row r="16" spans="1:14" ht="16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7.25">
      <c r="A17" s="60" t="str">
        <f>+'S&amp;D'!A22</f>
        <v>Enbridge Inc</v>
      </c>
      <c r="B17" s="87" t="str">
        <f>+'S&amp;D'!B22</f>
        <v>ENB.TO</v>
      </c>
      <c r="C17" s="57">
        <f>+'S&amp;D'!G22</f>
        <v>61.01</v>
      </c>
      <c r="D17" s="329">
        <v>5.5</v>
      </c>
      <c r="E17" s="69">
        <f t="shared" ref="E17:E20" si="0">C17/D17</f>
        <v>11.092727272727272</v>
      </c>
      <c r="F17" s="54">
        <f t="shared" ref="F17:F20" si="1">1/E17</f>
        <v>9.0149155876085893E-2</v>
      </c>
      <c r="G17" s="54"/>
      <c r="H17" s="87" t="str">
        <f t="shared" ref="H17:H20" si="2">+B17</f>
        <v>ENB.TO</v>
      </c>
      <c r="I17" s="57">
        <f t="shared" ref="I17:I20" si="3">+C17</f>
        <v>61.01</v>
      </c>
      <c r="J17" s="347">
        <v>5.0999999999999996</v>
      </c>
      <c r="K17" s="59"/>
      <c r="L17" s="69">
        <f t="shared" ref="L17:L20" si="4">I17/J17</f>
        <v>11.962745098039216</v>
      </c>
      <c r="M17" s="54">
        <f t="shared" ref="M17:M20" si="5">1/L17</f>
        <v>8.3592853630552369E-2</v>
      </c>
      <c r="N17" s="11"/>
    </row>
    <row r="18" spans="1:14" ht="17.25">
      <c r="A18" s="60" t="str">
        <f>+'S&amp;D'!A23</f>
        <v>Energy Transfer LP</v>
      </c>
      <c r="B18" s="87" t="str">
        <f>+'S&amp;D'!B23</f>
        <v>ET</v>
      </c>
      <c r="C18" s="57">
        <f>+'S&amp;D'!G23</f>
        <v>19.59</v>
      </c>
      <c r="D18" s="329">
        <v>3.05</v>
      </c>
      <c r="E18" s="69">
        <f t="shared" si="0"/>
        <v>6.4229508196721312</v>
      </c>
      <c r="F18" s="54">
        <f t="shared" si="1"/>
        <v>0.15569167942827974</v>
      </c>
      <c r="G18" s="54"/>
      <c r="H18" s="87" t="str">
        <f t="shared" si="2"/>
        <v>ET</v>
      </c>
      <c r="I18" s="57">
        <f t="shared" si="3"/>
        <v>19.59</v>
      </c>
      <c r="J18" s="347">
        <v>3.2</v>
      </c>
      <c r="K18" s="59"/>
      <c r="L18" s="69">
        <f t="shared" si="4"/>
        <v>6.1218749999999993</v>
      </c>
      <c r="M18" s="54">
        <f t="shared" si="5"/>
        <v>0.16334864726901482</v>
      </c>
      <c r="N18" s="11"/>
    </row>
    <row r="19" spans="1:14" ht="17.25">
      <c r="A19" s="60" t="str">
        <f>+'S&amp;D'!A24</f>
        <v>Enterprise Products Partnership LP</v>
      </c>
      <c r="B19" s="87" t="str">
        <f>+'S&amp;D'!B24</f>
        <v>EPD</v>
      </c>
      <c r="C19" s="57">
        <f>+'S&amp;D'!G24</f>
        <v>31.36</v>
      </c>
      <c r="D19" s="329">
        <v>4.05</v>
      </c>
      <c r="E19" s="69">
        <f t="shared" si="0"/>
        <v>7.7432098765432098</v>
      </c>
      <c r="F19" s="54">
        <f t="shared" si="1"/>
        <v>0.12914540816326531</v>
      </c>
      <c r="G19" s="54"/>
      <c r="H19" s="87" t="str">
        <f t="shared" si="2"/>
        <v>EPD</v>
      </c>
      <c r="I19" s="57">
        <f t="shared" si="3"/>
        <v>31.36</v>
      </c>
      <c r="J19" s="347" t="s">
        <v>499</v>
      </c>
      <c r="K19" s="59"/>
      <c r="L19" s="69" t="s">
        <v>499</v>
      </c>
      <c r="M19" s="52" t="s">
        <v>499</v>
      </c>
      <c r="N19" s="11"/>
    </row>
    <row r="20" spans="1:14" ht="17.25">
      <c r="A20" s="60" t="str">
        <f>+'S&amp;D'!A25</f>
        <v>Kinder Morgan Inc</v>
      </c>
      <c r="B20" s="87" t="str">
        <f>+'S&amp;D'!B25</f>
        <v>KMI</v>
      </c>
      <c r="C20" s="57">
        <f>+'S&amp;D'!G25</f>
        <v>27.4</v>
      </c>
      <c r="D20" s="329">
        <v>2.35</v>
      </c>
      <c r="E20" s="69">
        <f t="shared" si="0"/>
        <v>11.659574468085106</v>
      </c>
      <c r="F20" s="54">
        <f t="shared" si="1"/>
        <v>8.576642335766424E-2</v>
      </c>
      <c r="G20" s="54"/>
      <c r="H20" s="87" t="str">
        <f t="shared" si="2"/>
        <v>KMI</v>
      </c>
      <c r="I20" s="57">
        <f t="shared" si="3"/>
        <v>27.4</v>
      </c>
      <c r="J20" s="347">
        <v>2.5499999999999998</v>
      </c>
      <c r="K20" s="59"/>
      <c r="L20" s="69">
        <f t="shared" si="4"/>
        <v>10.745098039215687</v>
      </c>
      <c r="M20" s="54">
        <f t="shared" si="5"/>
        <v>9.3065693430656932E-2</v>
      </c>
      <c r="N20" s="11"/>
    </row>
    <row r="21" spans="1:14" ht="17.25">
      <c r="A21" s="60" t="str">
        <f>+'S&amp;D'!A26</f>
        <v>ONEOK Inc</v>
      </c>
      <c r="B21" s="87" t="str">
        <f>+'S&amp;D'!B26</f>
        <v>OKE</v>
      </c>
      <c r="C21" s="57">
        <f>+'S&amp;D'!G26</f>
        <v>100.4</v>
      </c>
      <c r="D21" s="329">
        <v>8</v>
      </c>
      <c r="E21" s="69">
        <f t="shared" ref="E21:E23" si="6">C21/D21</f>
        <v>12.55</v>
      </c>
      <c r="F21" s="54">
        <f t="shared" ref="F21:F23" si="7">1/E21</f>
        <v>7.9681274900398405E-2</v>
      </c>
      <c r="G21" s="54"/>
      <c r="H21" s="87" t="str">
        <f t="shared" ref="H21:H23" si="8">+B21</f>
        <v>OKE</v>
      </c>
      <c r="I21" s="57">
        <f t="shared" ref="I21:I23" si="9">+C21</f>
        <v>100.4</v>
      </c>
      <c r="J21" s="347">
        <v>9.15</v>
      </c>
      <c r="K21" s="59"/>
      <c r="L21" s="69">
        <f t="shared" ref="L21:L23" si="10">I21/J21</f>
        <v>10.972677595628415</v>
      </c>
      <c r="M21" s="54">
        <f t="shared" ref="M21:M23" si="11">1/L21</f>
        <v>9.113545816733068E-2</v>
      </c>
      <c r="N21" s="11"/>
    </row>
    <row r="22" spans="1:14" ht="17.25">
      <c r="A22" s="60" t="str">
        <f>+'S&amp;D'!A27</f>
        <v>TC Energy Corp</v>
      </c>
      <c r="B22" s="87" t="str">
        <f>+'S&amp;D'!B27</f>
        <v>TRP</v>
      </c>
      <c r="C22" s="57">
        <f>+'S&amp;D'!G27</f>
        <v>46.53</v>
      </c>
      <c r="D22" s="329">
        <v>5.7</v>
      </c>
      <c r="E22" s="69">
        <f t="shared" si="6"/>
        <v>8.1631578947368428</v>
      </c>
      <c r="F22" s="54">
        <f t="shared" si="7"/>
        <v>0.12250161186331399</v>
      </c>
      <c r="G22" s="54"/>
      <c r="H22" s="87" t="str">
        <f t="shared" si="8"/>
        <v>TRP</v>
      </c>
      <c r="I22" s="57">
        <f t="shared" si="9"/>
        <v>46.53</v>
      </c>
      <c r="J22" s="347">
        <v>6.45</v>
      </c>
      <c r="K22" s="59"/>
      <c r="L22" s="69">
        <f t="shared" si="10"/>
        <v>7.213953488372093</v>
      </c>
      <c r="M22" s="54">
        <f t="shared" si="11"/>
        <v>0.13862024500322373</v>
      </c>
      <c r="N22" s="11"/>
    </row>
    <row r="23" spans="1:14" ht="17.25">
      <c r="A23" s="60" t="str">
        <f>+'S&amp;D'!A28</f>
        <v>Williams Companys Inc</v>
      </c>
      <c r="B23" s="87" t="str">
        <f>+'S&amp;D'!B28</f>
        <v>WMB</v>
      </c>
      <c r="C23" s="57">
        <f>+'S&amp;D'!G28</f>
        <v>54.12</v>
      </c>
      <c r="D23" s="329">
        <v>4.45</v>
      </c>
      <c r="E23" s="69">
        <f t="shared" si="6"/>
        <v>12.161797752808988</v>
      </c>
      <c r="F23" s="54">
        <f t="shared" si="7"/>
        <v>8.2224685883222473E-2</v>
      </c>
      <c r="G23" s="54"/>
      <c r="H23" s="87" t="str">
        <f t="shared" si="8"/>
        <v>WMB</v>
      </c>
      <c r="I23" s="57">
        <f t="shared" si="9"/>
        <v>54.12</v>
      </c>
      <c r="J23" s="347">
        <v>4.95</v>
      </c>
      <c r="K23" s="59"/>
      <c r="L23" s="69">
        <f t="shared" si="10"/>
        <v>10.933333333333332</v>
      </c>
      <c r="M23" s="54">
        <f t="shared" si="11"/>
        <v>9.1463414634146353E-2</v>
      </c>
      <c r="N23" s="11"/>
    </row>
    <row r="24" spans="1:14" ht="17.25" thickBot="1">
      <c r="A24" s="11"/>
      <c r="B24" s="67"/>
      <c r="C24" s="67"/>
      <c r="D24" s="67"/>
      <c r="E24" s="67"/>
      <c r="F24" s="67"/>
      <c r="G24" s="11"/>
      <c r="H24" s="67"/>
      <c r="I24" s="67"/>
      <c r="J24" s="275"/>
      <c r="K24" s="67"/>
      <c r="L24" s="67"/>
      <c r="M24" s="67"/>
      <c r="N24" s="11"/>
    </row>
    <row r="25" spans="1:14" ht="17.25" thickTop="1">
      <c r="A25" s="11"/>
      <c r="C25" s="13" t="s">
        <v>46</v>
      </c>
      <c r="D25" s="68">
        <f>+MAX(D17:D23)</f>
        <v>8</v>
      </c>
      <c r="E25" s="68">
        <f>+MAX(E17:E23)</f>
        <v>12.55</v>
      </c>
      <c r="F25" s="284">
        <f>+MAX(F17:F23)</f>
        <v>0.15569167942827974</v>
      </c>
      <c r="I25" s="13" t="s">
        <v>46</v>
      </c>
      <c r="J25" s="68">
        <f>+MAX(J17:J23)</f>
        <v>9.15</v>
      </c>
      <c r="K25" s="68"/>
      <c r="L25" s="68">
        <f>+MAX(L17:L23)</f>
        <v>11.962745098039216</v>
      </c>
      <c r="M25" s="284">
        <f>+MAX(M17:M23)</f>
        <v>0.16334864726901482</v>
      </c>
      <c r="N25" s="11"/>
    </row>
    <row r="26" spans="1:14" ht="16.5">
      <c r="A26" s="11"/>
      <c r="C26" s="308" t="s">
        <v>47</v>
      </c>
      <c r="D26" s="311">
        <f>MIN(D17:D23)</f>
        <v>2.35</v>
      </c>
      <c r="E26" s="311">
        <f>MIN(E17:E23)</f>
        <v>6.4229508196721312</v>
      </c>
      <c r="F26" s="305">
        <f>MIN(F17:F23)</f>
        <v>7.9681274900398405E-2</v>
      </c>
      <c r="I26" s="308" t="s">
        <v>47</v>
      </c>
      <c r="J26" s="311">
        <f t="shared" ref="J26:M26" si="12">MIN(J17:J23)</f>
        <v>2.5499999999999998</v>
      </c>
      <c r="K26" s="311"/>
      <c r="L26" s="311">
        <f t="shared" si="12"/>
        <v>6.1218749999999993</v>
      </c>
      <c r="M26" s="305">
        <f t="shared" si="12"/>
        <v>8.3592853630552369E-2</v>
      </c>
      <c r="N26" s="11"/>
    </row>
    <row r="27" spans="1:14" ht="16.5">
      <c r="A27" s="11"/>
      <c r="C27" s="13" t="s">
        <v>18</v>
      </c>
      <c r="D27" s="69">
        <f>MEDIAN(D17:D23)</f>
        <v>4.45</v>
      </c>
      <c r="E27" s="20">
        <f>MEDIAN(E17:E23)</f>
        <v>11.092727272727272</v>
      </c>
      <c r="F27" s="54">
        <f>MEDIAN(F17:F23)</f>
        <v>9.0149155876085893E-2</v>
      </c>
      <c r="G27" s="54"/>
      <c r="I27" s="13" t="s">
        <v>18</v>
      </c>
      <c r="J27" s="69">
        <f>MEDIAN(J17:J23)</f>
        <v>5.0250000000000004</v>
      </c>
      <c r="K27" s="69"/>
      <c r="L27" s="20">
        <f>MEDIAN(L17:L23)</f>
        <v>10.83921568627451</v>
      </c>
      <c r="M27" s="54">
        <f>MEDIAN(M17:M23)</f>
        <v>9.2264554032401636E-2</v>
      </c>
      <c r="N27" s="11"/>
    </row>
    <row r="28" spans="1:14" ht="16.5">
      <c r="A28" s="11"/>
      <c r="C28" s="13" t="s">
        <v>388</v>
      </c>
      <c r="D28" s="16">
        <f>AVERAGE(D17:D23)</f>
        <v>4.7285714285714286</v>
      </c>
      <c r="E28" s="20">
        <f>AVERAGE(E17:E23)</f>
        <v>9.9704882977962228</v>
      </c>
      <c r="F28" s="70">
        <f>AVERAGE(F17:F23)</f>
        <v>0.10645146278174715</v>
      </c>
      <c r="G28" s="70"/>
      <c r="I28" s="13" t="s">
        <v>388</v>
      </c>
      <c r="J28" s="16">
        <f>AVERAGE(J17:J23)</f>
        <v>5.2333333333333334</v>
      </c>
      <c r="K28" s="16"/>
      <c r="L28" s="20">
        <f>AVERAGE(L17:L23)</f>
        <v>9.6582804257647901</v>
      </c>
      <c r="M28" s="70">
        <f>AVERAGE(M17:M23)</f>
        <v>0.11020438535582079</v>
      </c>
      <c r="N28" s="11"/>
    </row>
    <row r="29" spans="1:14" ht="16.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26.25">
      <c r="A30" s="11"/>
      <c r="B30" s="11"/>
      <c r="C30" s="11"/>
      <c r="D30" s="74" t="s">
        <v>74</v>
      </c>
      <c r="E30" s="285">
        <v>9.9700000000000006</v>
      </c>
      <c r="F30" s="286">
        <v>0.1065</v>
      </c>
      <c r="G30" s="248"/>
      <c r="H30" s="11"/>
      <c r="I30" s="11"/>
      <c r="J30" s="74" t="s">
        <v>74</v>
      </c>
      <c r="K30" s="47"/>
      <c r="L30" s="287">
        <v>9.66</v>
      </c>
      <c r="M30" s="286">
        <v>0.11020000000000001</v>
      </c>
      <c r="N30" s="11"/>
    </row>
    <row r="31" spans="1:14" ht="30" customHeight="1" thickBot="1">
      <c r="A31" s="11"/>
      <c r="B31" s="11"/>
      <c r="C31" s="11"/>
      <c r="D31" s="11"/>
      <c r="E31" s="11"/>
      <c r="G31" s="71"/>
      <c r="H31" s="11"/>
      <c r="I31" s="11"/>
      <c r="J31" s="11"/>
      <c r="K31" s="11"/>
      <c r="L31" s="11"/>
      <c r="M31" s="11"/>
      <c r="N31" s="11"/>
    </row>
    <row r="32" spans="1:14" ht="27" thickBot="1">
      <c r="A32" s="72" t="s">
        <v>0</v>
      </c>
      <c r="B32" s="11"/>
      <c r="C32" s="11"/>
      <c r="D32" s="11"/>
      <c r="E32" s="22" t="s">
        <v>119</v>
      </c>
      <c r="F32" s="22"/>
      <c r="G32" s="197">
        <f>(+E30+L30)/2</f>
        <v>9.8150000000000013</v>
      </c>
      <c r="H32" s="198">
        <f>(+F30+M30)/2</f>
        <v>0.10835</v>
      </c>
      <c r="K32" s="11"/>
      <c r="N32" s="11"/>
    </row>
    <row r="33" spans="1:14" ht="16.5">
      <c r="A33" s="72" t="s">
        <v>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6.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6.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7.25">
      <c r="A36" s="103" t="s">
        <v>332</v>
      </c>
    </row>
    <row r="37" spans="1:14" ht="17.25">
      <c r="A37" s="103" t="s">
        <v>333</v>
      </c>
    </row>
    <row r="38" spans="1:14" ht="17.25">
      <c r="A38" s="103" t="s">
        <v>334</v>
      </c>
    </row>
  </sheetData>
  <pageMargins left="0.25" right="0.25" top="0.75" bottom="0.75" header="0.3" footer="0.3"/>
  <pageSetup scale="4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59"/>
  <sheetViews>
    <sheetView view="pageBreakPreview" topLeftCell="A10" zoomScale="60" zoomScaleNormal="80" workbookViewId="0">
      <selection activeCell="J33" sqref="J33"/>
    </sheetView>
  </sheetViews>
  <sheetFormatPr defaultRowHeight="15"/>
  <cols>
    <col min="1" max="1" width="53.85546875" customWidth="1"/>
    <col min="2" max="2" width="8" customWidth="1"/>
    <col min="3" max="3" width="12.285156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22" t="s">
        <v>1</v>
      </c>
      <c r="B1" s="2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7.25">
      <c r="A2" s="60" t="s">
        <v>9</v>
      </c>
      <c r="B2" s="6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6.5">
      <c r="A3" s="24" t="s">
        <v>421</v>
      </c>
      <c r="B3" s="4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16.5">
      <c r="A4" s="11"/>
      <c r="B4" s="11"/>
      <c r="C4" s="11"/>
      <c r="D4" s="11"/>
      <c r="E4" s="25" t="s">
        <v>0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8" thickBot="1">
      <c r="A5" s="60"/>
      <c r="B5" s="6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21" thickBot="1">
      <c r="A6" s="239" t="str">
        <f>+'S&amp;D'!A12</f>
        <v>Natural Gas Transmission Pipeline Carrier</v>
      </c>
      <c r="B6" s="24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8" thickBot="1">
      <c r="A7" s="60"/>
      <c r="B7" s="60"/>
      <c r="C7" s="27"/>
      <c r="D7" s="27"/>
      <c r="E7" s="27"/>
      <c r="F7" s="27"/>
      <c r="G7" s="27"/>
      <c r="H7" s="11"/>
      <c r="I7" s="27"/>
      <c r="J7" s="27"/>
      <c r="K7" s="27"/>
      <c r="L7" s="27"/>
      <c r="M7" s="27"/>
      <c r="N7" s="11"/>
      <c r="O7" s="11"/>
    </row>
    <row r="8" spans="1:15" ht="26.25">
      <c r="B8" s="29"/>
      <c r="C8" s="11"/>
      <c r="D8" s="11"/>
      <c r="E8" s="30" t="s">
        <v>224</v>
      </c>
      <c r="F8" s="11"/>
      <c r="G8" s="11"/>
      <c r="H8" s="11"/>
      <c r="I8" s="11"/>
      <c r="J8" s="11"/>
      <c r="K8" s="30" t="s">
        <v>225</v>
      </c>
      <c r="L8" s="11"/>
      <c r="M8" s="11"/>
      <c r="N8" s="11"/>
      <c r="O8" s="11"/>
    </row>
    <row r="9" spans="1:15" ht="21" thickBot="1">
      <c r="A9" s="29"/>
      <c r="B9" s="29"/>
      <c r="C9" s="27"/>
      <c r="D9" s="27"/>
      <c r="E9" s="31" t="s">
        <v>422</v>
      </c>
      <c r="F9" s="27"/>
      <c r="G9" s="27"/>
      <c r="H9" s="11"/>
      <c r="I9" s="27"/>
      <c r="J9" s="27"/>
      <c r="K9" s="31" t="s">
        <v>422</v>
      </c>
      <c r="L9" s="27"/>
      <c r="M9" s="27"/>
      <c r="N9" s="11"/>
      <c r="O9" s="11"/>
    </row>
    <row r="10" spans="1:15" ht="17.25" thickBot="1">
      <c r="A10" s="32" t="s">
        <v>0</v>
      </c>
      <c r="B10" s="32"/>
      <c r="C10" s="32" t="s">
        <v>0</v>
      </c>
      <c r="D10" s="32" t="s">
        <v>0</v>
      </c>
      <c r="E10" s="32" t="s">
        <v>0</v>
      </c>
      <c r="F10" s="32" t="s">
        <v>0</v>
      </c>
      <c r="G10" s="32" t="s">
        <v>0</v>
      </c>
      <c r="H10" s="11"/>
      <c r="I10" s="27"/>
      <c r="J10" s="27"/>
      <c r="K10" s="27"/>
      <c r="L10" s="27"/>
      <c r="M10" s="27"/>
      <c r="N10" s="11"/>
      <c r="O10" s="11"/>
    </row>
    <row r="11" spans="1:15" ht="16.5">
      <c r="A11" s="33" t="s">
        <v>0</v>
      </c>
      <c r="B11" s="33"/>
      <c r="C11" s="33" t="s">
        <v>3</v>
      </c>
      <c r="D11" s="33" t="s">
        <v>326</v>
      </c>
      <c r="E11" s="33" t="s">
        <v>328</v>
      </c>
      <c r="F11" s="33" t="s">
        <v>111</v>
      </c>
      <c r="G11" s="33" t="s">
        <v>27</v>
      </c>
      <c r="H11" s="11"/>
      <c r="I11" s="33" t="s">
        <v>3</v>
      </c>
      <c r="J11" s="33" t="s">
        <v>326</v>
      </c>
      <c r="K11" s="33" t="s">
        <v>328</v>
      </c>
      <c r="L11" s="33" t="s">
        <v>111</v>
      </c>
      <c r="M11" s="33" t="s">
        <v>27</v>
      </c>
      <c r="N11" s="11"/>
      <c r="O11" s="11"/>
    </row>
    <row r="12" spans="1:15" ht="17.25" thickBot="1">
      <c r="A12" s="35" t="s">
        <v>2</v>
      </c>
      <c r="B12" s="35"/>
      <c r="C12" s="35" t="s">
        <v>4</v>
      </c>
      <c r="D12" s="35" t="s">
        <v>28</v>
      </c>
      <c r="E12" s="35" t="s">
        <v>159</v>
      </c>
      <c r="F12" s="35" t="s">
        <v>29</v>
      </c>
      <c r="G12" s="35" t="s">
        <v>30</v>
      </c>
      <c r="H12" s="11"/>
      <c r="I12" s="35" t="s">
        <v>4</v>
      </c>
      <c r="J12" s="35" t="s">
        <v>28</v>
      </c>
      <c r="K12" s="35" t="s">
        <v>159</v>
      </c>
      <c r="L12" s="35" t="s">
        <v>29</v>
      </c>
      <c r="M12" s="35" t="s">
        <v>30</v>
      </c>
      <c r="N12" s="11"/>
      <c r="O12" s="11"/>
    </row>
    <row r="13" spans="1:15" ht="16.5">
      <c r="A13" s="37" t="s">
        <v>0</v>
      </c>
      <c r="B13" s="37"/>
      <c r="C13" s="37" t="s">
        <v>0</v>
      </c>
      <c r="D13" s="38" t="s">
        <v>113</v>
      </c>
      <c r="E13" s="73" t="s">
        <v>114</v>
      </c>
      <c r="F13" s="37" t="s">
        <v>0</v>
      </c>
      <c r="G13" s="37" t="s">
        <v>0</v>
      </c>
      <c r="H13" s="11"/>
      <c r="I13" s="37" t="s">
        <v>0</v>
      </c>
      <c r="J13" s="38" t="s">
        <v>113</v>
      </c>
      <c r="K13" s="73" t="s">
        <v>112</v>
      </c>
      <c r="L13" s="37" t="s">
        <v>0</v>
      </c>
      <c r="M13" s="37" t="s">
        <v>0</v>
      </c>
      <c r="N13" s="11"/>
      <c r="O13" s="11"/>
    </row>
    <row r="14" spans="1:15" ht="16.5">
      <c r="A14" s="33"/>
      <c r="B14" s="33"/>
      <c r="C14" s="33"/>
      <c r="D14" s="33"/>
      <c r="E14" s="33"/>
      <c r="F14" s="33"/>
      <c r="G14" s="33"/>
      <c r="H14" s="11"/>
      <c r="I14" s="33"/>
      <c r="J14" s="33"/>
      <c r="K14" s="33"/>
      <c r="L14" s="33"/>
      <c r="M14" s="33"/>
      <c r="N14" s="11"/>
      <c r="O14" s="11"/>
    </row>
    <row r="15" spans="1:15" ht="16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7.25">
      <c r="A16" s="60" t="str">
        <f>+'S&amp;D'!A22</f>
        <v>Enbridge Inc</v>
      </c>
      <c r="B16" s="60"/>
      <c r="C16" s="87" t="str">
        <f>+'S&amp;D'!B22</f>
        <v>ENB.TO</v>
      </c>
      <c r="D16" s="57">
        <f>'S&amp;D'!G22</f>
        <v>61.01</v>
      </c>
      <c r="E16" s="329">
        <f>+Earnings!E16</f>
        <v>3.05</v>
      </c>
      <c r="F16" s="69">
        <f t="shared" ref="F16:F19" si="0">D16/E16</f>
        <v>20.003278688524592</v>
      </c>
      <c r="G16" s="54">
        <f t="shared" ref="G16:G19" si="1">1/F16</f>
        <v>4.9991804622193076E-2</v>
      </c>
      <c r="H16" s="11"/>
      <c r="I16" s="33" t="str">
        <f t="shared" ref="I16:I19" si="2">+C16</f>
        <v>ENB.TO</v>
      </c>
      <c r="J16" s="57">
        <f t="shared" ref="J16:J19" si="3">+D16</f>
        <v>61.01</v>
      </c>
      <c r="K16" s="329">
        <f>+Earnings!G16</f>
        <v>2.8</v>
      </c>
      <c r="L16" s="69">
        <f t="shared" ref="L16:L19" si="4">J16/K16</f>
        <v>21.789285714285715</v>
      </c>
      <c r="M16" s="54">
        <f t="shared" ref="M16:M19" si="5">1/L16</f>
        <v>4.5894115718734634E-2</v>
      </c>
      <c r="N16" s="11"/>
      <c r="O16" s="11"/>
    </row>
    <row r="17" spans="1:15" ht="17.25">
      <c r="A17" s="60" t="str">
        <f>+'S&amp;D'!A23</f>
        <v>Energy Transfer LP</v>
      </c>
      <c r="B17" s="60"/>
      <c r="C17" s="87" t="str">
        <f>+'S&amp;D'!B23</f>
        <v>ET</v>
      </c>
      <c r="D17" s="57">
        <f>'S&amp;D'!G23</f>
        <v>19.59</v>
      </c>
      <c r="E17" s="329">
        <f>+Earnings!E17</f>
        <v>1.5</v>
      </c>
      <c r="F17" s="69">
        <f t="shared" si="0"/>
        <v>13.06</v>
      </c>
      <c r="G17" s="54">
        <f t="shared" si="1"/>
        <v>7.6569678407350683E-2</v>
      </c>
      <c r="H17" s="11"/>
      <c r="I17" s="33" t="str">
        <f t="shared" si="2"/>
        <v>ET</v>
      </c>
      <c r="J17" s="57">
        <f t="shared" si="3"/>
        <v>19.59</v>
      </c>
      <c r="K17" s="329">
        <f>+Earnings!G17</f>
        <v>1.6</v>
      </c>
      <c r="L17" s="69">
        <f t="shared" si="4"/>
        <v>12.243749999999999</v>
      </c>
      <c r="M17" s="54">
        <f t="shared" si="5"/>
        <v>8.1674323634507412E-2</v>
      </c>
      <c r="N17" s="11"/>
      <c r="O17" s="11"/>
    </row>
    <row r="18" spans="1:15" ht="17.25">
      <c r="A18" s="60" t="str">
        <f>+'S&amp;D'!A24</f>
        <v>Enterprise Products Partnership LP</v>
      </c>
      <c r="B18" s="60"/>
      <c r="C18" s="87" t="str">
        <f>+'S&amp;D'!B24</f>
        <v>EPD</v>
      </c>
      <c r="D18" s="57">
        <f>'S&amp;D'!G24</f>
        <v>31.36</v>
      </c>
      <c r="E18" s="329">
        <f>+Earnings!E18</f>
        <v>2.85</v>
      </c>
      <c r="F18" s="69">
        <f t="shared" si="0"/>
        <v>11.003508771929823</v>
      </c>
      <c r="G18" s="54">
        <f t="shared" si="1"/>
        <v>9.0880102040816341E-2</v>
      </c>
      <c r="H18" s="11"/>
      <c r="I18" s="33" t="str">
        <f t="shared" si="2"/>
        <v>EPD</v>
      </c>
      <c r="J18" s="57">
        <f t="shared" si="3"/>
        <v>31.36</v>
      </c>
      <c r="K18" s="329">
        <f>+Earnings!G18</f>
        <v>3.05</v>
      </c>
      <c r="L18" s="69">
        <f t="shared" si="4"/>
        <v>10.281967213114754</v>
      </c>
      <c r="M18" s="54">
        <f t="shared" si="5"/>
        <v>9.7257653061224483E-2</v>
      </c>
      <c r="N18" s="11"/>
      <c r="O18" s="11"/>
    </row>
    <row r="19" spans="1:15" ht="17.25">
      <c r="A19" s="60" t="str">
        <f>+'S&amp;D'!A25</f>
        <v>Kinder Morgan Inc</v>
      </c>
      <c r="B19" s="60"/>
      <c r="C19" s="87" t="str">
        <f>+'S&amp;D'!B25</f>
        <v>KMI</v>
      </c>
      <c r="D19" s="57">
        <f>'S&amp;D'!G25</f>
        <v>27.4</v>
      </c>
      <c r="E19" s="329">
        <f>+Earnings!E19</f>
        <v>1.3</v>
      </c>
      <c r="F19" s="69">
        <f t="shared" si="0"/>
        <v>21.076923076923077</v>
      </c>
      <c r="G19" s="54">
        <f t="shared" si="1"/>
        <v>4.7445255474452552E-2</v>
      </c>
      <c r="H19" s="11"/>
      <c r="I19" s="33" t="str">
        <f t="shared" si="2"/>
        <v>KMI</v>
      </c>
      <c r="J19" s="57">
        <f t="shared" si="3"/>
        <v>27.4</v>
      </c>
      <c r="K19" s="329">
        <f>+Earnings!G19</f>
        <v>1.4</v>
      </c>
      <c r="L19" s="69">
        <f t="shared" si="4"/>
        <v>19.571428571428573</v>
      </c>
      <c r="M19" s="54">
        <f t="shared" si="5"/>
        <v>5.1094890510948898E-2</v>
      </c>
      <c r="N19" s="11"/>
      <c r="O19" s="11"/>
    </row>
    <row r="20" spans="1:15" ht="17.25">
      <c r="A20" s="60" t="str">
        <f>+'S&amp;D'!A26</f>
        <v>ONEOK Inc</v>
      </c>
      <c r="B20" s="60"/>
      <c r="C20" s="87" t="str">
        <f>+'S&amp;D'!B26</f>
        <v>OKE</v>
      </c>
      <c r="D20" s="57">
        <f>'S&amp;D'!G26</f>
        <v>100.4</v>
      </c>
      <c r="E20" s="329">
        <f>+Earnings!E20</f>
        <v>6</v>
      </c>
      <c r="F20" s="69">
        <f t="shared" ref="F20:F22" si="6">D20/E20</f>
        <v>16.733333333333334</v>
      </c>
      <c r="G20" s="54">
        <f t="shared" ref="G20:G22" si="7">1/F20</f>
        <v>5.97609561752988E-2</v>
      </c>
      <c r="H20" s="11"/>
      <c r="I20" s="33" t="str">
        <f t="shared" ref="I20:I22" si="8">+C20</f>
        <v>OKE</v>
      </c>
      <c r="J20" s="57">
        <f t="shared" ref="J20:J22" si="9">+D20</f>
        <v>100.4</v>
      </c>
      <c r="K20" s="329">
        <f>+Earnings!G20</f>
        <v>7</v>
      </c>
      <c r="L20" s="69">
        <f t="shared" ref="L20:L22" si="10">J20/K20</f>
        <v>14.342857142857143</v>
      </c>
      <c r="M20" s="54">
        <f t="shared" ref="M20:M22" si="11">1/L20</f>
        <v>6.9721115537848599E-2</v>
      </c>
      <c r="N20" s="11"/>
      <c r="O20" s="11"/>
    </row>
    <row r="21" spans="1:15" ht="17.25">
      <c r="A21" s="60" t="str">
        <f>+'S&amp;D'!A27</f>
        <v>TC Energy Corp</v>
      </c>
      <c r="B21" s="60"/>
      <c r="C21" s="87" t="str">
        <f>+'S&amp;D'!B27</f>
        <v>TRP</v>
      </c>
      <c r="D21" s="57">
        <f>'S&amp;D'!G27</f>
        <v>46.53</v>
      </c>
      <c r="E21" s="329">
        <f>+Earnings!E21</f>
        <v>3.4</v>
      </c>
      <c r="F21" s="69">
        <f t="shared" si="6"/>
        <v>13.685294117647059</v>
      </c>
      <c r="G21" s="54">
        <f t="shared" si="7"/>
        <v>7.3071136900924136E-2</v>
      </c>
      <c r="H21" s="11"/>
      <c r="I21" s="33" t="str">
        <f t="shared" si="8"/>
        <v>TRP</v>
      </c>
      <c r="J21" s="57">
        <f t="shared" si="9"/>
        <v>46.53</v>
      </c>
      <c r="K21" s="329">
        <f>+Earnings!G21</f>
        <v>4</v>
      </c>
      <c r="L21" s="69">
        <f t="shared" si="10"/>
        <v>11.6325</v>
      </c>
      <c r="M21" s="54">
        <f t="shared" si="11"/>
        <v>8.5966043412851925E-2</v>
      </c>
      <c r="N21" s="11"/>
      <c r="O21" s="11"/>
    </row>
    <row r="22" spans="1:15" ht="17.25">
      <c r="A22" s="60" t="str">
        <f>+'S&amp;D'!A28</f>
        <v>Williams Companys Inc</v>
      </c>
      <c r="B22" s="60"/>
      <c r="C22" s="87" t="str">
        <f>+'S&amp;D'!B28</f>
        <v>WMB</v>
      </c>
      <c r="D22" s="57">
        <f>'S&amp;D'!G28</f>
        <v>54.12</v>
      </c>
      <c r="E22" s="329">
        <f>+Earnings!E22</f>
        <v>2.35</v>
      </c>
      <c r="F22" s="69">
        <f t="shared" si="6"/>
        <v>23.029787234042551</v>
      </c>
      <c r="G22" s="54">
        <f t="shared" si="7"/>
        <v>4.3422025129342207E-2</v>
      </c>
      <c r="H22" s="11"/>
      <c r="I22" s="33" t="str">
        <f t="shared" si="8"/>
        <v>WMB</v>
      </c>
      <c r="J22" s="57">
        <f t="shared" si="9"/>
        <v>54.12</v>
      </c>
      <c r="K22" s="329">
        <f>+Earnings!G22</f>
        <v>2.6</v>
      </c>
      <c r="L22" s="69">
        <f t="shared" si="10"/>
        <v>20.815384615384612</v>
      </c>
      <c r="M22" s="54">
        <f t="shared" si="11"/>
        <v>4.8041389504804147E-2</v>
      </c>
      <c r="N22" s="11"/>
      <c r="O22" s="11"/>
    </row>
    <row r="23" spans="1:15" ht="18" thickBot="1">
      <c r="A23" s="11"/>
      <c r="B23" s="11"/>
      <c r="C23" s="67"/>
      <c r="D23" s="67"/>
      <c r="E23" s="67"/>
      <c r="F23" s="67"/>
      <c r="G23" s="67"/>
      <c r="H23" s="11"/>
      <c r="I23" s="67"/>
      <c r="J23" s="62" t="s">
        <v>0</v>
      </c>
      <c r="K23" s="67"/>
      <c r="L23" s="67"/>
      <c r="M23" s="67"/>
      <c r="N23" s="11"/>
      <c r="O23" s="11"/>
    </row>
    <row r="24" spans="1:15" ht="17.25" thickTop="1">
      <c r="A24" s="11"/>
      <c r="B24" s="11"/>
      <c r="D24" s="13" t="s">
        <v>46</v>
      </c>
      <c r="E24" s="68">
        <f>MAX(E16:E22)</f>
        <v>6</v>
      </c>
      <c r="F24" s="68">
        <f>MAX(F16:F22)</f>
        <v>23.029787234042551</v>
      </c>
      <c r="G24" s="284">
        <f>MAX(G16:G22)</f>
        <v>9.0880102040816341E-2</v>
      </c>
      <c r="H24" s="11"/>
      <c r="J24" s="13" t="s">
        <v>46</v>
      </c>
      <c r="K24" s="68">
        <f>MAX(K16:K22)</f>
        <v>7</v>
      </c>
      <c r="L24" s="68">
        <f>MAX(L16:L22)</f>
        <v>21.789285714285715</v>
      </c>
      <c r="M24" s="284">
        <f>MAX(M16:M22)</f>
        <v>9.7257653061224483E-2</v>
      </c>
      <c r="N24" s="11"/>
      <c r="O24" s="11"/>
    </row>
    <row r="25" spans="1:15" ht="16.5">
      <c r="A25" s="11"/>
      <c r="B25" s="11"/>
      <c r="D25" s="308" t="s">
        <v>47</v>
      </c>
      <c r="E25" s="311">
        <f>+MIN(E16:E22)</f>
        <v>1.3</v>
      </c>
      <c r="F25" s="311">
        <f>+MIN(F16:F22)</f>
        <v>11.003508771929823</v>
      </c>
      <c r="G25" s="305">
        <f>+MIN(G16:G22)</f>
        <v>4.3422025129342207E-2</v>
      </c>
      <c r="H25" s="11"/>
      <c r="J25" s="308" t="s">
        <v>47</v>
      </c>
      <c r="K25" s="311">
        <f>+MIN(K16:K22)</f>
        <v>1.4</v>
      </c>
      <c r="L25" s="311">
        <f>+MIN(L16:L22)</f>
        <v>10.281967213114754</v>
      </c>
      <c r="M25" s="305">
        <f>+MIN(M16:M22)</f>
        <v>4.5894115718734634E-2</v>
      </c>
      <c r="N25" s="11"/>
      <c r="O25" s="11"/>
    </row>
    <row r="26" spans="1:15" ht="16.5">
      <c r="A26" s="11"/>
      <c r="B26" s="11"/>
      <c r="D26" s="13" t="s">
        <v>18</v>
      </c>
      <c r="E26" s="69">
        <f>MEDIAN(E16:E22)</f>
        <v>2.85</v>
      </c>
      <c r="F26" s="20">
        <f>MEDIAN(F16:F22)</f>
        <v>16.733333333333334</v>
      </c>
      <c r="G26" s="54">
        <f>MEDIAN(G16:G22)</f>
        <v>5.97609561752988E-2</v>
      </c>
      <c r="H26" s="11"/>
      <c r="J26" s="13" t="s">
        <v>18</v>
      </c>
      <c r="K26" s="69">
        <f>MEDIAN(K16:K22)</f>
        <v>2.8</v>
      </c>
      <c r="L26" s="20">
        <f>MEDIAN(L16:L22)</f>
        <v>14.342857142857143</v>
      </c>
      <c r="M26" s="54">
        <f>MEDIAN(M16:M22)</f>
        <v>6.9721115537848599E-2</v>
      </c>
      <c r="N26" s="11"/>
      <c r="O26" s="11"/>
    </row>
    <row r="27" spans="1:15" ht="16.5">
      <c r="A27" s="11"/>
      <c r="B27" s="11"/>
      <c r="D27" s="13" t="s">
        <v>388</v>
      </c>
      <c r="E27" s="16">
        <f>AVERAGE(E16:E22)</f>
        <v>2.9214285714285717</v>
      </c>
      <c r="F27" s="20">
        <f>AVERAGE(F16:F22)</f>
        <v>16.941732174628633</v>
      </c>
      <c r="G27" s="70">
        <f>AVERAGE(G16:G22)</f>
        <v>6.3020136964339696E-2</v>
      </c>
      <c r="H27" s="11"/>
      <c r="J27" s="13" t="s">
        <v>388</v>
      </c>
      <c r="K27" s="16">
        <f>AVERAGE(K16:K22)</f>
        <v>3.2071428571428577</v>
      </c>
      <c r="L27" s="20">
        <f>AVERAGE(L16:L22)</f>
        <v>15.811024751010114</v>
      </c>
      <c r="M27" s="70">
        <f>AVERAGE(M16:M22)</f>
        <v>6.8521361625845725E-2</v>
      </c>
      <c r="N27" s="11"/>
      <c r="O27" s="11"/>
    </row>
    <row r="28" spans="1:15" ht="16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6.25">
      <c r="A29" s="11"/>
      <c r="B29" s="11"/>
      <c r="C29" s="11"/>
      <c r="D29" s="11"/>
      <c r="E29" s="74" t="s">
        <v>74</v>
      </c>
      <c r="F29" s="288">
        <v>16.940000000000001</v>
      </c>
      <c r="G29" s="286">
        <v>6.3E-2</v>
      </c>
      <c r="H29" s="11"/>
      <c r="I29" s="11"/>
      <c r="J29" s="11"/>
      <c r="K29" s="74" t="s">
        <v>74</v>
      </c>
      <c r="L29" s="289">
        <v>15.81</v>
      </c>
      <c r="M29" s="286">
        <v>6.8500000000000005E-2</v>
      </c>
      <c r="N29" s="11"/>
      <c r="O29" s="11"/>
    </row>
    <row r="30" spans="1:15" ht="16.5">
      <c r="A30" s="11"/>
      <c r="B30" s="11"/>
      <c r="C30" s="11"/>
      <c r="D30" s="11"/>
      <c r="E30" s="11"/>
      <c r="F30" s="11"/>
      <c r="K30" s="11"/>
      <c r="L30" s="11"/>
      <c r="M30" s="11"/>
      <c r="N30" s="11"/>
      <c r="O30" s="11"/>
    </row>
    <row r="31" spans="1:15" ht="30" customHeight="1">
      <c r="A31" s="11"/>
      <c r="B31" s="11"/>
      <c r="C31" s="11"/>
      <c r="D31" s="11"/>
      <c r="E31" s="11"/>
      <c r="F31" s="11"/>
      <c r="K31" s="11"/>
      <c r="L31" s="11"/>
      <c r="M31" s="11"/>
      <c r="N31" s="11"/>
      <c r="O31" s="11"/>
    </row>
    <row r="32" spans="1:15" ht="17.25" thickBot="1">
      <c r="A32" s="11"/>
      <c r="B32" s="11"/>
      <c r="C32" s="11"/>
      <c r="D32" s="11"/>
      <c r="E32" s="11"/>
      <c r="F32" s="11"/>
      <c r="K32" s="11"/>
      <c r="L32" s="11"/>
      <c r="M32" s="11"/>
      <c r="N32" s="11"/>
      <c r="O32" s="11"/>
    </row>
    <row r="33" spans="1:15" ht="30.75" customHeight="1" thickBot="1">
      <c r="A33" s="72" t="s">
        <v>0</v>
      </c>
      <c r="B33" s="72"/>
      <c r="C33" s="11"/>
      <c r="D33" s="11"/>
      <c r="E33" s="11"/>
      <c r="G33" s="22" t="s">
        <v>119</v>
      </c>
      <c r="H33" s="11"/>
      <c r="I33" s="199">
        <f>+(F29+L29)/2</f>
        <v>16.375</v>
      </c>
      <c r="J33" s="200">
        <f>+(G29+M29)/2</f>
        <v>6.5750000000000003E-2</v>
      </c>
      <c r="N33" s="11"/>
      <c r="O33" s="11"/>
    </row>
    <row r="34" spans="1:15" ht="16.5">
      <c r="A34" s="72" t="s">
        <v>0</v>
      </c>
      <c r="B34" s="7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6.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6.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5.75" thickBot="1">
      <c r="B37" s="141"/>
      <c r="C37" s="141"/>
      <c r="D37" s="141"/>
      <c r="E37" s="141"/>
      <c r="F37" s="141"/>
      <c r="G37" s="141"/>
    </row>
    <row r="38" spans="1:15" ht="26.25">
      <c r="C38" s="11"/>
      <c r="D38" s="11"/>
      <c r="E38" s="30" t="s">
        <v>489</v>
      </c>
      <c r="F38" s="11"/>
      <c r="G38" s="11"/>
    </row>
    <row r="39" spans="1:15" ht="21" thickBot="1">
      <c r="A39" s="29"/>
      <c r="B39" s="141"/>
      <c r="C39" s="27"/>
      <c r="D39" s="27"/>
      <c r="E39" s="31" t="s">
        <v>422</v>
      </c>
      <c r="F39" s="27"/>
      <c r="G39" s="27"/>
    </row>
    <row r="40" spans="1:15" ht="15.75" thickBot="1">
      <c r="A40" s="32" t="s">
        <v>0</v>
      </c>
      <c r="B40" s="141"/>
      <c r="C40" s="32" t="s">
        <v>0</v>
      </c>
      <c r="D40" s="32" t="s">
        <v>0</v>
      </c>
      <c r="E40" s="32" t="s">
        <v>0</v>
      </c>
      <c r="F40" s="32" t="s">
        <v>0</v>
      </c>
      <c r="G40" s="32" t="s">
        <v>0</v>
      </c>
    </row>
    <row r="41" spans="1:15" ht="16.5">
      <c r="A41" s="33" t="s">
        <v>0</v>
      </c>
      <c r="C41" s="33" t="s">
        <v>3</v>
      </c>
      <c r="D41" s="33" t="s">
        <v>326</v>
      </c>
      <c r="E41" s="33" t="s">
        <v>328</v>
      </c>
      <c r="F41" s="33" t="s">
        <v>111</v>
      </c>
      <c r="G41" s="33" t="s">
        <v>27</v>
      </c>
    </row>
    <row r="42" spans="1:15" ht="17.25" thickBot="1">
      <c r="A42" s="35" t="s">
        <v>2</v>
      </c>
      <c r="B42" s="141"/>
      <c r="C42" s="35" t="s">
        <v>4</v>
      </c>
      <c r="D42" s="35" t="s">
        <v>28</v>
      </c>
      <c r="E42" s="35" t="s">
        <v>159</v>
      </c>
      <c r="F42" s="35" t="s">
        <v>29</v>
      </c>
      <c r="G42" s="35" t="s">
        <v>30</v>
      </c>
    </row>
    <row r="43" spans="1:15">
      <c r="A43" s="37" t="s">
        <v>0</v>
      </c>
      <c r="C43" s="37" t="s">
        <v>0</v>
      </c>
      <c r="D43" s="38" t="s">
        <v>113</v>
      </c>
      <c r="E43" s="73" t="s">
        <v>230</v>
      </c>
      <c r="F43" s="37" t="s">
        <v>0</v>
      </c>
      <c r="G43" s="37" t="s">
        <v>0</v>
      </c>
    </row>
    <row r="44" spans="1:15" ht="16.5">
      <c r="A44" s="33"/>
      <c r="C44" s="33"/>
      <c r="D44" s="33"/>
      <c r="E44" s="33"/>
      <c r="F44" s="33"/>
      <c r="G44" s="33"/>
    </row>
    <row r="45" spans="1:15" ht="16.5">
      <c r="A45" s="11"/>
      <c r="C45" s="11"/>
      <c r="D45" s="11"/>
      <c r="E45" s="11"/>
      <c r="F45" s="11"/>
      <c r="G45" s="11"/>
    </row>
    <row r="46" spans="1:15" ht="17.25">
      <c r="A46" s="60" t="str">
        <f>+'S&amp;D'!A22</f>
        <v>Enbridge Inc</v>
      </c>
      <c r="C46" s="87" t="str">
        <f>+'S&amp;D'!B22</f>
        <v>ENB.TO</v>
      </c>
      <c r="D46" s="57">
        <f>'S&amp;D'!G22</f>
        <v>61.01</v>
      </c>
      <c r="E46" s="329">
        <f>+Earnings!I16</f>
        <v>3.75</v>
      </c>
      <c r="F46" s="69">
        <f t="shared" ref="F46:F52" si="12">D46/E46</f>
        <v>16.269333333333332</v>
      </c>
      <c r="G46" s="54">
        <f t="shared" ref="G46:G52" si="13">1/F46</f>
        <v>6.146533355187675E-2</v>
      </c>
    </row>
    <row r="47" spans="1:15" ht="17.25">
      <c r="A47" s="60" t="str">
        <f>+'S&amp;D'!A23</f>
        <v>Energy Transfer LP</v>
      </c>
      <c r="C47" s="87" t="str">
        <f>+'S&amp;D'!B23</f>
        <v>ET</v>
      </c>
      <c r="D47" s="57">
        <f>'S&amp;D'!G23</f>
        <v>19.59</v>
      </c>
      <c r="E47" s="329">
        <f>+Earnings!I17</f>
        <v>2.15</v>
      </c>
      <c r="F47" s="69">
        <f t="shared" si="12"/>
        <v>9.1116279069767447</v>
      </c>
      <c r="G47" s="54">
        <f t="shared" si="13"/>
        <v>0.10974987238386931</v>
      </c>
    </row>
    <row r="48" spans="1:15" ht="17.25">
      <c r="A48" s="60" t="str">
        <f>+'S&amp;D'!A24</f>
        <v>Enterprise Products Partnership LP</v>
      </c>
      <c r="C48" s="87" t="str">
        <f>+'S&amp;D'!B24</f>
        <v>EPD</v>
      </c>
      <c r="D48" s="57">
        <f>'S&amp;D'!G24</f>
        <v>31.36</v>
      </c>
      <c r="E48" s="329">
        <f>+Earnings!I18</f>
        <v>3.6</v>
      </c>
      <c r="F48" s="69">
        <f t="shared" si="12"/>
        <v>8.7111111111111104</v>
      </c>
      <c r="G48" s="54">
        <f t="shared" si="13"/>
        <v>0.11479591836734696</v>
      </c>
    </row>
    <row r="49" spans="1:7" ht="17.25">
      <c r="A49" s="60" t="str">
        <f>+'S&amp;D'!A25</f>
        <v>Kinder Morgan Inc</v>
      </c>
      <c r="C49" s="87" t="str">
        <f>+'S&amp;D'!B25</f>
        <v>KMI</v>
      </c>
      <c r="D49" s="57">
        <f>'S&amp;D'!G25</f>
        <v>27.4</v>
      </c>
      <c r="E49" s="329">
        <f>+Earnings!I19</f>
        <v>1.8</v>
      </c>
      <c r="F49" s="69">
        <f t="shared" si="12"/>
        <v>15.222222222222221</v>
      </c>
      <c r="G49" s="54">
        <f t="shared" si="13"/>
        <v>6.569343065693431E-2</v>
      </c>
    </row>
    <row r="50" spans="1:7" ht="17.25">
      <c r="A50" s="60" t="str">
        <f>+'S&amp;D'!A26</f>
        <v>ONEOK Inc</v>
      </c>
      <c r="C50" s="87" t="str">
        <f>+'S&amp;D'!B26</f>
        <v>OKE</v>
      </c>
      <c r="D50" s="57">
        <f>'S&amp;D'!G26</f>
        <v>100.4</v>
      </c>
      <c r="E50" s="329">
        <f>+Earnings!I20</f>
        <v>10</v>
      </c>
      <c r="F50" s="69">
        <f t="shared" si="12"/>
        <v>10.040000000000001</v>
      </c>
      <c r="G50" s="54">
        <f t="shared" si="13"/>
        <v>9.9601593625498003E-2</v>
      </c>
    </row>
    <row r="51" spans="1:7" ht="17.25">
      <c r="A51" s="60" t="str">
        <f>+'S&amp;D'!A27</f>
        <v>TC Energy Corp</v>
      </c>
      <c r="C51" s="87" t="str">
        <f>+'S&amp;D'!B27</f>
        <v>TRP</v>
      </c>
      <c r="D51" s="57">
        <f>'S&amp;D'!G27</f>
        <v>46.53</v>
      </c>
      <c r="E51" s="329">
        <f>+Earnings!I21</f>
        <v>5.5</v>
      </c>
      <c r="F51" s="69">
        <f t="shared" si="12"/>
        <v>8.4600000000000009</v>
      </c>
      <c r="G51" s="54">
        <f t="shared" si="13"/>
        <v>0.11820330969267138</v>
      </c>
    </row>
    <row r="52" spans="1:7" ht="17.25">
      <c r="A52" s="60" t="str">
        <f>+'S&amp;D'!A28</f>
        <v>Williams Companys Inc</v>
      </c>
      <c r="C52" s="87" t="str">
        <f>+'S&amp;D'!B28</f>
        <v>WMB</v>
      </c>
      <c r="D52" s="57">
        <f>'S&amp;D'!G28</f>
        <v>54.12</v>
      </c>
      <c r="E52" s="329">
        <f>+Earnings!I22</f>
        <v>3.2</v>
      </c>
      <c r="F52" s="69">
        <f t="shared" si="12"/>
        <v>16.912499999999998</v>
      </c>
      <c r="G52" s="54">
        <f t="shared" si="13"/>
        <v>5.9127864005912793E-2</v>
      </c>
    </row>
    <row r="53" spans="1:7" ht="17.25" thickBot="1">
      <c r="A53" s="11"/>
      <c r="D53" s="67"/>
      <c r="E53" s="67"/>
      <c r="F53" s="67"/>
      <c r="G53" s="67"/>
    </row>
    <row r="54" spans="1:7" ht="17.25" thickTop="1">
      <c r="A54" s="11"/>
      <c r="D54" s="13" t="s">
        <v>46</v>
      </c>
      <c r="E54" s="68">
        <f>MAX(E46:E52)</f>
        <v>10</v>
      </c>
      <c r="F54" s="68">
        <f>MAX(F46:F52)</f>
        <v>16.912499999999998</v>
      </c>
      <c r="G54" s="284">
        <f>MAX(G46:G52)</f>
        <v>0.11820330969267138</v>
      </c>
    </row>
    <row r="55" spans="1:7" ht="16.5">
      <c r="A55" s="11"/>
      <c r="D55" s="13" t="s">
        <v>47</v>
      </c>
      <c r="E55" s="311">
        <f t="shared" ref="E55:G55" si="14">+MIN(E46:E52)</f>
        <v>1.8</v>
      </c>
      <c r="F55" s="311">
        <f t="shared" si="14"/>
        <v>8.4600000000000009</v>
      </c>
      <c r="G55" s="305">
        <f t="shared" si="14"/>
        <v>5.9127864005912793E-2</v>
      </c>
    </row>
    <row r="56" spans="1:7" ht="16.5">
      <c r="A56" s="11"/>
      <c r="D56" s="13" t="s">
        <v>18</v>
      </c>
      <c r="E56" s="69">
        <f>MEDIAN(E46:E52)</f>
        <v>3.6</v>
      </c>
      <c r="F56" s="20">
        <f>MEDIAN(F46:F52)</f>
        <v>10.040000000000001</v>
      </c>
      <c r="G56" s="54">
        <f>MEDIAN(G46:G52)</f>
        <v>9.9601593625498003E-2</v>
      </c>
    </row>
    <row r="57" spans="1:7" ht="16.5">
      <c r="A57" s="11"/>
      <c r="D57" s="13" t="s">
        <v>388</v>
      </c>
      <c r="E57" s="16">
        <f>AVERAGE(E46:E52)</f>
        <v>4.2857142857142856</v>
      </c>
      <c r="F57" s="20">
        <f>AVERAGE(F46:F52)</f>
        <v>12.103827796234771</v>
      </c>
      <c r="G57" s="70">
        <f>AVERAGE(G46:G52)</f>
        <v>8.9805331754872791E-2</v>
      </c>
    </row>
    <row r="58" spans="1:7" ht="16.5">
      <c r="A58" s="11"/>
      <c r="C58" s="11"/>
      <c r="D58" s="11"/>
      <c r="E58" s="11"/>
      <c r="F58" s="11"/>
      <c r="G58" s="11"/>
    </row>
    <row r="59" spans="1:7" ht="26.25">
      <c r="A59" s="11"/>
      <c r="C59" s="11"/>
      <c r="D59" s="11"/>
      <c r="E59" s="74" t="s">
        <v>74</v>
      </c>
      <c r="F59" s="289">
        <v>12.1</v>
      </c>
      <c r="G59" s="286">
        <v>8.9800000000000005E-2</v>
      </c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F6FC-3131-4033-9513-A4F95DEDCBD0}">
  <sheetPr>
    <tabColor rgb="FF92D050"/>
    <pageSetUpPr fitToPage="1"/>
  </sheetPr>
  <dimension ref="A1:J85"/>
  <sheetViews>
    <sheetView view="pageBreakPreview" zoomScale="60" zoomScaleNormal="80" workbookViewId="0">
      <selection activeCell="C82" sqref="C82"/>
    </sheetView>
  </sheetViews>
  <sheetFormatPr defaultRowHeight="15"/>
  <cols>
    <col min="1" max="1" width="74.57031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22" t="s">
        <v>1</v>
      </c>
      <c r="B1" s="22"/>
      <c r="C1" s="22"/>
      <c r="D1" s="11"/>
      <c r="E1" s="11"/>
      <c r="F1" s="11"/>
      <c r="G1" s="11"/>
      <c r="H1" s="11"/>
      <c r="I1" s="11"/>
      <c r="J1" s="11"/>
    </row>
    <row r="2" spans="1:10" ht="17.25">
      <c r="A2" s="23" t="s">
        <v>9</v>
      </c>
      <c r="B2" s="23"/>
      <c r="C2" s="23"/>
      <c r="D2" s="11"/>
      <c r="E2" s="11"/>
      <c r="F2" s="11"/>
      <c r="G2" s="11"/>
      <c r="H2" s="11"/>
      <c r="I2" s="11"/>
      <c r="J2" s="11"/>
    </row>
    <row r="3" spans="1:10" ht="16.5">
      <c r="A3" s="24" t="s">
        <v>421</v>
      </c>
      <c r="B3" s="24"/>
      <c r="C3" s="24"/>
      <c r="D3" s="11"/>
      <c r="E3" s="11"/>
      <c r="F3" s="11"/>
      <c r="G3" s="11"/>
      <c r="H3" s="11"/>
      <c r="I3" s="11"/>
      <c r="J3" s="11"/>
    </row>
    <row r="4" spans="1:10" ht="16.5">
      <c r="A4" s="24"/>
      <c r="B4" s="24"/>
      <c r="C4" s="24"/>
      <c r="D4" s="11"/>
      <c r="E4" s="11"/>
      <c r="F4" s="11"/>
      <c r="G4" s="11"/>
      <c r="H4" s="11"/>
      <c r="I4" s="11"/>
      <c r="J4" s="11"/>
    </row>
    <row r="5" spans="1:10" ht="17.25" thickBot="1">
      <c r="A5" s="11"/>
      <c r="B5" s="11"/>
      <c r="C5" s="11"/>
      <c r="D5" s="11"/>
      <c r="E5" s="11"/>
      <c r="F5" s="11"/>
      <c r="G5" s="11"/>
      <c r="H5" s="25" t="s">
        <v>0</v>
      </c>
      <c r="I5" s="25"/>
      <c r="J5" s="11"/>
    </row>
    <row r="6" spans="1:10" ht="21" thickBot="1">
      <c r="A6" s="26" t="str">
        <f>+'S&amp;D'!A12</f>
        <v>Natural Gas Transmission Pipeline Carrier</v>
      </c>
      <c r="B6" s="11"/>
      <c r="C6" s="11"/>
      <c r="D6" s="27"/>
      <c r="E6" s="27"/>
      <c r="F6" s="27"/>
      <c r="G6" s="11"/>
      <c r="H6" s="11"/>
      <c r="I6" s="11"/>
      <c r="J6" s="11"/>
    </row>
    <row r="7" spans="1:10" ht="26.25">
      <c r="B7" s="29"/>
      <c r="C7" s="29"/>
      <c r="D7" s="11"/>
      <c r="E7" s="30" t="s">
        <v>201</v>
      </c>
      <c r="F7" s="11"/>
      <c r="G7" s="11"/>
      <c r="H7" s="11"/>
      <c r="I7" s="11"/>
      <c r="J7" s="11"/>
    </row>
    <row r="8" spans="1:10" ht="21" thickBot="1">
      <c r="A8" s="29"/>
      <c r="B8" s="29"/>
      <c r="C8" s="29"/>
      <c r="D8" s="27"/>
      <c r="E8" s="31" t="s">
        <v>422</v>
      </c>
      <c r="F8" s="27"/>
      <c r="G8" s="11"/>
      <c r="H8" s="11"/>
      <c r="I8" s="11"/>
      <c r="J8" s="11"/>
    </row>
    <row r="9" spans="1:10" ht="20.25">
      <c r="A9" s="29"/>
      <c r="B9" s="29"/>
      <c r="C9" s="29"/>
      <c r="D9" s="11"/>
      <c r="E9" s="33"/>
      <c r="F9" s="11"/>
      <c r="G9" s="11"/>
      <c r="H9" s="11"/>
      <c r="I9" s="11"/>
      <c r="J9" s="11"/>
    </row>
    <row r="10" spans="1:10" ht="20.25">
      <c r="A10" s="29"/>
      <c r="B10" s="29"/>
      <c r="H10" s="11"/>
      <c r="I10" s="11"/>
      <c r="J10" s="11"/>
    </row>
    <row r="11" spans="1:10" ht="20.25">
      <c r="A11" s="29"/>
      <c r="B11" s="29"/>
      <c r="H11" s="11"/>
      <c r="I11" s="11"/>
      <c r="J11" s="11"/>
    </row>
    <row r="12" spans="1:10" ht="30" customHeight="1" thickBot="1">
      <c r="A12" s="29"/>
      <c r="B12" s="29"/>
      <c r="C12" t="s">
        <v>0</v>
      </c>
      <c r="H12" s="11"/>
      <c r="I12" s="11"/>
      <c r="J12" s="11"/>
    </row>
    <row r="13" spans="1:10" ht="26.25" customHeight="1" thickBot="1">
      <c r="A13" s="150" t="s">
        <v>216</v>
      </c>
      <c r="B13" s="11" t="s">
        <v>0</v>
      </c>
      <c r="C13" s="11"/>
      <c r="D13" s="11"/>
      <c r="E13" s="11"/>
      <c r="F13" s="11"/>
      <c r="G13" s="11"/>
      <c r="H13" s="11"/>
      <c r="I13" s="11"/>
      <c r="J13" s="11"/>
    </row>
    <row r="14" spans="1:10" ht="42" customHeight="1" thickBot="1">
      <c r="A14" s="149" t="s">
        <v>214</v>
      </c>
      <c r="B14" s="148" t="s">
        <v>205</v>
      </c>
      <c r="C14" s="147" t="s">
        <v>217</v>
      </c>
      <c r="D14" s="148" t="s">
        <v>207</v>
      </c>
      <c r="E14" s="148" t="s">
        <v>383</v>
      </c>
      <c r="F14" s="146" t="s">
        <v>206</v>
      </c>
      <c r="G14" s="11"/>
      <c r="H14" s="11"/>
      <c r="I14" s="11"/>
      <c r="J14" s="11"/>
    </row>
    <row r="15" spans="1:10" ht="16.5">
      <c r="A15" s="143"/>
      <c r="B15" s="109"/>
      <c r="C15" s="109"/>
      <c r="D15" s="109"/>
      <c r="E15" s="109"/>
      <c r="F15" s="144"/>
      <c r="G15" s="11"/>
      <c r="H15" s="11"/>
      <c r="I15" s="11"/>
      <c r="J15" s="11"/>
    </row>
    <row r="16" spans="1:10" ht="17.25">
      <c r="A16" s="175" t="s">
        <v>482</v>
      </c>
      <c r="B16" s="189">
        <v>2.3300000000000001E-2</v>
      </c>
      <c r="C16" s="186">
        <f>+'Beta for CAPM'!I30</f>
        <v>1.03</v>
      </c>
      <c r="D16" s="176">
        <f>+B16*C16</f>
        <v>2.3999000000000003E-2</v>
      </c>
      <c r="E16" s="176">
        <f>+'Growth &amp; Inflation Rates'!$G$25</f>
        <v>4.8599999999999997E-2</v>
      </c>
      <c r="F16" s="177">
        <f>+D16+E16</f>
        <v>7.2598999999999997E-2</v>
      </c>
      <c r="G16" s="11"/>
      <c r="H16" s="11"/>
      <c r="I16" s="11"/>
      <c r="J16" s="11"/>
    </row>
    <row r="17" spans="1:10" ht="17.25">
      <c r="A17" s="175" t="s">
        <v>483</v>
      </c>
      <c r="B17" s="189">
        <v>3.04E-2</v>
      </c>
      <c r="C17" s="186">
        <f>+C16</f>
        <v>1.03</v>
      </c>
      <c r="D17" s="176">
        <f>+B17*C17</f>
        <v>3.1312E-2</v>
      </c>
      <c r="E17" s="176">
        <f>+'Growth &amp; Inflation Rates'!$G$25</f>
        <v>4.8599999999999997E-2</v>
      </c>
      <c r="F17" s="177">
        <f>+D17+E17</f>
        <v>7.9911999999999997E-2</v>
      </c>
      <c r="G17" s="11"/>
      <c r="H17" s="11"/>
      <c r="I17" s="11"/>
      <c r="J17" s="11"/>
    </row>
    <row r="18" spans="1:10" ht="17.25">
      <c r="A18" s="178"/>
      <c r="B18" s="103"/>
      <c r="C18" s="103"/>
      <c r="D18" s="103"/>
      <c r="E18" s="176"/>
      <c r="F18" s="179"/>
      <c r="G18" s="11"/>
      <c r="H18" s="11"/>
      <c r="I18" s="11"/>
      <c r="J18" s="11"/>
    </row>
    <row r="19" spans="1:10" ht="17.25">
      <c r="A19" s="175" t="s">
        <v>395</v>
      </c>
      <c r="B19" s="189">
        <v>4.3299999999999998E-2</v>
      </c>
      <c r="C19" s="186">
        <f>+C16</f>
        <v>1.03</v>
      </c>
      <c r="D19" s="176">
        <f>+B19*C19</f>
        <v>4.4599E-2</v>
      </c>
      <c r="E19" s="176">
        <f>+'Growth &amp; Inflation Rates'!$G$25</f>
        <v>4.8599999999999997E-2</v>
      </c>
      <c r="F19" s="177">
        <f>+D19+E19</f>
        <v>9.3199000000000004E-2</v>
      </c>
      <c r="G19" s="11"/>
      <c r="H19" s="11"/>
      <c r="I19" s="11"/>
      <c r="J19" s="11"/>
    </row>
    <row r="20" spans="1:10" ht="17.25">
      <c r="A20" s="175" t="s">
        <v>413</v>
      </c>
      <c r="B20" s="189">
        <v>6.1499999999999999E-2</v>
      </c>
      <c r="C20" s="186">
        <f>+C16</f>
        <v>1.03</v>
      </c>
      <c r="D20" s="176">
        <f>+B20*C20</f>
        <v>6.3344999999999999E-2</v>
      </c>
      <c r="E20" s="176">
        <f>+'Growth &amp; Inflation Rates'!$G$25</f>
        <v>4.8599999999999997E-2</v>
      </c>
      <c r="F20" s="177">
        <f>+D20+E20</f>
        <v>0.11194499999999999</v>
      </c>
      <c r="G20" s="11"/>
      <c r="H20" s="11"/>
      <c r="I20" s="11"/>
      <c r="J20" s="11"/>
    </row>
    <row r="21" spans="1:10" ht="17.25">
      <c r="A21" s="175" t="s">
        <v>396</v>
      </c>
      <c r="B21" s="189">
        <v>4.1500000000000002E-2</v>
      </c>
      <c r="C21" s="186">
        <f>+C16</f>
        <v>1.03</v>
      </c>
      <c r="D21" s="176">
        <f>+B21*C21</f>
        <v>4.2745000000000005E-2</v>
      </c>
      <c r="E21" s="176">
        <f>+'Growth &amp; Inflation Rates'!$G$25</f>
        <v>4.8599999999999997E-2</v>
      </c>
      <c r="F21" s="177">
        <f>+D21+E21</f>
        <v>9.134500000000001E-2</v>
      </c>
      <c r="G21" s="11"/>
      <c r="H21" s="11"/>
      <c r="I21" s="11"/>
      <c r="J21" s="11"/>
    </row>
    <row r="22" spans="1:10" ht="17.25">
      <c r="A22" s="175" t="s">
        <v>397</v>
      </c>
      <c r="B22" s="189">
        <v>3.8100000000000002E-2</v>
      </c>
      <c r="C22" s="186">
        <f>+C16</f>
        <v>1.03</v>
      </c>
      <c r="D22" s="176">
        <f>+B22*C22</f>
        <v>3.9243E-2</v>
      </c>
      <c r="E22" s="176">
        <f>+'Growth &amp; Inflation Rates'!$G$25</f>
        <v>4.8599999999999997E-2</v>
      </c>
      <c r="F22" s="177">
        <f>+D22+E22</f>
        <v>8.7843000000000004E-2</v>
      </c>
      <c r="G22" s="11"/>
      <c r="H22" s="11"/>
      <c r="I22" s="11"/>
      <c r="J22" s="11"/>
    </row>
    <row r="23" spans="1:10" ht="17.25">
      <c r="A23" s="175" t="s">
        <v>0</v>
      </c>
      <c r="B23" s="189"/>
      <c r="C23" s="187" t="s">
        <v>0</v>
      </c>
      <c r="D23" s="176" t="s">
        <v>0</v>
      </c>
      <c r="E23" s="176"/>
      <c r="F23" s="177" t="s">
        <v>0</v>
      </c>
      <c r="G23" s="11"/>
      <c r="H23" s="11"/>
      <c r="I23" s="11"/>
      <c r="J23" s="11"/>
    </row>
    <row r="24" spans="1:10" ht="17.25">
      <c r="A24" s="175" t="s">
        <v>210</v>
      </c>
      <c r="B24" s="189">
        <v>5.3900000000000003E-2</v>
      </c>
      <c r="C24" s="186">
        <f>+C16</f>
        <v>1.03</v>
      </c>
      <c r="D24" s="176">
        <f>+B24*C24</f>
        <v>5.5517000000000004E-2</v>
      </c>
      <c r="E24" s="176">
        <f>+'Growth &amp; Inflation Rates'!$G$25</f>
        <v>4.8599999999999997E-2</v>
      </c>
      <c r="F24" s="177">
        <f>+D24+E24</f>
        <v>0.104117</v>
      </c>
      <c r="G24" s="11"/>
      <c r="H24" s="11"/>
      <c r="I24" s="11"/>
      <c r="J24" s="11"/>
    </row>
    <row r="25" spans="1:10" ht="17.25">
      <c r="A25" s="175" t="s">
        <v>0</v>
      </c>
      <c r="B25" s="189"/>
      <c r="C25" s="187" t="s">
        <v>0</v>
      </c>
      <c r="D25" s="176" t="s">
        <v>0</v>
      </c>
      <c r="E25" s="176"/>
      <c r="F25" s="177" t="s">
        <v>0</v>
      </c>
      <c r="G25" s="11"/>
      <c r="H25" s="11"/>
      <c r="I25" s="11"/>
      <c r="J25" s="11"/>
    </row>
    <row r="26" spans="1:10" ht="17.25">
      <c r="A26" s="175" t="s">
        <v>414</v>
      </c>
      <c r="B26" s="189">
        <v>5.5E-2</v>
      </c>
      <c r="C26" s="186">
        <f>+C16</f>
        <v>1.03</v>
      </c>
      <c r="D26" s="176">
        <f>+B26*C26</f>
        <v>5.6649999999999999E-2</v>
      </c>
      <c r="E26" s="176">
        <f>+'Growth &amp; Inflation Rates'!$G$25</f>
        <v>4.8599999999999997E-2</v>
      </c>
      <c r="F26" s="177">
        <f>+D26+E26</f>
        <v>0.10525</v>
      </c>
      <c r="G26" s="11"/>
      <c r="H26" s="11"/>
      <c r="I26" s="11"/>
      <c r="J26" s="11"/>
    </row>
    <row r="27" spans="1:10" ht="17.25">
      <c r="A27" s="175" t="s">
        <v>0</v>
      </c>
      <c r="B27" s="189"/>
      <c r="C27" s="187" t="s">
        <v>0</v>
      </c>
      <c r="D27" s="176" t="s">
        <v>0</v>
      </c>
      <c r="E27" s="176"/>
      <c r="F27" s="177" t="s">
        <v>0</v>
      </c>
      <c r="G27" s="11"/>
      <c r="H27" s="11"/>
      <c r="I27" s="11"/>
      <c r="J27" s="11"/>
    </row>
    <row r="28" spans="1:10" ht="17.25">
      <c r="A28" s="175" t="s">
        <v>211</v>
      </c>
      <c r="B28" s="189">
        <v>6.7100000000000007E-2</v>
      </c>
      <c r="C28" s="186">
        <f>+C16</f>
        <v>1.03</v>
      </c>
      <c r="D28" s="176">
        <f>+B28*C28</f>
        <v>6.9113000000000008E-2</v>
      </c>
      <c r="E28" s="176">
        <f>+'Growth &amp; Inflation Rates'!$G$25</f>
        <v>4.8599999999999997E-2</v>
      </c>
      <c r="F28" s="177">
        <f>+D28+E28</f>
        <v>0.11771300000000001</v>
      </c>
      <c r="G28" s="11"/>
      <c r="H28" s="11"/>
      <c r="I28" s="11"/>
      <c r="J28" s="11"/>
    </row>
    <row r="29" spans="1:10" ht="17.25">
      <c r="A29" s="175" t="s">
        <v>212</v>
      </c>
      <c r="B29" s="189">
        <v>5.4600000000000003E-2</v>
      </c>
      <c r="C29" s="186">
        <f>+C16</f>
        <v>1.03</v>
      </c>
      <c r="D29" s="176">
        <f>+B29*C29</f>
        <v>5.6238000000000003E-2</v>
      </c>
      <c r="E29" s="176">
        <f>+'Growth &amp; Inflation Rates'!$G$25</f>
        <v>4.8599999999999997E-2</v>
      </c>
      <c r="F29" s="177">
        <f>+D29+E29</f>
        <v>0.104838</v>
      </c>
      <c r="G29" s="11"/>
      <c r="H29" s="11"/>
      <c r="I29" s="11"/>
      <c r="J29" s="11"/>
    </row>
    <row r="30" spans="1:10" ht="17.25">
      <c r="A30" s="175"/>
      <c r="B30" s="189"/>
      <c r="C30" s="186"/>
      <c r="D30" s="176"/>
      <c r="E30" s="176"/>
      <c r="F30" s="177"/>
      <c r="G30" s="11"/>
      <c r="H30" s="11"/>
      <c r="I30" s="11"/>
      <c r="J30" s="11"/>
    </row>
    <row r="31" spans="1:10" ht="17.25">
      <c r="A31" s="175" t="s">
        <v>398</v>
      </c>
      <c r="B31" s="189">
        <v>7.3099999999999998E-2</v>
      </c>
      <c r="C31" s="186">
        <f>+C16</f>
        <v>1.03</v>
      </c>
      <c r="D31" s="176">
        <f>+B31*C31</f>
        <v>7.5292999999999999E-2</v>
      </c>
      <c r="E31" s="176">
        <f>+'Growth &amp; Inflation Rates'!$G$25</f>
        <v>4.8599999999999997E-2</v>
      </c>
      <c r="F31" s="177">
        <f>+D31+E31</f>
        <v>0.123893</v>
      </c>
      <c r="G31" s="11"/>
      <c r="H31" s="11"/>
      <c r="I31" s="11"/>
      <c r="J31" s="11"/>
    </row>
    <row r="32" spans="1:10" ht="17.25">
      <c r="A32" s="175" t="s">
        <v>399</v>
      </c>
      <c r="B32" s="189">
        <v>6.2600000000000003E-2</v>
      </c>
      <c r="C32" s="186">
        <f>+C17</f>
        <v>1.03</v>
      </c>
      <c r="D32" s="176">
        <f>+B32*C32</f>
        <v>6.4478000000000008E-2</v>
      </c>
      <c r="E32" s="176">
        <f>+'Growth &amp; Inflation Rates'!$G$25</f>
        <v>4.8599999999999997E-2</v>
      </c>
      <c r="F32" s="177">
        <f>+D32+E32</f>
        <v>0.11307800000000001</v>
      </c>
      <c r="G32" s="11"/>
      <c r="H32" s="11"/>
      <c r="I32" s="11"/>
      <c r="J32" s="11"/>
    </row>
    <row r="33" spans="1:10" ht="17.25">
      <c r="A33" s="175" t="s">
        <v>400</v>
      </c>
      <c r="B33" s="189">
        <v>0.05</v>
      </c>
      <c r="C33" s="186">
        <f>+C16</f>
        <v>1.03</v>
      </c>
      <c r="D33" s="176">
        <f>+B33*C33</f>
        <v>5.1500000000000004E-2</v>
      </c>
      <c r="E33" s="176">
        <f>+'Growth &amp; Inflation Rates'!$G$25</f>
        <v>4.8599999999999997E-2</v>
      </c>
      <c r="F33" s="177">
        <f>+D33+E33</f>
        <v>0.10009999999999999</v>
      </c>
      <c r="G33" s="11"/>
      <c r="H33" s="11"/>
      <c r="I33" s="11"/>
      <c r="J33" s="11"/>
    </row>
    <row r="34" spans="1:10" ht="17.25">
      <c r="A34" s="175"/>
      <c r="B34" s="189"/>
      <c r="C34" s="186"/>
      <c r="D34" s="176"/>
      <c r="E34" s="176"/>
      <c r="F34" s="177"/>
      <c r="G34" s="11"/>
      <c r="H34" s="11"/>
      <c r="I34" s="11"/>
      <c r="J34" s="11"/>
    </row>
    <row r="35" spans="1:10" ht="17.25">
      <c r="A35" s="368" t="s">
        <v>0</v>
      </c>
      <c r="B35" s="369" t="s">
        <v>0</v>
      </c>
      <c r="C35" s="186" t="s">
        <v>0</v>
      </c>
      <c r="D35" s="176" t="s">
        <v>0</v>
      </c>
      <c r="E35" s="176" t="s">
        <v>0</v>
      </c>
      <c r="F35" s="177" t="s">
        <v>0</v>
      </c>
      <c r="G35" s="11"/>
      <c r="H35" s="11"/>
      <c r="I35" s="11"/>
      <c r="J35" s="11"/>
    </row>
    <row r="36" spans="1:10" ht="17.25" thickBot="1">
      <c r="A36" s="348"/>
      <c r="B36" s="27"/>
      <c r="C36" s="27"/>
      <c r="D36" s="27"/>
      <c r="E36" s="27"/>
      <c r="F36" s="349"/>
      <c r="G36" s="11"/>
      <c r="H36" s="11"/>
      <c r="I36" s="11"/>
      <c r="J36" s="11"/>
    </row>
    <row r="37" spans="1:10" ht="16.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27" customHeight="1" thickBot="1">
      <c r="A38" s="11"/>
      <c r="B38" s="11"/>
      <c r="C38" s="11"/>
      <c r="D38" s="11"/>
      <c r="E38" s="11"/>
      <c r="F38" s="11"/>
      <c r="G38" s="11" t="s">
        <v>0</v>
      </c>
      <c r="H38" s="11"/>
      <c r="I38" s="11"/>
      <c r="J38" s="11"/>
    </row>
    <row r="39" spans="1:10" ht="18" thickBot="1">
      <c r="A39" s="150" t="s">
        <v>215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0" ht="41.25" thickBot="1">
      <c r="A40" s="149" t="s">
        <v>213</v>
      </c>
      <c r="B40" s="148" t="s">
        <v>205</v>
      </c>
      <c r="C40" s="147" t="s">
        <v>217</v>
      </c>
      <c r="D40" s="148" t="s">
        <v>208</v>
      </c>
      <c r="E40" s="148" t="s">
        <v>209</v>
      </c>
      <c r="F40" s="148" t="s">
        <v>383</v>
      </c>
      <c r="G40" s="146" t="s">
        <v>206</v>
      </c>
      <c r="H40" s="11"/>
      <c r="I40" s="11"/>
      <c r="J40" s="11"/>
    </row>
    <row r="41" spans="1:10" ht="16.5">
      <c r="A41" s="143"/>
      <c r="B41" s="109"/>
      <c r="C41" s="109"/>
      <c r="D41" s="109"/>
      <c r="E41" s="109"/>
      <c r="F41" s="109"/>
      <c r="G41" s="144"/>
      <c r="H41" s="11"/>
      <c r="I41" s="11"/>
      <c r="J41" s="11"/>
    </row>
    <row r="42" spans="1:10" ht="17.25">
      <c r="A42" s="175" t="s">
        <v>482</v>
      </c>
      <c r="B42" s="189">
        <f>+B16</f>
        <v>2.3300000000000001E-2</v>
      </c>
      <c r="C42" s="185">
        <f>+C16</f>
        <v>1.03</v>
      </c>
      <c r="D42" s="176">
        <f>+B42*C42*0.75</f>
        <v>1.7999250000000001E-2</v>
      </c>
      <c r="E42" s="189">
        <f>+B42*0.25</f>
        <v>5.8250000000000003E-3</v>
      </c>
      <c r="F42" s="176">
        <f>+'Growth &amp; Inflation Rates'!$G$25</f>
        <v>4.8599999999999997E-2</v>
      </c>
      <c r="G42" s="177">
        <f>+D42+E42+F42</f>
        <v>7.2424249999999996E-2</v>
      </c>
      <c r="H42" s="11"/>
      <c r="I42" s="11"/>
      <c r="J42" s="11"/>
    </row>
    <row r="43" spans="1:10" ht="17.25">
      <c r="A43" s="175" t="s">
        <v>483</v>
      </c>
      <c r="B43" s="189">
        <f>+B17</f>
        <v>3.04E-2</v>
      </c>
      <c r="C43" s="185">
        <f>+C17</f>
        <v>1.03</v>
      </c>
      <c r="D43" s="176">
        <f>+B43*C43*0.75</f>
        <v>2.3483999999999998E-2</v>
      </c>
      <c r="E43" s="189">
        <f>+B43*0.25</f>
        <v>7.6E-3</v>
      </c>
      <c r="F43" s="176">
        <f>+'Growth &amp; Inflation Rates'!$G$25</f>
        <v>4.8599999999999997E-2</v>
      </c>
      <c r="G43" s="177">
        <f>+D43+E43+F43</f>
        <v>7.9683999999999991E-2</v>
      </c>
      <c r="H43" s="11"/>
      <c r="I43" s="11"/>
      <c r="J43" s="11"/>
    </row>
    <row r="44" spans="1:10" ht="17.25">
      <c r="A44" s="178"/>
      <c r="B44" s="103"/>
      <c r="C44" s="103"/>
      <c r="D44" s="103"/>
      <c r="E44" s="103"/>
      <c r="F44" s="103"/>
      <c r="G44" s="179"/>
      <c r="H44" s="11"/>
      <c r="I44" s="11"/>
      <c r="J44" s="11"/>
    </row>
    <row r="45" spans="1:10" ht="17.25">
      <c r="A45" s="175" t="s">
        <v>395</v>
      </c>
      <c r="B45" s="189">
        <f t="shared" ref="B45:C46" si="0">+B19</f>
        <v>4.3299999999999998E-2</v>
      </c>
      <c r="C45" s="185">
        <f t="shared" si="0"/>
        <v>1.03</v>
      </c>
      <c r="D45" s="176">
        <f>+B45*C45*0.75</f>
        <v>3.344925E-2</v>
      </c>
      <c r="E45" s="189">
        <f>+B45*0.25</f>
        <v>1.0825E-2</v>
      </c>
      <c r="F45" s="176">
        <f>+'Growth &amp; Inflation Rates'!$G$25</f>
        <v>4.8599999999999997E-2</v>
      </c>
      <c r="G45" s="177">
        <f>+D45+E45+F45</f>
        <v>9.2874249999999992E-2</v>
      </c>
      <c r="H45" s="11"/>
      <c r="I45" s="11"/>
      <c r="J45" s="11"/>
    </row>
    <row r="46" spans="1:10" ht="17.25">
      <c r="A46" s="175" t="str">
        <f>+A20</f>
        <v>Damodaran Implied ERP Ex Ante   Avg CF Yield Last 10 Yrs (3)</v>
      </c>
      <c r="B46" s="189">
        <f t="shared" si="0"/>
        <v>6.1499999999999999E-2</v>
      </c>
      <c r="C46" s="185">
        <f t="shared" si="0"/>
        <v>1.03</v>
      </c>
      <c r="D46" s="176">
        <f>+B46*C46*0.75</f>
        <v>4.7508750000000002E-2</v>
      </c>
      <c r="E46" s="189">
        <f>+B46*0.25</f>
        <v>1.5375E-2</v>
      </c>
      <c r="F46" s="176">
        <f>+'Growth &amp; Inflation Rates'!$G$25</f>
        <v>4.8599999999999997E-2</v>
      </c>
      <c r="G46" s="177">
        <f>+D46+E46+F46</f>
        <v>0.11148374999999999</v>
      </c>
      <c r="H46" s="11"/>
      <c r="I46" s="11"/>
      <c r="J46" s="11"/>
    </row>
    <row r="47" spans="1:10" ht="17.25">
      <c r="A47" s="175" t="s">
        <v>396</v>
      </c>
      <c r="B47" s="189">
        <f>+B21</f>
        <v>4.1500000000000002E-2</v>
      </c>
      <c r="C47" s="185">
        <f>+C21</f>
        <v>1.03</v>
      </c>
      <c r="D47" s="176">
        <f>+B47*C47*0.75</f>
        <v>3.2058750000000004E-2</v>
      </c>
      <c r="E47" s="189">
        <f>+B47*0.25</f>
        <v>1.0375000000000001E-2</v>
      </c>
      <c r="F47" s="176">
        <f>+'Growth &amp; Inflation Rates'!$G$25</f>
        <v>4.8599999999999997E-2</v>
      </c>
      <c r="G47" s="177">
        <f>+D47+E47+F47</f>
        <v>9.1033749999999997E-2</v>
      </c>
      <c r="H47" s="11"/>
      <c r="I47" s="11"/>
      <c r="J47" s="11"/>
    </row>
    <row r="48" spans="1:10" ht="17.25">
      <c r="A48" s="175" t="s">
        <v>397</v>
      </c>
      <c r="B48" s="189">
        <f>+B22</f>
        <v>3.8100000000000002E-2</v>
      </c>
      <c r="C48" s="185">
        <f>+C22</f>
        <v>1.03</v>
      </c>
      <c r="D48" s="176">
        <f>+B48*C48*0.75</f>
        <v>2.943225E-2</v>
      </c>
      <c r="E48" s="189">
        <f>+B48*0.25</f>
        <v>9.5250000000000005E-3</v>
      </c>
      <c r="F48" s="176">
        <f>+'Growth &amp; Inflation Rates'!$G$25</f>
        <v>4.8599999999999997E-2</v>
      </c>
      <c r="G48" s="177">
        <f>+D48+E48+F48</f>
        <v>8.7557250000000003E-2</v>
      </c>
      <c r="H48" s="11"/>
      <c r="I48" s="11"/>
      <c r="J48" s="11"/>
    </row>
    <row r="49" spans="1:10" ht="17.25">
      <c r="A49" s="175" t="s">
        <v>0</v>
      </c>
      <c r="B49" s="189" t="s">
        <v>0</v>
      </c>
      <c r="C49" s="176" t="s">
        <v>0</v>
      </c>
      <c r="D49" s="176" t="s">
        <v>0</v>
      </c>
      <c r="E49" s="189" t="s">
        <v>0</v>
      </c>
      <c r="F49" s="176" t="s">
        <v>0</v>
      </c>
      <c r="G49" s="177" t="s">
        <v>0</v>
      </c>
      <c r="H49" s="11"/>
      <c r="I49" s="11"/>
      <c r="J49" s="11"/>
    </row>
    <row r="50" spans="1:10" ht="17.25">
      <c r="A50" s="175" t="s">
        <v>210</v>
      </c>
      <c r="B50" s="189">
        <f>+B24</f>
        <v>5.3900000000000003E-2</v>
      </c>
      <c r="C50" s="185">
        <f>+C24</f>
        <v>1.03</v>
      </c>
      <c r="D50" s="176">
        <f>+B50*C50*0.75</f>
        <v>4.1637750000000001E-2</v>
      </c>
      <c r="E50" s="189">
        <f>+B50*0.25</f>
        <v>1.3475000000000001E-2</v>
      </c>
      <c r="F50" s="176">
        <f>+'Growth &amp; Inflation Rates'!$G$25</f>
        <v>4.8599999999999997E-2</v>
      </c>
      <c r="G50" s="177">
        <f>+D50+E50+F50</f>
        <v>0.10371274999999999</v>
      </c>
    </row>
    <row r="51" spans="1:10" ht="17.25">
      <c r="A51" s="175" t="s">
        <v>0</v>
      </c>
      <c r="B51" s="189" t="s">
        <v>0</v>
      </c>
      <c r="C51" s="176" t="s">
        <v>0</v>
      </c>
      <c r="D51" s="176" t="s">
        <v>0</v>
      </c>
      <c r="E51" s="189" t="s">
        <v>0</v>
      </c>
      <c r="F51" s="176" t="s">
        <v>0</v>
      </c>
      <c r="G51" s="177" t="s">
        <v>0</v>
      </c>
    </row>
    <row r="52" spans="1:10" ht="17.25">
      <c r="A52" s="175" t="s">
        <v>414</v>
      </c>
      <c r="B52" s="189">
        <f>+B26</f>
        <v>5.5E-2</v>
      </c>
      <c r="C52" s="185">
        <f>+C26</f>
        <v>1.03</v>
      </c>
      <c r="D52" s="176">
        <f>+B52*C52*0.75</f>
        <v>4.2487499999999997E-2</v>
      </c>
      <c r="E52" s="189">
        <f>+B52*0.25</f>
        <v>1.375E-2</v>
      </c>
      <c r="F52" s="176">
        <f>+'Growth &amp; Inflation Rates'!$G$25</f>
        <v>4.8599999999999997E-2</v>
      </c>
      <c r="G52" s="177">
        <f>+D52+E52+F52</f>
        <v>0.1048375</v>
      </c>
    </row>
    <row r="53" spans="1:10" ht="17.25">
      <c r="A53" s="175" t="s">
        <v>0</v>
      </c>
      <c r="B53" s="189" t="s">
        <v>0</v>
      </c>
      <c r="C53" s="176" t="s">
        <v>0</v>
      </c>
      <c r="D53" s="176" t="s">
        <v>0</v>
      </c>
      <c r="E53" s="189" t="s">
        <v>0</v>
      </c>
      <c r="F53" s="176" t="s">
        <v>0</v>
      </c>
      <c r="G53" s="177" t="s">
        <v>0</v>
      </c>
    </row>
    <row r="54" spans="1:10" ht="17.25">
      <c r="A54" s="175" t="s">
        <v>211</v>
      </c>
      <c r="B54" s="189">
        <f>+B28</f>
        <v>6.7100000000000007E-2</v>
      </c>
      <c r="C54" s="185">
        <f>+C28</f>
        <v>1.03</v>
      </c>
      <c r="D54" s="176">
        <f>+B54*C54*0.75</f>
        <v>5.1834750000000006E-2</v>
      </c>
      <c r="E54" s="189">
        <f>+B54*0.25</f>
        <v>1.6775000000000002E-2</v>
      </c>
      <c r="F54" s="176">
        <f>+'Growth &amp; Inflation Rates'!$G$25</f>
        <v>4.8599999999999997E-2</v>
      </c>
      <c r="G54" s="177">
        <f>+D54+E54+F54</f>
        <v>0.11720975</v>
      </c>
    </row>
    <row r="55" spans="1:10" ht="17.25">
      <c r="A55" s="175" t="s">
        <v>212</v>
      </c>
      <c r="B55" s="189">
        <f>+B29</f>
        <v>5.4600000000000003E-2</v>
      </c>
      <c r="C55" s="185">
        <f>+C29</f>
        <v>1.03</v>
      </c>
      <c r="D55" s="176">
        <f>+B55*C55*0.75</f>
        <v>4.2178500000000001E-2</v>
      </c>
      <c r="E55" s="189">
        <f>+B55*0.25</f>
        <v>1.3650000000000001E-2</v>
      </c>
      <c r="F55" s="176">
        <f>+'Growth &amp; Inflation Rates'!$G$25</f>
        <v>4.8599999999999997E-2</v>
      </c>
      <c r="G55" s="177">
        <f>+D55+E55+F55</f>
        <v>0.10442850000000001</v>
      </c>
    </row>
    <row r="56" spans="1:10" ht="17.25">
      <c r="A56" s="175"/>
      <c r="B56" s="189"/>
      <c r="C56" s="185"/>
      <c r="D56" s="176"/>
      <c r="E56" s="189"/>
      <c r="F56" s="176"/>
      <c r="G56" s="177"/>
    </row>
    <row r="57" spans="1:10" ht="17.25">
      <c r="A57" s="175" t="s">
        <v>398</v>
      </c>
      <c r="B57" s="189">
        <f t="shared" ref="B57:C59" si="1">+B31</f>
        <v>7.3099999999999998E-2</v>
      </c>
      <c r="C57" s="185">
        <f t="shared" si="1"/>
        <v>1.03</v>
      </c>
      <c r="D57" s="176">
        <f>+B57*C57*0.75</f>
        <v>5.6469749999999999E-2</v>
      </c>
      <c r="E57" s="189">
        <f>+B57*0.25</f>
        <v>1.8275E-2</v>
      </c>
      <c r="F57" s="176">
        <f>+'Growth &amp; Inflation Rates'!$G$25</f>
        <v>4.8599999999999997E-2</v>
      </c>
      <c r="G57" s="177">
        <f>+D57+E57+F57</f>
        <v>0.12334475</v>
      </c>
    </row>
    <row r="58" spans="1:10" ht="17.25">
      <c r="A58" s="175" t="s">
        <v>399</v>
      </c>
      <c r="B58" s="189">
        <f t="shared" si="1"/>
        <v>6.2600000000000003E-2</v>
      </c>
      <c r="C58" s="185">
        <f t="shared" si="1"/>
        <v>1.03</v>
      </c>
      <c r="D58" s="176">
        <f>+B58*C58*0.75</f>
        <v>4.8358500000000006E-2</v>
      </c>
      <c r="E58" s="189">
        <f>+B58*0.25</f>
        <v>1.5650000000000001E-2</v>
      </c>
      <c r="F58" s="176">
        <f>+'Growth &amp; Inflation Rates'!$G$25</f>
        <v>4.8599999999999997E-2</v>
      </c>
      <c r="G58" s="177">
        <f>+D58+E58+F58</f>
        <v>0.1126085</v>
      </c>
    </row>
    <row r="59" spans="1:10" ht="17.25">
      <c r="A59" s="175" t="s">
        <v>400</v>
      </c>
      <c r="B59" s="189">
        <f t="shared" si="1"/>
        <v>0.05</v>
      </c>
      <c r="C59" s="185">
        <f t="shared" si="1"/>
        <v>1.03</v>
      </c>
      <c r="D59" s="176">
        <f>+B59*C59*0.75</f>
        <v>3.8625000000000007E-2</v>
      </c>
      <c r="E59" s="189">
        <f>+B59*0.25</f>
        <v>1.2500000000000001E-2</v>
      </c>
      <c r="F59" s="176">
        <f>+'Growth &amp; Inflation Rates'!$G$25</f>
        <v>4.8599999999999997E-2</v>
      </c>
      <c r="G59" s="177">
        <f>+D59+E59+F59</f>
        <v>9.9725000000000008E-2</v>
      </c>
    </row>
    <row r="60" spans="1:10" ht="17.25">
      <c r="A60" s="175"/>
      <c r="B60" s="189"/>
      <c r="C60" s="185"/>
      <c r="D60" s="176"/>
      <c r="E60" s="189"/>
      <c r="F60" s="176"/>
      <c r="G60" s="177"/>
    </row>
    <row r="61" spans="1:10" ht="17.25">
      <c r="A61" s="368" t="s">
        <v>0</v>
      </c>
      <c r="B61" s="369" t="s">
        <v>0</v>
      </c>
      <c r="C61" s="185" t="s">
        <v>0</v>
      </c>
      <c r="D61" s="176" t="s">
        <v>0</v>
      </c>
      <c r="E61" s="189" t="s">
        <v>0</v>
      </c>
      <c r="F61" s="176" t="s">
        <v>0</v>
      </c>
      <c r="G61" s="177" t="s">
        <v>0</v>
      </c>
    </row>
    <row r="62" spans="1:10" ht="15.75" thickBot="1">
      <c r="A62" s="270"/>
      <c r="B62" s="141"/>
      <c r="C62" s="141"/>
      <c r="D62" s="141"/>
      <c r="E62" s="141"/>
      <c r="F62" s="141"/>
      <c r="G62" s="271"/>
    </row>
    <row r="64" spans="1:10" ht="17.25">
      <c r="A64" s="60" t="s">
        <v>72</v>
      </c>
      <c r="E64" s="188" t="s">
        <v>0</v>
      </c>
    </row>
    <row r="65" spans="1:7">
      <c r="A65" s="151" t="s">
        <v>0</v>
      </c>
      <c r="E65" s="188" t="s">
        <v>0</v>
      </c>
    </row>
    <row r="66" spans="1:7" ht="16.5">
      <c r="A66" s="438" t="s">
        <v>465</v>
      </c>
      <c r="B66" s="11"/>
      <c r="C66" s="11"/>
      <c r="D66" s="11"/>
      <c r="E66" s="11"/>
      <c r="F66" s="11"/>
      <c r="G66" s="11"/>
    </row>
    <row r="67" spans="1:7" ht="16.5">
      <c r="A67" s="438" t="s">
        <v>466</v>
      </c>
      <c r="B67" s="11"/>
      <c r="C67" s="11"/>
      <c r="D67" s="11"/>
      <c r="E67" s="11"/>
      <c r="F67" s="11"/>
      <c r="G67" s="11"/>
    </row>
    <row r="68" spans="1:7" ht="16.5">
      <c r="A68" s="42" t="s">
        <v>0</v>
      </c>
      <c r="B68" s="11"/>
      <c r="C68" s="11"/>
      <c r="D68" s="11"/>
      <c r="E68" s="11"/>
      <c r="F68" s="11"/>
      <c r="G68" s="11"/>
    </row>
    <row r="69" spans="1:7" ht="16.5">
      <c r="A69" s="42" t="s">
        <v>492</v>
      </c>
      <c r="B69" s="11"/>
      <c r="C69" s="11"/>
      <c r="D69" s="11"/>
      <c r="E69" s="11"/>
      <c r="F69" s="11"/>
      <c r="G69" s="11"/>
    </row>
    <row r="70" spans="1:7" ht="16.5">
      <c r="A70" s="139" t="s">
        <v>391</v>
      </c>
      <c r="C70" s="11"/>
      <c r="D70" s="11"/>
      <c r="E70" s="11"/>
      <c r="F70" s="11"/>
      <c r="G70" s="11"/>
    </row>
    <row r="71" spans="1:7" ht="16.5">
      <c r="A71" s="42" t="s">
        <v>0</v>
      </c>
      <c r="B71" s="11"/>
      <c r="C71" s="11"/>
      <c r="D71" s="11"/>
      <c r="E71" s="11"/>
      <c r="F71" s="11"/>
      <c r="G71" s="11"/>
    </row>
    <row r="72" spans="1:7" ht="16.5">
      <c r="A72" s="42" t="s">
        <v>493</v>
      </c>
      <c r="B72" s="11"/>
      <c r="C72" s="11"/>
      <c r="D72" s="11"/>
      <c r="E72" s="11"/>
      <c r="F72" s="11"/>
      <c r="G72" s="11"/>
    </row>
    <row r="73" spans="1:7" ht="16.5">
      <c r="A73" s="139" t="s">
        <v>392</v>
      </c>
      <c r="B73" s="11"/>
      <c r="C73" s="11"/>
      <c r="D73" s="11"/>
      <c r="E73" s="11"/>
      <c r="F73" s="11"/>
      <c r="G73" s="11"/>
    </row>
    <row r="74" spans="1:7" ht="16.5">
      <c r="A74" s="42"/>
      <c r="B74" s="11"/>
      <c r="C74" s="11"/>
      <c r="D74" s="11"/>
      <c r="E74" s="11"/>
      <c r="F74" s="11"/>
      <c r="G74" s="11"/>
    </row>
    <row r="75" spans="1:7" ht="16.5">
      <c r="A75" s="42" t="s">
        <v>494</v>
      </c>
      <c r="B75" s="11"/>
      <c r="C75" s="11"/>
      <c r="D75" s="11"/>
      <c r="E75" s="11"/>
      <c r="F75" s="11"/>
      <c r="G75" s="11"/>
    </row>
    <row r="76" spans="1:7" ht="16.5">
      <c r="A76" s="139" t="s">
        <v>495</v>
      </c>
      <c r="B76" s="11"/>
      <c r="C76" s="11"/>
      <c r="D76" s="11"/>
      <c r="E76" s="11"/>
      <c r="F76" s="11"/>
      <c r="G76" s="11"/>
    </row>
    <row r="77" spans="1:7" ht="16.5">
      <c r="A77" s="42"/>
      <c r="B77" s="11"/>
      <c r="C77" s="11"/>
      <c r="D77" s="11"/>
      <c r="E77" s="11"/>
      <c r="F77" s="11"/>
      <c r="G77" s="11"/>
    </row>
    <row r="78" spans="1:7" ht="16.5">
      <c r="A78" s="42" t="s">
        <v>496</v>
      </c>
      <c r="B78" s="11"/>
      <c r="C78" s="11"/>
      <c r="D78" s="11"/>
      <c r="E78" s="11"/>
      <c r="F78" s="11"/>
      <c r="G78" s="11"/>
    </row>
    <row r="79" spans="1:7" ht="16.5">
      <c r="A79" s="139" t="s">
        <v>393</v>
      </c>
      <c r="B79" s="11"/>
      <c r="C79" s="11"/>
      <c r="D79" s="11"/>
      <c r="E79" s="11"/>
      <c r="F79" s="11"/>
      <c r="G79" s="11"/>
    </row>
    <row r="80" spans="1:7">
      <c r="A80" s="151"/>
    </row>
    <row r="81" spans="1:7" ht="16.5">
      <c r="A81" s="42" t="s">
        <v>497</v>
      </c>
    </row>
    <row r="82" spans="1:7" ht="16.5">
      <c r="A82" s="42" t="s">
        <v>0</v>
      </c>
    </row>
    <row r="83" spans="1:7" ht="16.5">
      <c r="A83" s="42" t="s">
        <v>0</v>
      </c>
    </row>
    <row r="84" spans="1:7">
      <c r="A84" s="139" t="s">
        <v>0</v>
      </c>
    </row>
    <row r="85" spans="1:7" ht="21" thickBot="1">
      <c r="A85" s="142"/>
      <c r="B85" s="142"/>
      <c r="C85" s="142"/>
      <c r="D85" s="27"/>
      <c r="E85" s="35"/>
      <c r="F85" s="27"/>
      <c r="G85" s="141"/>
    </row>
  </sheetData>
  <hyperlinks>
    <hyperlink ref="A84" r:id="rId1" display="https://simplywall.st/stocks/us/transportation" xr:uid="{7D051D78-0E10-420D-B3A3-181717F1BD4A}"/>
    <hyperlink ref="A79" r:id="rId2" xr:uid="{433D89A4-B860-4BA7-A1A2-59F36BD26CC2}"/>
    <hyperlink ref="A70" r:id="rId3" xr:uid="{30EEE463-8BE8-40EC-BD8D-B0FECD1106B1}"/>
    <hyperlink ref="A73" r:id="rId4" xr:uid="{BF53C192-AEFB-4C18-9AE3-91A52DCAC0B3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9618-1120-4E3F-9F7F-B5253F9B2967}">
  <sheetPr>
    <tabColor rgb="FF92D050"/>
  </sheetPr>
  <dimension ref="A1:R108"/>
  <sheetViews>
    <sheetView view="pageBreakPreview" topLeftCell="A7" zoomScale="50" zoomScaleNormal="80" zoomScaleSheetLayoutView="50" workbookViewId="0">
      <selection activeCell="H47" sqref="H47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2" t="s">
        <v>1</v>
      </c>
      <c r="C1" s="22"/>
      <c r="D1" s="22"/>
      <c r="E1" s="11"/>
      <c r="F1" s="11"/>
      <c r="G1" s="11"/>
      <c r="H1" s="11"/>
      <c r="I1" s="11"/>
      <c r="J1" s="11"/>
      <c r="K1" s="11"/>
    </row>
    <row r="2" spans="1:11" ht="17.25">
      <c r="A2" s="23" t="s">
        <v>9</v>
      </c>
      <c r="C2" s="23"/>
      <c r="D2" s="23"/>
      <c r="E2" s="11"/>
      <c r="F2" s="11"/>
      <c r="G2" s="11"/>
      <c r="H2" s="11"/>
      <c r="I2" s="11"/>
      <c r="J2" s="11"/>
      <c r="K2" s="11"/>
    </row>
    <row r="3" spans="1:11" ht="16.5">
      <c r="A3" s="24" t="s">
        <v>421</v>
      </c>
      <c r="C3" s="24"/>
      <c r="D3" s="24"/>
      <c r="E3" s="11"/>
      <c r="F3" s="11"/>
      <c r="G3" s="11"/>
      <c r="H3" s="11"/>
      <c r="I3" s="11"/>
      <c r="J3" s="11"/>
      <c r="K3" s="11"/>
    </row>
    <row r="4" spans="1:11" ht="16.5">
      <c r="B4" s="24"/>
      <c r="C4" s="24"/>
      <c r="D4" s="24"/>
      <c r="E4" s="11"/>
      <c r="F4" s="11"/>
      <c r="G4" s="11"/>
      <c r="H4" s="11"/>
      <c r="I4" s="11"/>
      <c r="J4" s="11"/>
      <c r="K4" s="11"/>
    </row>
    <row r="5" spans="1:11" ht="16.5">
      <c r="B5" s="11"/>
      <c r="C5" s="11"/>
      <c r="D5" s="11"/>
      <c r="E5" s="11"/>
      <c r="F5" s="11"/>
      <c r="G5" s="11"/>
      <c r="H5" s="11"/>
      <c r="I5" s="25" t="s">
        <v>0</v>
      </c>
      <c r="J5" s="25"/>
      <c r="K5" s="11"/>
    </row>
    <row r="6" spans="1:11" ht="17.25" thickBot="1">
      <c r="B6" s="11"/>
      <c r="C6" s="11"/>
      <c r="D6" s="27"/>
      <c r="E6" s="27"/>
      <c r="F6" s="141"/>
      <c r="H6" s="11"/>
      <c r="I6" s="11"/>
      <c r="J6" s="11"/>
    </row>
    <row r="7" spans="1:11" ht="27" thickBot="1">
      <c r="A7" s="26" t="str">
        <f>+'S&amp;D'!A12</f>
        <v>Natural Gas Transmission Pipeline Carrier</v>
      </c>
      <c r="C7" s="29"/>
      <c r="D7" s="29"/>
      <c r="E7" s="30" t="s">
        <v>239</v>
      </c>
      <c r="H7" s="11"/>
      <c r="I7" s="11"/>
      <c r="J7" s="11"/>
    </row>
    <row r="8" spans="1:11" ht="21" thickBot="1">
      <c r="B8" s="29"/>
      <c r="C8" s="29"/>
      <c r="D8" s="142"/>
      <c r="E8" s="35" t="s">
        <v>422</v>
      </c>
      <c r="F8" s="141"/>
      <c r="H8" s="11"/>
      <c r="I8" s="11"/>
    </row>
    <row r="9" spans="1:11" ht="20.25">
      <c r="B9" s="29"/>
      <c r="C9" s="29"/>
      <c r="D9" s="29"/>
      <c r="E9" s="33"/>
      <c r="H9" s="11"/>
      <c r="I9" s="11"/>
    </row>
    <row r="10" spans="1:11" ht="29.1" customHeight="1" thickBot="1">
      <c r="A10" s="142"/>
      <c r="B10" s="29"/>
      <c r="I10" s="11"/>
    </row>
    <row r="11" spans="1:11" ht="22.5" customHeight="1" thickBot="1">
      <c r="A11" s="154" t="s">
        <v>238</v>
      </c>
      <c r="B11" s="29"/>
      <c r="I11" s="11"/>
    </row>
    <row r="12" spans="1:11" ht="20.100000000000001" customHeight="1" thickBot="1">
      <c r="A12" s="153" t="s">
        <v>0</v>
      </c>
      <c r="B12" s="11"/>
      <c r="C12" s="11"/>
      <c r="D12" s="11"/>
      <c r="E12" s="11"/>
      <c r="F12" s="11"/>
      <c r="G12" s="11"/>
      <c r="H12" s="11"/>
      <c r="I12" s="11"/>
    </row>
    <row r="13" spans="1:11" ht="60.6" customHeight="1" thickBot="1">
      <c r="A13" s="201" t="s">
        <v>0</v>
      </c>
      <c r="B13" s="148" t="s">
        <v>287</v>
      </c>
      <c r="C13" s="148" t="s">
        <v>286</v>
      </c>
      <c r="D13" s="147" t="s">
        <v>218</v>
      </c>
      <c r="E13" s="148" t="s">
        <v>219</v>
      </c>
      <c r="F13" s="148" t="s">
        <v>256</v>
      </c>
      <c r="G13" s="148" t="s">
        <v>255</v>
      </c>
      <c r="H13" s="148" t="s">
        <v>220</v>
      </c>
    </row>
    <row r="14" spans="1:11" ht="16.5">
      <c r="A14" s="143"/>
      <c r="B14" s="193"/>
      <c r="C14" s="193"/>
      <c r="D14" s="109"/>
      <c r="E14" s="193"/>
      <c r="F14" s="193"/>
      <c r="G14" s="193"/>
      <c r="H14" s="193"/>
    </row>
    <row r="15" spans="1:11" ht="20.25">
      <c r="A15" s="152" t="str">
        <f>+A7</f>
        <v>Natural Gas Transmission Pipeline Carrier</v>
      </c>
      <c r="B15" s="212">
        <v>0</v>
      </c>
      <c r="C15" s="212">
        <v>0</v>
      </c>
      <c r="D15" s="312">
        <v>0</v>
      </c>
      <c r="E15" s="212">
        <v>0</v>
      </c>
      <c r="F15" s="212">
        <f>+'Dividends '!K26</f>
        <v>3.7347490357151195E-2</v>
      </c>
      <c r="G15" s="212">
        <f>+Earnings!K26</f>
        <v>0.10227784577079826</v>
      </c>
      <c r="H15" s="212">
        <v>0</v>
      </c>
    </row>
    <row r="16" spans="1:11" ht="21" thickBot="1">
      <c r="A16" s="145" t="s">
        <v>0</v>
      </c>
      <c r="B16" s="194" t="s">
        <v>0</v>
      </c>
      <c r="C16" s="194"/>
      <c r="D16" s="313"/>
      <c r="E16" s="194"/>
      <c r="F16" s="238">
        <f>+Earnings!K27</f>
        <v>9.4268804682853077E-2</v>
      </c>
      <c r="G16" s="238">
        <f>+Earnings!K27</f>
        <v>9.4268804682853077E-2</v>
      </c>
      <c r="H16" s="194"/>
    </row>
    <row r="17" spans="1:18" ht="57.95" customHeight="1" thickBot="1">
      <c r="A17" s="11"/>
      <c r="B17" s="11"/>
      <c r="C17" s="11"/>
      <c r="D17" s="11"/>
      <c r="E17" s="11"/>
      <c r="F17" s="11"/>
      <c r="G17" s="11"/>
      <c r="H17" s="11"/>
      <c r="I17" s="11"/>
    </row>
    <row r="18" spans="1:18" ht="24.95" customHeight="1" thickBot="1">
      <c r="A18" s="154" t="s">
        <v>467</v>
      </c>
      <c r="B18" s="11"/>
      <c r="C18" s="11"/>
      <c r="D18" s="421"/>
      <c r="E18" s="11"/>
      <c r="F18" s="11"/>
      <c r="G18" s="11"/>
      <c r="H18" s="11"/>
      <c r="I18" s="11"/>
    </row>
    <row r="19" spans="1:18" ht="20.100000000000001" customHeight="1">
      <c r="A19" s="11"/>
      <c r="B19" s="11"/>
      <c r="C19" s="11"/>
      <c r="D19" s="439" t="s">
        <v>467</v>
      </c>
      <c r="E19" s="11"/>
      <c r="F19" s="11"/>
      <c r="G19" s="11"/>
      <c r="H19" s="11"/>
      <c r="I19" s="11"/>
    </row>
    <row r="20" spans="1:18" ht="27.95" customHeight="1">
      <c r="A20" s="440"/>
      <c r="B20" s="415"/>
      <c r="C20" s="441" t="s">
        <v>468</v>
      </c>
      <c r="D20" s="442"/>
      <c r="E20" s="11"/>
      <c r="F20" s="11"/>
      <c r="G20" s="11"/>
      <c r="H20" s="11"/>
      <c r="I20" s="11"/>
    </row>
    <row r="21" spans="1:18" ht="27.95" customHeight="1">
      <c r="A21" s="366"/>
      <c r="C21" s="443" t="s">
        <v>469</v>
      </c>
      <c r="D21" s="444">
        <v>4.5699999999999998E-2</v>
      </c>
      <c r="E21" s="11"/>
      <c r="F21" s="11"/>
      <c r="G21" s="11"/>
      <c r="H21" s="11"/>
      <c r="I21" s="11"/>
    </row>
    <row r="22" spans="1:18" ht="27.95" customHeight="1">
      <c r="A22" s="366"/>
      <c r="C22" s="443" t="s">
        <v>470</v>
      </c>
      <c r="D22" s="444">
        <v>4.6600000000000003E-2</v>
      </c>
      <c r="E22" s="11"/>
      <c r="F22" s="11"/>
      <c r="G22" s="11"/>
      <c r="H22" s="11"/>
      <c r="I22" s="11"/>
    </row>
    <row r="23" spans="1:18" ht="27" customHeight="1">
      <c r="A23" s="366"/>
      <c r="C23" s="443" t="s">
        <v>471</v>
      </c>
      <c r="D23" s="444">
        <v>4.8599999999999997E-2</v>
      </c>
      <c r="E23" s="11"/>
      <c r="F23" s="11"/>
      <c r="G23" s="11"/>
      <c r="H23" s="11"/>
      <c r="I23" s="11"/>
    </row>
    <row r="24" spans="1:18" ht="27" customHeight="1" thickBot="1">
      <c r="A24" s="366"/>
      <c r="C24" s="443" t="s">
        <v>472</v>
      </c>
      <c r="D24" s="444">
        <v>4.7899999999999998E-2</v>
      </c>
      <c r="E24" s="11"/>
      <c r="F24" s="11"/>
      <c r="G24" s="445" t="s">
        <v>473</v>
      </c>
      <c r="I24" s="11"/>
    </row>
    <row r="25" spans="1:18" ht="27" customHeight="1" thickBot="1">
      <c r="A25" s="366"/>
      <c r="B25" s="11"/>
      <c r="C25" s="446" t="s">
        <v>474</v>
      </c>
      <c r="D25" s="447"/>
      <c r="E25" s="11"/>
      <c r="F25" s="11"/>
      <c r="G25" s="448">
        <v>4.8599999999999997E-2</v>
      </c>
      <c r="H25" s="11"/>
      <c r="I25" s="11"/>
    </row>
    <row r="26" spans="1:18" ht="27" customHeight="1">
      <c r="A26" s="366"/>
      <c r="C26" s="443" t="s">
        <v>469</v>
      </c>
      <c r="D26" s="444">
        <v>4.5499999999999999E-2</v>
      </c>
      <c r="E26" s="11"/>
      <c r="F26" s="11"/>
      <c r="G26" s="11"/>
      <c r="H26" s="11"/>
      <c r="I26" s="11"/>
    </row>
    <row r="27" spans="1:18" ht="27" customHeight="1">
      <c r="A27" s="366"/>
      <c r="C27" s="443" t="s">
        <v>475</v>
      </c>
      <c r="D27" s="444">
        <v>0</v>
      </c>
      <c r="E27" s="11"/>
      <c r="F27" s="11"/>
      <c r="G27" s="11"/>
      <c r="H27" s="11"/>
      <c r="I27" s="11"/>
    </row>
    <row r="28" spans="1:18" ht="27" customHeight="1">
      <c r="A28" s="366"/>
      <c r="C28" s="443" t="s">
        <v>476</v>
      </c>
      <c r="D28" s="444">
        <v>4.7699999999999999E-2</v>
      </c>
      <c r="E28" s="11"/>
      <c r="F28" s="11"/>
      <c r="G28" s="11"/>
      <c r="H28" s="11"/>
      <c r="I28" s="11"/>
    </row>
    <row r="29" spans="1:18" ht="27" customHeight="1">
      <c r="A29" s="366"/>
      <c r="C29" s="449" t="s">
        <v>477</v>
      </c>
      <c r="D29" s="450">
        <v>4.58E-2</v>
      </c>
      <c r="E29" s="11"/>
      <c r="F29" s="11"/>
      <c r="G29" s="11"/>
      <c r="H29" s="11"/>
      <c r="I29" s="11"/>
    </row>
    <row r="30" spans="1:18" ht="20.25">
      <c r="A30" s="451"/>
      <c r="B30" s="221"/>
      <c r="C30" s="452" t="s">
        <v>478</v>
      </c>
      <c r="D30" s="453">
        <v>4.8599999999999997E-2</v>
      </c>
      <c r="L30" s="11"/>
    </row>
    <row r="31" spans="1:18" ht="63.6" customHeight="1" thickBot="1">
      <c r="B31" s="11"/>
      <c r="C31" s="11"/>
      <c r="D31" s="27"/>
      <c r="E31" s="27"/>
      <c r="F31" s="27"/>
      <c r="G31" s="11"/>
      <c r="H31" s="11"/>
      <c r="I31" s="11"/>
      <c r="L31" s="11"/>
    </row>
    <row r="32" spans="1:18" ht="26.25">
      <c r="B32" s="29"/>
      <c r="C32" s="29"/>
      <c r="D32" s="11"/>
      <c r="E32" s="30" t="s">
        <v>203</v>
      </c>
      <c r="F32" s="11"/>
      <c r="G32" s="11"/>
      <c r="H32" s="11"/>
      <c r="I32" s="11"/>
      <c r="J32" s="454" t="s">
        <v>0</v>
      </c>
      <c r="K32" s="83"/>
      <c r="L32" s="83"/>
      <c r="M32" s="83"/>
      <c r="N32" s="83"/>
      <c r="O32" s="11"/>
      <c r="P32" s="11"/>
      <c r="Q32" s="11"/>
      <c r="R32" s="11"/>
    </row>
    <row r="33" spans="1:18" ht="21" thickBot="1">
      <c r="A33" s="141"/>
      <c r="B33" s="29"/>
      <c r="C33" s="29"/>
      <c r="D33" s="27"/>
      <c r="E33" s="35" t="s">
        <v>422</v>
      </c>
      <c r="F33" s="27"/>
      <c r="G33" s="11"/>
      <c r="H33" s="11"/>
      <c r="I33" s="11"/>
      <c r="J33" s="455"/>
      <c r="K33" s="456"/>
      <c r="L33" s="456"/>
      <c r="M33" s="83"/>
      <c r="N33" s="83"/>
      <c r="O33" s="11"/>
      <c r="P33" s="11"/>
      <c r="Q33" s="11"/>
      <c r="R33" s="11"/>
    </row>
    <row r="34" spans="1:18" ht="21" thickBot="1">
      <c r="A34" s="140" t="s">
        <v>426</v>
      </c>
      <c r="B34" s="29"/>
      <c r="C34" s="29"/>
      <c r="D34" s="33"/>
      <c r="E34" s="138"/>
      <c r="F34" s="11"/>
      <c r="G34" s="11"/>
      <c r="H34" s="11"/>
      <c r="I34" s="11"/>
      <c r="J34" s="455"/>
      <c r="K34" s="455"/>
      <c r="L34" s="455"/>
      <c r="M34" s="456"/>
      <c r="N34" s="457" t="s">
        <v>0</v>
      </c>
      <c r="O34" s="11"/>
      <c r="P34" s="11"/>
      <c r="Q34" s="11"/>
      <c r="R34" s="11"/>
    </row>
    <row r="35" spans="1:18" ht="18.75">
      <c r="A35" s="39" t="s">
        <v>0</v>
      </c>
      <c r="B35" s="39"/>
      <c r="C35" s="39"/>
      <c r="D35" s="39" t="s">
        <v>0</v>
      </c>
      <c r="E35" s="39" t="s">
        <v>0</v>
      </c>
      <c r="F35" s="39" t="s">
        <v>0</v>
      </c>
      <c r="G35" s="39"/>
      <c r="H35" s="11"/>
      <c r="I35" s="11"/>
      <c r="J35" s="455"/>
      <c r="K35" s="458"/>
      <c r="L35" s="455"/>
      <c r="M35" s="456"/>
      <c r="N35" s="83"/>
      <c r="O35" s="11"/>
      <c r="P35" s="11"/>
      <c r="Q35" s="11"/>
      <c r="R35" s="11"/>
    </row>
    <row r="36" spans="1:18" ht="20.25">
      <c r="A36" s="33" t="s">
        <v>0</v>
      </c>
      <c r="B36" s="33"/>
      <c r="C36" s="33"/>
      <c r="D36" s="398" t="s">
        <v>78</v>
      </c>
      <c r="E36" s="398" t="s">
        <v>240</v>
      </c>
      <c r="F36" s="398" t="s">
        <v>122</v>
      </c>
      <c r="G36" s="235"/>
      <c r="H36" s="11"/>
      <c r="I36" s="11"/>
      <c r="J36" s="455"/>
      <c r="K36" s="455"/>
      <c r="L36" s="455"/>
      <c r="M36" s="456"/>
      <c r="N36" s="83"/>
      <c r="O36" s="11"/>
      <c r="P36" s="11"/>
      <c r="Q36" s="11"/>
      <c r="R36" s="11"/>
    </row>
    <row r="37" spans="1:18" ht="20.25">
      <c r="A37" s="476" t="s">
        <v>120</v>
      </c>
      <c r="B37" s="477"/>
      <c r="C37" s="478"/>
      <c r="D37" s="399" t="s">
        <v>80</v>
      </c>
      <c r="E37" s="399" t="s">
        <v>121</v>
      </c>
      <c r="F37" s="399" t="s">
        <v>123</v>
      </c>
      <c r="G37" s="235"/>
      <c r="H37" s="11"/>
      <c r="I37" s="11"/>
      <c r="J37" s="456"/>
      <c r="K37" s="456"/>
      <c r="L37" s="459"/>
      <c r="M37" s="456"/>
      <c r="N37" s="83"/>
      <c r="O37" s="11"/>
      <c r="P37" s="11"/>
      <c r="Q37" s="11"/>
      <c r="R37" s="11"/>
    </row>
    <row r="38" spans="1:18" ht="18.75">
      <c r="H38" s="397"/>
      <c r="J38" s="456"/>
      <c r="K38" s="456"/>
      <c r="L38" s="83"/>
      <c r="M38" s="83"/>
      <c r="N38" s="83"/>
      <c r="O38" s="11"/>
      <c r="P38" s="11"/>
      <c r="Q38" s="11"/>
      <c r="R38" s="11"/>
    </row>
    <row r="39" spans="1:18" ht="20.25">
      <c r="A39" s="400" t="s">
        <v>241</v>
      </c>
      <c r="B39" s="155"/>
      <c r="C39" s="190"/>
      <c r="D39" s="401">
        <v>2.3300000000000001E-2</v>
      </c>
      <c r="E39" s="402" t="s">
        <v>420</v>
      </c>
      <c r="F39" s="402" t="s">
        <v>420</v>
      </c>
      <c r="H39" s="397" t="s">
        <v>0</v>
      </c>
      <c r="J39" s="460"/>
      <c r="K39" s="456"/>
      <c r="L39" s="456"/>
      <c r="M39" s="83"/>
      <c r="N39" s="83"/>
      <c r="O39" s="11"/>
      <c r="P39" s="11"/>
      <c r="Q39" s="11"/>
      <c r="R39" s="11"/>
    </row>
    <row r="40" spans="1:18" ht="20.25">
      <c r="A40" s="403" t="s">
        <v>242</v>
      </c>
      <c r="B40" s="60"/>
      <c r="C40" s="191"/>
      <c r="D40" s="404">
        <v>2.46E-2</v>
      </c>
      <c r="E40" s="405" t="s">
        <v>420</v>
      </c>
      <c r="F40" s="405" t="s">
        <v>420</v>
      </c>
      <c r="H40" s="29" t="s">
        <v>0</v>
      </c>
      <c r="I40" s="11"/>
      <c r="J40" s="460"/>
      <c r="K40" s="456"/>
      <c r="L40" s="456"/>
      <c r="M40" s="83"/>
      <c r="N40" s="83"/>
      <c r="O40" s="11"/>
      <c r="P40" s="11"/>
      <c r="Q40" s="11"/>
      <c r="R40" s="11"/>
    </row>
    <row r="41" spans="1:18" ht="20.25">
      <c r="A41" s="406" t="s">
        <v>243</v>
      </c>
      <c r="B41" s="157"/>
      <c r="C41" s="192"/>
      <c r="D41" s="407">
        <v>2.3099999999999999E-2</v>
      </c>
      <c r="E41" s="408" t="s">
        <v>420</v>
      </c>
      <c r="F41" s="408" t="s">
        <v>420</v>
      </c>
      <c r="H41" s="121" t="s">
        <v>0</v>
      </c>
      <c r="I41" s="11"/>
      <c r="J41" s="460"/>
      <c r="K41" s="456"/>
      <c r="L41" s="456"/>
      <c r="M41" s="83"/>
      <c r="N41" s="83"/>
      <c r="O41" s="11"/>
      <c r="P41" s="11"/>
      <c r="Q41" s="11"/>
      <c r="R41" s="11"/>
    </row>
    <row r="42" spans="1:18" ht="20.25">
      <c r="A42" s="403" t="s">
        <v>244</v>
      </c>
      <c r="B42" s="60"/>
      <c r="C42" s="191"/>
      <c r="D42" s="409">
        <v>2.29E-2</v>
      </c>
      <c r="E42" s="409">
        <v>2.1100000000000001E-2</v>
      </c>
      <c r="F42" s="404">
        <f t="shared" ref="F42:F50" si="0">+D42+E42</f>
        <v>4.3999999999999997E-2</v>
      </c>
      <c r="H42" s="11" t="s">
        <v>0</v>
      </c>
      <c r="I42" s="11"/>
      <c r="J42" s="460"/>
      <c r="K42" s="456"/>
      <c r="L42" s="456"/>
      <c r="M42" s="83"/>
      <c r="N42" s="83"/>
      <c r="O42" s="11"/>
      <c r="P42" s="11"/>
      <c r="Q42" s="11"/>
      <c r="R42" s="11"/>
    </row>
    <row r="43" spans="1:18" ht="20.25">
      <c r="A43" s="403" t="s">
        <v>427</v>
      </c>
      <c r="B43" s="60"/>
      <c r="C43" s="191"/>
      <c r="D43" s="409">
        <v>2.2800000000000001E-2</v>
      </c>
      <c r="E43" s="409">
        <v>2.0500000000000001E-2</v>
      </c>
      <c r="F43" s="404">
        <f t="shared" si="0"/>
        <v>4.3300000000000005E-2</v>
      </c>
      <c r="H43" s="11"/>
      <c r="I43" s="11"/>
      <c r="J43" s="460"/>
      <c r="K43" s="456"/>
      <c r="L43" s="83"/>
      <c r="M43" s="83"/>
      <c r="N43" s="83"/>
      <c r="O43" s="11"/>
      <c r="P43" s="11"/>
      <c r="Q43" s="11"/>
      <c r="R43" s="11"/>
    </row>
    <row r="44" spans="1:18" ht="20.25">
      <c r="A44" s="406" t="s">
        <v>428</v>
      </c>
      <c r="B44" s="157"/>
      <c r="C44" s="192"/>
      <c r="D44" s="410">
        <v>2.3800000000000002E-2</v>
      </c>
      <c r="E44" s="410">
        <v>2.1000000000000001E-2</v>
      </c>
      <c r="F44" s="407">
        <f t="shared" si="0"/>
        <v>4.4800000000000006E-2</v>
      </c>
      <c r="H44" s="11"/>
      <c r="I44" s="11"/>
      <c r="J44" s="460"/>
      <c r="K44" s="456"/>
      <c r="L44" s="83"/>
      <c r="M44" s="83"/>
      <c r="N44" s="83"/>
      <c r="O44" s="11"/>
      <c r="P44" s="11"/>
      <c r="Q44" s="11"/>
      <c r="R44" s="11"/>
    </row>
    <row r="45" spans="1:18" ht="20.25">
      <c r="A45" s="403" t="s">
        <v>429</v>
      </c>
      <c r="B45" s="60"/>
      <c r="C45" s="191"/>
      <c r="D45" s="404">
        <v>2.3E-2</v>
      </c>
      <c r="E45" s="409">
        <v>1.7999999999999999E-2</v>
      </c>
      <c r="F45" s="404">
        <f t="shared" si="0"/>
        <v>4.0999999999999995E-2</v>
      </c>
      <c r="H45" s="120" t="s">
        <v>0</v>
      </c>
      <c r="I45" s="11"/>
      <c r="J45" s="460"/>
      <c r="K45" s="456"/>
      <c r="L45" s="83"/>
      <c r="M45" s="83"/>
      <c r="N45" s="83"/>
      <c r="O45" s="11"/>
      <c r="P45" s="11"/>
      <c r="Q45" s="11"/>
      <c r="R45" s="11"/>
    </row>
    <row r="46" spans="1:18" ht="20.25">
      <c r="A46" s="403" t="s">
        <v>430</v>
      </c>
      <c r="B46" s="60"/>
      <c r="C46" s="191"/>
      <c r="D46" s="404">
        <v>2.3E-2</v>
      </c>
      <c r="E46" s="409">
        <v>2.1999999999999999E-2</v>
      </c>
      <c r="F46" s="404">
        <f t="shared" si="0"/>
        <v>4.4999999999999998E-2</v>
      </c>
      <c r="H46" s="120" t="s">
        <v>0</v>
      </c>
      <c r="I46" s="11"/>
      <c r="J46" s="460"/>
      <c r="K46" s="456"/>
      <c r="L46" s="83"/>
      <c r="M46" s="83"/>
      <c r="N46" s="83"/>
      <c r="O46" s="11"/>
      <c r="P46" s="11"/>
      <c r="Q46" s="11"/>
      <c r="R46" s="11"/>
    </row>
    <row r="47" spans="1:18" ht="20.25">
      <c r="A47" s="406" t="s">
        <v>431</v>
      </c>
      <c r="B47" s="157"/>
      <c r="C47" s="192"/>
      <c r="D47" s="407">
        <v>2.3E-2</v>
      </c>
      <c r="E47" s="410">
        <v>1.9E-2</v>
      </c>
      <c r="F47" s="407">
        <f t="shared" si="0"/>
        <v>4.1999999999999996E-2</v>
      </c>
      <c r="H47" s="11"/>
      <c r="I47" s="11"/>
      <c r="J47" s="460"/>
      <c r="K47" s="456"/>
      <c r="L47" s="83"/>
      <c r="M47" s="83"/>
      <c r="N47" s="83"/>
      <c r="O47" s="11"/>
      <c r="P47" s="11"/>
      <c r="Q47" s="11"/>
      <c r="R47" s="11"/>
    </row>
    <row r="48" spans="1:18" ht="20.25">
      <c r="A48" s="403" t="s">
        <v>432</v>
      </c>
      <c r="B48" s="60"/>
      <c r="C48" s="191"/>
      <c r="D48" s="404">
        <v>2.3E-2</v>
      </c>
      <c r="E48" s="409">
        <v>2.1000000000000001E-2</v>
      </c>
      <c r="F48" s="404">
        <f t="shared" si="0"/>
        <v>4.3999999999999997E-2</v>
      </c>
      <c r="H48" s="11"/>
      <c r="I48" s="11"/>
      <c r="J48" s="460"/>
      <c r="K48" s="456"/>
      <c r="L48" s="83"/>
      <c r="M48" s="83"/>
      <c r="N48" s="83"/>
      <c r="O48" s="11"/>
      <c r="P48" s="11"/>
      <c r="Q48" s="11"/>
      <c r="R48" s="11"/>
    </row>
    <row r="49" spans="1:18" ht="20.25">
      <c r="A49" s="403" t="s">
        <v>433</v>
      </c>
      <c r="B49" s="60"/>
      <c r="C49" s="191"/>
      <c r="D49" s="405" t="s">
        <v>420</v>
      </c>
      <c r="E49" s="409">
        <v>2.3E-2</v>
      </c>
      <c r="F49" s="405" t="s">
        <v>420</v>
      </c>
      <c r="H49" s="11"/>
      <c r="I49" s="11"/>
      <c r="J49" s="460"/>
      <c r="K49" s="456"/>
      <c r="L49" s="83"/>
      <c r="M49" s="83"/>
      <c r="N49" s="83"/>
      <c r="O49" s="11"/>
      <c r="P49" s="11"/>
      <c r="Q49" s="11"/>
      <c r="R49" s="11"/>
    </row>
    <row r="50" spans="1:18" ht="20.25">
      <c r="A50" s="406" t="s">
        <v>434</v>
      </c>
      <c r="B50" s="157"/>
      <c r="C50" s="192"/>
      <c r="D50" s="407">
        <v>0.02</v>
      </c>
      <c r="E50" s="407">
        <v>1.7999999999999999E-2</v>
      </c>
      <c r="F50" s="407">
        <f t="shared" si="0"/>
        <v>3.7999999999999999E-2</v>
      </c>
      <c r="H50" s="11"/>
      <c r="I50" s="11"/>
      <c r="J50" s="460"/>
      <c r="K50" s="461"/>
      <c r="L50" s="83"/>
      <c r="M50" s="83"/>
      <c r="N50" s="83"/>
      <c r="O50" s="11"/>
      <c r="P50" s="11"/>
      <c r="Q50" s="11"/>
      <c r="R50" s="11"/>
    </row>
    <row r="51" spans="1:18" ht="20.25">
      <c r="A51" s="103"/>
      <c r="B51" s="115"/>
      <c r="C51" s="115" t="s">
        <v>46</v>
      </c>
      <c r="D51" s="411">
        <f>MAX(D39:D50)</f>
        <v>2.46E-2</v>
      </c>
      <c r="E51" s="411">
        <f>MAX(E39:E50)</f>
        <v>2.3E-2</v>
      </c>
      <c r="F51" s="411">
        <f>MAX(F39:F50)</f>
        <v>4.4999999999999998E-2</v>
      </c>
      <c r="G51" s="236"/>
      <c r="H51" s="11"/>
      <c r="I51" s="11"/>
      <c r="L51" s="11"/>
      <c r="M51" s="11"/>
      <c r="N51" s="11"/>
      <c r="Q51" s="11"/>
      <c r="R51" s="11"/>
    </row>
    <row r="52" spans="1:18" ht="18.75" customHeight="1">
      <c r="A52" s="103"/>
      <c r="B52" s="115"/>
      <c r="C52" s="115" t="s">
        <v>47</v>
      </c>
      <c r="D52" s="411">
        <f>MIN(D39:D50)</f>
        <v>0.02</v>
      </c>
      <c r="E52" s="411">
        <f>MIN(E39:E50)</f>
        <v>1.7999999999999999E-2</v>
      </c>
      <c r="F52" s="412">
        <f>MIN(F39:F50)</f>
        <v>3.7999999999999999E-2</v>
      </c>
      <c r="G52" s="237"/>
      <c r="H52" s="11"/>
      <c r="I52" s="11"/>
      <c r="L52" s="11"/>
      <c r="M52" s="11"/>
      <c r="N52" s="11"/>
      <c r="O52" s="11"/>
      <c r="R52" s="11"/>
    </row>
    <row r="53" spans="1:18" ht="20.25">
      <c r="A53" s="103"/>
      <c r="B53" s="115"/>
      <c r="C53" s="115" t="s">
        <v>18</v>
      </c>
      <c r="D53" s="413">
        <f>MEDIAN(D39:D50)</f>
        <v>2.3E-2</v>
      </c>
      <c r="E53" s="413">
        <f>MEDIAN(E39:E50)</f>
        <v>2.1000000000000001E-2</v>
      </c>
      <c r="F53" s="404">
        <f t="shared" ref="F53:F54" si="1">+D53+E53</f>
        <v>4.3999999999999997E-2</v>
      </c>
      <c r="G53" s="237"/>
      <c r="H53" s="11"/>
      <c r="I53" s="11"/>
      <c r="L53" s="11"/>
      <c r="M53" s="11"/>
      <c r="N53" s="11"/>
      <c r="O53" s="11"/>
      <c r="R53" s="11"/>
    </row>
    <row r="54" spans="1:18" ht="20.25">
      <c r="A54" s="103"/>
      <c r="B54" s="115"/>
      <c r="C54" s="115" t="s">
        <v>19</v>
      </c>
      <c r="D54" s="410">
        <f>AVERAGE(D39:D50)</f>
        <v>2.2954545454545453E-2</v>
      </c>
      <c r="E54" s="410">
        <f>AVERAGE(E39:E50)</f>
        <v>2.0399999999999998E-2</v>
      </c>
      <c r="F54" s="407">
        <f t="shared" si="1"/>
        <v>4.3354545454545451E-2</v>
      </c>
      <c r="G54" s="236"/>
      <c r="H54" s="11"/>
      <c r="I54" s="11"/>
      <c r="L54" s="11"/>
      <c r="M54" s="11"/>
      <c r="N54" s="11"/>
      <c r="O54" s="11"/>
      <c r="R54" s="11"/>
    </row>
    <row r="55" spans="1:18" ht="18.75">
      <c r="A55" s="11"/>
      <c r="B55" s="13"/>
      <c r="D55" s="204"/>
      <c r="E55" s="204"/>
      <c r="F55" s="204"/>
      <c r="G55" s="236"/>
      <c r="H55" s="11"/>
      <c r="I55" s="11"/>
      <c r="L55" s="11"/>
      <c r="M55" s="11"/>
      <c r="N55" s="11"/>
      <c r="O55" s="11"/>
    </row>
    <row r="56" spans="1:18" ht="16.5" customHeight="1" thickBot="1">
      <c r="A56" s="11"/>
      <c r="B56" s="13"/>
      <c r="D56" s="204"/>
      <c r="E56" s="204"/>
      <c r="F56" s="204"/>
      <c r="L56" s="11"/>
      <c r="M56" s="11"/>
      <c r="N56" s="11"/>
      <c r="O56" s="11"/>
    </row>
    <row r="57" spans="1:18" ht="27" thickBot="1">
      <c r="A57" s="11"/>
      <c r="B57" s="121"/>
      <c r="C57" s="47" t="s">
        <v>204</v>
      </c>
      <c r="D57" s="448">
        <v>2.3E-2</v>
      </c>
      <c r="E57" s="448">
        <v>2.0400000000000001E-2</v>
      </c>
      <c r="F57" s="462">
        <f>+D57+E57</f>
        <v>4.3400000000000001E-2</v>
      </c>
      <c r="L57" s="11"/>
      <c r="M57" s="11"/>
      <c r="N57" s="11"/>
      <c r="O57" s="11"/>
    </row>
    <row r="58" spans="1:18" ht="16.5" customHeight="1">
      <c r="L58" s="11"/>
      <c r="N58" s="11"/>
    </row>
    <row r="59" spans="1:18" ht="16.5">
      <c r="A59" s="11"/>
      <c r="B59" s="11"/>
      <c r="C59" s="11"/>
      <c r="D59" s="11"/>
      <c r="E59" s="11"/>
      <c r="F59" s="11"/>
      <c r="G59" s="11"/>
      <c r="I59" s="11"/>
      <c r="L59" s="11"/>
      <c r="N59" s="11"/>
    </row>
    <row r="60" spans="1:18" ht="19.5" customHeight="1">
      <c r="A60" s="414" t="s">
        <v>435</v>
      </c>
      <c r="B60" s="415"/>
      <c r="C60" s="416"/>
      <c r="D60" s="11"/>
      <c r="E60" s="11"/>
      <c r="F60" s="11"/>
      <c r="I60" s="11"/>
      <c r="L60" s="11"/>
      <c r="M60" s="11"/>
      <c r="N60" s="11"/>
    </row>
    <row r="61" spans="1:18" ht="19.5" customHeight="1">
      <c r="A61" s="414" t="s">
        <v>436</v>
      </c>
      <c r="B61" s="415"/>
      <c r="C61" s="415"/>
      <c r="D61" s="415"/>
      <c r="E61" s="415"/>
      <c r="F61" s="415"/>
      <c r="G61" s="417"/>
      <c r="I61" s="11"/>
      <c r="L61" s="11"/>
      <c r="M61" s="11"/>
      <c r="N61" s="11"/>
    </row>
    <row r="62" spans="1:18" ht="19.5" customHeight="1">
      <c r="A62" s="418" t="s">
        <v>437</v>
      </c>
      <c r="B62" s="11"/>
      <c r="C62" s="11"/>
      <c r="D62" s="11"/>
      <c r="E62" s="11"/>
      <c r="F62" s="11"/>
      <c r="G62" s="419"/>
      <c r="I62" s="11"/>
      <c r="L62" s="11"/>
      <c r="M62" s="11"/>
      <c r="N62" s="11"/>
      <c r="O62" s="463"/>
    </row>
    <row r="63" spans="1:18" ht="19.5" customHeight="1">
      <c r="A63" s="418" t="s">
        <v>438</v>
      </c>
      <c r="B63" s="11"/>
      <c r="C63" s="11"/>
      <c r="D63" s="11"/>
      <c r="E63" s="11"/>
      <c r="F63" s="11"/>
      <c r="G63" s="419"/>
      <c r="I63" s="11"/>
      <c r="L63" s="11"/>
      <c r="M63" s="11"/>
      <c r="N63" s="11"/>
      <c r="O63" s="463"/>
      <c r="P63" s="83"/>
      <c r="Q63" s="11"/>
      <c r="R63" s="11"/>
    </row>
    <row r="64" spans="1:18" ht="19.5" customHeight="1">
      <c r="A64" s="420" t="s">
        <v>439</v>
      </c>
      <c r="B64" s="421"/>
      <c r="C64" s="421"/>
      <c r="D64" s="421"/>
      <c r="E64" s="421"/>
      <c r="F64" s="421"/>
      <c r="G64" s="422"/>
      <c r="I64" s="11"/>
      <c r="L64" s="11"/>
      <c r="M64" s="11"/>
      <c r="N64" s="11"/>
      <c r="O64" s="463"/>
      <c r="P64" s="83"/>
      <c r="Q64" s="11"/>
      <c r="R64" s="11"/>
    </row>
    <row r="65" spans="1:18" ht="17.25">
      <c r="A65" s="103"/>
      <c r="B65" s="11"/>
      <c r="C65" s="11"/>
      <c r="D65" s="11"/>
      <c r="E65" s="11"/>
      <c r="F65" s="11"/>
      <c r="I65" s="11"/>
      <c r="L65" s="11"/>
      <c r="M65" s="11"/>
      <c r="N65" s="11"/>
      <c r="O65" s="11"/>
      <c r="P65" s="11"/>
      <c r="Q65" s="11"/>
      <c r="R65" s="11"/>
    </row>
    <row r="66" spans="1:18" ht="15.6" customHeight="1">
      <c r="A66" s="423" t="s">
        <v>245</v>
      </c>
      <c r="B66" s="424"/>
      <c r="C66" s="415"/>
      <c r="D66" s="415"/>
      <c r="E66" s="415"/>
      <c r="F66" s="416"/>
      <c r="G66" s="11"/>
      <c r="I66" s="11"/>
      <c r="L66" s="11"/>
      <c r="M66" s="11"/>
      <c r="N66" s="11"/>
      <c r="O66" s="11"/>
      <c r="P66" s="11"/>
      <c r="Q66" s="11"/>
      <c r="R66" s="11"/>
    </row>
    <row r="67" spans="1:18" ht="15.6" customHeight="1">
      <c r="A67" s="156" t="s">
        <v>440</v>
      </c>
      <c r="B67" s="11"/>
      <c r="C67" s="11"/>
      <c r="E67" s="11"/>
      <c r="F67" s="314"/>
      <c r="G67" s="11"/>
      <c r="I67" s="11"/>
      <c r="L67" s="11"/>
      <c r="M67" s="11"/>
      <c r="N67" s="11"/>
      <c r="O67" s="11"/>
      <c r="P67" s="11"/>
      <c r="Q67" s="11"/>
      <c r="R67" s="11"/>
    </row>
    <row r="68" spans="1:18" ht="15.6" customHeight="1">
      <c r="A68" s="425" t="s">
        <v>246</v>
      </c>
      <c r="B68" s="421"/>
      <c r="C68" s="421"/>
      <c r="D68" s="421"/>
      <c r="E68" s="421"/>
      <c r="F68" s="296"/>
      <c r="G68" s="11"/>
      <c r="I68" s="11" t="s">
        <v>0</v>
      </c>
      <c r="L68" s="11"/>
      <c r="M68" s="11"/>
      <c r="N68" s="11"/>
      <c r="O68" s="11"/>
      <c r="P68" s="11"/>
      <c r="Q68" s="11"/>
      <c r="R68" s="11"/>
    </row>
    <row r="69" spans="1:18" ht="16.5">
      <c r="A69" s="367"/>
      <c r="B69" s="11"/>
      <c r="C69" s="11"/>
      <c r="D69" s="11"/>
      <c r="E69" s="11"/>
      <c r="F69" s="11"/>
      <c r="G69" s="11"/>
      <c r="I69" s="11"/>
      <c r="L69" s="11"/>
      <c r="M69" s="11"/>
      <c r="N69" s="11"/>
      <c r="O69" s="11"/>
      <c r="P69" s="11"/>
      <c r="Q69" s="11"/>
      <c r="R69" s="11"/>
    </row>
    <row r="70" spans="1:18" ht="17.25">
      <c r="A70" s="136" t="s">
        <v>441</v>
      </c>
      <c r="B70" s="123"/>
      <c r="C70" s="123"/>
      <c r="D70" s="123"/>
      <c r="E70" s="124"/>
      <c r="F70" s="123"/>
      <c r="G70" s="123"/>
      <c r="H70" s="123"/>
      <c r="I70" s="11"/>
      <c r="L70" s="11"/>
      <c r="M70" s="11"/>
      <c r="N70" s="11"/>
      <c r="O70" s="11"/>
      <c r="P70" s="11"/>
      <c r="Q70" s="11"/>
      <c r="R70" s="11"/>
    </row>
    <row r="71" spans="1:18" ht="17.25">
      <c r="A71" s="136"/>
      <c r="B71" s="123"/>
      <c r="C71" s="123"/>
      <c r="D71" s="123"/>
      <c r="E71" s="124"/>
      <c r="F71" s="123"/>
      <c r="G71" s="123"/>
      <c r="H71" s="123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6.5">
      <c r="A72" s="426" t="s">
        <v>442</v>
      </c>
      <c r="B72" s="123"/>
      <c r="C72" s="123"/>
      <c r="D72" s="123"/>
      <c r="E72" s="124"/>
      <c r="F72" s="123"/>
      <c r="G72" s="123"/>
      <c r="H72" s="123"/>
      <c r="I72" s="11"/>
    </row>
    <row r="73" spans="1:18" ht="16.5">
      <c r="A73" s="427" t="s">
        <v>443</v>
      </c>
      <c r="B73" s="123"/>
      <c r="C73" s="123"/>
      <c r="D73" s="123"/>
      <c r="E73" s="124"/>
      <c r="F73" s="123"/>
      <c r="G73" s="123"/>
      <c r="H73" s="123"/>
      <c r="I73" s="11"/>
    </row>
    <row r="74" spans="1:18" ht="16.5">
      <c r="A74" s="428" t="s">
        <v>360</v>
      </c>
      <c r="B74" s="429"/>
      <c r="C74" s="123"/>
      <c r="D74" s="123"/>
      <c r="E74" s="124"/>
      <c r="F74" s="123"/>
      <c r="G74" s="123"/>
      <c r="H74" s="123"/>
      <c r="I74" s="11"/>
    </row>
    <row r="75" spans="1:18" ht="16.5">
      <c r="A75" s="122"/>
      <c r="B75" s="123"/>
      <c r="C75" s="123"/>
      <c r="D75" s="123"/>
      <c r="E75" s="124"/>
      <c r="F75" s="123"/>
      <c r="G75" s="123"/>
      <c r="H75" s="123"/>
      <c r="I75" s="11"/>
    </row>
    <row r="76" spans="1:18" ht="16.5">
      <c r="A76" s="426" t="s">
        <v>444</v>
      </c>
    </row>
    <row r="77" spans="1:18">
      <c r="A77" s="430" t="s">
        <v>445</v>
      </c>
    </row>
    <row r="78" spans="1:18">
      <c r="A78" s="430" t="s">
        <v>446</v>
      </c>
    </row>
    <row r="79" spans="1:18" ht="16.5">
      <c r="A79" s="431" t="s">
        <v>140</v>
      </c>
      <c r="B79" s="382"/>
    </row>
    <row r="80" spans="1:18" ht="16.5">
      <c r="A80" s="122"/>
      <c r="B80" s="123"/>
      <c r="C80" s="123"/>
      <c r="D80" s="123"/>
      <c r="E80" s="124"/>
      <c r="F80" s="123"/>
      <c r="G80" s="123"/>
      <c r="H80" s="123"/>
      <c r="I80" s="11"/>
    </row>
    <row r="81" spans="1:9" ht="16.5">
      <c r="A81" s="426" t="s">
        <v>447</v>
      </c>
      <c r="B81" s="123"/>
      <c r="C81" s="123"/>
      <c r="D81" s="123"/>
      <c r="E81" s="124"/>
      <c r="F81" s="123"/>
      <c r="G81" s="123"/>
      <c r="H81" s="123"/>
      <c r="I81" s="11"/>
    </row>
    <row r="82" spans="1:9" ht="16.5">
      <c r="A82" s="430" t="s">
        <v>448</v>
      </c>
      <c r="B82" s="123"/>
      <c r="C82" s="123"/>
      <c r="D82" s="123"/>
      <c r="E82" s="124"/>
      <c r="F82" s="123"/>
      <c r="G82" s="123"/>
      <c r="H82" s="123"/>
      <c r="I82" s="11"/>
    </row>
    <row r="83" spans="1:9" ht="16.5">
      <c r="A83" s="432" t="s">
        <v>141</v>
      </c>
      <c r="B83" s="429"/>
      <c r="C83" s="429"/>
      <c r="D83" s="123"/>
      <c r="E83" s="124"/>
      <c r="F83" s="123"/>
      <c r="G83" s="123"/>
      <c r="H83" s="123"/>
      <c r="I83" s="11"/>
    </row>
    <row r="84" spans="1:9" ht="16.5">
      <c r="A84" s="139"/>
      <c r="B84" s="123"/>
      <c r="C84" s="123"/>
      <c r="D84" s="123"/>
      <c r="E84" s="124"/>
      <c r="F84" s="123"/>
      <c r="G84" s="123"/>
      <c r="H84" s="123"/>
      <c r="I84" s="11"/>
    </row>
    <row r="85" spans="1:9" ht="16.5">
      <c r="A85" s="426" t="s">
        <v>449</v>
      </c>
      <c r="B85" s="123"/>
      <c r="C85" s="123"/>
      <c r="D85" s="123"/>
      <c r="E85" s="124"/>
      <c r="F85" s="123"/>
      <c r="G85" s="123"/>
      <c r="H85" s="123"/>
      <c r="I85" s="11"/>
    </row>
    <row r="86" spans="1:9" ht="16.5">
      <c r="A86" s="433" t="s">
        <v>450</v>
      </c>
      <c r="B86" s="123"/>
      <c r="D86" s="123" t="s">
        <v>0</v>
      </c>
      <c r="E86" s="124"/>
      <c r="F86" s="123"/>
      <c r="G86" s="123"/>
      <c r="H86" s="123"/>
      <c r="I86" s="11"/>
    </row>
    <row r="87" spans="1:9" ht="16.5">
      <c r="A87" s="428" t="s">
        <v>451</v>
      </c>
      <c r="G87" s="123"/>
      <c r="H87" s="123"/>
      <c r="I87" s="123"/>
    </row>
    <row r="88" spans="1:9" ht="16.5">
      <c r="A88" s="432" t="s">
        <v>452</v>
      </c>
      <c r="C88" s="123"/>
      <c r="E88" s="124"/>
      <c r="F88" s="123"/>
      <c r="G88" s="123"/>
      <c r="H88" s="123"/>
      <c r="I88" s="11"/>
    </row>
    <row r="89" spans="1:9" ht="16.5">
      <c r="A89" s="432" t="s">
        <v>453</v>
      </c>
      <c r="B89" s="432"/>
      <c r="C89" s="123"/>
      <c r="D89" s="432"/>
      <c r="E89" s="124"/>
      <c r="F89" s="123"/>
      <c r="G89" s="123"/>
      <c r="H89" s="123"/>
      <c r="I89" s="11"/>
    </row>
    <row r="90" spans="1:9" ht="16.5">
      <c r="A90" s="432" t="s">
        <v>454</v>
      </c>
      <c r="B90" s="432"/>
      <c r="C90" s="123"/>
      <c r="D90" s="432"/>
      <c r="E90" s="124"/>
      <c r="F90" s="123"/>
      <c r="G90" s="123"/>
      <c r="H90" s="123"/>
      <c r="I90" s="11"/>
    </row>
    <row r="91" spans="1:9" ht="16.5">
      <c r="A91" s="139"/>
      <c r="B91" s="123"/>
      <c r="C91" s="123"/>
      <c r="D91" s="123"/>
      <c r="E91" s="124"/>
      <c r="F91" s="123"/>
      <c r="G91" s="123"/>
      <c r="H91" s="123"/>
      <c r="I91" s="11"/>
    </row>
    <row r="92" spans="1:9" ht="16.5">
      <c r="A92" s="426" t="s">
        <v>455</v>
      </c>
      <c r="B92" s="123"/>
      <c r="D92" s="123"/>
      <c r="E92" s="124"/>
      <c r="F92" s="123"/>
      <c r="G92" s="123"/>
      <c r="H92" s="123"/>
      <c r="I92" s="11"/>
    </row>
    <row r="93" spans="1:9" ht="16.5">
      <c r="A93" s="430" t="s">
        <v>456</v>
      </c>
      <c r="B93" s="123"/>
      <c r="D93" s="123"/>
      <c r="E93" s="124"/>
      <c r="F93" s="123"/>
      <c r="G93" s="123"/>
      <c r="H93" s="123"/>
      <c r="I93" s="11"/>
    </row>
    <row r="94" spans="1:9" ht="16.5">
      <c r="A94" s="432" t="s">
        <v>457</v>
      </c>
      <c r="B94" s="123"/>
      <c r="D94" s="123"/>
      <c r="E94" s="124"/>
      <c r="F94" s="123"/>
      <c r="G94" s="123"/>
      <c r="H94" s="123"/>
      <c r="I94" s="11"/>
    </row>
    <row r="95" spans="1:9" ht="16.5">
      <c r="A95" s="431"/>
      <c r="B95" s="123"/>
      <c r="C95" s="123"/>
      <c r="D95" s="123"/>
      <c r="E95" s="124"/>
      <c r="F95" s="123"/>
      <c r="G95" s="123"/>
      <c r="H95" s="123"/>
      <c r="I95" s="11"/>
    </row>
    <row r="96" spans="1:9" ht="16.5">
      <c r="A96" s="426" t="s">
        <v>458</v>
      </c>
      <c r="C96" s="123"/>
      <c r="D96" s="123"/>
      <c r="E96" s="124"/>
      <c r="F96" s="123"/>
      <c r="G96" s="123"/>
      <c r="H96" s="123"/>
      <c r="I96" s="11"/>
    </row>
    <row r="97" spans="1:9" ht="16.5">
      <c r="A97" s="434" t="s">
        <v>459</v>
      </c>
      <c r="B97" s="123"/>
      <c r="C97" s="123"/>
      <c r="D97" s="123"/>
      <c r="E97" s="124"/>
      <c r="F97" s="123"/>
      <c r="G97" s="123"/>
      <c r="H97" s="123"/>
      <c r="I97" s="11"/>
    </row>
    <row r="98" spans="1:9" ht="16.5">
      <c r="A98" s="435" t="s">
        <v>460</v>
      </c>
      <c r="B98" s="123"/>
      <c r="C98" s="123"/>
      <c r="D98" s="123"/>
      <c r="E98" s="124"/>
      <c r="F98" s="123"/>
      <c r="G98" s="123"/>
      <c r="H98" s="123"/>
      <c r="I98" s="11"/>
    </row>
    <row r="99" spans="1:9" ht="16.5">
      <c r="A99" s="432" t="s">
        <v>461</v>
      </c>
      <c r="B99" s="436"/>
      <c r="C99" s="123"/>
      <c r="D99" s="123"/>
      <c r="E99" s="124"/>
      <c r="F99" s="123"/>
      <c r="G99" s="123"/>
      <c r="H99" s="123"/>
      <c r="I99" s="11"/>
    </row>
    <row r="100" spans="1:9" ht="16.5">
      <c r="A100" s="437"/>
      <c r="B100" s="123"/>
      <c r="C100" s="123"/>
      <c r="D100" s="123"/>
      <c r="E100" s="124"/>
      <c r="F100" s="123"/>
      <c r="G100" s="123"/>
      <c r="H100" s="123"/>
      <c r="I100" s="11"/>
    </row>
    <row r="101" spans="1:9" ht="16.5">
      <c r="A101" s="426" t="s">
        <v>462</v>
      </c>
      <c r="B101" s="123"/>
      <c r="C101" s="123"/>
      <c r="D101" s="123"/>
      <c r="E101" s="124"/>
      <c r="F101" s="123"/>
      <c r="G101" s="123"/>
      <c r="H101" s="123"/>
      <c r="I101" s="11"/>
    </row>
    <row r="102" spans="1:9" ht="16.5">
      <c r="A102" s="434" t="s">
        <v>459</v>
      </c>
      <c r="B102" s="123"/>
      <c r="C102" s="123"/>
      <c r="D102" s="123"/>
      <c r="E102" s="124"/>
      <c r="F102" s="123"/>
      <c r="G102" s="123"/>
      <c r="H102" s="123"/>
      <c r="I102" s="11"/>
    </row>
    <row r="103" spans="1:9" ht="16.5">
      <c r="A103" s="435" t="s">
        <v>463</v>
      </c>
      <c r="B103" s="123"/>
      <c r="C103" s="123"/>
      <c r="D103" s="123"/>
      <c r="E103" s="124"/>
      <c r="F103" s="123"/>
      <c r="G103" s="123"/>
      <c r="H103" s="123"/>
      <c r="I103" s="11"/>
    </row>
    <row r="104" spans="1:9" ht="16.5">
      <c r="A104" s="432" t="s">
        <v>464</v>
      </c>
      <c r="B104" s="123"/>
      <c r="C104" s="123"/>
      <c r="D104" s="123"/>
      <c r="E104" s="124"/>
      <c r="F104" s="123"/>
      <c r="G104" s="123"/>
      <c r="H104" s="123"/>
      <c r="I104" s="11"/>
    </row>
    <row r="105" spans="1:9" ht="16.5">
      <c r="A105" s="437"/>
      <c r="B105" s="123"/>
      <c r="C105" s="123"/>
      <c r="D105" s="123"/>
      <c r="E105" s="124"/>
      <c r="F105" s="123"/>
      <c r="G105" s="123"/>
      <c r="H105" s="123"/>
      <c r="I105" s="11"/>
    </row>
    <row r="106" spans="1:9" ht="16.5">
      <c r="A106" s="383" t="s">
        <v>479</v>
      </c>
    </row>
    <row r="107" spans="1:9" ht="16.5">
      <c r="A107" s="432" t="s">
        <v>480</v>
      </c>
    </row>
    <row r="108" spans="1:9" ht="16.5">
      <c r="A108" s="431" t="s">
        <v>481</v>
      </c>
    </row>
  </sheetData>
  <mergeCells count="1">
    <mergeCell ref="A37:C37"/>
  </mergeCells>
  <hyperlinks>
    <hyperlink ref="A74" r:id="rId1" xr:uid="{0A4DD9B6-B8BE-42E8-8CA6-E22896875A44}"/>
    <hyperlink ref="A79" r:id="rId2" xr:uid="{1ABADEF8-6028-4015-B95E-050635C8B53D}"/>
    <hyperlink ref="A83" r:id="rId3" xr:uid="{C4F5FA00-6F1D-414C-8C08-A21E20169A22}"/>
    <hyperlink ref="A94" r:id="rId4" xr:uid="{40093424-9863-4620-9A2F-7380BAE020CD}"/>
    <hyperlink ref="A99" r:id="rId5" xr:uid="{9F55C71C-0973-443E-818B-BB78BF7C14E3}"/>
    <hyperlink ref="A104" r:id="rId6" xr:uid="{0F8E4477-2C5D-40E7-A188-3D5F615ACFED}"/>
    <hyperlink ref="A89" r:id="rId7" xr:uid="{C5FF64FD-A362-422E-A374-BF0D8F052757}"/>
    <hyperlink ref="A88" r:id="rId8" display="https://www.cbo.gov/system/files/2025-01/60870-Outlook-2025.pdf" xr:uid="{4220EC99-9504-4158-B97D-B387114A70E7}"/>
    <hyperlink ref="A90" r:id="rId9" xr:uid="{78BCC04F-AE24-43A9-B2C0-27108296FDC0}"/>
    <hyperlink ref="A87" r:id="rId10" location="4" display="https://www.cbo.gov/data/budget-economic-data - 4" xr:uid="{91CF1598-DB90-4F9F-957F-633436C6FD0F}"/>
    <hyperlink ref="A68" r:id="rId11" xr:uid="{7DB14E4F-3481-4F0A-9138-B6AA37C63A37}"/>
    <hyperlink ref="A107" r:id="rId12" xr:uid="{E57843CD-782B-4A1B-A620-E08C92D00B08}"/>
    <hyperlink ref="A108" r:id="rId13" xr:uid="{BE267CF2-1339-4236-97D0-5D443829CEED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498D-AEA4-474E-9B94-E2A31EACF33D}">
  <sheetPr>
    <tabColor rgb="FF92D050"/>
    <pageSetUpPr fitToPage="1"/>
  </sheetPr>
  <dimension ref="A1:I108"/>
  <sheetViews>
    <sheetView view="pageBreakPreview" zoomScale="70" zoomScaleNormal="80" zoomScaleSheetLayoutView="70" workbookViewId="0">
      <selection activeCell="L44" sqref="L44"/>
    </sheetView>
  </sheetViews>
  <sheetFormatPr defaultRowHeight="15"/>
  <cols>
    <col min="1" max="1" width="45.7109375" customWidth="1"/>
    <col min="2" max="2" width="15" customWidth="1"/>
    <col min="3" max="3" width="72.140625" customWidth="1"/>
    <col min="4" max="4" width="34.5703125" customWidth="1"/>
    <col min="5" max="5" width="21.7109375" customWidth="1"/>
    <col min="6" max="6" width="16.14062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22" t="s">
        <v>1</v>
      </c>
      <c r="B1" s="11"/>
      <c r="C1" s="11"/>
      <c r="D1" s="11"/>
      <c r="E1" s="11"/>
      <c r="F1" s="11"/>
      <c r="G1" s="11"/>
      <c r="H1" s="11"/>
      <c r="I1" s="11"/>
    </row>
    <row r="2" spans="1:9" ht="17.25">
      <c r="A2" s="60" t="s">
        <v>9</v>
      </c>
      <c r="B2" s="11"/>
      <c r="C2" s="11"/>
      <c r="D2" s="11"/>
      <c r="E2" s="11"/>
      <c r="F2" s="11"/>
      <c r="G2" s="11"/>
      <c r="H2" s="11"/>
      <c r="I2" s="11"/>
    </row>
    <row r="3" spans="1:9" ht="16.5">
      <c r="A3" s="24" t="s">
        <v>421</v>
      </c>
      <c r="B3" s="11"/>
      <c r="C3" s="11"/>
      <c r="D3" s="11"/>
      <c r="E3" s="11"/>
      <c r="F3" s="11"/>
      <c r="G3" s="11"/>
      <c r="H3" s="11"/>
      <c r="I3" s="11"/>
    </row>
    <row r="4" spans="1:9" ht="16.5">
      <c r="A4" s="11"/>
      <c r="B4" s="11"/>
      <c r="C4" s="11"/>
      <c r="D4" s="11"/>
      <c r="E4" s="11"/>
      <c r="F4" s="11"/>
      <c r="G4" s="11"/>
      <c r="H4" s="11"/>
      <c r="I4" s="11"/>
    </row>
    <row r="5" spans="1:9" ht="18" thickBot="1">
      <c r="A5" s="60"/>
      <c r="B5" s="11"/>
      <c r="C5" s="11"/>
      <c r="D5" s="11"/>
      <c r="E5" s="11"/>
      <c r="F5" s="11"/>
      <c r="G5" s="11"/>
      <c r="H5" s="11"/>
      <c r="I5" s="11"/>
    </row>
    <row r="6" spans="1:9" ht="21" thickBot="1">
      <c r="A6" s="239" t="str">
        <f>+'S&amp;D'!A12</f>
        <v>Natural Gas Transmission Pipeline Carrier</v>
      </c>
      <c r="B6" s="174"/>
      <c r="C6" s="11"/>
      <c r="D6" s="11"/>
      <c r="E6" s="11"/>
      <c r="F6" s="11"/>
      <c r="G6" s="11"/>
      <c r="H6" s="11"/>
      <c r="I6" s="11"/>
    </row>
    <row r="7" spans="1:9" ht="20.25">
      <c r="A7" s="29"/>
      <c r="B7" s="11"/>
      <c r="C7" s="11"/>
      <c r="D7" s="11"/>
      <c r="E7" s="11"/>
      <c r="F7" s="11"/>
      <c r="G7" s="11"/>
      <c r="H7" s="11"/>
      <c r="I7" s="11"/>
    </row>
    <row r="8" spans="1:9" ht="18" thickBot="1">
      <c r="A8" s="60"/>
      <c r="B8" s="11"/>
      <c r="C8" s="27"/>
      <c r="E8" s="11"/>
      <c r="F8" s="11"/>
      <c r="G8" s="11"/>
      <c r="H8" s="11"/>
      <c r="I8" s="11"/>
    </row>
    <row r="9" spans="1:9" ht="26.25">
      <c r="B9" s="11"/>
      <c r="C9" s="30" t="s">
        <v>148</v>
      </c>
      <c r="E9" s="11"/>
      <c r="F9" s="11"/>
      <c r="G9" s="11"/>
      <c r="H9" s="11"/>
      <c r="I9" s="11"/>
    </row>
    <row r="10" spans="1:9" ht="21" thickBot="1">
      <c r="A10" s="29"/>
      <c r="B10" s="11"/>
      <c r="C10" s="31" t="s">
        <v>422</v>
      </c>
      <c r="E10" s="11"/>
      <c r="F10" s="11"/>
      <c r="G10" s="11"/>
      <c r="H10" s="11"/>
      <c r="I10" s="11"/>
    </row>
    <row r="11" spans="1:9" ht="20.25">
      <c r="A11" s="29"/>
      <c r="B11" s="11"/>
      <c r="C11" s="11"/>
      <c r="D11" s="11"/>
      <c r="E11" s="11"/>
      <c r="F11" s="11"/>
      <c r="G11" s="11"/>
      <c r="H11" s="11"/>
      <c r="I11" s="11"/>
    </row>
    <row r="12" spans="1:9" ht="17.25" thickBot="1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16.5">
      <c r="A13" s="11"/>
      <c r="B13" s="11"/>
      <c r="C13" s="76" t="s">
        <v>0</v>
      </c>
      <c r="D13" s="76" t="s">
        <v>182</v>
      </c>
      <c r="E13" s="11"/>
      <c r="F13" s="11"/>
      <c r="G13" s="11"/>
      <c r="H13" s="11"/>
      <c r="I13" s="11"/>
    </row>
    <row r="14" spans="1:9" ht="21" thickBot="1">
      <c r="A14" s="11"/>
      <c r="B14" s="11"/>
      <c r="C14" s="331" t="s">
        <v>147</v>
      </c>
      <c r="D14" s="78" t="s">
        <v>257</v>
      </c>
      <c r="E14" s="11"/>
      <c r="F14" s="11"/>
      <c r="G14" s="11"/>
      <c r="H14" s="11"/>
      <c r="I14" s="11"/>
    </row>
    <row r="15" spans="1:9" ht="17.25">
      <c r="A15" s="11"/>
      <c r="B15" s="11"/>
      <c r="C15" s="332" t="s">
        <v>384</v>
      </c>
      <c r="D15" s="333">
        <f>+CAPM!F16</f>
        <v>7.2598999999999997E-2</v>
      </c>
      <c r="E15" s="334"/>
      <c r="F15" s="11"/>
      <c r="G15" s="11"/>
      <c r="H15" s="11"/>
      <c r="I15" s="11"/>
    </row>
    <row r="16" spans="1:9" ht="17.25">
      <c r="A16" s="11"/>
      <c r="B16" s="11"/>
      <c r="C16" s="335" t="s">
        <v>385</v>
      </c>
      <c r="D16" s="336">
        <f>+CAPM!F17</f>
        <v>7.9911999999999997E-2</v>
      </c>
      <c r="E16" s="334"/>
      <c r="F16" s="11"/>
      <c r="G16" s="11"/>
      <c r="H16" s="11"/>
      <c r="I16" s="11"/>
    </row>
    <row r="17" spans="1:9" ht="17.25">
      <c r="A17" s="11"/>
      <c r="B17" s="11"/>
      <c r="C17" s="335" t="s">
        <v>401</v>
      </c>
      <c r="D17" s="336">
        <f>+CAPM!F19</f>
        <v>9.3199000000000004E-2</v>
      </c>
      <c r="E17" s="334"/>
      <c r="F17" s="11"/>
      <c r="G17" s="11"/>
      <c r="H17" s="11"/>
      <c r="I17" s="11"/>
    </row>
    <row r="18" spans="1:9" ht="17.25">
      <c r="A18" s="11"/>
      <c r="B18" s="11"/>
      <c r="C18" s="335" t="s">
        <v>415</v>
      </c>
      <c r="D18" s="336">
        <f>+CAPM!F20</f>
        <v>0.11194499999999999</v>
      </c>
      <c r="E18" s="334"/>
      <c r="F18" s="11"/>
      <c r="G18" s="11"/>
      <c r="H18" s="11"/>
      <c r="I18" s="11"/>
    </row>
    <row r="19" spans="1:9" ht="17.25">
      <c r="A19" s="11"/>
      <c r="B19" s="11"/>
      <c r="C19" s="335" t="s">
        <v>402</v>
      </c>
      <c r="D19" s="336">
        <f>+CAPM!F21</f>
        <v>9.134500000000001E-2</v>
      </c>
      <c r="E19" s="334"/>
      <c r="F19" s="11"/>
      <c r="G19" s="11"/>
      <c r="H19" s="11"/>
      <c r="I19" s="11"/>
    </row>
    <row r="20" spans="1:9" ht="17.25">
      <c r="A20" s="11"/>
      <c r="B20" s="11"/>
      <c r="C20" s="335" t="s">
        <v>403</v>
      </c>
      <c r="D20" s="336">
        <f>+CAPM!F22</f>
        <v>8.7843000000000004E-2</v>
      </c>
      <c r="E20" s="334"/>
      <c r="F20" s="11"/>
      <c r="G20" s="11"/>
      <c r="H20" s="11"/>
      <c r="I20" s="11"/>
    </row>
    <row r="21" spans="1:9" ht="17.25">
      <c r="A21" s="11"/>
      <c r="B21" s="11"/>
      <c r="C21" s="335" t="s">
        <v>149</v>
      </c>
      <c r="D21" s="336">
        <f>+CAPM!F24</f>
        <v>0.104117</v>
      </c>
      <c r="E21" s="334"/>
      <c r="F21" s="11"/>
      <c r="G21" s="11"/>
      <c r="H21" s="11"/>
      <c r="I21" s="11"/>
    </row>
    <row r="22" spans="1:9" ht="17.25">
      <c r="A22" s="11"/>
      <c r="B22" s="11"/>
      <c r="C22" s="335" t="s">
        <v>150</v>
      </c>
      <c r="D22" s="336">
        <f>+CAPM!F26</f>
        <v>0.10525</v>
      </c>
      <c r="E22" s="334"/>
      <c r="F22" s="11"/>
      <c r="G22" s="11"/>
      <c r="H22" s="11"/>
      <c r="I22" s="11"/>
    </row>
    <row r="23" spans="1:9" ht="17.25">
      <c r="A23" s="11"/>
      <c r="B23" s="11"/>
      <c r="C23" s="335" t="s">
        <v>151</v>
      </c>
      <c r="D23" s="336">
        <f>+CAPM!F28</f>
        <v>0.11771300000000001</v>
      </c>
      <c r="E23" s="366"/>
      <c r="G23" s="11"/>
      <c r="H23" s="11"/>
      <c r="I23" s="11"/>
    </row>
    <row r="24" spans="1:9" ht="17.25">
      <c r="A24" s="11"/>
      <c r="B24" s="11"/>
      <c r="C24" s="335" t="s">
        <v>152</v>
      </c>
      <c r="D24" s="336">
        <f>+CAPM!F29</f>
        <v>0.104838</v>
      </c>
      <c r="E24" s="366"/>
      <c r="G24" s="11"/>
      <c r="H24" s="11"/>
      <c r="I24" s="11"/>
    </row>
    <row r="25" spans="1:9" ht="17.25">
      <c r="A25" s="11"/>
      <c r="B25" s="11"/>
      <c r="C25" s="337" t="s">
        <v>404</v>
      </c>
      <c r="D25" s="336">
        <f>+CAPM!F31</f>
        <v>0.123893</v>
      </c>
      <c r="E25" s="366"/>
      <c r="G25" s="11"/>
      <c r="H25" s="11"/>
      <c r="I25" s="11"/>
    </row>
    <row r="26" spans="1:9" ht="17.25">
      <c r="A26" s="11"/>
      <c r="B26" s="11"/>
      <c r="C26" s="337" t="s">
        <v>405</v>
      </c>
      <c r="D26" s="336">
        <f>+CAPM!F32</f>
        <v>0.11307800000000001</v>
      </c>
      <c r="E26" s="366"/>
      <c r="G26" s="11"/>
      <c r="H26" s="11"/>
      <c r="I26" s="11"/>
    </row>
    <row r="27" spans="1:9" ht="17.25">
      <c r="A27" s="11"/>
      <c r="B27" s="11"/>
      <c r="C27" s="337" t="s">
        <v>406</v>
      </c>
      <c r="D27" s="336">
        <f>+CAPM!F33</f>
        <v>0.10009999999999999</v>
      </c>
      <c r="E27" s="338"/>
      <c r="F27" s="11"/>
      <c r="G27" s="11"/>
      <c r="H27" s="11"/>
      <c r="I27" s="11"/>
    </row>
    <row r="28" spans="1:9" ht="17.25">
      <c r="A28" s="11"/>
      <c r="B28" s="11"/>
      <c r="C28" s="351" t="s">
        <v>386</v>
      </c>
      <c r="D28" s="336">
        <f>+CAPM!G42</f>
        <v>7.2424249999999996E-2</v>
      </c>
      <c r="E28" s="334"/>
      <c r="F28" s="11"/>
      <c r="G28" s="11"/>
      <c r="H28" s="11"/>
      <c r="I28" s="11"/>
    </row>
    <row r="29" spans="1:9" ht="17.25">
      <c r="A29" s="11"/>
      <c r="B29" s="11"/>
      <c r="C29" s="335" t="s">
        <v>387</v>
      </c>
      <c r="D29" s="336">
        <f>+CAPM!G43</f>
        <v>7.9683999999999991E-2</v>
      </c>
      <c r="E29" s="334"/>
      <c r="F29" s="11"/>
      <c r="G29" s="11"/>
      <c r="H29" s="11"/>
      <c r="I29" s="11"/>
    </row>
    <row r="30" spans="1:9" ht="17.25">
      <c r="A30" s="11"/>
      <c r="B30" s="11"/>
      <c r="C30" s="335" t="s">
        <v>407</v>
      </c>
      <c r="D30" s="336">
        <f>+CAPM!G45</f>
        <v>9.2874249999999992E-2</v>
      </c>
      <c r="E30" s="334"/>
      <c r="F30" s="11"/>
      <c r="G30" s="11"/>
      <c r="H30" s="11"/>
      <c r="I30" s="11"/>
    </row>
    <row r="31" spans="1:9" ht="17.25">
      <c r="A31" s="11"/>
      <c r="B31" s="11"/>
      <c r="C31" s="335" t="s">
        <v>416</v>
      </c>
      <c r="D31" s="336">
        <f>+CAPM!G46</f>
        <v>0.11148374999999999</v>
      </c>
      <c r="E31" s="334"/>
      <c r="F31" s="11"/>
      <c r="G31" s="11"/>
      <c r="H31" s="11"/>
      <c r="I31" s="11"/>
    </row>
    <row r="32" spans="1:9" ht="17.25">
      <c r="A32" s="11"/>
      <c r="B32" s="11"/>
      <c r="C32" s="335" t="s">
        <v>408</v>
      </c>
      <c r="D32" s="336">
        <f>+CAPM!G47</f>
        <v>9.1033749999999997E-2</v>
      </c>
      <c r="E32" s="334"/>
      <c r="F32" s="11"/>
      <c r="G32" s="11"/>
      <c r="H32" s="11"/>
      <c r="I32" s="11"/>
    </row>
    <row r="33" spans="1:9" ht="17.25">
      <c r="A33" s="11"/>
      <c r="B33" s="11"/>
      <c r="C33" s="335" t="s">
        <v>409</v>
      </c>
      <c r="D33" s="336">
        <f>+CAPM!G48</f>
        <v>8.7557250000000003E-2</v>
      </c>
      <c r="E33" s="334"/>
      <c r="F33" s="11"/>
      <c r="G33" s="11"/>
      <c r="H33" s="11"/>
      <c r="I33" s="11"/>
    </row>
    <row r="34" spans="1:9" ht="17.25">
      <c r="A34" s="11"/>
      <c r="B34" s="11"/>
      <c r="C34" s="335" t="s">
        <v>153</v>
      </c>
      <c r="D34" s="336">
        <f>+CAPM!G50</f>
        <v>0.10371274999999999</v>
      </c>
      <c r="E34" s="334"/>
      <c r="F34" s="11"/>
      <c r="G34" s="11"/>
      <c r="H34" s="11"/>
      <c r="I34" s="11"/>
    </row>
    <row r="35" spans="1:9" ht="17.25">
      <c r="A35" s="11"/>
      <c r="B35" s="11"/>
      <c r="C35" s="335" t="s">
        <v>154</v>
      </c>
      <c r="D35" s="336">
        <f>+CAPM!G52</f>
        <v>0.1048375</v>
      </c>
      <c r="E35" s="334"/>
      <c r="F35" s="11"/>
      <c r="G35" s="11"/>
      <c r="H35" s="11"/>
      <c r="I35" s="11"/>
    </row>
    <row r="36" spans="1:9" ht="17.25">
      <c r="A36" s="11"/>
      <c r="B36" s="11"/>
      <c r="C36" s="337" t="s">
        <v>155</v>
      </c>
      <c r="D36" s="336">
        <f>+CAPM!G54</f>
        <v>0.11720975</v>
      </c>
      <c r="E36" s="334"/>
      <c r="F36" s="11"/>
      <c r="G36" s="11"/>
      <c r="H36" s="11"/>
      <c r="I36" s="11"/>
    </row>
    <row r="37" spans="1:9" ht="17.25">
      <c r="A37" s="11"/>
      <c r="B37" s="11"/>
      <c r="C37" s="335" t="s">
        <v>156</v>
      </c>
      <c r="D37" s="336">
        <f>+CAPM!G55</f>
        <v>0.10442850000000001</v>
      </c>
      <c r="E37" s="334"/>
      <c r="F37" s="11"/>
      <c r="G37" s="11"/>
      <c r="H37" s="11"/>
      <c r="I37" s="11"/>
    </row>
    <row r="38" spans="1:9" ht="16.5" customHeight="1">
      <c r="A38" s="11"/>
      <c r="B38" s="11"/>
      <c r="C38" s="337" t="s">
        <v>410</v>
      </c>
      <c r="D38" s="336">
        <f>+CAPM!G57</f>
        <v>0.12334475</v>
      </c>
      <c r="E38" s="334" t="s">
        <v>0</v>
      </c>
      <c r="F38" s="11"/>
      <c r="G38" s="11"/>
      <c r="H38" s="11"/>
      <c r="I38" s="11"/>
    </row>
    <row r="39" spans="1:9" ht="16.5" customHeight="1">
      <c r="A39" s="11"/>
      <c r="B39" s="11"/>
      <c r="C39" s="337" t="s">
        <v>411</v>
      </c>
      <c r="D39" s="336">
        <f>+CAPM!G58</f>
        <v>0.1126085</v>
      </c>
      <c r="E39" s="334"/>
      <c r="F39" s="11"/>
      <c r="G39" s="11"/>
      <c r="H39" s="11"/>
      <c r="I39" s="11"/>
    </row>
    <row r="40" spans="1:9" ht="18.75" customHeight="1">
      <c r="A40" s="11"/>
      <c r="B40" s="11"/>
      <c r="C40" s="337" t="s">
        <v>412</v>
      </c>
      <c r="D40" s="336">
        <f>+CAPM!G59</f>
        <v>9.9725000000000008E-2</v>
      </c>
      <c r="E40" s="339"/>
      <c r="F40" s="11"/>
      <c r="G40" s="11"/>
      <c r="H40" s="11"/>
      <c r="I40" s="11"/>
    </row>
    <row r="41" spans="1:9" ht="21.75" customHeight="1">
      <c r="A41" s="11"/>
      <c r="B41" s="11"/>
      <c r="C41" s="249" t="s">
        <v>228</v>
      </c>
      <c r="D41" s="350">
        <f>+'Single Stage Div Growth Model'!I30</f>
        <v>0.1069</v>
      </c>
      <c r="E41" s="366"/>
      <c r="G41" s="11"/>
      <c r="H41" s="11"/>
      <c r="I41" s="11"/>
    </row>
    <row r="42" spans="1:9" ht="21.75" customHeight="1">
      <c r="A42" s="11"/>
      <c r="B42" s="11"/>
      <c r="C42" s="249" t="s">
        <v>227</v>
      </c>
      <c r="D42" s="350">
        <f>+'Single Stage Div Growth Model'!I32</f>
        <v>0.1454</v>
      </c>
      <c r="E42" s="366"/>
      <c r="G42" s="11"/>
      <c r="H42" s="11"/>
      <c r="I42" s="11"/>
    </row>
    <row r="43" spans="1:9" ht="21.75" customHeight="1">
      <c r="A43" s="11"/>
      <c r="B43" s="11"/>
      <c r="C43" s="340" t="s">
        <v>229</v>
      </c>
      <c r="D43" s="341">
        <f>+'Two-Stage Div Growth Model'!H34</f>
        <v>0.1318</v>
      </c>
      <c r="G43" s="79" t="s">
        <v>0</v>
      </c>
      <c r="H43" s="11"/>
      <c r="I43" s="11"/>
    </row>
    <row r="44" spans="1:9" ht="21.75" customHeight="1">
      <c r="A44" s="11"/>
      <c r="B44" s="11"/>
      <c r="C44" s="342" t="s">
        <v>335</v>
      </c>
      <c r="D44" s="343">
        <f>+'Direct NOPAT'!G59</f>
        <v>8.9800000000000005E-2</v>
      </c>
      <c r="E44" s="167" t="s">
        <v>0</v>
      </c>
      <c r="F44" s="11"/>
      <c r="G44" s="11"/>
      <c r="H44" s="11"/>
      <c r="I44" s="11"/>
    </row>
    <row r="45" spans="1:9" ht="17.25" thickBot="1">
      <c r="A45" s="11"/>
      <c r="B45" s="11"/>
      <c r="C45" s="11"/>
      <c r="D45" s="67"/>
      <c r="E45" s="11"/>
      <c r="F45" s="11"/>
      <c r="G45" s="11"/>
      <c r="H45" s="11"/>
      <c r="I45" s="11"/>
    </row>
    <row r="46" spans="1:9" ht="17.25" thickTop="1">
      <c r="A46" s="11"/>
      <c r="B46" s="11"/>
      <c r="C46" s="13" t="s">
        <v>46</v>
      </c>
      <c r="D46" s="50">
        <f>MAX(D15:D43)</f>
        <v>0.1454</v>
      </c>
      <c r="E46" s="138"/>
      <c r="F46" s="11"/>
      <c r="G46" s="11"/>
      <c r="H46" s="11"/>
      <c r="I46" s="11"/>
    </row>
    <row r="47" spans="1:9" ht="16.5">
      <c r="A47" s="11"/>
      <c r="B47" s="11"/>
      <c r="C47" s="13" t="s">
        <v>47</v>
      </c>
      <c r="D47" s="309">
        <f>MIN(D15:D43)</f>
        <v>7.2424249999999996E-2</v>
      </c>
      <c r="E47" s="11"/>
      <c r="F47" s="11"/>
      <c r="G47" s="50"/>
      <c r="H47" s="50"/>
      <c r="I47" s="50"/>
    </row>
    <row r="48" spans="1:9" ht="16.5">
      <c r="A48" s="11"/>
      <c r="B48" s="11"/>
      <c r="C48" s="13" t="s">
        <v>18</v>
      </c>
      <c r="D48" s="79">
        <f>MEDIAN(D15:D43)</f>
        <v>0.10442850000000001</v>
      </c>
      <c r="E48" s="79"/>
      <c r="F48" s="79"/>
      <c r="G48" s="79"/>
      <c r="H48" s="79"/>
      <c r="I48" s="79"/>
    </row>
    <row r="49" spans="1:9" ht="16.5">
      <c r="A49" s="11"/>
      <c r="B49" s="11"/>
      <c r="C49" s="13" t="s">
        <v>388</v>
      </c>
      <c r="D49" s="80">
        <f>AVERAGE(D15:D43)</f>
        <v>0.10313296551724138</v>
      </c>
      <c r="E49" s="80"/>
      <c r="F49" s="80"/>
      <c r="G49" s="80"/>
      <c r="H49" s="80"/>
      <c r="I49" s="80"/>
    </row>
    <row r="50" spans="1:9" ht="16.5">
      <c r="A50" s="11"/>
      <c r="B50" s="11"/>
      <c r="C50" s="13"/>
      <c r="D50" s="80"/>
      <c r="E50" s="80"/>
      <c r="F50" s="80"/>
      <c r="G50" s="80"/>
      <c r="H50" s="80"/>
      <c r="I50" s="80"/>
    </row>
    <row r="51" spans="1:9" ht="17.25" thickBot="1">
      <c r="A51" s="11"/>
      <c r="B51" s="11"/>
      <c r="C51" s="11"/>
      <c r="D51" s="11" t="s">
        <v>184</v>
      </c>
      <c r="E51" s="11"/>
      <c r="F51" s="11"/>
      <c r="G51" s="11"/>
      <c r="H51" s="11"/>
      <c r="I51" s="11"/>
    </row>
    <row r="52" spans="1:9" ht="27" thickBot="1">
      <c r="A52" s="11"/>
      <c r="B52" s="11"/>
      <c r="C52" s="183" t="s">
        <v>236</v>
      </c>
      <c r="D52" s="365">
        <v>0.1031</v>
      </c>
      <c r="E52" s="81"/>
      <c r="F52" s="81"/>
    </row>
    <row r="53" spans="1:9" ht="26.25">
      <c r="A53" s="11"/>
      <c r="B53" s="11"/>
      <c r="C53" s="47"/>
      <c r="D53" s="352"/>
      <c r="E53" s="81"/>
      <c r="F53" s="81"/>
    </row>
    <row r="54" spans="1:9" ht="26.25">
      <c r="A54" s="11"/>
      <c r="B54" s="11"/>
      <c r="C54" s="47"/>
      <c r="D54" s="352"/>
      <c r="E54" s="81"/>
      <c r="F54" s="81"/>
    </row>
    <row r="55" spans="1:9" ht="26.25">
      <c r="A55" s="11"/>
      <c r="B55" s="11"/>
      <c r="C55" s="47"/>
      <c r="D55" s="352"/>
      <c r="E55" s="81"/>
      <c r="F55" s="81"/>
    </row>
    <row r="56" spans="1:9" ht="17.25">
      <c r="A56" s="103" t="s">
        <v>237</v>
      </c>
      <c r="B56" s="11"/>
      <c r="C56" s="11"/>
      <c r="D56" s="11"/>
      <c r="E56" s="11"/>
      <c r="F56" s="11"/>
      <c r="G56" s="11"/>
      <c r="H56" s="11"/>
      <c r="I56" s="11"/>
    </row>
    <row r="57" spans="1:9" ht="17.25">
      <c r="A57" s="103" t="s">
        <v>338</v>
      </c>
      <c r="B57" s="11"/>
      <c r="C57" s="11"/>
      <c r="D57" s="11"/>
      <c r="E57" s="11"/>
      <c r="F57" s="11"/>
      <c r="G57" s="11"/>
      <c r="H57" s="11"/>
      <c r="I57" s="11"/>
    </row>
    <row r="58" spans="1:9" ht="16.5">
      <c r="A58" s="11"/>
      <c r="B58" s="11"/>
      <c r="C58" s="11"/>
      <c r="D58" s="11"/>
      <c r="E58" s="11"/>
      <c r="F58" s="11"/>
      <c r="G58" s="11"/>
      <c r="H58" s="11"/>
      <c r="I58" s="11"/>
    </row>
    <row r="59" spans="1:9" ht="16.5">
      <c r="A59" s="11"/>
      <c r="B59" s="11"/>
      <c r="C59" s="11"/>
      <c r="D59" s="11"/>
      <c r="E59" s="11"/>
      <c r="F59" s="11"/>
      <c r="G59" s="11"/>
      <c r="H59" s="11"/>
      <c r="I59" s="11"/>
    </row>
    <row r="60" spans="1:9" ht="16.5">
      <c r="A60" s="11"/>
      <c r="B60" s="11"/>
      <c r="C60" s="11"/>
      <c r="D60" s="11"/>
      <c r="E60" s="11"/>
      <c r="F60" s="11"/>
      <c r="G60" s="11"/>
      <c r="H60" s="11"/>
      <c r="I60" s="11"/>
    </row>
    <row r="61" spans="1:9" ht="16.5">
      <c r="A61" s="11"/>
      <c r="B61" s="11"/>
      <c r="C61" s="11"/>
      <c r="D61" s="11"/>
      <c r="E61" s="11"/>
      <c r="F61" s="11"/>
      <c r="G61" s="11"/>
      <c r="H61" s="11"/>
      <c r="I61" s="11"/>
    </row>
    <row r="62" spans="1:9" ht="16.5">
      <c r="A62" s="11"/>
      <c r="B62" s="11"/>
      <c r="C62" s="11"/>
      <c r="D62" s="11" t="s">
        <v>0</v>
      </c>
      <c r="E62" s="11"/>
      <c r="F62" s="11"/>
      <c r="G62" s="11"/>
      <c r="H62" s="11"/>
      <c r="I62" s="11"/>
    </row>
    <row r="63" spans="1:9" ht="16.5">
      <c r="A63" s="11"/>
      <c r="B63" s="11"/>
      <c r="C63" s="11"/>
      <c r="D63" s="11" t="s">
        <v>0</v>
      </c>
      <c r="E63" s="11"/>
      <c r="F63" s="11"/>
      <c r="G63" s="11"/>
      <c r="H63" s="11"/>
      <c r="I63" s="11"/>
    </row>
    <row r="64" spans="1:9" ht="16.5">
      <c r="A64" s="11"/>
      <c r="B64" s="11"/>
      <c r="C64" s="11"/>
      <c r="D64" s="11"/>
      <c r="E64" s="11"/>
      <c r="F64" s="11"/>
      <c r="G64" s="11"/>
      <c r="H64" s="11"/>
      <c r="I64" s="11"/>
    </row>
    <row r="65" spans="1:9" ht="16.5">
      <c r="A65" s="11"/>
      <c r="B65" s="11"/>
      <c r="C65" s="11"/>
      <c r="D65" s="11"/>
      <c r="E65" s="11"/>
      <c r="F65" s="11"/>
      <c r="G65" s="11"/>
      <c r="H65" s="11"/>
      <c r="I65" s="11"/>
    </row>
    <row r="66" spans="1:9" ht="16.5">
      <c r="A66" s="11"/>
      <c r="B66" s="11"/>
      <c r="C66" s="11"/>
      <c r="D66" s="11"/>
      <c r="E66" s="11"/>
      <c r="F66" s="11"/>
      <c r="G66" s="11"/>
      <c r="H66" s="11"/>
      <c r="I66" s="11"/>
    </row>
    <row r="67" spans="1:9" ht="16.5">
      <c r="A67" s="11"/>
      <c r="B67" s="11"/>
      <c r="C67" s="11"/>
      <c r="D67" s="11"/>
      <c r="E67" s="11"/>
      <c r="F67" s="11"/>
      <c r="G67" s="11"/>
      <c r="H67" s="11"/>
      <c r="I67" s="11"/>
    </row>
    <row r="68" spans="1:9" ht="16.5">
      <c r="A68" s="11"/>
      <c r="B68" s="11"/>
      <c r="C68" s="11"/>
      <c r="D68" s="11"/>
      <c r="E68" s="11"/>
      <c r="F68" s="11"/>
      <c r="G68" s="11"/>
      <c r="H68" s="11"/>
      <c r="I68" s="11"/>
    </row>
    <row r="69" spans="1:9" ht="16.5">
      <c r="A69" s="11"/>
      <c r="B69" s="11"/>
      <c r="C69" s="11"/>
      <c r="D69" s="11"/>
      <c r="E69" s="11"/>
      <c r="F69" s="11"/>
      <c r="G69" s="11"/>
      <c r="H69" s="11"/>
      <c r="I69" s="11"/>
    </row>
    <row r="70" spans="1:9" ht="16.5">
      <c r="A70" s="11"/>
      <c r="B70" s="11"/>
      <c r="C70" s="11"/>
      <c r="D70" s="11"/>
      <c r="E70" s="11"/>
      <c r="F70" s="11"/>
      <c r="G70" s="11"/>
      <c r="H70" s="11"/>
      <c r="I70" s="11"/>
    </row>
    <row r="71" spans="1:9" ht="16.5">
      <c r="A71" s="11"/>
      <c r="B71" s="11"/>
      <c r="C71" s="11"/>
      <c r="D71" s="11"/>
      <c r="E71" s="11"/>
      <c r="F71" s="11"/>
      <c r="G71" s="11"/>
      <c r="H71" s="11"/>
      <c r="I71" s="11"/>
    </row>
    <row r="72" spans="1:9" ht="16.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6.5">
      <c r="A73" s="11"/>
      <c r="B73" s="11"/>
      <c r="C73" s="11"/>
      <c r="D73" s="11"/>
      <c r="E73" s="11"/>
      <c r="F73" s="11"/>
      <c r="G73" s="11"/>
      <c r="H73" s="11"/>
      <c r="I73" s="11"/>
    </row>
    <row r="74" spans="1:9" ht="16.5">
      <c r="A74" s="11"/>
      <c r="B74" s="11"/>
      <c r="C74" s="11"/>
      <c r="D74" s="11"/>
      <c r="E74" s="11"/>
      <c r="F74" s="11"/>
      <c r="G74" s="11"/>
      <c r="H74" s="11"/>
      <c r="I74" s="11"/>
    </row>
    <row r="75" spans="1:9" ht="16.5">
      <c r="A75" s="11"/>
      <c r="B75" s="11"/>
      <c r="C75" s="11"/>
      <c r="D75" s="11"/>
      <c r="E75" s="11"/>
      <c r="F75" s="11"/>
      <c r="G75" s="11"/>
      <c r="H75" s="11"/>
      <c r="I75" s="11"/>
    </row>
    <row r="76" spans="1:9" ht="16.5">
      <c r="A76" s="11"/>
      <c r="B76" s="11"/>
      <c r="C76" s="11"/>
      <c r="D76" s="11"/>
      <c r="E76" s="11"/>
      <c r="F76" s="11"/>
      <c r="G76" s="11"/>
      <c r="H76" s="11"/>
      <c r="I76" s="11"/>
    </row>
    <row r="77" spans="1:9" ht="16.5">
      <c r="A77" s="11"/>
      <c r="B77" s="11"/>
      <c r="C77" s="11"/>
      <c r="D77" s="11"/>
      <c r="E77" s="11"/>
      <c r="F77" s="11"/>
      <c r="G77" s="11"/>
      <c r="H77" s="11"/>
      <c r="I77" s="11"/>
    </row>
    <row r="78" spans="1:9" ht="16.5">
      <c r="A78" s="11"/>
      <c r="B78" s="11"/>
      <c r="C78" s="11"/>
      <c r="D78" s="11"/>
      <c r="E78" s="11"/>
      <c r="F78" s="11"/>
      <c r="G78" s="11"/>
      <c r="H78" s="11"/>
      <c r="I78" s="11"/>
    </row>
    <row r="79" spans="1:9" ht="16.5">
      <c r="A79" s="11"/>
      <c r="B79" s="11"/>
      <c r="C79" s="11"/>
      <c r="D79" s="11"/>
      <c r="E79" s="11"/>
      <c r="F79" s="11"/>
      <c r="G79" s="11"/>
      <c r="H79" s="11"/>
      <c r="I79" s="11"/>
    </row>
    <row r="80" spans="1:9" ht="16.5">
      <c r="A80" s="11"/>
      <c r="B80" s="11"/>
      <c r="C80" s="11"/>
      <c r="D80" s="11"/>
      <c r="E80" s="11"/>
      <c r="F80" s="11"/>
      <c r="G80" s="11"/>
      <c r="H80" s="11"/>
      <c r="I80" s="11"/>
    </row>
    <row r="81" spans="1:9" ht="16.5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6.5">
      <c r="A82" s="11"/>
      <c r="B82" s="11"/>
      <c r="C82" s="11"/>
      <c r="D82" s="11"/>
      <c r="E82" s="11"/>
      <c r="F82" s="11"/>
      <c r="G82" s="11"/>
      <c r="H82" s="11"/>
      <c r="I82" s="11"/>
    </row>
    <row r="83" spans="1:9" ht="16.5">
      <c r="A83" s="11"/>
      <c r="B83" s="11"/>
      <c r="C83" s="11"/>
      <c r="D83" s="11"/>
      <c r="E83" s="11"/>
      <c r="F83" s="11"/>
      <c r="G83" s="11"/>
      <c r="H83" s="11"/>
      <c r="I83" s="11"/>
    </row>
    <row r="84" spans="1:9" ht="16.5">
      <c r="A84" s="11"/>
      <c r="B84" s="11"/>
      <c r="C84" s="11"/>
      <c r="D84" s="11"/>
      <c r="E84" s="11"/>
      <c r="F84" s="11"/>
      <c r="G84" s="11"/>
      <c r="H84" s="11"/>
      <c r="I84" s="11"/>
    </row>
    <row r="85" spans="1:9" ht="16.5">
      <c r="A85" s="11"/>
      <c r="B85" s="11"/>
      <c r="C85" s="11"/>
      <c r="D85" s="11"/>
      <c r="E85" s="11"/>
      <c r="F85" s="11"/>
      <c r="G85" s="11"/>
      <c r="H85" s="11"/>
      <c r="I85" s="11"/>
    </row>
    <row r="86" spans="1:9" ht="16.5">
      <c r="A86" s="11"/>
      <c r="B86" s="11"/>
      <c r="C86" s="11"/>
      <c r="D86" s="11"/>
      <c r="E86" s="11"/>
      <c r="F86" s="11"/>
      <c r="G86" s="11"/>
      <c r="H86" s="11"/>
      <c r="I86" s="11"/>
    </row>
    <row r="87" spans="1:9" ht="16.5">
      <c r="A87" s="11"/>
      <c r="B87" s="11"/>
      <c r="C87" s="11"/>
      <c r="D87" s="11"/>
      <c r="E87" s="11"/>
      <c r="F87" s="11"/>
      <c r="G87" s="11"/>
      <c r="H87" s="11"/>
      <c r="I87" s="11"/>
    </row>
    <row r="88" spans="1:9" ht="16.5">
      <c r="A88" s="11"/>
      <c r="B88" s="11"/>
      <c r="C88" s="11"/>
      <c r="D88" s="11"/>
      <c r="E88" s="11"/>
      <c r="F88" s="11"/>
      <c r="G88" s="11"/>
      <c r="H88" s="11"/>
      <c r="I88" s="11"/>
    </row>
    <row r="89" spans="1:9" ht="16.5">
      <c r="A89" s="11"/>
      <c r="B89" s="11"/>
      <c r="C89" s="11"/>
      <c r="D89" s="11"/>
      <c r="E89" s="11"/>
      <c r="F89" s="11"/>
      <c r="G89" s="11"/>
      <c r="H89" s="11"/>
      <c r="I89" s="11"/>
    </row>
    <row r="90" spans="1:9" ht="16.5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6.5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6.5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6.5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6.5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6.5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6.5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6.5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6.5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6.5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6.5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6.5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 ht="16.5">
      <c r="A102" s="11"/>
      <c r="B102" s="11"/>
      <c r="C102" s="11"/>
      <c r="D102" s="11"/>
      <c r="E102" s="11"/>
      <c r="F102" s="11"/>
      <c r="G102" s="11"/>
      <c r="H102" s="11"/>
      <c r="I102" s="11"/>
    </row>
    <row r="103" spans="1:9" ht="16.5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 ht="16.5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6.5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ht="16.5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ht="16.5">
      <c r="A107" s="11"/>
      <c r="B107" s="11"/>
      <c r="C107" s="11"/>
      <c r="D107" s="11"/>
      <c r="E107" s="11"/>
      <c r="F107" s="11"/>
      <c r="G107" s="11"/>
      <c r="H107" s="11"/>
      <c r="I107" s="11"/>
    </row>
    <row r="108" spans="1:9" ht="16.5">
      <c r="A108" s="11"/>
      <c r="B108" s="11"/>
      <c r="C108" s="11"/>
      <c r="D108" s="11"/>
      <c r="E108" s="11"/>
      <c r="F108" s="11"/>
      <c r="G108" s="11"/>
      <c r="H108" s="11"/>
      <c r="I108" s="11"/>
    </row>
  </sheetData>
  <pageMargins left="0.25" right="0.25" top="0.75" bottom="0.75" header="0.3" footer="0.3"/>
  <pageSetup scale="4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5"/>
  <sheetViews>
    <sheetView view="pageBreakPreview" topLeftCell="A11" zoomScale="70" zoomScaleNormal="80" zoomScaleSheetLayoutView="70" workbookViewId="0">
      <selection activeCell="I33" sqref="I33"/>
    </sheetView>
  </sheetViews>
  <sheetFormatPr defaultRowHeight="15"/>
  <cols>
    <col min="1" max="1" width="45.140625" customWidth="1"/>
    <col min="2" max="2" width="10.85546875" bestFit="1" customWidth="1"/>
    <col min="3" max="3" width="24" customWidth="1"/>
    <col min="4" max="4" width="15.28515625" customWidth="1"/>
    <col min="5" max="5" width="27.140625" customWidth="1"/>
    <col min="6" max="6" width="22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6.5">
      <c r="A4" s="24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7.25" thickBot="1">
      <c r="A5" s="11"/>
      <c r="B5" s="11"/>
      <c r="C5" s="11"/>
      <c r="D5" s="11"/>
      <c r="E5" s="11"/>
      <c r="F5" s="11" t="s">
        <v>0</v>
      </c>
      <c r="G5" s="11"/>
      <c r="H5" s="25"/>
      <c r="I5" s="11"/>
      <c r="J5" s="11"/>
      <c r="K5" s="11"/>
    </row>
    <row r="6" spans="1:11" ht="18" thickBot="1">
      <c r="A6" s="241" t="str">
        <f>+'S&amp;D'!A12</f>
        <v>Natural Gas Transmission Pipeline Carrier</v>
      </c>
      <c r="B6" s="174"/>
      <c r="C6" s="11"/>
      <c r="D6" s="27"/>
      <c r="E6" s="27"/>
      <c r="F6" s="27"/>
      <c r="G6" s="28" t="s">
        <v>0</v>
      </c>
      <c r="H6" s="27"/>
      <c r="I6" s="11"/>
      <c r="J6" s="11"/>
      <c r="K6" s="11"/>
    </row>
    <row r="7" spans="1:11" ht="26.25">
      <c r="A7" s="29"/>
      <c r="B7" s="11"/>
      <c r="C7" s="11"/>
      <c r="D7" s="11"/>
      <c r="E7" s="11"/>
      <c r="F7" s="30" t="s">
        <v>168</v>
      </c>
      <c r="G7" s="11"/>
      <c r="H7" s="11"/>
      <c r="I7" s="11"/>
      <c r="J7" s="11"/>
      <c r="K7" s="11"/>
    </row>
    <row r="8" spans="1:11" ht="21" thickBot="1">
      <c r="A8" s="29"/>
      <c r="B8" s="11"/>
      <c r="C8" s="11"/>
      <c r="D8" s="27"/>
      <c r="E8" s="27"/>
      <c r="F8" s="31" t="s">
        <v>422</v>
      </c>
      <c r="G8" s="27"/>
      <c r="H8" s="27"/>
      <c r="I8" s="11"/>
      <c r="J8" s="11"/>
      <c r="K8" s="11"/>
    </row>
    <row r="9" spans="1:11" ht="17.25" thickBot="1">
      <c r="A9" s="32" t="s">
        <v>0</v>
      </c>
      <c r="B9" s="32" t="s">
        <v>0</v>
      </c>
      <c r="C9" s="32" t="s">
        <v>0</v>
      </c>
      <c r="D9" s="27"/>
      <c r="E9" s="32"/>
      <c r="F9" s="32" t="s">
        <v>0</v>
      </c>
      <c r="G9" s="32"/>
      <c r="H9" s="27"/>
      <c r="I9" s="27"/>
      <c r="J9" s="27"/>
      <c r="K9" s="11"/>
    </row>
    <row r="10" spans="1:11" ht="16.5">
      <c r="A10" s="33" t="s">
        <v>0</v>
      </c>
      <c r="B10" s="33" t="s">
        <v>3</v>
      </c>
      <c r="C10" s="33" t="s">
        <v>5</v>
      </c>
      <c r="D10" s="33" t="s">
        <v>157</v>
      </c>
      <c r="E10" s="33" t="s">
        <v>12</v>
      </c>
      <c r="F10" s="33" t="s">
        <v>169</v>
      </c>
      <c r="G10" s="33" t="s">
        <v>170</v>
      </c>
      <c r="H10" s="33" t="s">
        <v>170</v>
      </c>
      <c r="I10" s="33" t="s">
        <v>165</v>
      </c>
      <c r="J10" s="33" t="s">
        <v>165</v>
      </c>
      <c r="K10" s="11"/>
    </row>
    <row r="11" spans="1:11" ht="16.5">
      <c r="A11" s="33" t="s">
        <v>2</v>
      </c>
      <c r="B11" s="33" t="s">
        <v>4</v>
      </c>
      <c r="C11" s="33" t="s">
        <v>6</v>
      </c>
      <c r="D11" s="33" t="s">
        <v>197</v>
      </c>
      <c r="E11" s="33" t="s">
        <v>14</v>
      </c>
      <c r="F11" s="33" t="s">
        <v>361</v>
      </c>
      <c r="G11" s="33" t="s">
        <v>198</v>
      </c>
      <c r="H11" s="33" t="s">
        <v>199</v>
      </c>
      <c r="I11" s="33" t="s">
        <v>160</v>
      </c>
      <c r="J11" s="33" t="s">
        <v>163</v>
      </c>
      <c r="K11" s="11"/>
    </row>
    <row r="12" spans="1:11" ht="16.5">
      <c r="A12" s="33"/>
      <c r="B12" s="33"/>
      <c r="C12" s="33"/>
      <c r="D12" s="33"/>
      <c r="E12" s="33"/>
      <c r="F12" s="34" t="s">
        <v>0</v>
      </c>
      <c r="G12" s="34" t="s">
        <v>487</v>
      </c>
      <c r="H12" s="34" t="s">
        <v>487</v>
      </c>
      <c r="I12" s="33"/>
      <c r="J12" s="33"/>
      <c r="K12" s="11"/>
    </row>
    <row r="13" spans="1:11" ht="17.25" thickBot="1">
      <c r="A13" s="35" t="s">
        <v>24</v>
      </c>
      <c r="B13" s="36" t="s">
        <v>89</v>
      </c>
      <c r="C13" s="36" t="s">
        <v>90</v>
      </c>
      <c r="D13" s="36" t="s">
        <v>91</v>
      </c>
      <c r="E13" s="36" t="s">
        <v>92</v>
      </c>
      <c r="F13" s="36" t="s">
        <v>93</v>
      </c>
      <c r="G13" s="36" t="s">
        <v>94</v>
      </c>
      <c r="H13" s="36" t="s">
        <v>95</v>
      </c>
      <c r="I13" s="36" t="s">
        <v>166</v>
      </c>
      <c r="J13" s="36" t="s">
        <v>167</v>
      </c>
      <c r="K13" s="11"/>
    </row>
    <row r="14" spans="1:11" ht="16.5">
      <c r="A14" s="37" t="s">
        <v>7</v>
      </c>
      <c r="B14" s="37" t="s">
        <v>7</v>
      </c>
      <c r="C14" s="37" t="s">
        <v>7</v>
      </c>
      <c r="D14" s="38" t="s">
        <v>113</v>
      </c>
      <c r="E14" s="38"/>
      <c r="F14" s="37" t="s">
        <v>0</v>
      </c>
      <c r="G14" s="37" t="s">
        <v>7</v>
      </c>
      <c r="H14" s="37" t="s">
        <v>7</v>
      </c>
      <c r="I14" s="37" t="s">
        <v>15</v>
      </c>
      <c r="J14" s="37" t="s">
        <v>15</v>
      </c>
      <c r="K14" s="11"/>
    </row>
    <row r="15" spans="1:11" ht="16.5">
      <c r="A15" s="33"/>
      <c r="B15" s="33"/>
      <c r="C15" s="33"/>
      <c r="D15" s="33"/>
      <c r="E15" s="33"/>
      <c r="F15" s="33"/>
      <c r="G15" s="33"/>
      <c r="H15" s="11"/>
      <c r="I15" s="11"/>
      <c r="J15" s="11"/>
      <c r="K15" s="11"/>
    </row>
    <row r="16" spans="1:11" ht="16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7.25">
      <c r="A17" s="60" t="str">
        <f>+'S&amp;D'!A22</f>
        <v>Enbridge Inc</v>
      </c>
      <c r="B17" s="87" t="str">
        <f>+'S&amp;D'!B22</f>
        <v>ENB.TO</v>
      </c>
      <c r="C17" s="87" t="str">
        <f>+'S&amp;D'!C22</f>
        <v>Oil &amp; Gas Distribution</v>
      </c>
      <c r="D17" s="57">
        <f>+'S&amp;D'!G22</f>
        <v>61.01</v>
      </c>
      <c r="E17" s="58">
        <f>+'S&amp;D'!D37</f>
        <v>132879780000</v>
      </c>
      <c r="F17" s="51">
        <f>+'Dividends '!H16</f>
        <v>6.3923946893951811E-2</v>
      </c>
      <c r="G17" s="51">
        <v>2.5000000000000001E-2</v>
      </c>
      <c r="H17" s="51">
        <v>0.05</v>
      </c>
      <c r="I17" s="298">
        <f t="shared" ref="I17:I20" si="0">+F17+G17</f>
        <v>8.8923946893951805E-2</v>
      </c>
      <c r="J17" s="298">
        <f t="shared" ref="J17:J20" si="1">+F17+H17</f>
        <v>0.11392394689395181</v>
      </c>
      <c r="K17" s="11"/>
    </row>
    <row r="18" spans="1:11" ht="17.25">
      <c r="A18" s="60" t="str">
        <f>+'S&amp;D'!A23</f>
        <v>Energy Transfer LP</v>
      </c>
      <c r="B18" s="87" t="str">
        <f>+'S&amp;D'!B23</f>
        <v>ET</v>
      </c>
      <c r="C18" s="87" t="str">
        <f>+'S&amp;D'!C23</f>
        <v>Pipeline MLPs</v>
      </c>
      <c r="D18" s="57">
        <f>+'S&amp;D'!G23</f>
        <v>19.59</v>
      </c>
      <c r="E18" s="58">
        <f>+'S&amp;D'!D38</f>
        <v>67215014350.979996</v>
      </c>
      <c r="F18" s="51">
        <f>+'Dividends '!H17</f>
        <v>6.9423175089331296E-2</v>
      </c>
      <c r="G18" s="51">
        <v>8.5000000000000006E-2</v>
      </c>
      <c r="H18" s="51">
        <v>7.4999999999999997E-2</v>
      </c>
      <c r="I18" s="298">
        <f t="shared" si="0"/>
        <v>0.15442317508933129</v>
      </c>
      <c r="J18" s="298">
        <f t="shared" si="1"/>
        <v>0.14442317508933128</v>
      </c>
      <c r="K18" s="11"/>
    </row>
    <row r="19" spans="1:11" ht="17.25">
      <c r="A19" s="60" t="str">
        <f>+'S&amp;D'!A24</f>
        <v>Enterprise Products Partnership LP</v>
      </c>
      <c r="B19" s="87" t="str">
        <f>+'S&amp;D'!B24</f>
        <v>EPD</v>
      </c>
      <c r="C19" s="87" t="str">
        <f>+'S&amp;D'!C24</f>
        <v>Pipeline MLPs</v>
      </c>
      <c r="D19" s="57">
        <f>+'S&amp;D'!G24</f>
        <v>31.36</v>
      </c>
      <c r="E19" s="58">
        <f>+'S&amp;D'!D39</f>
        <v>67916350808.32</v>
      </c>
      <c r="F19" s="51">
        <f>+'Dividends '!H18</f>
        <v>7.3979591836734693E-2</v>
      </c>
      <c r="G19" s="51">
        <v>0.105</v>
      </c>
      <c r="H19" s="51">
        <v>0.06</v>
      </c>
      <c r="I19" s="298">
        <f t="shared" si="0"/>
        <v>0.17897959183673467</v>
      </c>
      <c r="J19" s="298">
        <f t="shared" si="1"/>
        <v>0.13397959183673469</v>
      </c>
      <c r="K19" s="11"/>
    </row>
    <row r="20" spans="1:11" ht="17.25">
      <c r="A20" s="60" t="str">
        <f>+'S&amp;D'!A25</f>
        <v>Kinder Morgan Inc</v>
      </c>
      <c r="B20" s="87" t="str">
        <f>+'S&amp;D'!B25</f>
        <v>KMI</v>
      </c>
      <c r="C20" s="87" t="str">
        <f>+'S&amp;D'!C25</f>
        <v>Oil &amp; Gas Distribution</v>
      </c>
      <c r="D20" s="57">
        <f>+'S&amp;D'!G25</f>
        <v>27.4</v>
      </c>
      <c r="E20" s="58">
        <f>+'S&amp;D'!D40</f>
        <v>60873149035</v>
      </c>
      <c r="F20" s="51">
        <f>+'Dividends '!H19</f>
        <v>4.3430656934306568E-2</v>
      </c>
      <c r="G20" s="51">
        <v>5.5E-2</v>
      </c>
      <c r="H20" s="51">
        <v>8.5000000000000006E-2</v>
      </c>
      <c r="I20" s="298">
        <f t="shared" si="0"/>
        <v>9.8430656934306568E-2</v>
      </c>
      <c r="J20" s="298">
        <f t="shared" si="1"/>
        <v>0.12843065693430658</v>
      </c>
      <c r="K20" s="11"/>
    </row>
    <row r="21" spans="1:11" ht="17.25">
      <c r="A21" s="60" t="str">
        <f>+'S&amp;D'!A26</f>
        <v>ONEOK Inc</v>
      </c>
      <c r="B21" s="87" t="str">
        <f>+'S&amp;D'!B26</f>
        <v>OKE</v>
      </c>
      <c r="C21" s="87" t="str">
        <f>+'S&amp;D'!C26</f>
        <v>Oil &amp; Gas Distribution</v>
      </c>
      <c r="D21" s="57">
        <f>+'S&amp;D'!G26</f>
        <v>100.4</v>
      </c>
      <c r="E21" s="58">
        <f>+'S&amp;D'!D41</f>
        <v>58544307553.200005</v>
      </c>
      <c r="F21" s="51">
        <f>+'Dividends '!H20</f>
        <v>4.282868525896414E-2</v>
      </c>
      <c r="G21" s="51">
        <v>3.5000000000000003E-2</v>
      </c>
      <c r="H21" s="51">
        <v>0.14499999999999999</v>
      </c>
      <c r="I21" s="298">
        <f t="shared" ref="I21:I23" si="2">+F21+G21</f>
        <v>7.7828685258964136E-2</v>
      </c>
      <c r="J21" s="298">
        <f t="shared" ref="J21:J22" si="3">+F21+H21</f>
        <v>0.18782868525896412</v>
      </c>
      <c r="K21" s="11"/>
    </row>
    <row r="22" spans="1:11" ht="17.25">
      <c r="A22" s="60" t="str">
        <f>+'S&amp;D'!A27</f>
        <v>TC Energy Corp</v>
      </c>
      <c r="B22" s="87" t="str">
        <f>+'S&amp;D'!B27</f>
        <v>TRP</v>
      </c>
      <c r="C22" s="87" t="str">
        <f>+'S&amp;D'!C27</f>
        <v>Oil &amp; Gas Distribution</v>
      </c>
      <c r="D22" s="57">
        <f>+'S&amp;D'!G27</f>
        <v>46.53</v>
      </c>
      <c r="E22" s="58">
        <f>+'S&amp;D'!D42</f>
        <v>48344670000</v>
      </c>
      <c r="F22" s="51">
        <f>+'Dividends '!H21</f>
        <v>5.5877928218353752E-2</v>
      </c>
      <c r="G22" s="51">
        <v>0.02</v>
      </c>
      <c r="H22" s="51">
        <v>0.12</v>
      </c>
      <c r="I22" s="298">
        <f t="shared" si="2"/>
        <v>7.5877928218353749E-2</v>
      </c>
      <c r="J22" s="298">
        <f t="shared" si="3"/>
        <v>0.17587792821835374</v>
      </c>
      <c r="K22" s="11"/>
    </row>
    <row r="23" spans="1:11" ht="17.25">
      <c r="A23" s="60" t="str">
        <f>+'S&amp;D'!A28</f>
        <v>Williams Companys Inc</v>
      </c>
      <c r="B23" s="87" t="str">
        <f>+'S&amp;D'!B28</f>
        <v>WMB</v>
      </c>
      <c r="C23" s="87" t="str">
        <f>+'S&amp;D'!C28</f>
        <v>Oil &amp; Gas Distribution</v>
      </c>
      <c r="D23" s="57">
        <f>+'S&amp;D'!G28</f>
        <v>54.12</v>
      </c>
      <c r="E23" s="58">
        <f>+'S&amp;D'!D43</f>
        <v>65972280000</v>
      </c>
      <c r="F23" s="51">
        <f>+'Dividends '!H22</f>
        <v>3.8617886178861791E-2</v>
      </c>
      <c r="G23" s="51">
        <v>3.5000000000000003E-2</v>
      </c>
      <c r="H23" s="51">
        <v>9.5000000000000001E-2</v>
      </c>
      <c r="I23" s="298">
        <f t="shared" si="2"/>
        <v>7.3617886178861794E-2</v>
      </c>
      <c r="J23" s="298">
        <f>+F23+H23</f>
        <v>0.13361788617886178</v>
      </c>
      <c r="K23" s="11"/>
    </row>
    <row r="24" spans="1:11" ht="16.5">
      <c r="A24" s="11"/>
      <c r="B24" s="11"/>
      <c r="C24" s="13" t="s">
        <v>0</v>
      </c>
      <c r="D24" s="14" t="s">
        <v>0</v>
      </c>
      <c r="E24" s="14" t="s">
        <v>46</v>
      </c>
      <c r="F24" s="380">
        <f>MAX(F17:F23)</f>
        <v>7.3979591836734693E-2</v>
      </c>
      <c r="G24" s="284"/>
      <c r="H24" s="284"/>
      <c r="I24" s="284">
        <f>MAX(I17:I23)</f>
        <v>0.17897959183673467</v>
      </c>
      <c r="J24" s="284">
        <f>MAX(J17:J23)</f>
        <v>0.18782868525896412</v>
      </c>
      <c r="K24" s="11"/>
    </row>
    <row r="25" spans="1:11" ht="16.5">
      <c r="A25" s="11"/>
      <c r="B25" s="11"/>
      <c r="C25" s="13"/>
      <c r="D25" s="14"/>
      <c r="E25" s="14" t="s">
        <v>47</v>
      </c>
      <c r="F25" s="379">
        <f>+MIN(F17:F23)</f>
        <v>3.8617886178861791E-2</v>
      </c>
      <c r="G25" s="305"/>
      <c r="H25" s="305"/>
      <c r="I25" s="305">
        <f t="shared" ref="I25:J25" si="4">+MIN(I17:I23)</f>
        <v>7.3617886178861794E-2</v>
      </c>
      <c r="J25" s="305">
        <f t="shared" si="4"/>
        <v>0.11392394689395181</v>
      </c>
      <c r="K25" s="11"/>
    </row>
    <row r="26" spans="1:11" ht="16.5">
      <c r="A26" s="11"/>
      <c r="B26" s="11"/>
      <c r="D26" s="16" t="s">
        <v>0</v>
      </c>
      <c r="E26" s="13" t="s">
        <v>18</v>
      </c>
      <c r="F26" s="52">
        <f>MEDIAN(F17:F23)</f>
        <v>5.5877928218353752E-2</v>
      </c>
      <c r="G26" s="290">
        <f>MEDIAN(G17:G23)</f>
        <v>3.5000000000000003E-2</v>
      </c>
      <c r="H26" s="290">
        <f>MEDIAN(H17:H23)</f>
        <v>8.5000000000000006E-2</v>
      </c>
      <c r="I26" s="291">
        <f>MEDIAN(I17:I23)</f>
        <v>8.8923946893951805E-2</v>
      </c>
      <c r="J26" s="291">
        <f>MEDIAN(J17:J23)</f>
        <v>0.13397959183673469</v>
      </c>
      <c r="K26" s="11"/>
    </row>
    <row r="27" spans="1:11" ht="16.5">
      <c r="A27" s="11"/>
      <c r="B27" s="11"/>
      <c r="D27" s="20" t="s">
        <v>0</v>
      </c>
      <c r="E27" s="13" t="s">
        <v>388</v>
      </c>
      <c r="F27" s="52">
        <f>AVERAGE(F17:F23)</f>
        <v>5.5440267201500582E-2</v>
      </c>
      <c r="G27" s="52">
        <f>AVERAGE(G17:G23)</f>
        <v>5.1428571428571442E-2</v>
      </c>
      <c r="H27" s="290">
        <f>AVERAGE(H17:H23)</f>
        <v>0.09</v>
      </c>
      <c r="I27" s="291">
        <f>AVERAGE(I17:I23)</f>
        <v>0.10686883863007199</v>
      </c>
      <c r="J27" s="291">
        <f>AVERAGE(J17:J23)</f>
        <v>0.14544026720150055</v>
      </c>
      <c r="K27" s="11"/>
    </row>
    <row r="28" spans="1:11" ht="16.5">
      <c r="A28" s="11"/>
      <c r="B28" s="11"/>
      <c r="D28" s="20"/>
      <c r="E28" s="13"/>
      <c r="F28" s="17"/>
      <c r="G28" s="17"/>
      <c r="H28" s="18"/>
      <c r="I28" s="19"/>
      <c r="J28" s="19"/>
      <c r="K28" s="11"/>
    </row>
    <row r="29" spans="1:11" ht="17.2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27" thickBot="1">
      <c r="A30" s="11"/>
      <c r="B30" s="11"/>
      <c r="C30" s="11"/>
      <c r="D30" s="11"/>
      <c r="E30" s="11"/>
      <c r="F30" s="11"/>
      <c r="G30" s="171" t="s">
        <v>172</v>
      </c>
      <c r="H30" s="173"/>
      <c r="I30" s="292">
        <v>0.1069</v>
      </c>
      <c r="J30" s="11"/>
      <c r="K30" s="11"/>
    </row>
    <row r="31" spans="1:11" ht="20.25" customHeight="1" thickBo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ht="27" thickBot="1">
      <c r="A32" s="11"/>
      <c r="B32" s="11"/>
      <c r="C32" s="11"/>
      <c r="D32" s="11"/>
      <c r="E32" s="11"/>
      <c r="F32" s="11"/>
      <c r="G32" s="171" t="s">
        <v>171</v>
      </c>
      <c r="H32" s="174"/>
      <c r="I32" s="292">
        <v>0.1454</v>
      </c>
      <c r="J32" s="11"/>
      <c r="K32" s="11"/>
    </row>
    <row r="33" spans="1:10" ht="16.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26.25">
      <c r="A34" s="22" t="s">
        <v>340</v>
      </c>
      <c r="B34" s="11"/>
      <c r="C34" s="22" t="s">
        <v>339</v>
      </c>
      <c r="D34" s="11"/>
      <c r="E34" s="11"/>
      <c r="F34" s="11"/>
      <c r="G34" s="11"/>
      <c r="H34" s="11"/>
      <c r="I34" s="11"/>
      <c r="J34" s="11"/>
    </row>
    <row r="35" spans="1:10" ht="17.25">
      <c r="A35" s="60" t="s">
        <v>343</v>
      </c>
      <c r="B35" s="11"/>
      <c r="C35" s="60" t="s">
        <v>343</v>
      </c>
      <c r="D35" s="11"/>
      <c r="E35" s="11"/>
      <c r="F35" s="11"/>
      <c r="G35" s="11"/>
      <c r="H35" s="11"/>
      <c r="I35" s="11"/>
      <c r="J35" s="11"/>
    </row>
    <row r="36" spans="1:10" ht="17.25">
      <c r="A36" s="60" t="s">
        <v>342</v>
      </c>
      <c r="B36" s="11"/>
      <c r="C36" s="60" t="s">
        <v>341</v>
      </c>
      <c r="D36" s="11"/>
      <c r="E36" s="11"/>
      <c r="F36" s="11"/>
      <c r="G36" s="11"/>
      <c r="H36" s="11"/>
      <c r="I36" s="11"/>
      <c r="J36" s="11"/>
    </row>
    <row r="37" spans="1:10" ht="16.5">
      <c r="A37" s="42"/>
      <c r="B37" s="11"/>
      <c r="C37" s="42"/>
      <c r="D37" s="11"/>
      <c r="E37" s="11"/>
      <c r="F37" s="11"/>
      <c r="G37" s="11"/>
      <c r="H37" s="11"/>
      <c r="I37" s="11"/>
      <c r="J37" s="11"/>
    </row>
    <row r="38" spans="1:10" ht="16.5">
      <c r="A38" s="42"/>
      <c r="B38" s="11"/>
      <c r="C38" s="42"/>
      <c r="D38" s="11"/>
      <c r="E38" s="11"/>
      <c r="F38" s="11"/>
      <c r="G38" s="11"/>
      <c r="H38" s="11"/>
      <c r="I38" s="11"/>
      <c r="J38" s="11"/>
    </row>
    <row r="39" spans="1:10" ht="26.25">
      <c r="A39" s="22" t="s">
        <v>194</v>
      </c>
      <c r="B39" s="11"/>
      <c r="C39" s="22" t="s">
        <v>194</v>
      </c>
      <c r="D39" s="11"/>
      <c r="E39" s="11"/>
      <c r="F39" s="11"/>
      <c r="G39" s="11"/>
      <c r="H39" s="11"/>
      <c r="I39" s="11"/>
      <c r="J39" s="11"/>
    </row>
    <row r="40" spans="1:10" ht="16.5">
      <c r="A40" s="42"/>
      <c r="B40" s="11"/>
      <c r="C40" s="42"/>
      <c r="D40" s="11"/>
      <c r="E40" s="11"/>
      <c r="F40" s="11"/>
      <c r="G40" s="11"/>
      <c r="H40" s="11"/>
      <c r="I40" s="11"/>
      <c r="J40" s="11"/>
    </row>
    <row r="41" spans="1:10" ht="17.25">
      <c r="A41" s="60" t="s">
        <v>195</v>
      </c>
      <c r="B41" s="11"/>
      <c r="C41" s="60" t="s">
        <v>195</v>
      </c>
      <c r="D41" s="11"/>
      <c r="E41" s="11"/>
      <c r="F41" s="11"/>
      <c r="G41" s="11"/>
      <c r="H41" s="11"/>
      <c r="I41" s="11"/>
      <c r="J41" s="11"/>
    </row>
    <row r="42" spans="1:10" ht="17.25">
      <c r="A42" s="60" t="s">
        <v>193</v>
      </c>
      <c r="B42" s="11"/>
      <c r="C42" s="60" t="s">
        <v>193</v>
      </c>
      <c r="D42" s="11"/>
      <c r="E42" s="11"/>
      <c r="F42" s="11"/>
      <c r="G42" s="11"/>
      <c r="H42" s="11"/>
      <c r="I42" s="11"/>
      <c r="J42" s="11"/>
    </row>
    <row r="43" spans="1:10" ht="17.25">
      <c r="A43" s="60" t="s">
        <v>196</v>
      </c>
      <c r="B43" s="11"/>
      <c r="C43" s="60" t="s">
        <v>196</v>
      </c>
      <c r="D43" s="11"/>
      <c r="E43" s="11"/>
      <c r="F43" s="11"/>
      <c r="G43" s="11"/>
      <c r="H43" s="11"/>
      <c r="I43" s="11"/>
      <c r="J43" s="11"/>
    </row>
    <row r="44" spans="1:10" ht="17.25">
      <c r="A44" s="60" t="s">
        <v>345</v>
      </c>
      <c r="B44" s="11"/>
      <c r="C44" s="60" t="s">
        <v>344</v>
      </c>
      <c r="D44" s="11"/>
      <c r="E44" s="11"/>
      <c r="F44" s="11"/>
      <c r="G44" s="11"/>
      <c r="H44" s="11"/>
      <c r="I44" s="11"/>
      <c r="J44" s="11"/>
    </row>
    <row r="45" spans="1:10" ht="17.25">
      <c r="A45" s="60"/>
      <c r="B45" s="11"/>
      <c r="C45" s="60"/>
      <c r="D45" s="11"/>
      <c r="E45" s="11"/>
      <c r="F45" s="11"/>
      <c r="G45" s="11"/>
      <c r="H45" s="11"/>
      <c r="I45" s="11"/>
      <c r="J45" s="11"/>
    </row>
  </sheetData>
  <phoneticPr fontId="83" type="noConversion"/>
  <pageMargins left="0.25" right="0.25" top="0.75" bottom="0.75" header="0.3" footer="0.3"/>
  <pageSetup scale="4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07"/>
  <sheetViews>
    <sheetView view="pageBreakPreview" topLeftCell="A11" zoomScale="70" zoomScaleNormal="80" zoomScaleSheetLayoutView="70" workbookViewId="0">
      <selection activeCell="H34" sqref="H34"/>
    </sheetView>
  </sheetViews>
  <sheetFormatPr defaultRowHeight="15"/>
  <cols>
    <col min="1" max="1" width="47.85546875" customWidth="1"/>
    <col min="2" max="2" width="15.28515625" customWidth="1"/>
    <col min="3" max="3" width="24.5703125" customWidth="1"/>
    <col min="4" max="4" width="26.5703125" customWidth="1"/>
    <col min="5" max="5" width="32.28515625" customWidth="1"/>
    <col min="6" max="6" width="22.42578125" customWidth="1"/>
    <col min="7" max="7" width="27" customWidth="1"/>
    <col min="8" max="8" width="39.85546875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2" t="s">
        <v>1</v>
      </c>
      <c r="B1" s="11"/>
      <c r="C1" s="11"/>
      <c r="D1" s="11"/>
      <c r="E1" s="11"/>
      <c r="F1" s="11"/>
      <c r="G1" s="11"/>
      <c r="H1" s="11"/>
      <c r="I1" s="11"/>
    </row>
    <row r="2" spans="1:9" ht="17.25">
      <c r="A2" s="23" t="s">
        <v>9</v>
      </c>
      <c r="B2" s="11"/>
      <c r="C2" s="11"/>
      <c r="D2" s="11"/>
      <c r="E2" s="11"/>
      <c r="F2" s="11"/>
      <c r="G2" s="11"/>
      <c r="H2" s="11"/>
      <c r="I2" s="11"/>
    </row>
    <row r="3" spans="1:9" ht="16.5">
      <c r="A3" s="24" t="s">
        <v>421</v>
      </c>
      <c r="B3" s="11"/>
      <c r="C3" s="11"/>
      <c r="D3" s="11"/>
      <c r="E3" s="11"/>
      <c r="F3" s="11"/>
      <c r="G3" s="11"/>
      <c r="H3" s="11"/>
      <c r="I3" s="11"/>
    </row>
    <row r="4" spans="1:9" ht="16.5">
      <c r="A4" s="24"/>
      <c r="B4" s="11"/>
      <c r="C4" s="11"/>
      <c r="D4" s="11"/>
      <c r="E4" s="11"/>
      <c r="F4" s="11"/>
      <c r="G4" s="11"/>
      <c r="H4" s="11"/>
      <c r="I4" s="11"/>
    </row>
    <row r="5" spans="1:9" ht="17.25" thickBot="1">
      <c r="A5" s="11"/>
      <c r="B5" s="11"/>
      <c r="C5" s="11"/>
      <c r="D5" s="11"/>
      <c r="E5" s="11"/>
      <c r="F5" s="11"/>
      <c r="G5" s="11"/>
      <c r="H5" s="11"/>
      <c r="I5" s="25"/>
    </row>
    <row r="6" spans="1:9" ht="21" thickBot="1">
      <c r="A6" s="239" t="str">
        <f>+'S&amp;D'!A12</f>
        <v>Natural Gas Transmission Pipeline Carrier</v>
      </c>
      <c r="B6" s="174"/>
      <c r="C6" s="11"/>
      <c r="D6" s="11"/>
      <c r="E6" s="11"/>
      <c r="F6" s="11"/>
      <c r="G6" s="11"/>
      <c r="H6" s="11"/>
      <c r="I6" s="11"/>
    </row>
    <row r="7" spans="1:9" ht="20.25">
      <c r="A7" s="29"/>
      <c r="B7" s="11"/>
      <c r="C7" s="11"/>
      <c r="D7" s="11"/>
      <c r="E7" s="11"/>
      <c r="F7" s="11"/>
      <c r="G7" s="11"/>
      <c r="H7" s="11"/>
      <c r="I7" s="11"/>
    </row>
    <row r="8" spans="1:9" ht="21" thickBot="1">
      <c r="A8" s="29"/>
      <c r="B8" s="11"/>
      <c r="C8" s="11"/>
      <c r="D8" s="27"/>
      <c r="E8" s="27"/>
      <c r="F8" s="27"/>
      <c r="G8" s="11"/>
      <c r="H8" s="11"/>
      <c r="I8" s="11"/>
    </row>
    <row r="9" spans="1:9" ht="26.25">
      <c r="A9" s="29"/>
      <c r="B9" s="11"/>
      <c r="C9" s="11"/>
      <c r="D9" s="11"/>
      <c r="E9" s="30" t="s">
        <v>173</v>
      </c>
      <c r="F9" s="11"/>
      <c r="G9" s="11"/>
      <c r="H9" s="11"/>
      <c r="I9" s="11"/>
    </row>
    <row r="10" spans="1:9" ht="21" thickBot="1">
      <c r="A10" s="29"/>
      <c r="B10" s="11"/>
      <c r="C10" s="11"/>
      <c r="D10" s="27"/>
      <c r="E10" s="31" t="s">
        <v>422</v>
      </c>
      <c r="F10" s="27"/>
      <c r="G10" s="11"/>
      <c r="H10" s="11"/>
      <c r="I10" s="11"/>
    </row>
    <row r="11" spans="1:9" ht="20.25">
      <c r="A11" s="29"/>
      <c r="B11" s="11"/>
      <c r="C11" s="11"/>
      <c r="D11" s="11"/>
      <c r="E11" s="11"/>
      <c r="F11" s="33"/>
      <c r="G11" s="33"/>
      <c r="H11" s="11"/>
      <c r="I11" s="11"/>
    </row>
    <row r="12" spans="1:9" ht="20.25">
      <c r="A12" s="29"/>
      <c r="B12" s="11"/>
      <c r="C12" s="11"/>
      <c r="D12" s="11" t="s">
        <v>0</v>
      </c>
      <c r="E12" s="11"/>
      <c r="F12" s="33"/>
      <c r="G12" s="33"/>
      <c r="H12" s="11"/>
      <c r="I12" s="11"/>
    </row>
    <row r="13" spans="1:9" ht="45.75" customHeight="1" thickBot="1">
      <c r="A13" s="32" t="s">
        <v>0</v>
      </c>
      <c r="B13" s="32" t="s">
        <v>0</v>
      </c>
      <c r="C13" s="32" t="s">
        <v>0</v>
      </c>
      <c r="D13" s="27"/>
      <c r="E13" s="27"/>
      <c r="F13" s="32" t="s">
        <v>0</v>
      </c>
      <c r="G13" s="32"/>
      <c r="H13" s="32"/>
      <c r="I13" s="11"/>
    </row>
    <row r="14" spans="1:9" ht="16.5">
      <c r="A14" s="33" t="s">
        <v>0</v>
      </c>
      <c r="B14" s="33" t="s">
        <v>3</v>
      </c>
      <c r="C14" s="33" t="s">
        <v>5</v>
      </c>
      <c r="D14" s="33" t="s">
        <v>169</v>
      </c>
      <c r="E14" s="33" t="s">
        <v>170</v>
      </c>
      <c r="F14" s="33" t="s">
        <v>174</v>
      </c>
      <c r="G14" s="33" t="s">
        <v>19</v>
      </c>
      <c r="H14" s="33" t="s">
        <v>176</v>
      </c>
      <c r="I14" s="11"/>
    </row>
    <row r="15" spans="1:9" ht="16.5">
      <c r="A15" s="33" t="s">
        <v>2</v>
      </c>
      <c r="B15" s="33" t="s">
        <v>4</v>
      </c>
      <c r="C15" s="33" t="s">
        <v>6</v>
      </c>
      <c r="D15" s="33" t="s">
        <v>361</v>
      </c>
      <c r="E15" s="33" t="s">
        <v>362</v>
      </c>
      <c r="F15" s="33" t="s">
        <v>123</v>
      </c>
      <c r="G15" s="33" t="s">
        <v>175</v>
      </c>
      <c r="H15" s="33" t="s">
        <v>164</v>
      </c>
      <c r="I15" s="11"/>
    </row>
    <row r="16" spans="1:9" ht="16.5">
      <c r="A16" s="33"/>
      <c r="B16" s="33" t="s">
        <v>0</v>
      </c>
      <c r="C16" s="33" t="s">
        <v>0</v>
      </c>
      <c r="D16" s="33" t="s">
        <v>0</v>
      </c>
      <c r="E16" s="34" t="s">
        <v>363</v>
      </c>
      <c r="F16" s="34" t="s">
        <v>0</v>
      </c>
      <c r="G16" s="33" t="s">
        <v>180</v>
      </c>
      <c r="H16" s="34" t="s">
        <v>181</v>
      </c>
      <c r="I16" s="11"/>
    </row>
    <row r="17" spans="1:11" ht="18" customHeight="1" thickBot="1">
      <c r="A17" s="64" t="s">
        <v>0</v>
      </c>
      <c r="B17" s="36" t="s">
        <v>0</v>
      </c>
      <c r="C17" s="36" t="s">
        <v>0</v>
      </c>
      <c r="D17" s="31" t="s">
        <v>178</v>
      </c>
      <c r="E17" s="31" t="s">
        <v>179</v>
      </c>
      <c r="F17" s="31" t="s">
        <v>177</v>
      </c>
      <c r="G17" s="33" t="s">
        <v>94</v>
      </c>
      <c r="H17" s="141"/>
      <c r="I17" s="11"/>
    </row>
    <row r="18" spans="1:11" ht="16.5">
      <c r="A18" s="37" t="s">
        <v>0</v>
      </c>
      <c r="B18" s="37" t="s">
        <v>0</v>
      </c>
      <c r="C18" s="37" t="s">
        <v>0</v>
      </c>
      <c r="D18" s="37" t="s">
        <v>7</v>
      </c>
      <c r="E18" s="37" t="s">
        <v>7</v>
      </c>
      <c r="F18" s="37" t="s">
        <v>0</v>
      </c>
      <c r="G18" s="65" t="s">
        <v>0</v>
      </c>
      <c r="H18" s="37" t="s">
        <v>0</v>
      </c>
      <c r="I18" s="11"/>
    </row>
    <row r="19" spans="1:11" ht="16.5">
      <c r="A19" s="33"/>
      <c r="B19" s="33"/>
      <c r="C19" s="33"/>
      <c r="D19" s="33"/>
      <c r="E19" s="11"/>
      <c r="F19" s="33"/>
      <c r="G19" s="11"/>
      <c r="H19" s="11"/>
      <c r="I19" s="11"/>
      <c r="J19" t="s">
        <v>0</v>
      </c>
      <c r="K19" t="s">
        <v>0</v>
      </c>
    </row>
    <row r="20" spans="1:11" ht="16.5">
      <c r="A20" s="11"/>
      <c r="B20" s="11"/>
      <c r="C20" s="11"/>
      <c r="D20" s="11"/>
      <c r="E20" s="11"/>
      <c r="F20" s="11"/>
      <c r="G20" s="11"/>
      <c r="H20" s="11" t="s">
        <v>0</v>
      </c>
      <c r="I20" s="11"/>
      <c r="J20" t="s">
        <v>0</v>
      </c>
      <c r="K20" t="s">
        <v>0</v>
      </c>
    </row>
    <row r="21" spans="1:11" ht="17.25">
      <c r="A21" s="60" t="str">
        <f>+'S&amp;D'!A22</f>
        <v>Enbridge Inc</v>
      </c>
      <c r="B21" s="87" t="str">
        <f>+'S&amp;D'!B22</f>
        <v>ENB.TO</v>
      </c>
      <c r="C21" s="33" t="str">
        <f>+'S&amp;D'!C22</f>
        <v>Oil &amp; Gas Distribution</v>
      </c>
      <c r="D21" s="63">
        <f>+'Dividends '!H16</f>
        <v>6.3923946893951811E-2</v>
      </c>
      <c r="E21" s="63">
        <f>+'Single Stage Div Growth Model'!H17</f>
        <v>0.05</v>
      </c>
      <c r="F21" s="176">
        <f>'Growth &amp; Inflation Rates'!$F$57</f>
        <v>4.3400000000000001E-2</v>
      </c>
      <c r="G21" s="63">
        <f t="shared" ref="G21:G24" si="0">(F21+E21)/2</f>
        <v>4.6700000000000005E-2</v>
      </c>
      <c r="H21" s="63">
        <f t="shared" ref="H21:H24" si="1">D21*(1+(0.5*G21))+(0.67*E21)+(0.33*F21)</f>
        <v>0.11323857105392558</v>
      </c>
      <c r="I21" s="11"/>
    </row>
    <row r="22" spans="1:11" ht="17.25">
      <c r="A22" s="60" t="str">
        <f>+'S&amp;D'!A23</f>
        <v>Energy Transfer LP</v>
      </c>
      <c r="B22" s="87" t="str">
        <f>+'S&amp;D'!B23</f>
        <v>ET</v>
      </c>
      <c r="C22" s="33" t="str">
        <f>+'S&amp;D'!C23</f>
        <v>Pipeline MLPs</v>
      </c>
      <c r="D22" s="63">
        <f>+'Dividends '!H17</f>
        <v>6.9423175089331296E-2</v>
      </c>
      <c r="E22" s="63">
        <f>+'Single Stage Div Growth Model'!H18</f>
        <v>7.4999999999999997E-2</v>
      </c>
      <c r="F22" s="176">
        <f>'Growth &amp; Inflation Rates'!$F$57</f>
        <v>4.3400000000000001E-2</v>
      </c>
      <c r="G22" s="63">
        <f t="shared" si="0"/>
        <v>5.9200000000000003E-2</v>
      </c>
      <c r="H22" s="63">
        <f t="shared" si="1"/>
        <v>0.13605010107197552</v>
      </c>
      <c r="I22" s="11"/>
    </row>
    <row r="23" spans="1:11" ht="17.25">
      <c r="A23" s="60" t="str">
        <f>+'S&amp;D'!A24</f>
        <v>Enterprise Products Partnership LP</v>
      </c>
      <c r="B23" s="87" t="str">
        <f>+'S&amp;D'!B24</f>
        <v>EPD</v>
      </c>
      <c r="C23" s="33" t="str">
        <f>+'S&amp;D'!C24</f>
        <v>Pipeline MLPs</v>
      </c>
      <c r="D23" s="63">
        <f>+'Dividends '!H18</f>
        <v>7.3979591836734693E-2</v>
      </c>
      <c r="E23" s="63">
        <f>+'Single Stage Div Growth Model'!H19</f>
        <v>0.06</v>
      </c>
      <c r="F23" s="176">
        <f>'Growth &amp; Inflation Rates'!$F$57</f>
        <v>4.3400000000000001E-2</v>
      </c>
      <c r="G23" s="63">
        <f t="shared" si="0"/>
        <v>5.1699999999999996E-2</v>
      </c>
      <c r="H23" s="63">
        <f t="shared" si="1"/>
        <v>0.13041396428571428</v>
      </c>
      <c r="I23" s="11"/>
    </row>
    <row r="24" spans="1:11" ht="17.25">
      <c r="A24" s="60" t="str">
        <f>+'S&amp;D'!A25</f>
        <v>Kinder Morgan Inc</v>
      </c>
      <c r="B24" s="87" t="str">
        <f>+'S&amp;D'!B25</f>
        <v>KMI</v>
      </c>
      <c r="C24" s="33" t="str">
        <f>+'S&amp;D'!C25</f>
        <v>Oil &amp; Gas Distribution</v>
      </c>
      <c r="D24" s="63">
        <f>+'Dividends '!H19</f>
        <v>4.3430656934306568E-2</v>
      </c>
      <c r="E24" s="63">
        <f>+'Single Stage Div Growth Model'!H20</f>
        <v>8.5000000000000006E-2</v>
      </c>
      <c r="F24" s="176">
        <f>'Growth &amp; Inflation Rates'!$F$57</f>
        <v>4.3400000000000001E-2</v>
      </c>
      <c r="G24" s="63">
        <f t="shared" si="0"/>
        <v>6.4200000000000007E-2</v>
      </c>
      <c r="H24" s="63">
        <f t="shared" si="1"/>
        <v>0.11609678102189783</v>
      </c>
      <c r="I24" s="11"/>
    </row>
    <row r="25" spans="1:11" ht="17.25">
      <c r="A25" s="60" t="str">
        <f>+'S&amp;D'!A26</f>
        <v>ONEOK Inc</v>
      </c>
      <c r="B25" s="87" t="str">
        <f>+'S&amp;D'!B26</f>
        <v>OKE</v>
      </c>
      <c r="C25" s="33" t="str">
        <f>+'S&amp;D'!C26</f>
        <v>Oil &amp; Gas Distribution</v>
      </c>
      <c r="D25" s="63">
        <f>+'Dividends '!H20</f>
        <v>4.282868525896414E-2</v>
      </c>
      <c r="E25" s="63">
        <f>+'Single Stage Div Growth Model'!H21</f>
        <v>0.14499999999999999</v>
      </c>
      <c r="F25" s="176">
        <f>'Growth &amp; Inflation Rates'!$F$57</f>
        <v>4.3400000000000001E-2</v>
      </c>
      <c r="G25" s="63">
        <f t="shared" ref="G25:G27" si="2">(F25+E25)/2</f>
        <v>9.4199999999999992E-2</v>
      </c>
      <c r="H25" s="63">
        <f t="shared" ref="H25:H27" si="3">D25*(1+(0.5*G25))+(0.67*E25)+(0.33*F25)</f>
        <v>0.15631791633466136</v>
      </c>
      <c r="I25" s="11"/>
      <c r="J25" t="s">
        <v>0</v>
      </c>
      <c r="K25" t="s">
        <v>0</v>
      </c>
    </row>
    <row r="26" spans="1:11" ht="17.25">
      <c r="A26" s="60" t="str">
        <f>+'S&amp;D'!A27</f>
        <v>TC Energy Corp</v>
      </c>
      <c r="B26" s="87" t="str">
        <f>+'S&amp;D'!B27</f>
        <v>TRP</v>
      </c>
      <c r="C26" s="33" t="str">
        <f>+'S&amp;D'!C27</f>
        <v>Oil &amp; Gas Distribution</v>
      </c>
      <c r="D26" s="63">
        <f>+'Dividends '!H21</f>
        <v>5.5877928218353752E-2</v>
      </c>
      <c r="E26" s="63">
        <f>+'Single Stage Div Growth Model'!H22</f>
        <v>0.12</v>
      </c>
      <c r="F26" s="176">
        <f>'Growth &amp; Inflation Rates'!$F$57</f>
        <v>4.3400000000000001E-2</v>
      </c>
      <c r="G26" s="63">
        <f t="shared" si="2"/>
        <v>8.1699999999999995E-2</v>
      </c>
      <c r="H26" s="63">
        <f t="shared" si="3"/>
        <v>0.15288254158607351</v>
      </c>
      <c r="I26" s="11"/>
      <c r="J26" t="s">
        <v>0</v>
      </c>
      <c r="K26" t="s">
        <v>0</v>
      </c>
    </row>
    <row r="27" spans="1:11" ht="18" thickBot="1">
      <c r="A27" s="60" t="str">
        <f>+'S&amp;D'!A28</f>
        <v>Williams Companys Inc</v>
      </c>
      <c r="B27" s="87" t="str">
        <f>+'S&amp;D'!B28</f>
        <v>WMB</v>
      </c>
      <c r="C27" s="33" t="str">
        <f>+'S&amp;D'!C28</f>
        <v>Oil &amp; Gas Distribution</v>
      </c>
      <c r="D27" s="63">
        <f>+'Dividends '!H22</f>
        <v>3.8617886178861791E-2</v>
      </c>
      <c r="E27" s="63">
        <f>+'Single Stage Div Growth Model'!H23</f>
        <v>9.5000000000000001E-2</v>
      </c>
      <c r="F27" s="176">
        <f>'Growth &amp; Inflation Rates'!$F$57</f>
        <v>4.3400000000000001E-2</v>
      </c>
      <c r="G27" s="63">
        <f t="shared" si="2"/>
        <v>6.9199999999999998E-2</v>
      </c>
      <c r="H27" s="322">
        <f t="shared" si="3"/>
        <v>0.11792606504065041</v>
      </c>
      <c r="I27" s="11"/>
      <c r="J27" t="s">
        <v>0</v>
      </c>
      <c r="K27" t="s">
        <v>0</v>
      </c>
    </row>
    <row r="28" spans="1:11" ht="17.25" thickTop="1">
      <c r="A28" s="11"/>
      <c r="B28" s="11"/>
      <c r="C28" s="11"/>
      <c r="D28" s="11"/>
      <c r="E28" s="11"/>
      <c r="F28" s="11"/>
      <c r="G28" s="166" t="s">
        <v>46</v>
      </c>
      <c r="H28" s="53">
        <f>+MAX(H21:H27)</f>
        <v>0.15631791633466136</v>
      </c>
      <c r="I28" s="11"/>
    </row>
    <row r="29" spans="1:11" ht="16.5">
      <c r="A29" s="11"/>
      <c r="B29" s="11"/>
      <c r="C29" s="13" t="s">
        <v>0</v>
      </c>
      <c r="D29" s="14" t="s">
        <v>0</v>
      </c>
      <c r="E29" s="14" t="s">
        <v>0</v>
      </c>
      <c r="F29" s="15" t="s">
        <v>0</v>
      </c>
      <c r="G29" s="15" t="s">
        <v>47</v>
      </c>
      <c r="H29" s="283">
        <f>MIN(H21:H27)</f>
        <v>0.11323857105392558</v>
      </c>
      <c r="I29" s="11"/>
    </row>
    <row r="30" spans="1:11" ht="16.5">
      <c r="A30" s="11"/>
      <c r="B30" s="11"/>
      <c r="D30" s="53" t="s">
        <v>0</v>
      </c>
      <c r="E30" s="48" t="s">
        <v>0</v>
      </c>
      <c r="F30" s="48" t="s">
        <v>0</v>
      </c>
      <c r="G30" s="13" t="s">
        <v>18</v>
      </c>
      <c r="H30" s="49">
        <f>MEDIAN(H21:H27)</f>
        <v>0.13041396428571428</v>
      </c>
      <c r="I30" s="11"/>
    </row>
    <row r="31" spans="1:11" ht="16.5">
      <c r="A31" s="11"/>
      <c r="B31" s="11"/>
      <c r="D31" s="53" t="s">
        <v>0</v>
      </c>
      <c r="E31" s="48" t="s">
        <v>0</v>
      </c>
      <c r="F31" s="53" t="s">
        <v>0</v>
      </c>
      <c r="G31" s="13" t="s">
        <v>388</v>
      </c>
      <c r="H31" s="49">
        <f>AVERAGE(H21:H27)</f>
        <v>0.13184656291355693</v>
      </c>
      <c r="I31" s="11"/>
    </row>
    <row r="32" spans="1:11" ht="16.5">
      <c r="A32" s="11"/>
      <c r="B32" s="11"/>
      <c r="C32" s="13"/>
      <c r="D32" s="17"/>
      <c r="E32" s="18"/>
      <c r="F32" s="17"/>
      <c r="G32" s="19"/>
      <c r="H32" s="19"/>
      <c r="I32" s="11"/>
    </row>
    <row r="33" spans="1:9" ht="17.25" thickBo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27" thickBot="1">
      <c r="A34" s="11"/>
      <c r="B34" s="11"/>
      <c r="C34" s="11"/>
      <c r="D34" s="11"/>
      <c r="F34" s="171"/>
      <c r="G34" s="172" t="s">
        <v>226</v>
      </c>
      <c r="H34" s="294">
        <v>0.1318</v>
      </c>
      <c r="I34" s="11"/>
    </row>
    <row r="35" spans="1:9" ht="16.5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27">
      <c r="A36" s="22" t="s">
        <v>0</v>
      </c>
      <c r="B36" s="11"/>
      <c r="C36" s="11"/>
      <c r="D36" s="11"/>
      <c r="E36" s="11"/>
      <c r="F36" s="11"/>
      <c r="G36" s="21" t="s">
        <v>0</v>
      </c>
      <c r="H36" s="11"/>
      <c r="I36" s="11"/>
    </row>
    <row r="37" spans="1:9" ht="16.5">
      <c r="A37" s="42"/>
      <c r="B37" s="11"/>
      <c r="C37" s="11"/>
      <c r="D37" s="11"/>
      <c r="E37" s="11"/>
      <c r="F37" s="11"/>
      <c r="G37" s="11"/>
      <c r="H37" s="11"/>
      <c r="I37" s="11"/>
    </row>
    <row r="38" spans="1:9" ht="26.25">
      <c r="A38" s="22" t="s">
        <v>290</v>
      </c>
      <c r="B38" s="11"/>
      <c r="C38" s="11"/>
      <c r="D38" s="11"/>
      <c r="E38" s="11"/>
      <c r="F38" s="11"/>
      <c r="G38" s="11"/>
      <c r="H38" s="11"/>
      <c r="I38" s="11"/>
    </row>
    <row r="39" spans="1:9" ht="16.5">
      <c r="A39" s="42"/>
      <c r="B39" s="11"/>
      <c r="C39" s="11"/>
      <c r="D39" s="11"/>
      <c r="E39" s="11"/>
      <c r="F39" s="11"/>
      <c r="G39" s="11"/>
      <c r="H39" s="11"/>
      <c r="I39" s="11"/>
    </row>
    <row r="40" spans="1:9" ht="17.25">
      <c r="A40" s="60" t="s">
        <v>195</v>
      </c>
      <c r="B40" s="11"/>
      <c r="C40" s="11"/>
      <c r="D40" s="11"/>
      <c r="E40" s="11"/>
      <c r="F40" s="11"/>
      <c r="G40" s="11"/>
      <c r="H40" s="11"/>
      <c r="I40" s="11"/>
    </row>
    <row r="41" spans="1:9" ht="17.25">
      <c r="A41" s="60" t="s">
        <v>293</v>
      </c>
      <c r="B41" s="11"/>
      <c r="C41" s="11"/>
      <c r="D41" s="11"/>
      <c r="E41" s="11"/>
      <c r="F41" s="11"/>
      <c r="G41" s="11"/>
      <c r="H41" s="11"/>
      <c r="I41" s="11"/>
    </row>
    <row r="42" spans="1:9" ht="17.25">
      <c r="A42" s="60" t="s">
        <v>291</v>
      </c>
      <c r="B42" s="11"/>
      <c r="C42" s="11"/>
      <c r="D42" s="11"/>
      <c r="E42" s="11"/>
      <c r="F42" s="11"/>
      <c r="G42" s="11"/>
      <c r="H42" s="11"/>
      <c r="I42" s="11"/>
    </row>
    <row r="43" spans="1:9" ht="17.25">
      <c r="A43" s="60" t="s">
        <v>292</v>
      </c>
      <c r="B43" s="11"/>
      <c r="C43" s="11"/>
      <c r="D43" s="11"/>
      <c r="E43" s="11"/>
      <c r="F43" s="11"/>
      <c r="G43" s="11"/>
      <c r="H43" s="11"/>
      <c r="I43" s="11"/>
    </row>
    <row r="44" spans="1:9" ht="17.25">
      <c r="A44" s="60" t="s">
        <v>294</v>
      </c>
      <c r="B44" s="11"/>
      <c r="C44" s="11"/>
      <c r="D44" s="11"/>
      <c r="E44" s="11"/>
      <c r="F44" s="11"/>
      <c r="G44" s="11"/>
      <c r="H44" s="11"/>
      <c r="I44" s="11"/>
    </row>
    <row r="45" spans="1:9" ht="16.5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6.5">
      <c r="A46" s="11"/>
      <c r="B46" s="11"/>
      <c r="C46" s="11"/>
      <c r="D46" s="11"/>
      <c r="E46" s="11"/>
      <c r="F46" s="11"/>
      <c r="G46" s="11"/>
      <c r="H46" s="11"/>
      <c r="I46" s="11"/>
    </row>
    <row r="47" spans="1:9" ht="16.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6.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6.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6.5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6.5">
      <c r="A51" s="11"/>
      <c r="B51" s="11"/>
      <c r="C51" s="11"/>
      <c r="D51" s="11"/>
      <c r="E51" s="11"/>
      <c r="F51" s="11"/>
      <c r="G51" s="11"/>
      <c r="H51" s="11"/>
      <c r="I51" s="11"/>
    </row>
    <row r="52" spans="1:9" ht="16.5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6.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6.5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6.5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6.5">
      <c r="A56" s="11"/>
      <c r="B56" s="11"/>
      <c r="C56" s="11"/>
      <c r="D56" s="11"/>
      <c r="E56" s="11"/>
      <c r="F56" s="11"/>
      <c r="G56" s="11"/>
      <c r="H56" s="11"/>
      <c r="I56" s="11"/>
    </row>
    <row r="57" spans="1:9" ht="16.5">
      <c r="A57" s="11"/>
      <c r="B57" s="11"/>
      <c r="C57" s="11"/>
      <c r="D57" s="11"/>
      <c r="E57" s="11"/>
      <c r="F57" s="11"/>
      <c r="G57" s="11"/>
      <c r="H57" s="11"/>
      <c r="I57" s="11"/>
    </row>
    <row r="58" spans="1:9" ht="16.5">
      <c r="A58" s="11"/>
      <c r="B58" s="11"/>
      <c r="C58" s="11"/>
      <c r="D58" s="11"/>
      <c r="E58" s="11"/>
      <c r="F58" s="11"/>
      <c r="G58" s="11"/>
      <c r="H58" s="11"/>
      <c r="I58" s="11"/>
    </row>
    <row r="59" spans="1:9" ht="16.5">
      <c r="A59" s="11"/>
      <c r="B59" s="11"/>
      <c r="C59" s="11"/>
      <c r="D59" s="11"/>
      <c r="E59" s="11"/>
      <c r="F59" s="11"/>
      <c r="G59" s="11"/>
      <c r="H59" s="11"/>
      <c r="I59" s="11"/>
    </row>
    <row r="60" spans="1:9" ht="16.5">
      <c r="A60" s="11"/>
      <c r="B60" s="11"/>
      <c r="C60" s="11"/>
      <c r="D60" s="11"/>
      <c r="E60" s="11"/>
      <c r="F60" s="11"/>
      <c r="G60" s="11"/>
      <c r="H60" s="11"/>
      <c r="I60" s="11"/>
    </row>
    <row r="61" spans="1:9" ht="16.5">
      <c r="A61" s="11"/>
      <c r="B61" s="11"/>
      <c r="C61" s="11"/>
      <c r="D61" s="11"/>
      <c r="E61" s="11"/>
      <c r="F61" s="11"/>
      <c r="G61" s="11"/>
      <c r="H61" s="11"/>
      <c r="I61" s="11"/>
    </row>
    <row r="62" spans="1:9" ht="16.5">
      <c r="A62" s="11"/>
      <c r="B62" s="11"/>
      <c r="C62" s="11"/>
      <c r="D62" s="11"/>
      <c r="E62" s="11"/>
      <c r="F62" s="11"/>
      <c r="G62" s="11"/>
      <c r="H62" s="11"/>
      <c r="I62" s="11"/>
    </row>
    <row r="63" spans="1:9" ht="16.5">
      <c r="A63" s="11"/>
      <c r="B63" s="11"/>
      <c r="C63" s="11"/>
      <c r="D63" s="11"/>
      <c r="E63" s="11"/>
      <c r="F63" s="11"/>
      <c r="G63" s="11"/>
      <c r="H63" s="11"/>
      <c r="I63" s="11"/>
    </row>
    <row r="64" spans="1:9" ht="16.5">
      <c r="A64" s="11"/>
      <c r="B64" s="11"/>
      <c r="C64" s="11"/>
      <c r="D64" s="11"/>
      <c r="E64" s="11"/>
      <c r="F64" s="11"/>
      <c r="G64" s="11"/>
      <c r="H64" s="11"/>
      <c r="I64" s="11"/>
    </row>
    <row r="65" spans="1:9" ht="16.5">
      <c r="A65" s="11"/>
      <c r="B65" s="11"/>
      <c r="C65" s="11"/>
      <c r="D65" s="11"/>
      <c r="E65" s="11"/>
      <c r="F65" s="11"/>
      <c r="G65" s="11"/>
      <c r="H65" s="11"/>
      <c r="I65" s="11"/>
    </row>
    <row r="66" spans="1:9" ht="16.5">
      <c r="A66" s="11"/>
      <c r="B66" s="11"/>
      <c r="C66" s="11"/>
      <c r="D66" s="11"/>
      <c r="E66" s="11"/>
      <c r="F66" s="11"/>
      <c r="G66" s="11"/>
      <c r="H66" s="11"/>
      <c r="I66" s="11"/>
    </row>
    <row r="67" spans="1:9" ht="16.5">
      <c r="A67" s="11"/>
      <c r="B67" s="11"/>
      <c r="C67" s="11"/>
      <c r="D67" s="11"/>
      <c r="E67" s="11"/>
      <c r="F67" s="11"/>
      <c r="G67" s="11"/>
      <c r="H67" s="11"/>
      <c r="I67" s="11"/>
    </row>
    <row r="68" spans="1:9" ht="16.5">
      <c r="A68" s="11"/>
      <c r="B68" s="11"/>
      <c r="C68" s="11"/>
      <c r="D68" s="11"/>
      <c r="E68" s="11"/>
      <c r="F68" s="11"/>
      <c r="G68" s="11"/>
      <c r="H68" s="11"/>
      <c r="I68" s="11"/>
    </row>
    <row r="69" spans="1:9" ht="16.5">
      <c r="A69" s="11"/>
      <c r="B69" s="11"/>
      <c r="C69" s="11"/>
      <c r="D69" s="11"/>
      <c r="E69" s="11"/>
      <c r="F69" s="11"/>
      <c r="G69" s="11"/>
      <c r="H69" s="11"/>
      <c r="I69" s="11"/>
    </row>
    <row r="70" spans="1:9" ht="16.5">
      <c r="A70" s="11"/>
      <c r="B70" s="11"/>
      <c r="C70" s="11"/>
      <c r="D70" s="11"/>
      <c r="E70" s="11"/>
      <c r="F70" s="11"/>
      <c r="G70" s="11"/>
      <c r="H70" s="11"/>
      <c r="I70" s="11"/>
    </row>
    <row r="71" spans="1:9" ht="16.5">
      <c r="A71" s="11"/>
      <c r="B71" s="11"/>
      <c r="C71" s="11"/>
      <c r="D71" s="11"/>
      <c r="E71" s="11"/>
      <c r="F71" s="11"/>
      <c r="G71" s="11"/>
      <c r="H71" s="11"/>
      <c r="I71" s="11"/>
    </row>
    <row r="72" spans="1:9" ht="16.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6.5">
      <c r="A73" s="11"/>
      <c r="B73" s="11"/>
      <c r="C73" s="11"/>
      <c r="D73" s="11"/>
      <c r="E73" s="11"/>
      <c r="F73" s="11"/>
      <c r="G73" s="11"/>
      <c r="H73" s="11"/>
      <c r="I73" s="11"/>
    </row>
    <row r="74" spans="1:9" ht="16.5">
      <c r="A74" s="11"/>
      <c r="B74" s="11"/>
      <c r="C74" s="11"/>
      <c r="D74" s="11"/>
      <c r="E74" s="11"/>
      <c r="F74" s="11"/>
      <c r="G74" s="11"/>
      <c r="H74" s="11"/>
      <c r="I74" s="11"/>
    </row>
    <row r="75" spans="1:9" ht="16.5">
      <c r="A75" s="11"/>
      <c r="B75" s="11"/>
      <c r="C75" s="11"/>
      <c r="D75" s="11"/>
      <c r="E75" s="11"/>
      <c r="F75" s="11"/>
      <c r="G75" s="11"/>
      <c r="H75" s="11"/>
      <c r="I75" s="11"/>
    </row>
    <row r="76" spans="1:9" ht="16.5">
      <c r="A76" s="11"/>
      <c r="B76" s="11"/>
      <c r="C76" s="11"/>
      <c r="D76" s="11"/>
      <c r="E76" s="11"/>
      <c r="F76" s="11"/>
      <c r="G76" s="11"/>
      <c r="H76" s="11"/>
      <c r="I76" s="11"/>
    </row>
    <row r="77" spans="1:9" ht="16.5">
      <c r="A77" s="11"/>
      <c r="B77" s="11"/>
      <c r="C77" s="11"/>
      <c r="D77" s="11"/>
      <c r="E77" s="11"/>
      <c r="F77" s="11"/>
      <c r="G77" s="11"/>
      <c r="H77" s="11"/>
      <c r="I77" s="11"/>
    </row>
    <row r="78" spans="1:9" ht="16.5">
      <c r="A78" s="11"/>
      <c r="B78" s="11"/>
      <c r="C78" s="11"/>
      <c r="D78" s="11"/>
      <c r="E78" s="11"/>
      <c r="F78" s="11"/>
      <c r="G78" s="11"/>
      <c r="H78" s="11"/>
      <c r="I78" s="11"/>
    </row>
    <row r="79" spans="1:9" ht="16.5">
      <c r="A79" s="11"/>
      <c r="B79" s="11"/>
      <c r="C79" s="11"/>
      <c r="D79" s="11"/>
      <c r="E79" s="11"/>
      <c r="F79" s="11"/>
      <c r="G79" s="11"/>
      <c r="H79" s="11"/>
      <c r="I79" s="11"/>
    </row>
    <row r="80" spans="1:9" ht="16.5">
      <c r="A80" s="11"/>
      <c r="B80" s="11"/>
      <c r="C80" s="11"/>
      <c r="D80" s="11"/>
      <c r="E80" s="11"/>
      <c r="F80" s="11"/>
      <c r="G80" s="11"/>
      <c r="H80" s="11"/>
      <c r="I80" s="11"/>
    </row>
    <row r="81" spans="1:9" ht="16.5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6.5">
      <c r="A82" s="11"/>
      <c r="B82" s="11"/>
      <c r="C82" s="11"/>
      <c r="D82" s="11"/>
      <c r="E82" s="11"/>
      <c r="F82" s="11"/>
      <c r="G82" s="11"/>
      <c r="H82" s="11"/>
      <c r="I82" s="11"/>
    </row>
    <row r="83" spans="1:9" ht="16.5">
      <c r="A83" s="11"/>
      <c r="B83" s="11"/>
      <c r="C83" s="11"/>
      <c r="D83" s="11"/>
      <c r="E83" s="11"/>
      <c r="F83" s="11"/>
      <c r="G83" s="11"/>
      <c r="H83" s="11"/>
      <c r="I83" s="11"/>
    </row>
    <row r="84" spans="1:9" ht="16.5">
      <c r="A84" s="11"/>
      <c r="B84" s="11"/>
      <c r="C84" s="11"/>
      <c r="D84" s="11"/>
      <c r="E84" s="11"/>
      <c r="F84" s="11"/>
      <c r="G84" s="11"/>
      <c r="H84" s="11"/>
      <c r="I84" s="11"/>
    </row>
    <row r="85" spans="1:9" ht="16.5">
      <c r="A85" s="11"/>
      <c r="B85" s="11"/>
      <c r="C85" s="11"/>
      <c r="D85" s="11"/>
      <c r="E85" s="11"/>
      <c r="F85" s="11"/>
      <c r="G85" s="11"/>
      <c r="H85" s="11"/>
      <c r="I85" s="11"/>
    </row>
    <row r="86" spans="1:9" ht="16.5">
      <c r="A86" s="11"/>
      <c r="B86" s="11"/>
      <c r="C86" s="11"/>
      <c r="D86" s="11"/>
      <c r="E86" s="11"/>
      <c r="F86" s="11"/>
      <c r="G86" s="11"/>
      <c r="H86" s="11"/>
      <c r="I86" s="11"/>
    </row>
    <row r="87" spans="1:9" ht="16.5">
      <c r="A87" s="11"/>
      <c r="B87" s="11"/>
      <c r="C87" s="11"/>
      <c r="D87" s="11"/>
      <c r="E87" s="11"/>
      <c r="F87" s="11"/>
      <c r="G87" s="11"/>
      <c r="H87" s="11"/>
      <c r="I87" s="11"/>
    </row>
    <row r="88" spans="1:9" ht="16.5">
      <c r="A88" s="11"/>
      <c r="B88" s="11"/>
      <c r="C88" s="11"/>
      <c r="D88" s="11"/>
      <c r="E88" s="11"/>
      <c r="F88" s="11"/>
      <c r="G88" s="11"/>
      <c r="H88" s="11"/>
      <c r="I88" s="11"/>
    </row>
    <row r="89" spans="1:9" ht="16.5">
      <c r="A89" s="11"/>
      <c r="B89" s="11"/>
      <c r="C89" s="11"/>
      <c r="D89" s="11"/>
      <c r="E89" s="11"/>
      <c r="F89" s="11"/>
      <c r="G89" s="11"/>
      <c r="H89" s="11"/>
      <c r="I89" s="11"/>
    </row>
    <row r="90" spans="1:9" ht="16.5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6.5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6.5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6.5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6.5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6.5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6.5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6.5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6.5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6.5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6.5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6.5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 ht="16.5">
      <c r="A102" s="11"/>
      <c r="B102" s="11"/>
      <c r="C102" s="11"/>
      <c r="D102" s="11"/>
      <c r="E102" s="11"/>
      <c r="F102" s="11"/>
      <c r="G102" s="11"/>
      <c r="H102" s="11"/>
      <c r="I102" s="11"/>
    </row>
    <row r="103" spans="1:9" ht="16.5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 ht="16.5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6.5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ht="16.5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ht="16.5">
      <c r="A107" s="11"/>
      <c r="B107" s="11"/>
      <c r="C107" s="11"/>
      <c r="D107" s="11"/>
      <c r="E107" s="11"/>
      <c r="F107" s="11"/>
      <c r="G107" s="11"/>
      <c r="H107" s="11"/>
      <c r="I107" s="11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>
    <tabColor rgb="FF92D050"/>
  </sheetPr>
  <dimension ref="A1:N48"/>
  <sheetViews>
    <sheetView view="pageBreakPreview" topLeftCell="A6" zoomScale="60" zoomScaleNormal="80" workbookViewId="0">
      <selection activeCell="H32" sqref="H32"/>
    </sheetView>
  </sheetViews>
  <sheetFormatPr defaultRowHeight="15"/>
  <cols>
    <col min="1" max="1" width="21.5703125" customWidth="1"/>
    <col min="2" max="2" width="45.7109375" customWidth="1"/>
    <col min="3" max="3" width="20.85546875" customWidth="1"/>
    <col min="4" max="4" width="24" customWidth="1"/>
    <col min="5" max="5" width="29.28515625" customWidth="1"/>
    <col min="6" max="6" width="25.5703125" customWidth="1"/>
    <col min="7" max="8" width="27.28515625" customWidth="1"/>
    <col min="9" max="9" width="18.7109375" customWidth="1"/>
    <col min="10" max="10" width="21.28515625" customWidth="1"/>
    <col min="11" max="11" width="4.42578125" customWidth="1"/>
    <col min="12" max="12" width="22.7109375" customWidth="1"/>
    <col min="13" max="13" width="17.28515625" customWidth="1"/>
  </cols>
  <sheetData>
    <row r="1" spans="1:14" ht="26.25">
      <c r="A1" s="22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7.25">
      <c r="A2" s="60" t="s">
        <v>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6.5">
      <c r="A3" s="24" t="s">
        <v>421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>
      <c r="A4" s="11"/>
      <c r="C4" s="11"/>
      <c r="D4" s="11"/>
      <c r="E4" s="25" t="s">
        <v>0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" thickBot="1">
      <c r="A5" s="6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1" thickBot="1">
      <c r="A6" s="239" t="str">
        <f>+'S&amp;D'!A12</f>
        <v>Natural Gas Transmission Pipeline Carrier</v>
      </c>
      <c r="B6" s="168"/>
      <c r="C6" s="11"/>
      <c r="D6" s="11"/>
      <c r="E6" s="11"/>
      <c r="F6" s="11"/>
      <c r="G6" s="11"/>
      <c r="H6" s="11"/>
    </row>
    <row r="7" spans="1:14" ht="18" thickBot="1">
      <c r="A7" s="60"/>
      <c r="C7" s="11"/>
      <c r="D7" s="27"/>
      <c r="E7" s="27"/>
      <c r="F7" s="27"/>
      <c r="G7" s="11"/>
      <c r="H7" s="11"/>
    </row>
    <row r="8" spans="1:14" ht="26.25">
      <c r="C8" s="11"/>
      <c r="D8" s="11"/>
      <c r="E8" s="30" t="s">
        <v>354</v>
      </c>
      <c r="F8" s="11"/>
      <c r="G8" s="11"/>
      <c r="H8" s="11"/>
    </row>
    <row r="9" spans="1:14" ht="21" thickBot="1">
      <c r="B9" s="29"/>
      <c r="C9" s="11"/>
      <c r="D9" s="27"/>
      <c r="E9" s="31" t="s">
        <v>422</v>
      </c>
      <c r="F9" s="27"/>
      <c r="G9" s="11"/>
      <c r="H9" s="11"/>
    </row>
    <row r="10" spans="1:14" ht="17.25" thickBot="1">
      <c r="B10" s="32" t="s">
        <v>0</v>
      </c>
      <c r="C10" s="32" t="s">
        <v>0</v>
      </c>
      <c r="D10" s="32" t="s">
        <v>0</v>
      </c>
      <c r="E10" s="32" t="s">
        <v>0</v>
      </c>
      <c r="F10" s="32" t="s">
        <v>0</v>
      </c>
      <c r="G10" s="32" t="s">
        <v>0</v>
      </c>
      <c r="H10" s="27"/>
    </row>
    <row r="11" spans="1:14" ht="16.5">
      <c r="B11" s="33" t="s">
        <v>0</v>
      </c>
      <c r="C11" s="33" t="s">
        <v>3</v>
      </c>
      <c r="D11" s="33" t="s">
        <v>326</v>
      </c>
      <c r="E11" s="33" t="s">
        <v>327</v>
      </c>
      <c r="F11" s="33" t="s">
        <v>222</v>
      </c>
      <c r="G11" s="33" t="s">
        <v>353</v>
      </c>
      <c r="H11" s="33" t="s">
        <v>353</v>
      </c>
    </row>
    <row r="12" spans="1:14" ht="17.25" thickBot="1">
      <c r="B12" s="35" t="s">
        <v>2</v>
      </c>
      <c r="C12" s="35" t="s">
        <v>4</v>
      </c>
      <c r="D12" s="35" t="s">
        <v>28</v>
      </c>
      <c r="E12" s="35" t="s">
        <v>159</v>
      </c>
      <c r="F12" s="35" t="s">
        <v>355</v>
      </c>
      <c r="G12" s="35" t="s">
        <v>381</v>
      </c>
      <c r="H12" s="35" t="s">
        <v>29</v>
      </c>
    </row>
    <row r="13" spans="1:14">
      <c r="B13" s="37" t="s">
        <v>0</v>
      </c>
      <c r="C13" s="37" t="s">
        <v>0</v>
      </c>
      <c r="D13" s="38" t="s">
        <v>113</v>
      </c>
      <c r="E13" s="37" t="s">
        <v>114</v>
      </c>
      <c r="F13" s="37" t="s">
        <v>0</v>
      </c>
      <c r="G13" s="37" t="s">
        <v>114</v>
      </c>
      <c r="H13" s="37" t="s">
        <v>0</v>
      </c>
    </row>
    <row r="14" spans="1:14" ht="16.5">
      <c r="B14" s="33"/>
      <c r="C14" s="33"/>
      <c r="D14" s="33"/>
      <c r="E14" s="33"/>
      <c r="F14" s="33"/>
      <c r="G14" s="33"/>
      <c r="H14" s="33"/>
    </row>
    <row r="15" spans="1:14" ht="16.5">
      <c r="B15" s="11"/>
      <c r="C15" s="11"/>
      <c r="D15" s="11"/>
      <c r="E15" s="11"/>
      <c r="F15" s="11"/>
      <c r="G15" s="11"/>
      <c r="H15" s="11"/>
    </row>
    <row r="16" spans="1:14" ht="17.25">
      <c r="B16" s="60" t="str">
        <f>+'S&amp;D'!A22</f>
        <v>Enbridge Inc</v>
      </c>
      <c r="C16" s="87" t="str">
        <f>+'S&amp;D'!B22</f>
        <v>ENB.TO</v>
      </c>
      <c r="D16" s="165">
        <f>+'S&amp;D'!G22</f>
        <v>61.01</v>
      </c>
      <c r="E16" s="293">
        <v>25.25</v>
      </c>
      <c r="F16" s="329">
        <f t="shared" ref="F16:F19" si="0">D16/E16</f>
        <v>2.4162376237623762</v>
      </c>
      <c r="G16" s="293">
        <v>32.1</v>
      </c>
      <c r="H16" s="329">
        <f t="shared" ref="H16:H22" si="1">D16/G16</f>
        <v>1.9006230529595014</v>
      </c>
    </row>
    <row r="17" spans="2:8" ht="17.25">
      <c r="B17" s="60" t="str">
        <f>+'S&amp;D'!A23</f>
        <v>Energy Transfer LP</v>
      </c>
      <c r="C17" s="87" t="str">
        <f>+'S&amp;D'!B23</f>
        <v>ET</v>
      </c>
      <c r="D17" s="165">
        <f>+'S&amp;D'!G23</f>
        <v>19.59</v>
      </c>
      <c r="E17" s="293">
        <v>24.5</v>
      </c>
      <c r="F17" s="329">
        <f t="shared" si="0"/>
        <v>0.79959183673469392</v>
      </c>
      <c r="G17" s="293">
        <v>10.25</v>
      </c>
      <c r="H17" s="329">
        <f t="shared" si="1"/>
        <v>1.9112195121951219</v>
      </c>
    </row>
    <row r="18" spans="2:8" ht="17.25">
      <c r="B18" s="60" t="str">
        <f>+'S&amp;D'!A24</f>
        <v>Enterprise Products Partnership LP</v>
      </c>
      <c r="C18" s="87" t="str">
        <f>+'S&amp;D'!B24</f>
        <v>EPD</v>
      </c>
      <c r="D18" s="165">
        <f>+'S&amp;D'!G24</f>
        <v>31.36</v>
      </c>
      <c r="E18" s="293">
        <v>27.45</v>
      </c>
      <c r="F18" s="329">
        <f t="shared" si="0"/>
        <v>1.142440801457195</v>
      </c>
      <c r="G18" s="293">
        <v>13.65</v>
      </c>
      <c r="H18" s="329">
        <f t="shared" si="1"/>
        <v>2.2974358974358973</v>
      </c>
    </row>
    <row r="19" spans="2:8" ht="17.25">
      <c r="B19" s="60" t="str">
        <f>+'S&amp;D'!A25</f>
        <v>Kinder Morgan Inc</v>
      </c>
      <c r="C19" s="87" t="str">
        <f>+'S&amp;D'!B25</f>
        <v>KMI</v>
      </c>
      <c r="D19" s="165">
        <f>+'S&amp;D'!G25</f>
        <v>27.4</v>
      </c>
      <c r="E19" s="293">
        <v>7.7</v>
      </c>
      <c r="F19" s="329">
        <f t="shared" si="0"/>
        <v>3.5584415584415581</v>
      </c>
      <c r="G19" s="293">
        <v>14.5</v>
      </c>
      <c r="H19" s="329">
        <f t="shared" si="1"/>
        <v>1.8896551724137931</v>
      </c>
    </row>
    <row r="20" spans="2:8" ht="17.25">
      <c r="B20" s="60" t="str">
        <f>+'S&amp;D'!A26</f>
        <v>ONEOK Inc</v>
      </c>
      <c r="C20" s="87" t="str">
        <f>+'S&amp;D'!B26</f>
        <v>OKE</v>
      </c>
      <c r="D20" s="165">
        <f>+'S&amp;D'!G26</f>
        <v>100.4</v>
      </c>
      <c r="E20" s="293">
        <v>45</v>
      </c>
      <c r="F20" s="329">
        <f t="shared" ref="F20:F22" si="2">D20/E20</f>
        <v>2.2311111111111113</v>
      </c>
      <c r="G20" s="293">
        <v>31.15</v>
      </c>
      <c r="H20" s="329">
        <f t="shared" si="1"/>
        <v>3.2231139646869988</v>
      </c>
    </row>
    <row r="21" spans="2:8" ht="17.25">
      <c r="B21" s="60" t="str">
        <f>+'S&amp;D'!A27</f>
        <v>TC Energy Corp</v>
      </c>
      <c r="C21" s="87" t="str">
        <f>+'S&amp;D'!B27</f>
        <v>TRP</v>
      </c>
      <c r="D21" s="165">
        <f>+'S&amp;D'!G27</f>
        <v>46.53</v>
      </c>
      <c r="E21" s="293">
        <v>12.4</v>
      </c>
      <c r="F21" s="329">
        <f t="shared" si="2"/>
        <v>3.7524193548387097</v>
      </c>
      <c r="G21" s="293">
        <v>32.85</v>
      </c>
      <c r="H21" s="329">
        <f t="shared" si="1"/>
        <v>1.4164383561643836</v>
      </c>
    </row>
    <row r="22" spans="2:8" ht="17.25">
      <c r="B22" s="60" t="str">
        <f>+'S&amp;D'!A28</f>
        <v>Williams Companys Inc</v>
      </c>
      <c r="C22" s="87" t="str">
        <f>+'S&amp;D'!B28</f>
        <v>WMB</v>
      </c>
      <c r="D22" s="165">
        <f>+'S&amp;D'!G28</f>
        <v>54.12</v>
      </c>
      <c r="E22" s="293">
        <v>9.9499999999999993</v>
      </c>
      <c r="F22" s="329">
        <f t="shared" si="2"/>
        <v>5.4391959798994973</v>
      </c>
      <c r="G22" s="293">
        <v>9.6</v>
      </c>
      <c r="H22" s="329">
        <f t="shared" si="1"/>
        <v>5.6375000000000002</v>
      </c>
    </row>
    <row r="23" spans="2:8" ht="11.25" customHeight="1" thickBot="1">
      <c r="B23" s="11"/>
      <c r="C23" s="67"/>
      <c r="D23" s="67"/>
      <c r="E23" s="67"/>
      <c r="F23" s="330"/>
      <c r="G23" s="67"/>
      <c r="H23" s="330"/>
    </row>
    <row r="24" spans="2:8" ht="17.25" thickTop="1">
      <c r="B24" s="11"/>
      <c r="D24" s="13" t="s">
        <v>46</v>
      </c>
      <c r="E24" s="68"/>
      <c r="F24" s="68">
        <f>MAX(F16:F22)</f>
        <v>5.4391959798994973</v>
      </c>
      <c r="G24" s="68"/>
      <c r="H24" s="68">
        <f>MAX(H16:H22)</f>
        <v>5.6375000000000002</v>
      </c>
    </row>
    <row r="25" spans="2:8" ht="16.5">
      <c r="B25" s="11"/>
      <c r="D25" s="308" t="s">
        <v>47</v>
      </c>
      <c r="E25" s="311"/>
      <c r="F25" s="311">
        <f t="shared" ref="F25:H25" si="3">MIN(F16:F22)</f>
        <v>0.79959183673469392</v>
      </c>
      <c r="G25" s="311"/>
      <c r="H25" s="311">
        <f t="shared" si="3"/>
        <v>1.4164383561643836</v>
      </c>
    </row>
    <row r="26" spans="2:8" ht="16.5">
      <c r="B26" s="11"/>
      <c r="D26" s="13" t="s">
        <v>18</v>
      </c>
      <c r="E26" s="69" t="s">
        <v>0</v>
      </c>
      <c r="F26" s="20">
        <f>MEDIAN(F16:F22)</f>
        <v>2.4162376237623762</v>
      </c>
      <c r="G26" s="69" t="s">
        <v>0</v>
      </c>
      <c r="H26" s="17">
        <f>MEDIAN(H16:H22)</f>
        <v>1.9112195121951219</v>
      </c>
    </row>
    <row r="27" spans="2:8" ht="16.5">
      <c r="B27" s="11"/>
      <c r="D27" s="13" t="s">
        <v>388</v>
      </c>
      <c r="E27" s="16" t="s">
        <v>0</v>
      </c>
      <c r="F27" s="18">
        <f>AVERAGE(F16:F22)</f>
        <v>2.7627768951778777</v>
      </c>
      <c r="G27" s="16" t="s">
        <v>0</v>
      </c>
      <c r="H27" s="17">
        <f>AVERAGE(H16:H22)</f>
        <v>2.6108551365508137</v>
      </c>
    </row>
    <row r="28" spans="2:8" ht="16.5">
      <c r="B28" s="11"/>
      <c r="C28" s="11"/>
      <c r="D28" s="11"/>
      <c r="E28" s="11"/>
      <c r="F28" s="11"/>
      <c r="G28" s="11"/>
      <c r="H28" s="11"/>
    </row>
    <row r="29" spans="2:8" ht="16.5">
      <c r="B29" s="11"/>
      <c r="C29" s="11"/>
      <c r="D29" s="11"/>
      <c r="E29" s="11"/>
      <c r="F29" s="11"/>
      <c r="G29" s="11"/>
      <c r="H29" s="11"/>
    </row>
    <row r="30" spans="2:8" ht="17.25" thickBot="1">
      <c r="B30" s="11"/>
      <c r="C30" s="11"/>
      <c r="D30" s="11"/>
      <c r="E30" s="11"/>
      <c r="F30" s="11"/>
      <c r="H30" s="11"/>
    </row>
    <row r="31" spans="2:8" ht="27" thickBot="1">
      <c r="B31" s="72" t="s">
        <v>0</v>
      </c>
      <c r="C31" s="11"/>
      <c r="D31" s="22" t="s">
        <v>119</v>
      </c>
      <c r="E31" s="22"/>
      <c r="F31" s="213">
        <v>2.76</v>
      </c>
      <c r="H31" s="213">
        <v>2.61</v>
      </c>
    </row>
    <row r="32" spans="2:8" ht="16.5">
      <c r="B32" s="72" t="s">
        <v>0</v>
      </c>
      <c r="C32" s="11"/>
      <c r="D32" s="11"/>
      <c r="E32" s="11"/>
      <c r="F32" s="11"/>
      <c r="H32" s="11"/>
    </row>
    <row r="33" spans="1:14" ht="16.5">
      <c r="B33" s="72"/>
      <c r="C33" s="11"/>
      <c r="D33" s="11"/>
      <c r="E33" s="11"/>
      <c r="F33" s="11"/>
      <c r="H33" s="11"/>
    </row>
    <row r="34" spans="1:14" ht="17.25">
      <c r="A34" s="103" t="s">
        <v>356</v>
      </c>
      <c r="B34" s="72"/>
      <c r="C34" s="11"/>
      <c r="D34" s="11"/>
      <c r="E34" s="11"/>
      <c r="F34" s="11"/>
      <c r="H34" s="11"/>
    </row>
    <row r="35" spans="1:14" ht="17.25">
      <c r="A35" s="103" t="s">
        <v>331</v>
      </c>
      <c r="B35" s="72"/>
      <c r="C35" s="11"/>
      <c r="D35" s="11"/>
      <c r="E35" s="11"/>
      <c r="F35" s="11"/>
      <c r="G35" s="11"/>
      <c r="H35" s="11"/>
    </row>
    <row r="36" spans="1:14" ht="16.5">
      <c r="B36" s="72"/>
      <c r="C36" s="11"/>
      <c r="D36" s="11"/>
      <c r="E36" s="11"/>
      <c r="F36" s="11"/>
      <c r="G36" s="11"/>
      <c r="H36" s="11"/>
    </row>
    <row r="37" spans="1:14" ht="17.25">
      <c r="A37" s="103" t="s">
        <v>357</v>
      </c>
      <c r="B37" s="72"/>
      <c r="C37" s="11"/>
      <c r="D37" s="11"/>
      <c r="E37" s="11"/>
      <c r="F37" s="11"/>
      <c r="G37" s="11"/>
      <c r="H37" s="11"/>
    </row>
    <row r="38" spans="1:14" ht="17.25">
      <c r="A38" s="103" t="s">
        <v>329</v>
      </c>
      <c r="B38" s="72"/>
      <c r="C38" s="11"/>
      <c r="D38" s="11"/>
      <c r="E38" s="11"/>
      <c r="F38" s="11"/>
      <c r="G38" s="11"/>
      <c r="H38" s="11"/>
    </row>
    <row r="39" spans="1:14" ht="17.25">
      <c r="A39" s="103" t="s">
        <v>330</v>
      </c>
      <c r="B39" s="72"/>
      <c r="C39" s="11"/>
      <c r="D39" s="11"/>
      <c r="E39" s="11"/>
      <c r="F39" s="11"/>
      <c r="G39" s="11"/>
      <c r="H39" s="11"/>
    </row>
    <row r="40" spans="1:14" ht="16.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6.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6.5">
      <c r="B42" s="72"/>
      <c r="C42" s="11"/>
      <c r="D42" s="11"/>
      <c r="E42" s="11"/>
      <c r="F42" s="11"/>
      <c r="G42" s="11"/>
      <c r="H42" s="11"/>
    </row>
    <row r="46" spans="1:14" ht="17.25">
      <c r="A46" s="103"/>
      <c r="B46" s="251"/>
      <c r="C46" s="250" t="s">
        <v>0</v>
      </c>
    </row>
    <row r="47" spans="1:14" ht="17.25">
      <c r="C47" s="250" t="s">
        <v>0</v>
      </c>
    </row>
    <row r="48" spans="1:14" ht="17.25">
      <c r="C48" s="250" t="s">
        <v>0</v>
      </c>
    </row>
  </sheetData>
  <pageMargins left="0.25" right="0.25" top="0.75" bottom="0.75" header="0.3" footer="0.3"/>
  <pageSetup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X11" sqref="X11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22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spans="1:11" ht="17.25">
      <c r="A2" s="23" t="s">
        <v>9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ht="17.25" customHeight="1">
      <c r="A3" s="24" t="s">
        <v>421</v>
      </c>
      <c r="C3" s="11"/>
      <c r="D3" s="11"/>
      <c r="E3" s="11"/>
      <c r="F3" s="11"/>
      <c r="G3" s="11"/>
      <c r="H3" s="11"/>
      <c r="I3" s="11"/>
      <c r="J3" s="11"/>
      <c r="K3" s="11"/>
    </row>
    <row r="4" spans="1:11" ht="17.25" customHeight="1">
      <c r="B4" s="24"/>
      <c r="C4" s="11"/>
      <c r="D4" s="11"/>
      <c r="E4" s="11"/>
      <c r="F4" s="11"/>
      <c r="G4" s="11"/>
      <c r="H4" s="11"/>
      <c r="I4" s="11"/>
      <c r="J4" s="11"/>
      <c r="K4" s="11"/>
    </row>
    <row r="5" spans="1:11" ht="17.25" customHeight="1">
      <c r="B5" s="137"/>
      <c r="C5" s="11"/>
      <c r="D5" s="11"/>
      <c r="E5" s="11"/>
      <c r="F5" s="11"/>
      <c r="G5" s="11"/>
      <c r="H5" s="11"/>
      <c r="I5" s="11"/>
      <c r="J5" s="11"/>
      <c r="K5" s="11"/>
    </row>
    <row r="6" spans="1:11" ht="17.25" customHeight="1">
      <c r="B6" s="137"/>
      <c r="C6" s="11"/>
      <c r="D6" s="11"/>
      <c r="E6" s="11"/>
      <c r="F6" s="11"/>
      <c r="G6" s="11"/>
      <c r="H6" s="11"/>
      <c r="I6" s="11"/>
      <c r="J6" s="11"/>
      <c r="K6" s="11"/>
    </row>
    <row r="7" spans="1:11" ht="17.25" customHeight="1">
      <c r="B7" s="137"/>
      <c r="C7" s="11"/>
      <c r="D7" s="11"/>
      <c r="E7" s="11"/>
      <c r="F7" s="11"/>
      <c r="G7" s="11"/>
      <c r="H7" s="11"/>
      <c r="I7" s="11"/>
      <c r="J7" s="11"/>
      <c r="K7" s="11"/>
    </row>
    <row r="8" spans="1:11" ht="16.5">
      <c r="B8" s="24"/>
      <c r="C8" s="11"/>
      <c r="D8" s="11"/>
      <c r="E8" s="11"/>
      <c r="F8" s="11"/>
      <c r="G8" s="11"/>
      <c r="H8" s="11"/>
      <c r="I8" s="11"/>
      <c r="J8" s="11"/>
      <c r="K8" s="11"/>
    </row>
    <row r="9" spans="1:11" ht="20.25">
      <c r="B9" s="11"/>
      <c r="C9" s="11"/>
      <c r="D9" s="75" t="s">
        <v>0</v>
      </c>
      <c r="E9" s="11"/>
      <c r="F9" s="11"/>
      <c r="G9" s="11"/>
      <c r="H9" s="11"/>
      <c r="I9" s="11"/>
      <c r="J9" s="11"/>
      <c r="K9" s="11"/>
    </row>
    <row r="10" spans="1:11" ht="20.25">
      <c r="B10" s="11"/>
      <c r="C10" s="11"/>
      <c r="D10" s="75" t="s">
        <v>64</v>
      </c>
      <c r="E10" s="11"/>
      <c r="F10" s="11"/>
      <c r="G10" s="11"/>
      <c r="H10" s="11"/>
      <c r="I10" s="11"/>
      <c r="J10" s="11"/>
      <c r="K10" s="11"/>
    </row>
    <row r="11" spans="1:11" ht="16.5"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6.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6.5">
      <c r="B13" s="11"/>
      <c r="C13" s="11"/>
      <c r="D13" s="11"/>
      <c r="E13" s="25"/>
      <c r="F13" s="11"/>
      <c r="G13" s="11"/>
      <c r="H13" s="11"/>
      <c r="I13" s="11"/>
      <c r="J13" s="11"/>
      <c r="K13" s="11"/>
    </row>
    <row r="14" spans="1:11" ht="16.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7.25" thickBot="1">
      <c r="B15" s="11"/>
      <c r="C15" s="27"/>
      <c r="D15" s="27"/>
      <c r="E15" s="27"/>
      <c r="F15" s="11"/>
      <c r="G15" s="11"/>
      <c r="H15" s="11"/>
      <c r="I15" s="11"/>
      <c r="J15" s="11"/>
      <c r="K15" s="11"/>
    </row>
    <row r="16" spans="1:11" ht="26.25">
      <c r="B16" s="11"/>
      <c r="C16" s="11"/>
      <c r="D16" s="30" t="str">
        <f>+'S&amp;D'!A12</f>
        <v>Natural Gas Transmission Pipeline Carrier</v>
      </c>
      <c r="E16" s="11"/>
      <c r="F16" s="11"/>
      <c r="G16" s="11"/>
      <c r="H16" s="11"/>
      <c r="I16" s="11"/>
      <c r="J16" s="11"/>
      <c r="K16" s="11"/>
    </row>
    <row r="17" spans="2:11" ht="17.25" thickBot="1">
      <c r="B17" s="11"/>
      <c r="C17" s="27"/>
      <c r="D17" s="35" t="s">
        <v>0</v>
      </c>
      <c r="E17" s="27"/>
      <c r="F17" s="11"/>
      <c r="G17" s="11"/>
      <c r="H17" s="11"/>
      <c r="I17" s="11"/>
      <c r="J17" s="11"/>
      <c r="K17" s="11"/>
    </row>
    <row r="18" spans="2:11" ht="17.25" thickBot="1">
      <c r="B18" s="27"/>
      <c r="C18" s="27"/>
      <c r="D18" s="35" t="s">
        <v>0</v>
      </c>
      <c r="E18" s="27"/>
      <c r="F18" s="27"/>
      <c r="G18" s="27"/>
      <c r="H18" s="11"/>
      <c r="I18" s="11"/>
      <c r="J18" s="11"/>
      <c r="K18" s="11"/>
    </row>
    <row r="19" spans="2:11" ht="16.5">
      <c r="B19" s="33" t="s">
        <v>32</v>
      </c>
      <c r="C19" s="33" t="s">
        <v>33</v>
      </c>
      <c r="D19" s="33" t="s">
        <v>34</v>
      </c>
      <c r="E19" s="33" t="s">
        <v>68</v>
      </c>
      <c r="F19" s="33" t="s">
        <v>34</v>
      </c>
      <c r="G19" s="33" t="s">
        <v>35</v>
      </c>
      <c r="H19" s="11"/>
      <c r="I19" s="11"/>
      <c r="J19" s="11"/>
      <c r="K19" s="11"/>
    </row>
    <row r="20" spans="2:11" ht="17.25" thickBot="1">
      <c r="B20" s="35" t="s">
        <v>33</v>
      </c>
      <c r="C20" s="35" t="s">
        <v>36</v>
      </c>
      <c r="D20" s="35" t="s">
        <v>37</v>
      </c>
      <c r="E20" s="35" t="s">
        <v>23</v>
      </c>
      <c r="F20" s="35" t="s">
        <v>38</v>
      </c>
      <c r="G20" s="35" t="s">
        <v>39</v>
      </c>
      <c r="H20" s="11"/>
      <c r="I20" s="11"/>
      <c r="J20" s="11"/>
      <c r="K20" s="11"/>
    </row>
    <row r="21" spans="2:11" ht="16.5">
      <c r="B21" s="37" t="s">
        <v>0</v>
      </c>
      <c r="C21" s="37" t="s">
        <v>0</v>
      </c>
      <c r="D21" s="37" t="s">
        <v>0</v>
      </c>
      <c r="E21" s="37" t="s">
        <v>0</v>
      </c>
      <c r="F21" s="37" t="s">
        <v>0</v>
      </c>
      <c r="G21" s="37" t="s">
        <v>0</v>
      </c>
      <c r="H21" s="11"/>
      <c r="I21" s="11"/>
      <c r="J21" s="11"/>
      <c r="K21" s="11"/>
    </row>
    <row r="22" spans="2:11" ht="16.5">
      <c r="B22" s="33"/>
      <c r="C22" s="33"/>
      <c r="D22" s="33"/>
      <c r="E22" s="33"/>
      <c r="F22" s="33"/>
      <c r="G22" s="33"/>
      <c r="H22" s="11"/>
      <c r="I22" s="11"/>
      <c r="J22" s="11"/>
      <c r="K22" s="11"/>
    </row>
    <row r="23" spans="2:11" ht="17.25">
      <c r="B23" s="87" t="s">
        <v>40</v>
      </c>
      <c r="C23" s="129">
        <f>'S&amp;D'!I49</f>
        <v>0.62</v>
      </c>
      <c r="D23" s="129">
        <f>+'Indicated Yield Equity Rate '!D52</f>
        <v>0.1031</v>
      </c>
      <c r="E23" s="100" t="s">
        <v>41</v>
      </c>
      <c r="F23" s="129">
        <f>+D23</f>
        <v>0.1031</v>
      </c>
      <c r="G23" s="130">
        <f>+F23*C23</f>
        <v>6.3921999999999993E-2</v>
      </c>
      <c r="H23" s="11"/>
      <c r="I23" s="11"/>
      <c r="J23" s="11"/>
      <c r="K23" s="11"/>
    </row>
    <row r="24" spans="2:11" ht="17.25">
      <c r="B24" s="87" t="s">
        <v>0</v>
      </c>
      <c r="C24" s="100" t="s">
        <v>0</v>
      </c>
      <c r="D24" s="100" t="s">
        <v>0</v>
      </c>
      <c r="E24" s="100" t="s">
        <v>0</v>
      </c>
      <c r="F24" s="131" t="s">
        <v>0</v>
      </c>
      <c r="G24" s="119" t="s">
        <v>0</v>
      </c>
      <c r="H24" s="11"/>
      <c r="I24" s="11"/>
      <c r="J24" s="11"/>
      <c r="K24" s="11"/>
    </row>
    <row r="25" spans="2:11" ht="17.25">
      <c r="B25" s="87" t="s">
        <v>42</v>
      </c>
      <c r="C25" s="129">
        <f>'S&amp;D'!J49</f>
        <v>0.38</v>
      </c>
      <c r="D25" s="129">
        <f>+Debt!J29</f>
        <v>5.7599999999999998E-2</v>
      </c>
      <c r="E25" s="129">
        <v>0.26</v>
      </c>
      <c r="F25" s="129">
        <f>+D25*(1-E25)</f>
        <v>4.2623999999999995E-2</v>
      </c>
      <c r="G25" s="130">
        <f>+C25*F25</f>
        <v>1.6197119999999999E-2</v>
      </c>
      <c r="H25" s="11"/>
      <c r="I25" s="11"/>
      <c r="J25" s="11"/>
      <c r="K25" s="11"/>
    </row>
    <row r="26" spans="2:11" ht="18" thickBot="1">
      <c r="B26" s="94" t="s">
        <v>0</v>
      </c>
      <c r="C26" s="94" t="s">
        <v>0</v>
      </c>
      <c r="D26" s="94" t="s">
        <v>0</v>
      </c>
      <c r="E26" s="94" t="s">
        <v>0</v>
      </c>
      <c r="F26" s="132" t="s">
        <v>0</v>
      </c>
      <c r="G26" s="133" t="s">
        <v>0</v>
      </c>
      <c r="H26" s="11"/>
      <c r="I26" s="11"/>
      <c r="J26" s="11"/>
      <c r="K26" s="11"/>
    </row>
    <row r="27" spans="2:11" ht="17.25">
      <c r="B27" s="87" t="s">
        <v>71</v>
      </c>
      <c r="C27" s="134">
        <f>+C23+C25</f>
        <v>1</v>
      </c>
      <c r="D27" s="87" t="s">
        <v>0</v>
      </c>
      <c r="E27" s="87" t="s">
        <v>0</v>
      </c>
      <c r="F27" s="135" t="s">
        <v>0</v>
      </c>
      <c r="G27" s="130">
        <f>+G23+G25</f>
        <v>8.0119119999999988E-2</v>
      </c>
      <c r="H27" s="11"/>
      <c r="I27" s="11"/>
      <c r="J27" s="11"/>
      <c r="K27" s="11"/>
    </row>
    <row r="28" spans="2:11" ht="18" thickBot="1">
      <c r="B28" s="60"/>
      <c r="C28" s="60"/>
      <c r="D28" s="60"/>
      <c r="E28" s="60"/>
      <c r="F28" s="60"/>
      <c r="G28" s="136"/>
      <c r="H28" s="11"/>
      <c r="I28" s="11"/>
      <c r="J28" s="11"/>
      <c r="K28" s="11"/>
    </row>
    <row r="29" spans="2:11" ht="18" thickBot="1">
      <c r="B29" s="11"/>
      <c r="C29" s="11"/>
      <c r="D29" s="11"/>
      <c r="E29" s="11"/>
      <c r="F29" s="184" t="s">
        <v>74</v>
      </c>
      <c r="G29" s="279">
        <v>8.0100000000000005E-2</v>
      </c>
      <c r="H29" s="11"/>
      <c r="I29" s="11"/>
      <c r="J29" s="11"/>
      <c r="K29" s="11"/>
    </row>
    <row r="30" spans="2:11" ht="16.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6.5">
      <c r="B31" s="11"/>
      <c r="C31" s="11"/>
      <c r="D31" s="11"/>
      <c r="E31" s="11"/>
      <c r="F31" s="11"/>
      <c r="G31" s="11"/>
      <c r="H31" s="11"/>
      <c r="I31" s="11"/>
      <c r="J31" s="11"/>
      <c r="K31" s="11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37" zoomScale="80" zoomScaleNormal="80" zoomScaleSheetLayoutView="80" workbookViewId="0">
      <selection activeCell="G63" sqref="G63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22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spans="1:11" ht="17.25">
      <c r="A2" s="23" t="s">
        <v>9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ht="16.5">
      <c r="A3" s="24" t="s">
        <v>421</v>
      </c>
      <c r="C3" s="11"/>
      <c r="D3" s="11"/>
      <c r="E3" s="11"/>
      <c r="F3" s="11"/>
      <c r="G3" s="11"/>
      <c r="H3" s="11"/>
      <c r="I3" s="11"/>
      <c r="J3" s="11"/>
      <c r="K3" s="11"/>
    </row>
    <row r="4" spans="1:11" ht="16.5">
      <c r="B4" s="24"/>
      <c r="C4" s="11"/>
      <c r="D4" s="11"/>
      <c r="E4" s="11"/>
      <c r="F4" s="11"/>
      <c r="G4" s="11"/>
      <c r="H4" s="11"/>
      <c r="I4" s="11"/>
      <c r="J4" s="11"/>
      <c r="K4" s="11"/>
    </row>
    <row r="5" spans="1:11" ht="16.5">
      <c r="B5" s="24"/>
      <c r="C5" s="11"/>
      <c r="D5" s="11"/>
      <c r="E5" s="11"/>
      <c r="F5" s="11"/>
      <c r="G5" s="11"/>
      <c r="H5" s="11"/>
      <c r="I5" s="11"/>
      <c r="J5" s="11"/>
      <c r="K5" s="11"/>
    </row>
    <row r="6" spans="1:11" ht="16.5">
      <c r="B6" s="24"/>
      <c r="C6" s="11"/>
      <c r="D6" s="11"/>
      <c r="E6" s="11"/>
      <c r="F6" s="11"/>
      <c r="G6" s="11"/>
      <c r="H6" s="11"/>
      <c r="I6" s="11"/>
      <c r="J6" s="11"/>
      <c r="K6" s="11"/>
    </row>
    <row r="7" spans="1:11" ht="16.5">
      <c r="B7" s="24"/>
      <c r="C7" s="11"/>
      <c r="D7" s="11"/>
      <c r="E7" s="11"/>
      <c r="F7" s="11"/>
      <c r="G7" s="11"/>
      <c r="H7" s="11"/>
      <c r="I7" s="11"/>
      <c r="J7" s="11"/>
      <c r="K7" s="11"/>
    </row>
    <row r="8" spans="1:11" ht="16.5">
      <c r="B8" s="24"/>
      <c r="C8" s="11"/>
      <c r="D8" s="11"/>
      <c r="E8" s="11"/>
      <c r="F8" s="11"/>
      <c r="G8" s="11"/>
      <c r="H8" s="11"/>
      <c r="I8" s="11"/>
      <c r="J8" s="11"/>
      <c r="K8" s="11"/>
    </row>
    <row r="9" spans="1:11" ht="16.5">
      <c r="B9" s="24"/>
      <c r="C9" s="11"/>
      <c r="D9" s="11"/>
      <c r="E9" s="11"/>
      <c r="F9" s="11"/>
      <c r="G9" s="11"/>
      <c r="H9" s="11"/>
      <c r="I9" s="11"/>
      <c r="J9" s="11"/>
      <c r="K9" s="11"/>
    </row>
    <row r="10" spans="1:11" ht="20.25">
      <c r="B10" s="11"/>
      <c r="C10" s="11"/>
      <c r="D10" s="75" t="s">
        <v>0</v>
      </c>
      <c r="E10" s="11"/>
      <c r="F10" s="11"/>
      <c r="G10" s="11"/>
      <c r="H10" s="11"/>
      <c r="I10" s="11"/>
      <c r="J10" s="11"/>
      <c r="K10" s="11"/>
    </row>
    <row r="11" spans="1:11" ht="20.25">
      <c r="B11" s="11"/>
      <c r="C11" s="11"/>
      <c r="D11" s="75" t="s">
        <v>63</v>
      </c>
      <c r="E11" s="11"/>
      <c r="F11" s="11"/>
      <c r="G11" s="11"/>
      <c r="H11" s="11"/>
      <c r="I11" s="11"/>
      <c r="J11" s="11"/>
      <c r="K11" s="11"/>
    </row>
    <row r="12" spans="1:11" ht="16.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6.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7.25" thickBot="1">
      <c r="B14" s="11"/>
      <c r="C14" s="27"/>
      <c r="D14" s="27"/>
      <c r="E14" s="27"/>
      <c r="F14" s="11"/>
      <c r="G14" s="11"/>
      <c r="H14" s="11"/>
      <c r="I14" s="11"/>
      <c r="J14" s="11"/>
      <c r="K14" s="11"/>
    </row>
    <row r="15" spans="1:11" ht="26.25">
      <c r="B15" s="11"/>
      <c r="C15" s="11"/>
      <c r="D15" s="30" t="str">
        <f>'S&amp;D'!A12</f>
        <v>Natural Gas Transmission Pipeline Carrier</v>
      </c>
      <c r="E15" s="11"/>
      <c r="F15" s="11"/>
      <c r="G15" s="11"/>
      <c r="H15" s="11"/>
      <c r="I15" s="11"/>
      <c r="J15" s="11"/>
      <c r="K15" s="11"/>
    </row>
    <row r="16" spans="1:11" ht="21" thickBot="1">
      <c r="B16" s="11"/>
      <c r="C16" s="27"/>
      <c r="D16" s="128" t="s">
        <v>70</v>
      </c>
      <c r="E16" s="27"/>
      <c r="F16" s="11"/>
      <c r="G16" s="11"/>
      <c r="H16" s="11"/>
      <c r="I16" s="11"/>
      <c r="J16" s="11"/>
      <c r="K16" s="11"/>
    </row>
    <row r="17" spans="2:11" ht="16.5">
      <c r="H17" s="11"/>
      <c r="I17" s="11"/>
      <c r="J17" s="11"/>
      <c r="K17" s="11"/>
    </row>
    <row r="18" spans="2:11" ht="17.25" thickBot="1">
      <c r="B18" s="27"/>
      <c r="C18" s="27"/>
      <c r="D18" s="35" t="s">
        <v>0</v>
      </c>
      <c r="E18" s="27"/>
      <c r="F18" s="27"/>
      <c r="G18" s="27"/>
      <c r="H18" s="11"/>
      <c r="I18" s="11"/>
      <c r="J18" s="11"/>
      <c r="K18" s="11"/>
    </row>
    <row r="19" spans="2:11" ht="16.5">
      <c r="B19" s="33" t="s">
        <v>32</v>
      </c>
      <c r="C19" s="33" t="s">
        <v>33</v>
      </c>
      <c r="D19" s="33" t="s">
        <v>67</v>
      </c>
      <c r="E19" s="33" t="s">
        <v>68</v>
      </c>
      <c r="F19" s="33" t="s">
        <v>66</v>
      </c>
      <c r="G19" s="33" t="s">
        <v>35</v>
      </c>
      <c r="H19" s="11"/>
      <c r="I19" s="11"/>
      <c r="J19" s="11"/>
      <c r="K19" s="11"/>
    </row>
    <row r="20" spans="2:11" ht="17.25" thickBot="1">
      <c r="B20" s="35" t="s">
        <v>33</v>
      </c>
      <c r="C20" s="35" t="s">
        <v>36</v>
      </c>
      <c r="D20" s="35" t="s">
        <v>37</v>
      </c>
      <c r="E20" s="35" t="s">
        <v>23</v>
      </c>
      <c r="F20" s="35" t="s">
        <v>38</v>
      </c>
      <c r="G20" s="35" t="s">
        <v>69</v>
      </c>
      <c r="H20" s="11"/>
      <c r="I20" s="11"/>
      <c r="J20" s="11"/>
      <c r="K20" s="11"/>
    </row>
    <row r="21" spans="2:11" ht="16.5">
      <c r="B21" s="37" t="s">
        <v>0</v>
      </c>
      <c r="C21" s="37" t="s">
        <v>0</v>
      </c>
      <c r="D21" s="37" t="s">
        <v>0</v>
      </c>
      <c r="E21" s="37" t="s">
        <v>0</v>
      </c>
      <c r="F21" s="37" t="s">
        <v>0</v>
      </c>
      <c r="G21" s="37" t="s">
        <v>0</v>
      </c>
      <c r="H21" s="11"/>
      <c r="I21" s="11"/>
      <c r="J21" s="11"/>
      <c r="K21" s="11"/>
    </row>
    <row r="22" spans="2:11" ht="16.5">
      <c r="B22" s="33"/>
      <c r="C22" s="33"/>
      <c r="D22" s="33"/>
      <c r="E22" s="33"/>
      <c r="F22" s="33"/>
      <c r="G22" s="33"/>
      <c r="H22" s="11"/>
      <c r="I22" s="11"/>
      <c r="J22" s="11"/>
      <c r="K22" s="11"/>
    </row>
    <row r="23" spans="2:11" ht="17.25">
      <c r="B23" s="87" t="s">
        <v>40</v>
      </c>
      <c r="C23" s="129">
        <f>'S&amp;D'!I49</f>
        <v>0.62</v>
      </c>
      <c r="D23" s="129">
        <f>+'Direct NOPAT'!J33</f>
        <v>6.5750000000000003E-2</v>
      </c>
      <c r="E23" s="100" t="s">
        <v>41</v>
      </c>
      <c r="F23" s="129">
        <f>+D23</f>
        <v>6.5750000000000003E-2</v>
      </c>
      <c r="G23" s="130">
        <f>+F23*C23</f>
        <v>4.0765000000000003E-2</v>
      </c>
      <c r="H23" s="11"/>
      <c r="I23" s="11"/>
      <c r="J23" s="11"/>
      <c r="K23" s="11"/>
    </row>
    <row r="24" spans="2:11" ht="17.25">
      <c r="B24" s="87" t="s">
        <v>0</v>
      </c>
      <c r="C24" s="100" t="s">
        <v>0</v>
      </c>
      <c r="D24" s="100" t="s">
        <v>0</v>
      </c>
      <c r="E24" s="100" t="s">
        <v>0</v>
      </c>
      <c r="F24" s="131" t="s">
        <v>0</v>
      </c>
      <c r="G24" s="119" t="s">
        <v>0</v>
      </c>
      <c r="H24" s="11"/>
      <c r="I24" s="11"/>
      <c r="J24" s="11"/>
      <c r="K24" s="11"/>
    </row>
    <row r="25" spans="2:11" ht="17.25">
      <c r="B25" s="87" t="s">
        <v>42</v>
      </c>
      <c r="C25" s="129">
        <f>'S&amp;D'!J49</f>
        <v>0.38</v>
      </c>
      <c r="D25" s="129">
        <f>+Debt!J29</f>
        <v>5.7599999999999998E-2</v>
      </c>
      <c r="E25" s="129">
        <v>0.26</v>
      </c>
      <c r="F25" s="129">
        <f>+D25*(1-E25)</f>
        <v>4.2623999999999995E-2</v>
      </c>
      <c r="G25" s="130">
        <f>+C25*F25</f>
        <v>1.6197119999999999E-2</v>
      </c>
      <c r="H25" s="11"/>
      <c r="I25" s="11"/>
      <c r="J25" s="11"/>
      <c r="K25" s="11"/>
    </row>
    <row r="26" spans="2:11" ht="18" thickBot="1">
      <c r="B26" s="94" t="s">
        <v>0</v>
      </c>
      <c r="C26" s="94" t="s">
        <v>0</v>
      </c>
      <c r="D26" s="94" t="s">
        <v>0</v>
      </c>
      <c r="E26" s="94" t="s">
        <v>0</v>
      </c>
      <c r="F26" s="132" t="s">
        <v>0</v>
      </c>
      <c r="G26" s="133" t="s">
        <v>0</v>
      </c>
      <c r="H26" s="11"/>
      <c r="I26" s="11"/>
      <c r="J26" s="11"/>
      <c r="K26" s="11"/>
    </row>
    <row r="27" spans="2:11" ht="17.25">
      <c r="B27" s="87" t="s">
        <v>43</v>
      </c>
      <c r="C27" s="134">
        <f>+C23+C25</f>
        <v>1</v>
      </c>
      <c r="D27" s="87" t="s">
        <v>0</v>
      </c>
      <c r="E27" s="87" t="s">
        <v>0</v>
      </c>
      <c r="F27" s="135" t="s">
        <v>0</v>
      </c>
      <c r="G27" s="130">
        <f>+G23+G25</f>
        <v>5.6962120000000005E-2</v>
      </c>
      <c r="H27" s="11"/>
      <c r="I27" s="11"/>
      <c r="J27" s="11"/>
      <c r="K27" s="11"/>
    </row>
    <row r="28" spans="2:11" ht="18" thickBot="1">
      <c r="B28" s="60"/>
      <c r="C28" s="60"/>
      <c r="D28" s="60"/>
      <c r="E28" s="60"/>
      <c r="F28" s="60"/>
      <c r="G28" s="136"/>
      <c r="H28" s="11"/>
      <c r="I28" s="11"/>
      <c r="J28" s="11"/>
      <c r="K28" s="11"/>
    </row>
    <row r="29" spans="2:11" ht="18" thickBot="1">
      <c r="B29" s="11"/>
      <c r="C29" s="11"/>
      <c r="D29" s="11"/>
      <c r="E29" s="11"/>
      <c r="F29" s="184" t="s">
        <v>74</v>
      </c>
      <c r="G29" s="279">
        <v>5.7000000000000002E-2</v>
      </c>
      <c r="H29" s="11"/>
      <c r="I29" s="11"/>
      <c r="J29" s="11"/>
      <c r="K29" s="11"/>
    </row>
    <row r="30" spans="2:11" ht="18" thickBot="1">
      <c r="B30" s="11"/>
      <c r="C30" s="11"/>
      <c r="D30" s="11"/>
      <c r="E30" s="11"/>
      <c r="F30" s="135"/>
      <c r="G30" s="130"/>
      <c r="H30" s="11"/>
      <c r="I30" s="11"/>
      <c r="J30" s="11"/>
      <c r="K30" s="11"/>
    </row>
    <row r="31" spans="2:11" ht="18" thickBot="1">
      <c r="B31" s="11"/>
      <c r="C31" s="11"/>
      <c r="D31" s="11"/>
      <c r="E31" s="11"/>
      <c r="F31" s="184" t="s">
        <v>223</v>
      </c>
      <c r="G31" s="214">
        <f>1/G29</f>
        <v>17.543859649122805</v>
      </c>
      <c r="H31" s="11"/>
      <c r="I31" s="11"/>
      <c r="J31" s="11"/>
      <c r="K31" s="11"/>
    </row>
    <row r="32" spans="2:11" ht="17.25">
      <c r="B32" s="11"/>
      <c r="C32" s="11"/>
      <c r="D32" s="11"/>
      <c r="E32" s="11"/>
      <c r="F32" s="135"/>
      <c r="G32" s="130"/>
      <c r="H32" s="11"/>
      <c r="I32" s="11"/>
      <c r="J32" s="11"/>
      <c r="K32" s="11"/>
    </row>
    <row r="33" spans="1:11" ht="17.25">
      <c r="B33" s="11"/>
      <c r="C33" s="11"/>
      <c r="D33" s="11"/>
      <c r="E33" s="11"/>
      <c r="F33" s="135"/>
      <c r="G33" s="130"/>
      <c r="H33" s="11"/>
      <c r="I33" s="11"/>
      <c r="J33" s="11"/>
      <c r="K33" s="11"/>
    </row>
    <row r="34" spans="1:11" ht="26.25">
      <c r="A34" s="22" t="s">
        <v>1</v>
      </c>
      <c r="C34" s="11"/>
      <c r="D34" s="11"/>
      <c r="E34" s="11"/>
      <c r="F34" s="135"/>
      <c r="G34" s="130"/>
      <c r="H34" s="11"/>
      <c r="I34" s="11"/>
      <c r="J34" s="11"/>
      <c r="K34" s="11"/>
    </row>
    <row r="35" spans="1:11" ht="17.25">
      <c r="A35" s="23" t="s">
        <v>9</v>
      </c>
      <c r="C35" s="11"/>
      <c r="D35" s="11"/>
      <c r="E35" s="11"/>
      <c r="F35" s="135"/>
      <c r="G35" s="130"/>
      <c r="H35" s="11"/>
      <c r="I35" s="11"/>
      <c r="J35" s="11"/>
      <c r="K35" s="11"/>
    </row>
    <row r="36" spans="1:11" ht="17.25">
      <c r="A36" s="24" t="s">
        <v>421</v>
      </c>
      <c r="C36" s="11"/>
      <c r="D36" s="11"/>
      <c r="E36" s="11"/>
      <c r="F36" s="135"/>
      <c r="G36" s="130"/>
      <c r="H36" s="11"/>
      <c r="I36" s="11"/>
      <c r="J36" s="11"/>
      <c r="K36" s="11"/>
    </row>
    <row r="37" spans="1:11" ht="17.25">
      <c r="A37" s="24"/>
      <c r="C37" s="11"/>
      <c r="D37" s="11"/>
      <c r="E37" s="11"/>
      <c r="F37" s="135"/>
      <c r="G37" s="130"/>
      <c r="H37" s="11"/>
      <c r="I37" s="11"/>
      <c r="J37" s="11"/>
      <c r="K37" s="11"/>
    </row>
    <row r="38" spans="1:11" ht="17.25">
      <c r="A38" s="24"/>
      <c r="C38" s="11"/>
      <c r="D38" s="11"/>
      <c r="E38" s="11"/>
      <c r="F38" s="135"/>
      <c r="G38" s="130"/>
      <c r="H38" s="11"/>
      <c r="I38" s="11"/>
      <c r="J38" s="11"/>
      <c r="K38" s="11"/>
    </row>
    <row r="39" spans="1:11" ht="17.25">
      <c r="A39" s="24"/>
      <c r="C39" s="11"/>
      <c r="D39" s="11"/>
      <c r="E39" s="11"/>
      <c r="F39" s="135"/>
      <c r="G39" s="130"/>
      <c r="H39" s="11"/>
      <c r="I39" s="11"/>
      <c r="J39" s="11"/>
      <c r="K39" s="11"/>
    </row>
    <row r="40" spans="1:11" ht="17.25">
      <c r="A40" s="24"/>
      <c r="C40" s="11"/>
      <c r="D40" s="11"/>
      <c r="E40" s="11"/>
      <c r="F40" s="135"/>
      <c r="G40" s="130"/>
      <c r="H40" s="11"/>
      <c r="I40" s="11"/>
      <c r="J40" s="11"/>
      <c r="K40" s="11"/>
    </row>
    <row r="41" spans="1:11" ht="17.25">
      <c r="A41" s="24"/>
      <c r="C41" s="11"/>
      <c r="D41" s="11"/>
      <c r="E41" s="11"/>
      <c r="F41" s="135"/>
      <c r="G41" s="130"/>
      <c r="H41" s="11"/>
      <c r="I41" s="11"/>
      <c r="J41" s="11"/>
      <c r="K41" s="11"/>
    </row>
    <row r="42" spans="1:11" ht="17.25">
      <c r="A42" s="24"/>
      <c r="C42" s="11"/>
      <c r="D42" s="11"/>
      <c r="E42" s="11"/>
      <c r="F42" s="135"/>
      <c r="G42" s="130"/>
      <c r="H42" s="11"/>
      <c r="I42" s="11"/>
      <c r="J42" s="11"/>
      <c r="K42" s="11"/>
    </row>
    <row r="43" spans="1:11" ht="17.25">
      <c r="A43" s="24"/>
      <c r="C43" s="11"/>
      <c r="D43" s="11"/>
      <c r="E43" s="11"/>
      <c r="F43" s="135"/>
      <c r="G43" s="130"/>
      <c r="H43" s="11"/>
      <c r="I43" s="11"/>
      <c r="J43" s="11"/>
      <c r="K43" s="11"/>
    </row>
    <row r="44" spans="1:11" ht="20.25">
      <c r="A44" s="24"/>
      <c r="C44" s="11"/>
      <c r="D44" s="75" t="s">
        <v>63</v>
      </c>
      <c r="E44" s="11"/>
      <c r="F44" s="135"/>
      <c r="G44" s="130"/>
      <c r="H44" s="11"/>
      <c r="I44" s="11"/>
      <c r="J44" s="11"/>
      <c r="K44" s="11"/>
    </row>
    <row r="45" spans="1:11" ht="20.25">
      <c r="A45" s="24"/>
      <c r="C45" s="11"/>
      <c r="D45" s="75"/>
      <c r="E45" s="11"/>
      <c r="F45" s="135"/>
      <c r="G45" s="130"/>
      <c r="H45" s="11"/>
      <c r="I45" s="11"/>
      <c r="J45" s="11"/>
      <c r="K45" s="11"/>
    </row>
    <row r="46" spans="1:11" ht="20.25">
      <c r="A46" s="24"/>
      <c r="C46" s="11"/>
      <c r="D46" s="75"/>
      <c r="E46" s="11"/>
      <c r="F46" s="135"/>
      <c r="G46" s="130"/>
      <c r="H46" s="11"/>
      <c r="I46" s="11"/>
      <c r="J46" s="11"/>
      <c r="K46" s="11"/>
    </row>
    <row r="47" spans="1:11" ht="17.25" thickBot="1">
      <c r="B47" s="11"/>
      <c r="C47" s="27"/>
      <c r="D47" s="27"/>
      <c r="E47" s="27"/>
      <c r="F47" s="11"/>
      <c r="G47" s="11"/>
      <c r="H47" s="11"/>
      <c r="I47" s="11"/>
      <c r="J47" s="11"/>
      <c r="K47" s="11"/>
    </row>
    <row r="48" spans="1:11" ht="26.25">
      <c r="B48" s="11"/>
      <c r="C48" s="11"/>
      <c r="D48" s="30" t="str">
        <f>+'S&amp;D'!A12</f>
        <v>Natural Gas Transmission Pipeline Carrier</v>
      </c>
      <c r="E48" s="11"/>
      <c r="F48" s="11"/>
      <c r="G48" s="11"/>
      <c r="H48" s="11"/>
      <c r="I48" s="11"/>
      <c r="J48" s="11"/>
      <c r="K48" s="11"/>
    </row>
    <row r="49" spans="2:11" ht="21" thickBot="1">
      <c r="B49" s="11"/>
      <c r="C49" s="27"/>
      <c r="D49" s="128" t="s">
        <v>65</v>
      </c>
      <c r="E49" s="27"/>
      <c r="F49" s="11"/>
      <c r="G49" s="11"/>
      <c r="H49" s="11"/>
      <c r="I49" s="11"/>
      <c r="J49" s="11"/>
      <c r="K49" s="11"/>
    </row>
    <row r="50" spans="2:11" ht="16.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7.25" thickBot="1">
      <c r="B51" s="27"/>
      <c r="C51" s="27"/>
      <c r="D51" s="35" t="s">
        <v>0</v>
      </c>
      <c r="E51" s="27"/>
      <c r="F51" s="27"/>
      <c r="G51" s="27"/>
      <c r="H51" s="11"/>
      <c r="I51" s="11"/>
      <c r="J51" s="11"/>
      <c r="K51" s="11"/>
    </row>
    <row r="52" spans="2:11" ht="16.5">
      <c r="B52" s="33" t="s">
        <v>32</v>
      </c>
      <c r="C52" s="33" t="s">
        <v>33</v>
      </c>
      <c r="D52" s="33" t="s">
        <v>67</v>
      </c>
      <c r="E52" s="33" t="s">
        <v>68</v>
      </c>
      <c r="F52" s="33" t="s">
        <v>66</v>
      </c>
      <c r="G52" s="33" t="s">
        <v>35</v>
      </c>
      <c r="H52" s="11"/>
      <c r="I52" s="11"/>
      <c r="J52" s="11"/>
      <c r="K52" s="11"/>
    </row>
    <row r="53" spans="2:11" ht="17.25" thickBot="1">
      <c r="B53" s="35" t="s">
        <v>33</v>
      </c>
      <c r="C53" s="35" t="s">
        <v>36</v>
      </c>
      <c r="D53" s="35" t="s">
        <v>37</v>
      </c>
      <c r="E53" s="35" t="s">
        <v>23</v>
      </c>
      <c r="F53" s="35" t="s">
        <v>38</v>
      </c>
      <c r="G53" s="35" t="s">
        <v>69</v>
      </c>
      <c r="H53" s="11"/>
      <c r="I53" s="11"/>
      <c r="J53" s="11"/>
      <c r="K53" s="11"/>
    </row>
    <row r="54" spans="2:11" ht="16.5">
      <c r="B54" s="37" t="s">
        <v>0</v>
      </c>
      <c r="C54" s="37" t="s">
        <v>0</v>
      </c>
      <c r="D54" s="37" t="s">
        <v>0</v>
      </c>
      <c r="E54" s="37" t="s">
        <v>0</v>
      </c>
      <c r="F54" s="37" t="s">
        <v>0</v>
      </c>
      <c r="G54" s="37" t="s">
        <v>0</v>
      </c>
      <c r="H54" s="11"/>
      <c r="I54" s="11"/>
      <c r="J54" s="11"/>
      <c r="K54" s="11"/>
    </row>
    <row r="55" spans="2:11" ht="16.5">
      <c r="B55" s="33"/>
      <c r="C55" s="33"/>
      <c r="D55" s="33"/>
      <c r="E55" s="33"/>
      <c r="F55" s="33"/>
      <c r="G55" s="33"/>
      <c r="H55" s="11"/>
      <c r="I55" s="11"/>
      <c r="J55" s="11"/>
      <c r="K55" s="11"/>
    </row>
    <row r="56" spans="2:11" ht="17.25">
      <c r="B56" s="87" t="s">
        <v>40</v>
      </c>
      <c r="C56" s="129">
        <f>'S&amp;D'!I49</f>
        <v>0.62</v>
      </c>
      <c r="D56" s="129">
        <f>+'Direct GCF'!H32</f>
        <v>0.10835</v>
      </c>
      <c r="E56" s="100" t="s">
        <v>41</v>
      </c>
      <c r="F56" s="129">
        <f>+D56</f>
        <v>0.10835</v>
      </c>
      <c r="G56" s="130">
        <f>+F56*C56</f>
        <v>6.7177000000000001E-2</v>
      </c>
      <c r="H56" s="11"/>
      <c r="I56" s="11"/>
      <c r="J56" s="11"/>
      <c r="K56" s="11"/>
    </row>
    <row r="57" spans="2:11" ht="17.25">
      <c r="B57" s="87" t="s">
        <v>0</v>
      </c>
      <c r="C57" s="100" t="s">
        <v>0</v>
      </c>
      <c r="D57" s="100" t="s">
        <v>0</v>
      </c>
      <c r="E57" s="100" t="s">
        <v>0</v>
      </c>
      <c r="F57" s="131" t="s">
        <v>0</v>
      </c>
      <c r="G57" s="119" t="s">
        <v>0</v>
      </c>
      <c r="H57" s="11"/>
      <c r="I57" s="11"/>
      <c r="J57" s="11"/>
      <c r="K57" s="11"/>
    </row>
    <row r="58" spans="2:11" ht="17.25">
      <c r="B58" s="87" t="s">
        <v>42</v>
      </c>
      <c r="C58" s="129">
        <f>'S&amp;D'!J49</f>
        <v>0.38</v>
      </c>
      <c r="D58" s="129">
        <f>+Debt!J29</f>
        <v>5.7599999999999998E-2</v>
      </c>
      <c r="E58" s="129">
        <v>0.26</v>
      </c>
      <c r="F58" s="129">
        <f>+D58*(1-E58)</f>
        <v>4.2623999999999995E-2</v>
      </c>
      <c r="G58" s="130">
        <f>+C58*F58</f>
        <v>1.6197119999999999E-2</v>
      </c>
      <c r="H58" s="11"/>
      <c r="I58" s="11"/>
      <c r="J58" s="11"/>
      <c r="K58" s="11"/>
    </row>
    <row r="59" spans="2:11" ht="18" thickBot="1">
      <c r="B59" s="94" t="s">
        <v>0</v>
      </c>
      <c r="C59" s="94" t="s">
        <v>0</v>
      </c>
      <c r="D59" s="94" t="s">
        <v>0</v>
      </c>
      <c r="E59" s="94" t="s">
        <v>0</v>
      </c>
      <c r="F59" s="132" t="s">
        <v>0</v>
      </c>
      <c r="G59" s="133" t="s">
        <v>0</v>
      </c>
      <c r="H59" s="11"/>
      <c r="I59" s="11"/>
      <c r="J59" s="11"/>
      <c r="K59" s="11"/>
    </row>
    <row r="60" spans="2:11" ht="17.25">
      <c r="B60" s="87" t="s">
        <v>43</v>
      </c>
      <c r="C60" s="134">
        <f>+C56+C58</f>
        <v>1</v>
      </c>
      <c r="D60" s="87" t="s">
        <v>0</v>
      </c>
      <c r="E60" s="87" t="s">
        <v>0</v>
      </c>
      <c r="F60" s="135" t="s">
        <v>0</v>
      </c>
      <c r="G60" s="130">
        <f>+G56+G58</f>
        <v>8.3374119999999996E-2</v>
      </c>
      <c r="H60" s="11"/>
      <c r="I60" s="11"/>
      <c r="J60" s="11"/>
      <c r="K60" s="11"/>
    </row>
    <row r="61" spans="2:11" ht="18" thickBot="1">
      <c r="B61" s="60"/>
      <c r="C61" s="60"/>
      <c r="D61" s="60"/>
      <c r="E61" s="60"/>
      <c r="F61" s="60"/>
      <c r="G61" s="136"/>
      <c r="H61" s="11"/>
      <c r="I61" s="11"/>
      <c r="J61" s="11"/>
      <c r="K61" s="11"/>
    </row>
    <row r="62" spans="2:11" ht="18" thickBot="1">
      <c r="B62" s="11"/>
      <c r="C62" s="11"/>
      <c r="D62" s="11"/>
      <c r="E62" s="11"/>
      <c r="F62" s="184" t="s">
        <v>74</v>
      </c>
      <c r="G62" s="279">
        <v>8.3400000000000002E-2</v>
      </c>
      <c r="H62" s="11"/>
      <c r="I62" s="11"/>
      <c r="J62" s="11"/>
      <c r="K62" s="11"/>
    </row>
    <row r="63" spans="2:11" ht="15.75" thickBot="1"/>
    <row r="64" spans="2:11" ht="18" thickBot="1">
      <c r="F64" s="184" t="s">
        <v>223</v>
      </c>
      <c r="G64" s="214">
        <f>1/G62</f>
        <v>11.990407673860911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73"/>
  <sheetViews>
    <sheetView view="pageBreakPreview" zoomScale="60" zoomScaleNormal="80" zoomScalePageLayoutView="70" workbookViewId="0">
      <pane xSplit="1" topLeftCell="B1" activePane="topRight" state="frozen"/>
      <selection pane="topRight" activeCell="J49" sqref="J49"/>
    </sheetView>
  </sheetViews>
  <sheetFormatPr defaultRowHeight="15"/>
  <cols>
    <col min="1" max="1" width="63" customWidth="1"/>
    <col min="2" max="2" width="11.5703125" bestFit="1" customWidth="1"/>
    <col min="3" max="3" width="26.5703125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32.28515625" customWidth="1"/>
    <col min="10" max="10" width="30.85546875" customWidth="1"/>
    <col min="11" max="11" width="12.8554687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16.5">
      <c r="A4" s="24"/>
      <c r="B4" s="11"/>
      <c r="C4" s="11"/>
      <c r="D4" s="11"/>
      <c r="E4" s="11"/>
      <c r="F4" s="182" t="s">
        <v>0</v>
      </c>
      <c r="G4" s="11"/>
      <c r="H4" s="11"/>
      <c r="I4" s="11"/>
      <c r="J4" s="11"/>
      <c r="K4" s="11"/>
    </row>
    <row r="5" spans="1:12" ht="16.5">
      <c r="B5" s="11"/>
      <c r="C5" s="11"/>
      <c r="D5" s="11"/>
      <c r="E5" s="25"/>
      <c r="F5" s="182" t="s">
        <v>0</v>
      </c>
      <c r="G5" s="11"/>
      <c r="H5" s="11"/>
      <c r="I5" s="11"/>
      <c r="J5" s="11"/>
      <c r="K5" s="11" t="s">
        <v>0</v>
      </c>
    </row>
    <row r="6" spans="1:12" ht="16.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 ht="16.5">
      <c r="A7" s="11"/>
      <c r="B7" s="33"/>
      <c r="C7" s="33"/>
      <c r="D7" s="33"/>
      <c r="E7" s="33"/>
      <c r="F7" s="33"/>
      <c r="G7" s="13"/>
      <c r="H7" s="42"/>
      <c r="I7" s="42"/>
      <c r="J7" s="82"/>
      <c r="K7" s="82"/>
      <c r="L7" s="3"/>
    </row>
    <row r="8" spans="1:12" ht="16.5">
      <c r="A8" s="83"/>
      <c r="B8" s="33"/>
      <c r="C8" s="33"/>
      <c r="D8" s="33"/>
      <c r="E8" s="33"/>
      <c r="F8" s="33"/>
      <c r="G8" s="13"/>
      <c r="H8" s="42"/>
      <c r="I8" s="42"/>
      <c r="J8" s="82"/>
      <c r="K8" s="82"/>
      <c r="L8" s="3"/>
    </row>
    <row r="9" spans="1:12" ht="16.5">
      <c r="A9" s="83"/>
      <c r="B9" s="33"/>
      <c r="C9" s="33"/>
      <c r="D9" s="33"/>
      <c r="E9" s="33"/>
      <c r="F9" s="33"/>
      <c r="G9" s="13"/>
      <c r="H9" s="42"/>
      <c r="I9" s="42"/>
      <c r="J9" s="82"/>
      <c r="K9" s="82"/>
      <c r="L9" s="3"/>
    </row>
    <row r="10" spans="1:12" ht="16.5">
      <c r="A10" s="42"/>
      <c r="D10" s="42"/>
      <c r="E10" s="42"/>
      <c r="F10" s="42"/>
      <c r="G10" s="42"/>
      <c r="H10" s="42"/>
      <c r="I10" s="42"/>
      <c r="J10" s="42"/>
      <c r="K10" s="42"/>
      <c r="L10" s="2"/>
    </row>
    <row r="11" spans="1:12" ht="17.25" thickBot="1">
      <c r="A11" s="42"/>
      <c r="D11" s="42"/>
      <c r="E11" s="84"/>
      <c r="F11" s="27"/>
      <c r="G11" s="84"/>
      <c r="H11" s="42"/>
      <c r="I11" s="42"/>
      <c r="J11" s="42"/>
      <c r="K11" s="42"/>
      <c r="L11" s="2"/>
    </row>
    <row r="12" spans="1:12" ht="27" thickBot="1">
      <c r="A12" s="26" t="s">
        <v>394</v>
      </c>
      <c r="D12" s="42"/>
      <c r="E12" s="42"/>
      <c r="F12" s="30" t="s">
        <v>75</v>
      </c>
      <c r="G12" s="42"/>
      <c r="H12" s="42"/>
      <c r="I12" s="42"/>
      <c r="J12" s="42"/>
      <c r="K12" s="11"/>
    </row>
    <row r="13" spans="1:12" ht="21" thickBot="1">
      <c r="A13" s="29"/>
      <c r="D13" s="42"/>
      <c r="E13" s="84"/>
      <c r="F13" s="35" t="s">
        <v>422</v>
      </c>
      <c r="G13" s="84"/>
      <c r="H13" s="42"/>
      <c r="I13" s="42" t="s">
        <v>0</v>
      </c>
      <c r="J13" s="42"/>
      <c r="K13" s="11"/>
    </row>
    <row r="14" spans="1:12" ht="20.25">
      <c r="A14" s="29"/>
      <c r="B14" s="42"/>
      <c r="C14" s="42"/>
      <c r="D14" s="42"/>
      <c r="E14" s="42"/>
      <c r="F14" s="12" t="s">
        <v>0</v>
      </c>
      <c r="G14" s="42"/>
      <c r="H14" s="42"/>
      <c r="I14" s="42"/>
      <c r="J14" s="42"/>
      <c r="K14" s="11"/>
    </row>
    <row r="15" spans="1:12" ht="17.25" thickBot="1">
      <c r="A15" s="40" t="s">
        <v>0</v>
      </c>
      <c r="B15" s="40" t="s">
        <v>0</v>
      </c>
      <c r="C15" s="40" t="s">
        <v>0</v>
      </c>
      <c r="D15" s="40"/>
      <c r="E15" s="40"/>
      <c r="F15" s="40"/>
      <c r="G15" s="40" t="s">
        <v>0</v>
      </c>
      <c r="H15" s="84"/>
      <c r="I15" s="84"/>
      <c r="J15" s="84"/>
      <c r="K15" s="11"/>
    </row>
    <row r="16" spans="1:12" ht="17.25">
      <c r="A16" s="230"/>
      <c r="B16" s="231"/>
      <c r="C16" s="246"/>
      <c r="D16" s="215" t="s">
        <v>13</v>
      </c>
      <c r="E16" s="243" t="s">
        <v>13</v>
      </c>
      <c r="F16" s="215" t="s">
        <v>13</v>
      </c>
      <c r="G16" s="232" t="s">
        <v>232</v>
      </c>
      <c r="H16" s="387" t="s">
        <v>424</v>
      </c>
      <c r="I16" s="89" t="s">
        <v>424</v>
      </c>
      <c r="J16" s="387" t="s">
        <v>424</v>
      </c>
      <c r="K16" s="11"/>
    </row>
    <row r="17" spans="1:14" ht="17.25">
      <c r="A17" s="85" t="s">
        <v>0</v>
      </c>
      <c r="B17" s="86" t="s">
        <v>3</v>
      </c>
      <c r="C17" s="218" t="s">
        <v>5</v>
      </c>
      <c r="D17" s="88" t="s">
        <v>10</v>
      </c>
      <c r="E17" s="244" t="s">
        <v>10</v>
      </c>
      <c r="F17" s="88" t="s">
        <v>19</v>
      </c>
      <c r="G17" s="89" t="s">
        <v>424</v>
      </c>
      <c r="H17" s="86" t="s">
        <v>12</v>
      </c>
      <c r="I17" s="235" t="s">
        <v>11</v>
      </c>
      <c r="J17" s="91" t="s">
        <v>143</v>
      </c>
      <c r="K17" s="11"/>
    </row>
    <row r="18" spans="1:14" ht="17.25">
      <c r="A18" s="85" t="s">
        <v>2</v>
      </c>
      <c r="B18" s="86" t="s">
        <v>4</v>
      </c>
      <c r="C18" s="218" t="s">
        <v>6</v>
      </c>
      <c r="D18" s="88" t="s">
        <v>46</v>
      </c>
      <c r="E18" s="244" t="s">
        <v>47</v>
      </c>
      <c r="F18" s="88" t="s">
        <v>10</v>
      </c>
      <c r="G18" s="89" t="s">
        <v>10</v>
      </c>
      <c r="H18" s="86" t="s">
        <v>73</v>
      </c>
      <c r="I18" s="235" t="s">
        <v>352</v>
      </c>
      <c r="J18" s="91" t="s">
        <v>233</v>
      </c>
      <c r="K18" s="11" t="s">
        <v>0</v>
      </c>
    </row>
    <row r="19" spans="1:14" ht="18" thickBot="1">
      <c r="A19" s="92" t="s">
        <v>0</v>
      </c>
      <c r="B19" s="93" t="s">
        <v>0</v>
      </c>
      <c r="C19" s="110" t="s">
        <v>0</v>
      </c>
      <c r="D19" s="327" t="s">
        <v>382</v>
      </c>
      <c r="E19" s="327" t="s">
        <v>382</v>
      </c>
      <c r="F19" s="327" t="s">
        <v>382</v>
      </c>
      <c r="G19" s="384" t="s">
        <v>382</v>
      </c>
      <c r="H19" s="95" t="s">
        <v>62</v>
      </c>
      <c r="I19" s="96" t="s">
        <v>61</v>
      </c>
      <c r="J19" s="95" t="s">
        <v>61</v>
      </c>
      <c r="K19" s="11"/>
    </row>
    <row r="20" spans="1:14" ht="16.5">
      <c r="A20" s="247" t="s">
        <v>7</v>
      </c>
      <c r="B20" s="269" t="s">
        <v>7</v>
      </c>
      <c r="C20" s="247" t="s">
        <v>7</v>
      </c>
      <c r="D20" s="276" t="s">
        <v>7</v>
      </c>
      <c r="E20" s="276" t="s">
        <v>7</v>
      </c>
      <c r="F20" s="41" t="s">
        <v>15</v>
      </c>
      <c r="G20" s="268" t="s">
        <v>7</v>
      </c>
      <c r="H20" s="247" t="s">
        <v>8</v>
      </c>
      <c r="I20" s="269" t="s">
        <v>8</v>
      </c>
      <c r="J20" s="247" t="s">
        <v>8</v>
      </c>
      <c r="K20" s="11"/>
    </row>
    <row r="21" spans="1:14" ht="17.25">
      <c r="A21" s="86"/>
      <c r="B21" s="87"/>
      <c r="C21" s="86"/>
      <c r="D21" s="218"/>
      <c r="E21" s="87"/>
      <c r="F21" s="85"/>
      <c r="G21" s="85"/>
      <c r="H21" s="86"/>
      <c r="I21" s="60"/>
      <c r="J21" s="98"/>
      <c r="K21" s="11"/>
    </row>
    <row r="22" spans="1:14" ht="17.25">
      <c r="A22" s="315" t="s">
        <v>364</v>
      </c>
      <c r="B22" s="77" t="s">
        <v>365</v>
      </c>
      <c r="C22" s="86" t="s">
        <v>366</v>
      </c>
      <c r="D22" s="101">
        <v>62.75</v>
      </c>
      <c r="E22" s="101">
        <v>55.16</v>
      </c>
      <c r="F22" s="101">
        <f t="shared" ref="F22:F28" si="0">AVERAGE(D22,E22)</f>
        <v>58.954999999999998</v>
      </c>
      <c r="G22" s="385">
        <v>61.01</v>
      </c>
      <c r="H22" s="301">
        <v>2178000000</v>
      </c>
      <c r="I22" s="102">
        <f>71738000000*0.6948</f>
        <v>49843562400</v>
      </c>
      <c r="J22" s="301">
        <f>(7729000000+93414000000)*0.6948</f>
        <v>70274156400</v>
      </c>
      <c r="N22" s="180"/>
    </row>
    <row r="23" spans="1:14" ht="17.25">
      <c r="A23" s="315" t="s">
        <v>347</v>
      </c>
      <c r="B23" s="77" t="s">
        <v>348</v>
      </c>
      <c r="C23" s="86" t="s">
        <v>346</v>
      </c>
      <c r="D23" s="57">
        <v>20.02</v>
      </c>
      <c r="E23" s="101">
        <v>16.059999999999999</v>
      </c>
      <c r="F23" s="57">
        <f t="shared" si="0"/>
        <v>18.04</v>
      </c>
      <c r="G23" s="385">
        <v>19.59</v>
      </c>
      <c r="H23" s="301">
        <v>3431088022</v>
      </c>
      <c r="I23" s="102">
        <v>3852000000</v>
      </c>
      <c r="J23" s="301">
        <f>8000000+59752000000</f>
        <v>59760000000</v>
      </c>
      <c r="M23" s="11"/>
    </row>
    <row r="24" spans="1:14" ht="17.25">
      <c r="A24" s="315" t="s">
        <v>349</v>
      </c>
      <c r="B24" s="90" t="s">
        <v>350</v>
      </c>
      <c r="C24" s="86" t="s">
        <v>346</v>
      </c>
      <c r="D24" s="101">
        <v>34.36</v>
      </c>
      <c r="E24" s="101">
        <v>28.63</v>
      </c>
      <c r="F24" s="101">
        <f>AVERAGE(D24,E24)</f>
        <v>31.494999999999997</v>
      </c>
      <c r="G24" s="385">
        <v>31.36</v>
      </c>
      <c r="H24" s="388">
        <v>2165699962</v>
      </c>
      <c r="I24" s="102">
        <v>50000000</v>
      </c>
      <c r="J24" s="389">
        <f>1150000000+30746000000</f>
        <v>31896000000</v>
      </c>
      <c r="M24" s="11"/>
    </row>
    <row r="25" spans="1:14" ht="17.25">
      <c r="A25" s="315" t="s">
        <v>367</v>
      </c>
      <c r="B25" s="90" t="s">
        <v>368</v>
      </c>
      <c r="C25" s="86" t="s">
        <v>366</v>
      </c>
      <c r="D25" s="101">
        <v>28.81</v>
      </c>
      <c r="E25" s="101">
        <v>23.06</v>
      </c>
      <c r="F25" s="101">
        <f>AVERAGE(D25,E25)</f>
        <v>25.934999999999999</v>
      </c>
      <c r="G25" s="385">
        <v>27.4</v>
      </c>
      <c r="H25" s="301">
        <v>2221647775</v>
      </c>
      <c r="I25" s="102"/>
      <c r="J25" s="301">
        <f>2009000000+29881000000</f>
        <v>31890000000</v>
      </c>
      <c r="M25" s="11"/>
      <c r="N25" t="s">
        <v>0</v>
      </c>
    </row>
    <row r="26" spans="1:14" ht="17.25">
      <c r="A26" s="315" t="s">
        <v>369</v>
      </c>
      <c r="B26" s="90" t="s">
        <v>370</v>
      </c>
      <c r="C26" s="86" t="s">
        <v>366</v>
      </c>
      <c r="D26" s="101">
        <v>118.07</v>
      </c>
      <c r="E26" s="101">
        <v>92.83</v>
      </c>
      <c r="F26" s="101">
        <f t="shared" si="0"/>
        <v>105.44999999999999</v>
      </c>
      <c r="G26" s="385">
        <v>100.4</v>
      </c>
      <c r="H26" s="301">
        <v>583110633</v>
      </c>
      <c r="I26" s="102"/>
      <c r="J26" s="301">
        <f>1059000000+31018000000</f>
        <v>32077000000</v>
      </c>
      <c r="M26" s="11"/>
      <c r="N26" t="s">
        <v>0</v>
      </c>
    </row>
    <row r="27" spans="1:14" ht="17.25">
      <c r="A27" s="315" t="s">
        <v>371</v>
      </c>
      <c r="B27" s="90" t="s">
        <v>372</v>
      </c>
      <c r="C27" s="86" t="s">
        <v>366</v>
      </c>
      <c r="D27" s="101">
        <v>50.37</v>
      </c>
      <c r="E27" s="101">
        <v>44.14</v>
      </c>
      <c r="F27" s="101">
        <f>AVERAGE(D27,E27)</f>
        <v>47.254999999999995</v>
      </c>
      <c r="G27" s="385">
        <v>46.53</v>
      </c>
      <c r="H27" s="301">
        <v>1039000000</v>
      </c>
      <c r="I27" s="102">
        <f>2499000000*0.6948</f>
        <v>1736305200</v>
      </c>
      <c r="J27" s="301">
        <f>(2955000000+44976000000)*0.6948</f>
        <v>33302458800</v>
      </c>
      <c r="M27" s="11"/>
      <c r="N27" s="180"/>
    </row>
    <row r="28" spans="1:14" ht="18" thickBot="1">
      <c r="A28" s="316" t="s">
        <v>373</v>
      </c>
      <c r="B28" s="317" t="s">
        <v>374</v>
      </c>
      <c r="C28" s="93" t="s">
        <v>366</v>
      </c>
      <c r="D28" s="325">
        <v>60.36</v>
      </c>
      <c r="E28" s="325">
        <v>48.51</v>
      </c>
      <c r="F28" s="325">
        <f t="shared" si="0"/>
        <v>54.435000000000002</v>
      </c>
      <c r="G28" s="386">
        <v>54.12</v>
      </c>
      <c r="H28" s="300">
        <f>1258000000-39000000</f>
        <v>1219000000</v>
      </c>
      <c r="I28" s="318">
        <v>35000000</v>
      </c>
      <c r="J28" s="300">
        <f>1720000000+24736000000</f>
        <v>26456000000</v>
      </c>
      <c r="K28" s="11"/>
      <c r="L28" t="s">
        <v>0</v>
      </c>
    </row>
    <row r="29" spans="1:14" ht="17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1"/>
      <c r="L29" t="s">
        <v>0</v>
      </c>
    </row>
    <row r="30" spans="1:14" ht="18" thickBot="1">
      <c r="A30" s="104" t="s">
        <v>0</v>
      </c>
      <c r="B30" s="105"/>
      <c r="C30" s="105"/>
      <c r="D30" s="105"/>
      <c r="E30" s="105"/>
      <c r="F30" s="27"/>
      <c r="G30" s="105"/>
      <c r="H30" s="105"/>
      <c r="I30" s="105"/>
      <c r="J30" s="103"/>
      <c r="K30" s="103"/>
      <c r="L30" s="4"/>
    </row>
    <row r="31" spans="1:14" ht="17.25">
      <c r="A31" s="106"/>
      <c r="B31" s="107"/>
      <c r="C31" s="107"/>
      <c r="D31" s="390"/>
      <c r="E31" s="387" t="s">
        <v>0</v>
      </c>
      <c r="F31" s="108" t="s">
        <v>0</v>
      </c>
      <c r="G31" s="193"/>
      <c r="H31" s="107"/>
      <c r="I31" s="390"/>
      <c r="J31" s="390"/>
      <c r="K31" s="103"/>
      <c r="L31" s="4"/>
    </row>
    <row r="32" spans="1:14" ht="17.25">
      <c r="A32" s="85"/>
      <c r="B32" s="87"/>
      <c r="C32" s="87"/>
      <c r="D32" s="391" t="s">
        <v>424</v>
      </c>
      <c r="E32" s="391" t="s">
        <v>424</v>
      </c>
      <c r="F32" s="89" t="s">
        <v>424</v>
      </c>
      <c r="G32" s="391" t="s">
        <v>424</v>
      </c>
      <c r="H32" s="89" t="s">
        <v>424</v>
      </c>
      <c r="I32" s="391" t="s">
        <v>424</v>
      </c>
      <c r="J32" s="391" t="s">
        <v>424</v>
      </c>
      <c r="K32" s="11"/>
      <c r="L32" s="5"/>
    </row>
    <row r="33" spans="1:13" ht="17.25">
      <c r="A33" s="85" t="s">
        <v>0</v>
      </c>
      <c r="B33" s="87" t="s">
        <v>3</v>
      </c>
      <c r="C33" s="87" t="s">
        <v>5</v>
      </c>
      <c r="D33" s="86" t="s">
        <v>12</v>
      </c>
      <c r="E33" s="91" t="s">
        <v>142</v>
      </c>
      <c r="F33" s="100" t="s">
        <v>270</v>
      </c>
      <c r="G33" s="86" t="s">
        <v>200</v>
      </c>
      <c r="H33" s="100" t="s">
        <v>16</v>
      </c>
      <c r="I33" s="91" t="s">
        <v>17</v>
      </c>
      <c r="J33" s="91" t="s">
        <v>52</v>
      </c>
      <c r="K33" s="11"/>
      <c r="L33" s="5"/>
    </row>
    <row r="34" spans="1:13" ht="18" thickBot="1">
      <c r="A34" s="92" t="s">
        <v>2</v>
      </c>
      <c r="B34" s="94" t="s">
        <v>4</v>
      </c>
      <c r="C34" s="94" t="s">
        <v>6</v>
      </c>
      <c r="D34" s="93" t="s">
        <v>14</v>
      </c>
      <c r="E34" s="93" t="s">
        <v>14</v>
      </c>
      <c r="F34" s="94" t="s">
        <v>283</v>
      </c>
      <c r="G34" s="93" t="s">
        <v>14</v>
      </c>
      <c r="H34" s="94" t="s">
        <v>336</v>
      </c>
      <c r="I34" s="93" t="s">
        <v>0</v>
      </c>
      <c r="J34" s="93" t="s">
        <v>337</v>
      </c>
      <c r="K34" s="11"/>
      <c r="L34" s="1"/>
    </row>
    <row r="35" spans="1:13" ht="16.5">
      <c r="A35" s="268" t="s">
        <v>7</v>
      </c>
      <c r="B35" s="269" t="s">
        <v>7</v>
      </c>
      <c r="C35" s="269" t="s">
        <v>7</v>
      </c>
      <c r="D35" s="247" t="s">
        <v>15</v>
      </c>
      <c r="E35" s="247" t="s">
        <v>8</v>
      </c>
      <c r="F35" s="269" t="s">
        <v>8</v>
      </c>
      <c r="G35" s="247" t="s">
        <v>8</v>
      </c>
      <c r="H35" s="269" t="s">
        <v>15</v>
      </c>
      <c r="I35" s="247" t="s">
        <v>15</v>
      </c>
      <c r="J35" s="247" t="s">
        <v>15</v>
      </c>
      <c r="K35" s="11"/>
      <c r="L35" s="5"/>
    </row>
    <row r="36" spans="1:13" ht="17.25">
      <c r="A36" s="85"/>
      <c r="B36" s="87"/>
      <c r="C36" s="87"/>
      <c r="D36" s="394"/>
      <c r="E36" s="394"/>
      <c r="F36" s="103"/>
      <c r="G36" s="394"/>
      <c r="H36" s="60"/>
      <c r="I36" s="98"/>
      <c r="J36" s="98"/>
      <c r="K36" s="11"/>
      <c r="L36" s="4"/>
    </row>
    <row r="37" spans="1:13" ht="17.25">
      <c r="A37" s="99" t="str">
        <f t="shared" ref="A37:C43" si="1">+A22</f>
        <v>Enbridge Inc</v>
      </c>
      <c r="B37" s="87" t="str">
        <f t="shared" si="1"/>
        <v>ENB.TO</v>
      </c>
      <c r="C37" s="87" t="str">
        <f t="shared" si="1"/>
        <v>Oil &amp; Gas Distribution</v>
      </c>
      <c r="D37" s="395">
        <f t="shared" ref="D37:D43" si="2">(+H22)*G22</f>
        <v>132879780000</v>
      </c>
      <c r="E37" s="395">
        <f t="shared" ref="E37:E43" si="3">(1/1)*I22</f>
        <v>49843562400</v>
      </c>
      <c r="F37" s="112">
        <f>859000000*0.6948</f>
        <v>596833200</v>
      </c>
      <c r="G37" s="395">
        <f>J22*(98.9/101.6)</f>
        <v>68406634527.165367</v>
      </c>
      <c r="H37" s="102">
        <f t="shared" ref="H37:H41" si="4">+D37+E37+F37+G37</f>
        <v>251726810127.16537</v>
      </c>
      <c r="I37" s="392">
        <f t="shared" ref="I37:I40" si="5">(+D37)/H37</f>
        <v>0.52787297440774317</v>
      </c>
      <c r="J37" s="392">
        <f t="shared" ref="J37:J40" si="6">(+E37+F37+G37)/H37</f>
        <v>0.47212702559225678</v>
      </c>
      <c r="K37" s="11"/>
      <c r="L37" s="4"/>
      <c r="M37" s="11"/>
    </row>
    <row r="38" spans="1:13" ht="17.25">
      <c r="A38" s="99" t="str">
        <f t="shared" si="1"/>
        <v>Energy Transfer LP</v>
      </c>
      <c r="B38" s="87" t="str">
        <f t="shared" si="1"/>
        <v>ET</v>
      </c>
      <c r="C38" s="87" t="str">
        <f t="shared" si="1"/>
        <v>Pipeline MLPs</v>
      </c>
      <c r="D38" s="395">
        <f t="shared" si="2"/>
        <v>67215014350.979996</v>
      </c>
      <c r="E38" s="395">
        <f t="shared" si="3"/>
        <v>3852000000</v>
      </c>
      <c r="F38" s="112">
        <f>67000000+730000000</f>
        <v>797000000</v>
      </c>
      <c r="G38" s="395">
        <f>J23*(59.01/59.76)</f>
        <v>59010000000</v>
      </c>
      <c r="H38" s="102">
        <f t="shared" si="4"/>
        <v>130874014350.98</v>
      </c>
      <c r="I38" s="392">
        <f t="shared" si="5"/>
        <v>0.51358563947401892</v>
      </c>
      <c r="J38" s="392">
        <f t="shared" si="6"/>
        <v>0.48641436052598103</v>
      </c>
      <c r="K38" s="11"/>
      <c r="L38" s="4"/>
    </row>
    <row r="39" spans="1:13" ht="17.25">
      <c r="A39" s="99" t="str">
        <f t="shared" si="1"/>
        <v>Enterprise Products Partnership LP</v>
      </c>
      <c r="B39" s="87" t="str">
        <f t="shared" si="1"/>
        <v>EPD</v>
      </c>
      <c r="C39" s="87" t="str">
        <f t="shared" si="1"/>
        <v>Pipeline MLPs</v>
      </c>
      <c r="D39" s="395">
        <f t="shared" si="2"/>
        <v>67916350808.32</v>
      </c>
      <c r="E39" s="395">
        <f t="shared" si="3"/>
        <v>50000000</v>
      </c>
      <c r="F39" s="112">
        <v>475000000</v>
      </c>
      <c r="G39" s="301">
        <f>J24*(28.9/31.6)</f>
        <v>29170708860.759491</v>
      </c>
      <c r="H39" s="102">
        <f t="shared" si="4"/>
        <v>97612059669.079498</v>
      </c>
      <c r="I39" s="392">
        <f t="shared" si="5"/>
        <v>0.69577827820217397</v>
      </c>
      <c r="J39" s="392">
        <f t="shared" si="6"/>
        <v>0.30422172179782597</v>
      </c>
      <c r="K39" s="11"/>
      <c r="L39" s="4"/>
    </row>
    <row r="40" spans="1:13" ht="17.25">
      <c r="A40" s="99" t="str">
        <f t="shared" si="1"/>
        <v>Kinder Morgan Inc</v>
      </c>
      <c r="B40" s="87" t="str">
        <f t="shared" si="1"/>
        <v>KMI</v>
      </c>
      <c r="C40" s="87" t="str">
        <f t="shared" si="1"/>
        <v>Oil &amp; Gas Distribution</v>
      </c>
      <c r="D40" s="395">
        <f t="shared" si="2"/>
        <v>60873149035</v>
      </c>
      <c r="E40" s="395">
        <f t="shared" si="3"/>
        <v>0</v>
      </c>
      <c r="F40" s="112">
        <v>253000000</v>
      </c>
      <c r="G40" s="301">
        <f>J25*(30423/31519)</f>
        <v>30781099336.907894</v>
      </c>
      <c r="H40" s="102">
        <f t="shared" si="4"/>
        <v>91907248371.907898</v>
      </c>
      <c r="I40" s="392">
        <f t="shared" si="5"/>
        <v>0.66233240700095108</v>
      </c>
      <c r="J40" s="392">
        <f t="shared" si="6"/>
        <v>0.33766759299904886</v>
      </c>
      <c r="K40" s="11"/>
      <c r="L40" s="4"/>
    </row>
    <row r="41" spans="1:13" ht="17.25">
      <c r="A41" s="99" t="str">
        <f t="shared" si="1"/>
        <v>ONEOK Inc</v>
      </c>
      <c r="B41" s="87" t="str">
        <f t="shared" si="1"/>
        <v>OKE</v>
      </c>
      <c r="C41" s="87" t="str">
        <f t="shared" si="1"/>
        <v>Oil &amp; Gas Distribution</v>
      </c>
      <c r="D41" s="395">
        <f t="shared" si="2"/>
        <v>58544307553.200005</v>
      </c>
      <c r="E41" s="395">
        <f t="shared" si="3"/>
        <v>0</v>
      </c>
      <c r="F41" s="112">
        <v>216000000</v>
      </c>
      <c r="G41" s="301">
        <f>J26*(30.8/32.1)</f>
        <v>30777931464.174454</v>
      </c>
      <c r="H41" s="102">
        <f t="shared" si="4"/>
        <v>89538239017.374451</v>
      </c>
      <c r="I41" s="392">
        <f t="shared" ref="I41:I43" si="7">(+D41)/H41</f>
        <v>0.6538469842124075</v>
      </c>
      <c r="J41" s="392">
        <f t="shared" ref="J41:J43" si="8">(+E41+F41+G41)/H41</f>
        <v>0.34615301578759256</v>
      </c>
      <c r="K41" s="11"/>
      <c r="L41" s="4" t="s">
        <v>0</v>
      </c>
    </row>
    <row r="42" spans="1:13" ht="17.25">
      <c r="A42" s="99" t="str">
        <f t="shared" si="1"/>
        <v>TC Energy Corp</v>
      </c>
      <c r="B42" s="87" t="str">
        <f t="shared" si="1"/>
        <v>TRP</v>
      </c>
      <c r="C42" s="87" t="str">
        <f t="shared" si="1"/>
        <v>Oil &amp; Gas Distribution</v>
      </c>
      <c r="D42" s="395">
        <f t="shared" si="2"/>
        <v>48344670000</v>
      </c>
      <c r="E42" s="395">
        <f t="shared" si="3"/>
        <v>1736305200</v>
      </c>
      <c r="F42" s="112">
        <f>511000000*0.6948</f>
        <v>355042800</v>
      </c>
      <c r="G42" s="301">
        <f>J27*(59142/58979)</f>
        <v>33394496657.278019</v>
      </c>
      <c r="H42" s="102">
        <f t="shared" ref="H42" si="9">+D42+E42+F42+G42</f>
        <v>83830514657.278015</v>
      </c>
      <c r="I42" s="392">
        <f t="shared" ref="I42" si="10">(+D42)/H42</f>
        <v>0.57669537396550863</v>
      </c>
      <c r="J42" s="392">
        <f t="shared" ref="J42" si="11">(+E42+F42+G42)/H42</f>
        <v>0.42330462603449132</v>
      </c>
      <c r="K42" s="11"/>
      <c r="L42" s="4"/>
      <c r="M42" s="11"/>
    </row>
    <row r="43" spans="1:13" ht="18" thickBot="1">
      <c r="A43" s="273" t="str">
        <f t="shared" si="1"/>
        <v>Williams Companys Inc</v>
      </c>
      <c r="B43" s="94" t="str">
        <f t="shared" si="1"/>
        <v>WMB</v>
      </c>
      <c r="C43" s="94" t="str">
        <f t="shared" si="1"/>
        <v>Oil &amp; Gas Distribution</v>
      </c>
      <c r="D43" s="396">
        <f t="shared" si="2"/>
        <v>65972280000</v>
      </c>
      <c r="E43" s="396">
        <f t="shared" si="3"/>
        <v>35000000</v>
      </c>
      <c r="F43" s="319">
        <v>168000000</v>
      </c>
      <c r="G43" s="300">
        <f>J28*(25830/26456)</f>
        <v>25830000000</v>
      </c>
      <c r="H43" s="318">
        <f t="shared" ref="H43" si="12">+D43+E43+F43+G43</f>
        <v>92005280000</v>
      </c>
      <c r="I43" s="393">
        <f t="shared" si="7"/>
        <v>0.71704884763135335</v>
      </c>
      <c r="J43" s="393">
        <f t="shared" si="8"/>
        <v>0.28295115236864665</v>
      </c>
      <c r="K43" s="11"/>
      <c r="L43" s="4"/>
    </row>
    <row r="44" spans="1:13" ht="17.25">
      <c r="A44" s="11"/>
      <c r="B44" s="11"/>
      <c r="C44" s="11"/>
      <c r="D44" s="11"/>
      <c r="E44" s="11"/>
      <c r="F44" s="11"/>
      <c r="G44" s="11"/>
      <c r="H44" s="115" t="s">
        <v>46</v>
      </c>
      <c r="I44" s="118">
        <f>MAX(I37:I43)</f>
        <v>0.71704884763135335</v>
      </c>
      <c r="J44" s="118">
        <f>MAX(J37:J43)</f>
        <v>0.48641436052598103</v>
      </c>
      <c r="K44" s="11"/>
    </row>
    <row r="45" spans="1:13" ht="17.25">
      <c r="E45" s="11" t="s">
        <v>0</v>
      </c>
      <c r="G45" s="11" t="s">
        <v>0</v>
      </c>
      <c r="H45" s="310" t="s">
        <v>47</v>
      </c>
      <c r="I45" s="328">
        <f>MIN(I37:I43)</f>
        <v>0.51358563947401892</v>
      </c>
      <c r="J45" s="328">
        <f>MIN(J37:J43)</f>
        <v>0.28295115236864665</v>
      </c>
      <c r="K45" s="11"/>
    </row>
    <row r="46" spans="1:13" ht="17.25">
      <c r="E46" s="116"/>
      <c r="F46" s="277" t="s">
        <v>0</v>
      </c>
      <c r="G46" s="11" t="s">
        <v>0</v>
      </c>
      <c r="H46" s="13" t="s">
        <v>18</v>
      </c>
      <c r="I46" s="117">
        <f>MEDIAN(I37:I43)</f>
        <v>0.6538469842124075</v>
      </c>
      <c r="J46" s="118">
        <f>MEDIAN(J37:J43)</f>
        <v>0.34615301578759256</v>
      </c>
      <c r="K46" s="11"/>
    </row>
    <row r="47" spans="1:13" ht="17.25">
      <c r="E47" s="278" t="s">
        <v>0</v>
      </c>
      <c r="F47" s="277" t="s">
        <v>0</v>
      </c>
      <c r="G47" s="11" t="s">
        <v>0</v>
      </c>
      <c r="H47" s="13" t="s">
        <v>388</v>
      </c>
      <c r="I47" s="117">
        <f>AVERAGE(I37:I43)</f>
        <v>0.62102292927059377</v>
      </c>
      <c r="J47" s="118">
        <f>AVERAGE(J37:J43)</f>
        <v>0.37897707072940617</v>
      </c>
      <c r="K47" s="11"/>
    </row>
    <row r="48" spans="1:13" ht="18" thickBot="1">
      <c r="E48" s="116"/>
      <c r="G48" s="11"/>
      <c r="H48" s="11"/>
      <c r="I48" s="60"/>
      <c r="J48" s="60"/>
      <c r="K48" s="11"/>
    </row>
    <row r="49" spans="1:11" ht="27" thickBot="1">
      <c r="E49" s="116"/>
      <c r="G49" s="11"/>
      <c r="H49" s="183" t="s">
        <v>202</v>
      </c>
      <c r="I49" s="363">
        <v>0.62</v>
      </c>
      <c r="J49" s="364">
        <v>0.38</v>
      </c>
      <c r="K49" s="11"/>
    </row>
    <row r="50" spans="1:11" ht="17.25">
      <c r="E50" s="116"/>
      <c r="F50" s="11"/>
      <c r="G50" s="11"/>
      <c r="H50" s="11"/>
      <c r="I50" s="60"/>
      <c r="J50" s="60" t="s">
        <v>0</v>
      </c>
      <c r="K50" s="11"/>
    </row>
    <row r="51" spans="1:11" ht="16.5">
      <c r="E51" s="116"/>
      <c r="F51" s="11"/>
      <c r="G51" s="11"/>
      <c r="H51" s="11"/>
      <c r="I51" s="11"/>
      <c r="J51" s="11"/>
      <c r="K51" s="11"/>
    </row>
    <row r="52" spans="1:11" ht="16.5">
      <c r="E52" s="116"/>
      <c r="F52" s="11"/>
      <c r="G52" s="11"/>
      <c r="H52" s="11"/>
      <c r="I52" s="11"/>
      <c r="J52" s="11"/>
      <c r="K52" s="11"/>
    </row>
    <row r="53" spans="1:11" ht="26.25">
      <c r="A53" s="21" t="s">
        <v>72</v>
      </c>
      <c r="B53" s="11"/>
      <c r="C53" s="72"/>
      <c r="D53" s="120"/>
      <c r="E53" s="116"/>
      <c r="F53" s="11"/>
      <c r="G53" s="11"/>
      <c r="H53" s="11"/>
      <c r="I53" s="11"/>
      <c r="J53" s="11"/>
      <c r="K53" s="11"/>
    </row>
    <row r="54" spans="1:11" ht="16.5">
      <c r="A54" s="83" t="s">
        <v>55</v>
      </c>
      <c r="B54" s="11"/>
      <c r="C54" s="72"/>
      <c r="D54" s="120"/>
      <c r="E54" s="116"/>
      <c r="F54" s="11"/>
      <c r="G54" s="11"/>
      <c r="H54" s="11"/>
      <c r="I54" s="11"/>
      <c r="J54" s="11"/>
      <c r="K54" s="11"/>
    </row>
    <row r="55" spans="1:11" ht="16.5">
      <c r="A55" s="11" t="s">
        <v>0</v>
      </c>
      <c r="B55" s="11"/>
      <c r="C55" s="72"/>
      <c r="D55" s="120"/>
      <c r="E55" s="116"/>
      <c r="F55" s="11"/>
      <c r="G55" s="11"/>
      <c r="H55" s="11"/>
      <c r="I55" s="11"/>
      <c r="J55" s="11"/>
      <c r="K55" s="11"/>
    </row>
    <row r="56" spans="1:11" ht="16.5">
      <c r="A56" s="11" t="s">
        <v>146</v>
      </c>
    </row>
    <row r="57" spans="1:11" ht="16.5">
      <c r="A57" s="11" t="s">
        <v>144</v>
      </c>
    </row>
    <row r="58" spans="1:11" ht="16.5">
      <c r="A58" s="11" t="s">
        <v>145</v>
      </c>
    </row>
    <row r="59" spans="1:11" ht="16.5">
      <c r="A59" s="11" t="s">
        <v>288</v>
      </c>
    </row>
    <row r="60" spans="1:11" ht="16.5">
      <c r="A60" s="11" t="s">
        <v>484</v>
      </c>
    </row>
    <row r="62" spans="1:11" ht="26.25">
      <c r="A62" s="245" t="s">
        <v>289</v>
      </c>
    </row>
    <row r="63" spans="1:11" ht="17.25" customHeight="1">
      <c r="A63" s="11" t="s">
        <v>375</v>
      </c>
      <c r="B63" s="299"/>
      <c r="C63" s="299"/>
      <c r="D63" s="295"/>
      <c r="E63" s="295"/>
    </row>
    <row r="64" spans="1:11" ht="16.5">
      <c r="A64" s="11" t="s">
        <v>376</v>
      </c>
      <c r="B64" s="299"/>
      <c r="C64" s="299"/>
      <c r="D64" s="295"/>
      <c r="E64" s="295"/>
    </row>
    <row r="65" spans="1:5" ht="16.5">
      <c r="A65" s="11" t="s">
        <v>377</v>
      </c>
      <c r="B65" s="295"/>
      <c r="C65" s="295"/>
      <c r="D65" s="295"/>
      <c r="E65" s="295"/>
    </row>
    <row r="66" spans="1:5" ht="16.5">
      <c r="A66" s="11" t="s">
        <v>378</v>
      </c>
      <c r="B66" s="295"/>
      <c r="C66" s="295"/>
      <c r="D66" s="295"/>
      <c r="E66" s="295"/>
    </row>
    <row r="67" spans="1:5" ht="16.5">
      <c r="A67" s="123" t="s">
        <v>417</v>
      </c>
      <c r="B67" s="295"/>
      <c r="C67" s="295"/>
      <c r="D67" s="295"/>
      <c r="E67" s="295"/>
    </row>
    <row r="68" spans="1:5" ht="16.5">
      <c r="A68" s="11" t="s">
        <v>485</v>
      </c>
    </row>
    <row r="69" spans="1:5" ht="20.25" customHeight="1">
      <c r="A69" s="245" t="s">
        <v>379</v>
      </c>
    </row>
    <row r="70" spans="1:5" ht="16.5">
      <c r="A70" s="320" t="s">
        <v>0</v>
      </c>
    </row>
    <row r="71" spans="1:5" ht="17.25">
      <c r="A71" s="136" t="s">
        <v>0</v>
      </c>
    </row>
    <row r="72" spans="1:5" ht="26.25">
      <c r="A72" s="245" t="s">
        <v>351</v>
      </c>
    </row>
    <row r="73" spans="1:5" ht="16.5">
      <c r="A73" s="182" t="s">
        <v>380</v>
      </c>
    </row>
  </sheetData>
  <pageMargins left="0.25" right="0.25" top="0.75" bottom="0.75" header="0.3" footer="0.3"/>
  <pageSetup scale="38" orientation="landscape" r:id="rId1"/>
  <rowBreaks count="1" manualBreakCount="1">
    <brk id="49" max="11" man="1"/>
  </rowBreaks>
  <colBreaks count="1" manualBreakCount="1">
    <brk id="11" max="9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60"/>
  <sheetViews>
    <sheetView view="pageBreakPreview" zoomScale="70" zoomScaleNormal="80" zoomScaleSheetLayoutView="70" zoomScalePageLayoutView="70" workbookViewId="0">
      <pane xSplit="1" topLeftCell="B1" activePane="topRight" state="frozen"/>
      <selection activeCell="D33" sqref="D33"/>
      <selection pane="topRight" activeCell="E22" sqref="E22"/>
    </sheetView>
  </sheetViews>
  <sheetFormatPr defaultRowHeight="15"/>
  <cols>
    <col min="1" max="1" width="62.42578125" customWidth="1"/>
    <col min="2" max="2" width="11.5703125" bestFit="1" customWidth="1"/>
    <col min="3" max="3" width="26.28515625" customWidth="1"/>
    <col min="4" max="4" width="30.140625" customWidth="1"/>
    <col min="5" max="5" width="28" customWidth="1"/>
    <col min="6" max="6" width="29.140625" customWidth="1"/>
    <col min="7" max="7" width="34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2" t="s">
        <v>1</v>
      </c>
      <c r="B1" s="11"/>
      <c r="C1" s="11"/>
      <c r="D1" s="11"/>
      <c r="E1" s="11"/>
      <c r="F1" s="11"/>
      <c r="G1" s="11"/>
      <c r="H1" s="11"/>
    </row>
    <row r="2" spans="1:9" ht="17.25">
      <c r="A2" s="23" t="s">
        <v>9</v>
      </c>
      <c r="B2" s="11"/>
      <c r="C2" s="11"/>
      <c r="D2" s="11"/>
      <c r="E2" s="11"/>
      <c r="F2" s="11"/>
      <c r="G2" s="11"/>
      <c r="H2" s="11"/>
    </row>
    <row r="3" spans="1:9" ht="16.5">
      <c r="A3" s="24" t="s">
        <v>421</v>
      </c>
      <c r="B3" s="11"/>
      <c r="C3" s="11"/>
      <c r="D3" s="11"/>
      <c r="E3" s="11"/>
      <c r="F3" s="11"/>
      <c r="G3" s="11"/>
      <c r="H3" s="11"/>
    </row>
    <row r="4" spans="1:9" ht="16.5">
      <c r="A4" s="24"/>
      <c r="B4" s="11"/>
      <c r="C4" s="11"/>
      <c r="D4" s="11"/>
      <c r="E4" s="11"/>
      <c r="F4" s="182" t="s">
        <v>0</v>
      </c>
      <c r="G4" s="11"/>
      <c r="H4" s="11"/>
    </row>
    <row r="5" spans="1:9" ht="16.5">
      <c r="B5" s="11"/>
      <c r="C5" s="11"/>
      <c r="D5" s="11"/>
      <c r="E5" s="25"/>
      <c r="F5" s="182" t="s">
        <v>0</v>
      </c>
      <c r="G5" s="11"/>
      <c r="H5" s="11" t="s">
        <v>0</v>
      </c>
    </row>
    <row r="6" spans="1:9" ht="16.5">
      <c r="A6" s="83"/>
      <c r="B6" s="33"/>
      <c r="C6" s="33"/>
      <c r="D6" s="33"/>
      <c r="E6" s="33"/>
      <c r="F6" s="33"/>
      <c r="G6" s="13"/>
      <c r="H6" s="82"/>
      <c r="I6" s="3"/>
    </row>
    <row r="7" spans="1:9" ht="16.5">
      <c r="A7" s="42"/>
      <c r="B7" s="42"/>
      <c r="C7" s="42"/>
      <c r="D7" s="42"/>
      <c r="E7" s="42"/>
      <c r="F7" s="42"/>
      <c r="G7" s="42"/>
      <c r="H7" s="42"/>
      <c r="I7" s="2"/>
    </row>
    <row r="8" spans="1:9" ht="17.25" thickBot="1">
      <c r="A8" s="42"/>
      <c r="B8" s="42"/>
      <c r="C8" s="42"/>
      <c r="D8" s="84"/>
      <c r="E8" s="27"/>
      <c r="F8" s="84"/>
      <c r="H8" s="42"/>
      <c r="I8" s="2"/>
    </row>
    <row r="9" spans="1:9" ht="27" thickBot="1">
      <c r="A9" s="26" t="str">
        <f>+'S&amp;D'!A12</f>
        <v>Natural Gas Transmission Pipeline Carrier</v>
      </c>
      <c r="B9" s="42"/>
      <c r="C9" s="42"/>
      <c r="D9" s="42"/>
      <c r="E9" s="30" t="s">
        <v>281</v>
      </c>
      <c r="F9" s="42"/>
      <c r="H9" s="11"/>
    </row>
    <row r="10" spans="1:9" ht="21" thickBot="1">
      <c r="A10" s="29"/>
      <c r="B10" s="42"/>
      <c r="C10" s="42"/>
      <c r="D10" s="84"/>
      <c r="E10" s="35" t="s">
        <v>422</v>
      </c>
      <c r="F10" s="84"/>
      <c r="H10" s="11"/>
    </row>
    <row r="11" spans="1:9" ht="20.25">
      <c r="A11" s="29"/>
      <c r="B11" s="42"/>
      <c r="C11" s="42"/>
      <c r="D11" s="42"/>
      <c r="E11" s="33"/>
      <c r="F11" s="42"/>
      <c r="H11" s="11"/>
    </row>
    <row r="12" spans="1:9" ht="20.25">
      <c r="A12" s="29"/>
      <c r="B12" s="42"/>
      <c r="C12" s="42"/>
      <c r="D12" s="42"/>
      <c r="E12" s="33"/>
      <c r="F12" s="42"/>
      <c r="H12" s="11"/>
    </row>
    <row r="13" spans="1:9" ht="16.5">
      <c r="B13" s="42"/>
      <c r="C13" s="42"/>
      <c r="D13" s="42"/>
      <c r="E13" s="33"/>
      <c r="F13" s="42"/>
      <c r="H13" s="11"/>
    </row>
    <row r="14" spans="1:9" ht="20.25">
      <c r="A14" s="29"/>
      <c r="B14" s="42"/>
      <c r="C14" s="42"/>
      <c r="D14" s="42"/>
      <c r="E14" s="12" t="s">
        <v>0</v>
      </c>
      <c r="F14" s="42"/>
      <c r="H14" s="11"/>
    </row>
    <row r="15" spans="1:9" ht="17.25" thickBot="1">
      <c r="A15" s="40" t="s">
        <v>0</v>
      </c>
      <c r="B15" s="40" t="s">
        <v>0</v>
      </c>
      <c r="C15" s="40" t="s">
        <v>0</v>
      </c>
      <c r="D15" s="40"/>
      <c r="E15" s="40"/>
      <c r="F15" s="40"/>
      <c r="H15" s="11"/>
    </row>
    <row r="16" spans="1:9" ht="17.25">
      <c r="A16" s="230"/>
      <c r="B16" s="231"/>
      <c r="C16" s="232"/>
      <c r="D16" s="215" t="s">
        <v>0</v>
      </c>
      <c r="E16" s="216" t="s">
        <v>0</v>
      </c>
      <c r="F16" s="215" t="s">
        <v>0</v>
      </c>
      <c r="H16" s="11"/>
    </row>
    <row r="17" spans="1:10" ht="17.25">
      <c r="A17" s="85" t="s">
        <v>0</v>
      </c>
      <c r="B17" s="86" t="s">
        <v>3</v>
      </c>
      <c r="C17" s="87" t="s">
        <v>5</v>
      </c>
      <c r="D17" s="88" t="s">
        <v>0</v>
      </c>
      <c r="E17" s="217" t="s">
        <v>0</v>
      </c>
      <c r="F17" s="88" t="s">
        <v>273</v>
      </c>
      <c r="H17" s="11"/>
    </row>
    <row r="18" spans="1:10" ht="17.25">
      <c r="A18" s="85"/>
      <c r="B18" s="86" t="s">
        <v>4</v>
      </c>
      <c r="C18" s="87" t="s">
        <v>6</v>
      </c>
      <c r="D18" s="88" t="s">
        <v>282</v>
      </c>
      <c r="E18" s="217" t="s">
        <v>282</v>
      </c>
      <c r="F18" s="88" t="s">
        <v>124</v>
      </c>
      <c r="H18" s="11"/>
    </row>
    <row r="19" spans="1:10" ht="18" thickBot="1">
      <c r="A19" s="92" t="s">
        <v>2</v>
      </c>
      <c r="B19" s="93" t="s">
        <v>0</v>
      </c>
      <c r="C19" s="94" t="s">
        <v>0</v>
      </c>
      <c r="D19" s="267" t="s">
        <v>271</v>
      </c>
      <c r="E19" s="266" t="s">
        <v>61</v>
      </c>
      <c r="F19" s="93" t="s">
        <v>0</v>
      </c>
      <c r="H19" s="11"/>
    </row>
    <row r="20" spans="1:10" ht="16.5">
      <c r="A20" s="268" t="s">
        <v>7</v>
      </c>
      <c r="B20" s="247" t="s">
        <v>7</v>
      </c>
      <c r="C20" s="269" t="s">
        <v>7</v>
      </c>
      <c r="D20" s="247" t="s">
        <v>7</v>
      </c>
      <c r="E20" s="111" t="s">
        <v>272</v>
      </c>
      <c r="F20" s="97"/>
      <c r="H20" s="11"/>
    </row>
    <row r="21" spans="1:10" ht="17.25">
      <c r="A21" s="85"/>
      <c r="B21" s="86"/>
      <c r="C21" s="87"/>
      <c r="D21" s="86"/>
      <c r="E21" s="218"/>
      <c r="F21" s="86"/>
      <c r="H21" s="11"/>
    </row>
    <row r="22" spans="1:10" ht="17.25">
      <c r="A22" s="99" t="str">
        <f>+'S&amp;D'!A22</f>
        <v>Enbridge Inc</v>
      </c>
      <c r="B22" s="77" t="str">
        <f>+'S&amp;D'!B22</f>
        <v>ENB.TO</v>
      </c>
      <c r="C22" s="87" t="str">
        <f>+'S&amp;D'!C22</f>
        <v>Oil &amp; Gas Distribution</v>
      </c>
      <c r="D22" s="233">
        <f>+'S&amp;D'!D37</f>
        <v>132879780000</v>
      </c>
      <c r="E22" s="234">
        <f>65900000000*0.6948</f>
        <v>45787320000</v>
      </c>
      <c r="F22" s="101">
        <f t="shared" ref="F22:F27" si="0">+D22/E22</f>
        <v>2.9021087060784514</v>
      </c>
      <c r="H22" s="11" t="s">
        <v>484</v>
      </c>
      <c r="I22" s="11"/>
    </row>
    <row r="23" spans="1:10" ht="17.25">
      <c r="A23" s="99" t="str">
        <f>+'S&amp;D'!A23</f>
        <v>Energy Transfer LP</v>
      </c>
      <c r="B23" s="77" t="str">
        <f>+'S&amp;D'!B23</f>
        <v>ET</v>
      </c>
      <c r="C23" s="87" t="str">
        <f>+'S&amp;D'!C23</f>
        <v>Pipeline MLPs</v>
      </c>
      <c r="D23" s="233">
        <f>+'S&amp;D'!D38</f>
        <v>67215014350.979996</v>
      </c>
      <c r="E23" s="234">
        <v>35118000000</v>
      </c>
      <c r="F23" s="101">
        <f>+D23/E23</f>
        <v>1.9139761475875618</v>
      </c>
      <c r="H23" s="11"/>
    </row>
    <row r="24" spans="1:10" ht="17.25">
      <c r="A24" s="99" t="str">
        <f>+'S&amp;D'!A24</f>
        <v>Enterprise Products Partnership LP</v>
      </c>
      <c r="B24" s="77" t="str">
        <f>+'S&amp;D'!B24</f>
        <v>EPD</v>
      </c>
      <c r="C24" s="87" t="str">
        <f>+'S&amp;D'!C24</f>
        <v>Pipeline MLPs</v>
      </c>
      <c r="D24" s="233">
        <f>+'S&amp;D'!D39</f>
        <v>67916350808.32</v>
      </c>
      <c r="E24" s="234">
        <v>28732000000</v>
      </c>
      <c r="F24" s="101">
        <f t="shared" si="0"/>
        <v>2.3637877909063065</v>
      </c>
      <c r="H24" s="11"/>
    </row>
    <row r="25" spans="1:10" ht="17.25">
      <c r="A25" s="99" t="str">
        <f>+'S&amp;D'!A25</f>
        <v>Kinder Morgan Inc</v>
      </c>
      <c r="B25" s="77" t="str">
        <f>+'S&amp;D'!B25</f>
        <v>KMI</v>
      </c>
      <c r="C25" s="87" t="str">
        <f>+'S&amp;D'!C25</f>
        <v>Oil &amp; Gas Distribution</v>
      </c>
      <c r="D25" s="233">
        <f>+'S&amp;D'!D40</f>
        <v>60873149035</v>
      </c>
      <c r="E25" s="234">
        <v>30531000000</v>
      </c>
      <c r="F25" s="101">
        <f t="shared" si="0"/>
        <v>1.9938144520323606</v>
      </c>
      <c r="H25" s="11"/>
    </row>
    <row r="26" spans="1:10" ht="17.25">
      <c r="A26" s="99" t="str">
        <f>+'S&amp;D'!A26</f>
        <v>ONEOK Inc</v>
      </c>
      <c r="B26" s="77" t="str">
        <f>+'S&amp;D'!B26</f>
        <v>OKE</v>
      </c>
      <c r="C26" s="87" t="str">
        <f>+'S&amp;D'!C26</f>
        <v>Oil &amp; Gas Distribution</v>
      </c>
      <c r="D26" s="233">
        <f>+'S&amp;D'!D41</f>
        <v>58544307553.200005</v>
      </c>
      <c r="E26" s="234">
        <v>17036000000</v>
      </c>
      <c r="F26" s="101">
        <f t="shared" si="0"/>
        <v>3.4365054915003523</v>
      </c>
      <c r="H26" s="11"/>
    </row>
    <row r="27" spans="1:10" ht="17.25">
      <c r="A27" s="99" t="str">
        <f>+'S&amp;D'!A27</f>
        <v>TC Energy Corp</v>
      </c>
      <c r="B27" s="77" t="str">
        <f>+'S&amp;D'!B27</f>
        <v>TRP</v>
      </c>
      <c r="C27" s="87" t="str">
        <f>+'S&amp;D'!C27</f>
        <v>Oil &amp; Gas Distribution</v>
      </c>
      <c r="D27" s="233">
        <f>+'S&amp;D'!D42</f>
        <v>48344670000</v>
      </c>
      <c r="E27" s="234">
        <f>27592000000*0.6948</f>
        <v>19170921600</v>
      </c>
      <c r="F27" s="101">
        <f t="shared" si="0"/>
        <v>2.5217707843529023</v>
      </c>
      <c r="H27" s="11" t="s">
        <v>484</v>
      </c>
      <c r="I27" s="11"/>
    </row>
    <row r="28" spans="1:10" ht="18" thickBot="1">
      <c r="A28" s="273" t="str">
        <f>+'S&amp;D'!A28</f>
        <v>Williams Companys Inc</v>
      </c>
      <c r="B28" s="78" t="str">
        <f>+'S&amp;D'!B28</f>
        <v>WMB</v>
      </c>
      <c r="C28" s="94" t="str">
        <f>+'S&amp;D'!C28</f>
        <v>Oil &amp; Gas Distribution</v>
      </c>
      <c r="D28" s="274">
        <f>+'S&amp;D'!D43</f>
        <v>65972280000</v>
      </c>
      <c r="E28" s="326">
        <v>12436000000</v>
      </c>
      <c r="F28" s="101">
        <f t="shared" ref="F28" si="1">+D28/E28</f>
        <v>5.3049437118044391</v>
      </c>
      <c r="H28" s="11"/>
      <c r="J28" s="10" t="s">
        <v>0</v>
      </c>
    </row>
    <row r="29" spans="1:10" ht="27" customHeight="1" thickBot="1">
      <c r="A29" s="113"/>
      <c r="B29" s="105"/>
      <c r="C29" s="105"/>
      <c r="D29" s="114"/>
      <c r="E29" s="272" t="s">
        <v>280</v>
      </c>
      <c r="F29" s="184">
        <f>AVERAGE(F22:F28)</f>
        <v>2.9195581548946246</v>
      </c>
      <c r="H29" s="11"/>
    </row>
    <row r="30" spans="1:10" ht="17.25">
      <c r="A30" s="103"/>
      <c r="B30" s="103"/>
      <c r="C30" s="103"/>
      <c r="D30" s="103"/>
      <c r="E30" s="227"/>
      <c r="F30" s="229"/>
      <c r="H30" s="11"/>
    </row>
    <row r="31" spans="1:10" ht="17.25">
      <c r="A31" s="103"/>
      <c r="B31" s="103"/>
      <c r="C31" s="103"/>
      <c r="D31" s="103"/>
      <c r="E31" s="227"/>
      <c r="F31" s="229"/>
      <c r="H31" s="11"/>
    </row>
    <row r="32" spans="1:10" ht="17.25">
      <c r="A32" s="103"/>
      <c r="B32" s="103"/>
      <c r="C32" s="103"/>
      <c r="D32" s="103"/>
      <c r="E32" s="227"/>
      <c r="F32" s="229"/>
      <c r="H32" s="11"/>
    </row>
    <row r="33" spans="1:8" ht="18" thickBot="1">
      <c r="A33" s="103"/>
      <c r="B33" s="103"/>
      <c r="C33" s="103"/>
      <c r="D33" s="103"/>
      <c r="E33" s="103"/>
      <c r="F33" s="103"/>
      <c r="H33" s="11"/>
    </row>
    <row r="34" spans="1:8" ht="17.25">
      <c r="A34" s="230"/>
      <c r="B34" s="231"/>
      <c r="C34" s="232"/>
      <c r="D34" s="215" t="s">
        <v>0</v>
      </c>
      <c r="E34" s="216" t="s">
        <v>0</v>
      </c>
      <c r="F34" s="215" t="s">
        <v>0</v>
      </c>
      <c r="H34" s="11"/>
    </row>
    <row r="35" spans="1:8" ht="17.25">
      <c r="A35" s="85" t="s">
        <v>0</v>
      </c>
      <c r="B35" s="86" t="s">
        <v>3</v>
      </c>
      <c r="C35" s="87" t="s">
        <v>5</v>
      </c>
      <c r="D35" s="88" t="s">
        <v>0</v>
      </c>
      <c r="E35" s="217" t="s">
        <v>0</v>
      </c>
      <c r="F35" s="88" t="s">
        <v>273</v>
      </c>
      <c r="H35" s="11"/>
    </row>
    <row r="36" spans="1:8" ht="17.25">
      <c r="A36" s="85"/>
      <c r="B36" s="86" t="s">
        <v>4</v>
      </c>
      <c r="C36" s="87" t="s">
        <v>6</v>
      </c>
      <c r="D36" s="88" t="s">
        <v>274</v>
      </c>
      <c r="E36" s="217" t="s">
        <v>274</v>
      </c>
      <c r="F36" s="88" t="s">
        <v>124</v>
      </c>
    </row>
    <row r="37" spans="1:8" ht="18" thickBot="1">
      <c r="A37" s="92" t="s">
        <v>2</v>
      </c>
      <c r="B37" s="93" t="s">
        <v>0</v>
      </c>
      <c r="C37" s="94" t="s">
        <v>0</v>
      </c>
      <c r="D37" s="267" t="s">
        <v>271</v>
      </c>
      <c r="E37" s="266" t="s">
        <v>61</v>
      </c>
      <c r="F37" s="93" t="s">
        <v>0</v>
      </c>
    </row>
    <row r="38" spans="1:8">
      <c r="A38" s="268" t="s">
        <v>7</v>
      </c>
      <c r="B38" s="247" t="s">
        <v>7</v>
      </c>
      <c r="C38" s="269" t="s">
        <v>7</v>
      </c>
      <c r="D38" s="247" t="s">
        <v>272</v>
      </c>
      <c r="E38" s="111" t="s">
        <v>272</v>
      </c>
      <c r="F38" s="97"/>
    </row>
    <row r="39" spans="1:8" ht="18" thickBot="1">
      <c r="A39" s="85"/>
      <c r="B39" s="86"/>
      <c r="C39" s="87"/>
      <c r="D39" s="86"/>
      <c r="E39" s="321"/>
      <c r="F39" s="321"/>
    </row>
    <row r="40" spans="1:8" ht="17.25">
      <c r="A40" s="99" t="str">
        <f t="shared" ref="A40:C46" si="2">+A22</f>
        <v>Enbridge Inc</v>
      </c>
      <c r="B40" s="77" t="str">
        <f t="shared" si="2"/>
        <v>ENB.TO</v>
      </c>
      <c r="C40" s="87" t="str">
        <f t="shared" si="2"/>
        <v>Oil &amp; Gas Distribution</v>
      </c>
      <c r="D40" s="233">
        <f>+'S&amp;D'!G37</f>
        <v>68406634527.165367</v>
      </c>
      <c r="E40" s="234">
        <f>+'S&amp;D'!J22</f>
        <v>70274156400</v>
      </c>
      <c r="F40" s="101">
        <f t="shared" ref="F40:F43" si="3">+D40/E40</f>
        <v>0.97342519685039386</v>
      </c>
    </row>
    <row r="41" spans="1:8" ht="17.25">
      <c r="A41" s="99" t="str">
        <f t="shared" si="2"/>
        <v>Energy Transfer LP</v>
      </c>
      <c r="B41" s="77" t="str">
        <f t="shared" si="2"/>
        <v>ET</v>
      </c>
      <c r="C41" s="87" t="str">
        <f t="shared" si="2"/>
        <v>Pipeline MLPs</v>
      </c>
      <c r="D41" s="233">
        <f>+'S&amp;D'!G38</f>
        <v>59010000000</v>
      </c>
      <c r="E41" s="234">
        <f>+'S&amp;D'!J23</f>
        <v>59760000000</v>
      </c>
      <c r="F41" s="101">
        <f t="shared" si="3"/>
        <v>0.9874497991967871</v>
      </c>
    </row>
    <row r="42" spans="1:8" ht="17.25">
      <c r="A42" s="99" t="str">
        <f t="shared" si="2"/>
        <v>Enterprise Products Partnership LP</v>
      </c>
      <c r="B42" s="77" t="str">
        <f t="shared" si="2"/>
        <v>EPD</v>
      </c>
      <c r="C42" s="87" t="str">
        <f t="shared" si="2"/>
        <v>Pipeline MLPs</v>
      </c>
      <c r="D42" s="233">
        <f>+'S&amp;D'!G39</f>
        <v>29170708860.759491</v>
      </c>
      <c r="E42" s="234">
        <f>+'S&amp;D'!J24</f>
        <v>31896000000</v>
      </c>
      <c r="F42" s="101">
        <f t="shared" si="3"/>
        <v>0.91455696202531633</v>
      </c>
    </row>
    <row r="43" spans="1:8" ht="17.25">
      <c r="A43" s="99" t="str">
        <f t="shared" si="2"/>
        <v>Kinder Morgan Inc</v>
      </c>
      <c r="B43" s="77" t="str">
        <f t="shared" si="2"/>
        <v>KMI</v>
      </c>
      <c r="C43" s="87" t="str">
        <f t="shared" si="2"/>
        <v>Oil &amp; Gas Distribution</v>
      </c>
      <c r="D43" s="233">
        <f>+'S&amp;D'!G40</f>
        <v>30781099336.907894</v>
      </c>
      <c r="E43" s="234">
        <f>+'S&amp;D'!J25</f>
        <v>31890000000</v>
      </c>
      <c r="F43" s="101">
        <f t="shared" si="3"/>
        <v>0.9652273232018781</v>
      </c>
    </row>
    <row r="44" spans="1:8" ht="17.25">
      <c r="A44" s="99" t="str">
        <f t="shared" si="2"/>
        <v>ONEOK Inc</v>
      </c>
      <c r="B44" s="77" t="str">
        <f t="shared" si="2"/>
        <v>OKE</v>
      </c>
      <c r="C44" s="87" t="str">
        <f t="shared" si="2"/>
        <v>Oil &amp; Gas Distribution</v>
      </c>
      <c r="D44" s="233">
        <f>+'S&amp;D'!G41</f>
        <v>30777931464.174454</v>
      </c>
      <c r="E44" s="234">
        <f>+'S&amp;D'!J26</f>
        <v>32077000000</v>
      </c>
      <c r="F44" s="101">
        <f>+D44/E44</f>
        <v>0.95950155763239875</v>
      </c>
    </row>
    <row r="45" spans="1:8" ht="17.25">
      <c r="A45" s="99" t="str">
        <f t="shared" si="2"/>
        <v>TC Energy Corp</v>
      </c>
      <c r="B45" s="77" t="str">
        <f t="shared" si="2"/>
        <v>TRP</v>
      </c>
      <c r="C45" s="87" t="str">
        <f t="shared" si="2"/>
        <v>Oil &amp; Gas Distribution</v>
      </c>
      <c r="D45" s="233">
        <f>+'S&amp;D'!G42</f>
        <v>33394496657.278019</v>
      </c>
      <c r="E45" s="234">
        <f>+'S&amp;D'!J27</f>
        <v>33302458800</v>
      </c>
      <c r="F45" s="101">
        <f t="shared" ref="F45" si="4">+D45/E45</f>
        <v>1.0027636955526544</v>
      </c>
    </row>
    <row r="46" spans="1:8" ht="18" thickBot="1">
      <c r="A46" s="273" t="str">
        <f t="shared" si="2"/>
        <v>Williams Companys Inc</v>
      </c>
      <c r="B46" s="78" t="str">
        <f t="shared" si="2"/>
        <v>WMB</v>
      </c>
      <c r="C46" s="94" t="str">
        <f t="shared" si="2"/>
        <v>Oil &amp; Gas Distribution</v>
      </c>
      <c r="D46" s="274">
        <f>+'S&amp;D'!G43</f>
        <v>25830000000</v>
      </c>
      <c r="E46" s="234">
        <f>+'S&amp;D'!J28</f>
        <v>26456000000</v>
      </c>
      <c r="F46" s="101">
        <f t="shared" ref="F46" si="5">+D46/E46</f>
        <v>0.97633807075899604</v>
      </c>
    </row>
    <row r="47" spans="1:8" ht="27.75" customHeight="1" thickBot="1">
      <c r="A47" s="270"/>
      <c r="B47" s="141"/>
      <c r="C47" s="141"/>
      <c r="D47" s="271"/>
      <c r="E47" s="272" t="s">
        <v>280</v>
      </c>
      <c r="F47" s="184">
        <f>AVERAGE(F40:F46)</f>
        <v>0.96846608645977494</v>
      </c>
    </row>
    <row r="52" spans="1:6">
      <c r="C52" s="219" t="s">
        <v>275</v>
      </c>
      <c r="D52" s="219" t="s">
        <v>276</v>
      </c>
      <c r="E52" s="219"/>
    </row>
    <row r="53" spans="1:6">
      <c r="A53" s="221"/>
      <c r="B53" s="221"/>
      <c r="C53" s="220" t="s">
        <v>36</v>
      </c>
      <c r="D53" s="220" t="s">
        <v>277</v>
      </c>
      <c r="E53" s="220" t="s">
        <v>278</v>
      </c>
    </row>
    <row r="54" spans="1:6" ht="17.25">
      <c r="A54" s="87" t="s">
        <v>40</v>
      </c>
      <c r="B54" s="129" t="s">
        <v>0</v>
      </c>
      <c r="C54" s="129">
        <f>+'Yield CapRate'!C23</f>
        <v>0.62</v>
      </c>
      <c r="D54" s="225">
        <f>+F29</f>
        <v>2.9195581548946246</v>
      </c>
      <c r="E54" s="226">
        <f>+C54*D54</f>
        <v>1.8101260560346673</v>
      </c>
      <c r="F54" s="130" t="s">
        <v>0</v>
      </c>
    </row>
    <row r="55" spans="1:6" ht="17.25">
      <c r="A55" s="222" t="s">
        <v>42</v>
      </c>
      <c r="B55" s="223" t="str">
        <f>'S&amp;D'!I34</f>
        <v xml:space="preserve"> </v>
      </c>
      <c r="C55" s="223">
        <f>+'Yield CapRate'!C25</f>
        <v>0.38</v>
      </c>
      <c r="D55" s="224">
        <f>+F47</f>
        <v>0.96846608645977494</v>
      </c>
      <c r="E55" s="224">
        <f>+C55*D55</f>
        <v>0.3680171128547145</v>
      </c>
      <c r="F55" s="130" t="s">
        <v>0</v>
      </c>
    </row>
    <row r="56" spans="1:6">
      <c r="D56" s="227" t="s">
        <v>279</v>
      </c>
      <c r="E56" s="228">
        <f>+E54+E55</f>
        <v>2.178143168889382</v>
      </c>
    </row>
    <row r="59" spans="1:6" ht="20.25">
      <c r="A59" s="29" t="s">
        <v>390</v>
      </c>
    </row>
    <row r="60" spans="1:6" ht="19.5" customHeight="1">
      <c r="A60" s="29" t="s">
        <v>359</v>
      </c>
    </row>
  </sheetData>
  <pageMargins left="0.25" right="0.25" top="0.75" bottom="0.75" header="0.3" footer="0.3"/>
  <pageSetup scale="48" orientation="landscape" r:id="rId1"/>
  <rowBreaks count="1" manualBreakCount="1">
    <brk id="33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N75"/>
  <sheetViews>
    <sheetView view="pageBreakPreview" zoomScale="70" zoomScaleNormal="80" zoomScaleSheetLayoutView="70" workbookViewId="0">
      <selection activeCell="L33" sqref="L33"/>
    </sheetView>
  </sheetViews>
  <sheetFormatPr defaultRowHeight="15"/>
  <cols>
    <col min="1" max="1" width="41" customWidth="1"/>
    <col min="2" max="2" width="10.85546875" bestFit="1" customWidth="1"/>
    <col min="3" max="3" width="10.7109375" customWidth="1"/>
    <col min="4" max="4" width="28.570312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6.5">
      <c r="A4" s="2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6.5">
      <c r="A5" s="2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6.5">
      <c r="A6" s="2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7.25" thickBot="1">
      <c r="A7" s="11"/>
      <c r="B7" s="11"/>
      <c r="C7" s="11"/>
      <c r="D7" s="11"/>
      <c r="E7" s="11"/>
      <c r="F7" s="27"/>
      <c r="G7" s="27"/>
      <c r="H7" s="28" t="s">
        <v>0</v>
      </c>
      <c r="I7" s="11"/>
      <c r="J7" s="11"/>
      <c r="K7" s="11"/>
      <c r="L7" s="11"/>
    </row>
    <row r="8" spans="1:12" ht="27" thickBot="1">
      <c r="A8" s="239" t="str">
        <f>+'S&amp;D'!A12</f>
        <v>Natural Gas Transmission Pipeline Carrier</v>
      </c>
      <c r="B8" s="240"/>
      <c r="C8" s="174"/>
      <c r="D8" s="11"/>
      <c r="E8" s="11"/>
      <c r="F8" s="11"/>
      <c r="G8" s="30" t="s">
        <v>76</v>
      </c>
      <c r="H8" s="11"/>
      <c r="I8" s="11"/>
      <c r="J8" s="11"/>
      <c r="K8" s="11"/>
      <c r="L8" s="11"/>
    </row>
    <row r="9" spans="1:12" ht="20.25">
      <c r="A9" s="29"/>
      <c r="B9" s="11"/>
      <c r="C9" s="11"/>
      <c r="D9" s="11"/>
      <c r="E9" s="11"/>
      <c r="F9" s="11"/>
      <c r="G9" s="87" t="s">
        <v>77</v>
      </c>
      <c r="H9" s="11"/>
      <c r="I9" s="11"/>
      <c r="J9" s="11"/>
      <c r="K9" s="11"/>
      <c r="L9" s="11"/>
    </row>
    <row r="10" spans="1:12" ht="18" customHeight="1" thickBot="1">
      <c r="A10" s="39" t="s">
        <v>0</v>
      </c>
      <c r="B10" s="39" t="s">
        <v>0</v>
      </c>
      <c r="C10" s="39" t="s">
        <v>0</v>
      </c>
      <c r="D10" s="11"/>
      <c r="E10" s="11"/>
      <c r="F10" s="32" t="s">
        <v>0</v>
      </c>
      <c r="G10" s="35" t="s">
        <v>422</v>
      </c>
      <c r="H10" s="32" t="s">
        <v>0</v>
      </c>
      <c r="I10" s="39" t="s">
        <v>0</v>
      </c>
      <c r="J10" s="11"/>
      <c r="K10" s="11"/>
      <c r="L10" s="11"/>
    </row>
    <row r="11" spans="1:12" ht="18" customHeight="1">
      <c r="A11" s="39"/>
      <c r="B11" s="39"/>
      <c r="C11" s="39"/>
      <c r="D11" s="11"/>
      <c r="E11" s="11"/>
      <c r="J11" s="11"/>
      <c r="K11" s="11"/>
      <c r="L11" s="11"/>
    </row>
    <row r="12" spans="1:12" ht="18" customHeight="1">
      <c r="A12" s="39"/>
      <c r="B12" s="39"/>
      <c r="C12" s="39"/>
      <c r="D12" s="11" t="s">
        <v>0</v>
      </c>
      <c r="E12" s="11" t="s">
        <v>0</v>
      </c>
      <c r="G12" s="12" t="s">
        <v>0</v>
      </c>
      <c r="J12" s="11"/>
      <c r="K12" s="11"/>
      <c r="L12" s="11" t="s">
        <v>0</v>
      </c>
    </row>
    <row r="13" spans="1:12" ht="17.25" thickBot="1">
      <c r="A13" s="32"/>
      <c r="B13" s="32"/>
      <c r="C13" s="32"/>
      <c r="D13" s="32"/>
      <c r="E13" s="35"/>
      <c r="F13" s="32"/>
      <c r="G13" s="32"/>
      <c r="H13" s="32"/>
      <c r="I13" s="32"/>
      <c r="J13" s="27"/>
      <c r="K13" s="27"/>
      <c r="L13" s="27"/>
    </row>
    <row r="14" spans="1:12" ht="15" customHeight="1" thickBot="1">
      <c r="A14" s="32" t="s">
        <v>24</v>
      </c>
      <c r="B14" s="32" t="s">
        <v>89</v>
      </c>
      <c r="C14" s="32" t="s">
        <v>90</v>
      </c>
      <c r="D14" s="40" t="s">
        <v>91</v>
      </c>
      <c r="E14" s="32" t="s">
        <v>92</v>
      </c>
      <c r="F14" s="32" t="s">
        <v>93</v>
      </c>
      <c r="G14" s="32" t="s">
        <v>94</v>
      </c>
      <c r="H14" s="32" t="s">
        <v>95</v>
      </c>
      <c r="I14" s="32" t="s">
        <v>96</v>
      </c>
      <c r="J14" s="32" t="s">
        <v>97</v>
      </c>
      <c r="K14" s="32" t="s">
        <v>98</v>
      </c>
      <c r="L14" s="32" t="s">
        <v>106</v>
      </c>
    </row>
    <row r="15" spans="1:12" ht="16.5">
      <c r="A15" s="33" t="s">
        <v>0</v>
      </c>
      <c r="B15" s="33" t="s">
        <v>3</v>
      </c>
      <c r="C15" s="33" t="s">
        <v>78</v>
      </c>
      <c r="D15" s="33" t="s">
        <v>81</v>
      </c>
      <c r="E15" s="33" t="s">
        <v>81</v>
      </c>
      <c r="F15" s="33" t="s">
        <v>82</v>
      </c>
      <c r="G15" s="33" t="s">
        <v>85</v>
      </c>
      <c r="H15" s="33" t="s">
        <v>87</v>
      </c>
      <c r="I15" s="33" t="s">
        <v>109</v>
      </c>
      <c r="J15" s="33" t="s">
        <v>109</v>
      </c>
      <c r="K15" s="33" t="s">
        <v>102</v>
      </c>
      <c r="L15" s="33" t="s">
        <v>104</v>
      </c>
    </row>
    <row r="16" spans="1:12" ht="17.25" thickBot="1">
      <c r="A16" s="35" t="s">
        <v>2</v>
      </c>
      <c r="B16" s="35" t="s">
        <v>4</v>
      </c>
      <c r="C16" s="35" t="s">
        <v>79</v>
      </c>
      <c r="D16" s="35" t="s">
        <v>84</v>
      </c>
      <c r="E16" s="35" t="s">
        <v>83</v>
      </c>
      <c r="F16" s="35" t="s">
        <v>19</v>
      </c>
      <c r="G16" s="35" t="s">
        <v>86</v>
      </c>
      <c r="H16" s="35" t="s">
        <v>88</v>
      </c>
      <c r="I16" s="35" t="s">
        <v>0</v>
      </c>
      <c r="J16" s="35" t="s">
        <v>0</v>
      </c>
      <c r="K16" s="35" t="s">
        <v>103</v>
      </c>
      <c r="L16" s="35" t="s">
        <v>85</v>
      </c>
    </row>
    <row r="17" spans="1:14">
      <c r="A17" s="41" t="s">
        <v>7</v>
      </c>
      <c r="B17" s="41" t="s">
        <v>7</v>
      </c>
      <c r="C17" s="41" t="s">
        <v>80</v>
      </c>
      <c r="D17" s="41" t="s">
        <v>235</v>
      </c>
      <c r="E17" s="41" t="s">
        <v>235</v>
      </c>
      <c r="F17" s="41" t="s">
        <v>107</v>
      </c>
      <c r="G17" s="41" t="s">
        <v>234</v>
      </c>
      <c r="H17" s="41" t="s">
        <v>99</v>
      </c>
      <c r="I17" s="41" t="s">
        <v>100</v>
      </c>
      <c r="J17" s="41" t="s">
        <v>101</v>
      </c>
      <c r="K17" s="41" t="s">
        <v>108</v>
      </c>
      <c r="L17" s="41" t="s">
        <v>105</v>
      </c>
    </row>
    <row r="18" spans="1:14" ht="16.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4" ht="16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4" ht="22.5" customHeight="1">
      <c r="A20" s="60" t="str">
        <f>+'S&amp;D'!A22</f>
        <v>Enbridge Inc</v>
      </c>
      <c r="B20" s="87" t="str">
        <f>+'S&amp;D'!B22</f>
        <v>ENB.TO</v>
      </c>
      <c r="C20" s="63">
        <f>+'Growth &amp; Inflation Rates'!$D$57</f>
        <v>2.3E-2</v>
      </c>
      <c r="D20" s="362">
        <f>169066000000*0.6948</f>
        <v>117467056800</v>
      </c>
      <c r="E20" s="362">
        <f>137199000000*0.7453</f>
        <v>102254414700</v>
      </c>
      <c r="F20" s="125">
        <f t="shared" ref="F20:F23" si="0">(D20+E20)/2</f>
        <v>109860735750</v>
      </c>
      <c r="G20" s="125">
        <f>5167000000*0.6948</f>
        <v>3590031600</v>
      </c>
      <c r="H20" s="17">
        <f t="shared" ref="H20:H23" si="1">+F20/G20</f>
        <v>30.601606891148258</v>
      </c>
      <c r="I20" s="43">
        <f t="shared" ref="I20:I23" si="2">+C20*H20</f>
        <v>0.70383695849640993</v>
      </c>
      <c r="J20" s="44">
        <f t="shared" ref="J20:J23" si="3">1/(1+C20)^H20</f>
        <v>0.4986430144548768</v>
      </c>
      <c r="K20" s="126">
        <f t="shared" ref="K20:K23" si="4">(G20*I20)/(1-J20)</f>
        <v>5039915659.1039114</v>
      </c>
      <c r="L20" s="127">
        <f t="shared" ref="L20:L23" si="5">+K20/G20</f>
        <v>1.4038638710321969</v>
      </c>
      <c r="M20" s="11" t="s">
        <v>484</v>
      </c>
      <c r="N20" s="11"/>
    </row>
    <row r="21" spans="1:14" ht="22.5" customHeight="1">
      <c r="A21" s="60" t="str">
        <f>+'S&amp;D'!A23</f>
        <v>Energy Transfer LP</v>
      </c>
      <c r="B21" s="87" t="str">
        <f>+'S&amp;D'!B23</f>
        <v>ET</v>
      </c>
      <c r="C21" s="63">
        <f>+'Growth &amp; Inflation Rates'!$D$57</f>
        <v>2.3E-2</v>
      </c>
      <c r="D21" s="362">
        <v>129242000000</v>
      </c>
      <c r="E21" s="362">
        <v>114932000000</v>
      </c>
      <c r="F21" s="125">
        <f t="shared" si="0"/>
        <v>122087000000</v>
      </c>
      <c r="G21" s="125">
        <v>5165000000</v>
      </c>
      <c r="H21" s="17">
        <f t="shared" si="1"/>
        <v>23.637366892545984</v>
      </c>
      <c r="I21" s="43">
        <f t="shared" si="2"/>
        <v>0.54365943852855758</v>
      </c>
      <c r="J21" s="44">
        <f t="shared" si="3"/>
        <v>0.58420601295758734</v>
      </c>
      <c r="K21" s="126">
        <f t="shared" si="4"/>
        <v>6753346819.5959568</v>
      </c>
      <c r="L21" s="127">
        <f t="shared" si="5"/>
        <v>1.3075211654590428</v>
      </c>
    </row>
    <row r="22" spans="1:14" ht="22.5" customHeight="1">
      <c r="A22" s="60" t="str">
        <f>+'S&amp;D'!A24</f>
        <v>Enterprise Products Partnership LP</v>
      </c>
      <c r="B22" s="87" t="str">
        <f>+'S&amp;D'!B24</f>
        <v>EPD</v>
      </c>
      <c r="C22" s="63">
        <f>+'Growth &amp; Inflation Rates'!$D$57</f>
        <v>2.3E-2</v>
      </c>
      <c r="D22" s="362">
        <v>71203000000</v>
      </c>
      <c r="E22" s="362">
        <v>66217000000</v>
      </c>
      <c r="F22" s="125">
        <f t="shared" si="0"/>
        <v>68710000000</v>
      </c>
      <c r="G22" s="125">
        <v>2402000000</v>
      </c>
      <c r="H22" s="17">
        <f t="shared" si="1"/>
        <v>28.605328892589508</v>
      </c>
      <c r="I22" s="43">
        <f t="shared" si="2"/>
        <v>0.65792256452955866</v>
      </c>
      <c r="J22" s="44">
        <f t="shared" si="3"/>
        <v>0.52180021011247235</v>
      </c>
      <c r="K22" s="126">
        <f t="shared" si="4"/>
        <v>3304748419.8428712</v>
      </c>
      <c r="L22" s="127">
        <f t="shared" si="5"/>
        <v>1.3758319816165159</v>
      </c>
    </row>
    <row r="23" spans="1:14" ht="22.5" customHeight="1">
      <c r="A23" s="60" t="str">
        <f>+'S&amp;D'!A25</f>
        <v>Kinder Morgan Inc</v>
      </c>
      <c r="B23" s="87" t="str">
        <f>+'S&amp;D'!B25</f>
        <v>KMI</v>
      </c>
      <c r="C23" s="63">
        <f>+'Growth &amp; Inflation Rates'!$D$57</f>
        <v>2.3E-2</v>
      </c>
      <c r="D23" s="362">
        <f>38013000000+11470000000</f>
        <v>49483000000</v>
      </c>
      <c r="E23" s="362">
        <f>37297000000+11774000000</f>
        <v>49071000000</v>
      </c>
      <c r="F23" s="125">
        <f t="shared" si="0"/>
        <v>49277000000</v>
      </c>
      <c r="G23" s="125">
        <v>2354000000</v>
      </c>
      <c r="H23" s="17">
        <f t="shared" si="1"/>
        <v>20.933305012744267</v>
      </c>
      <c r="I23" s="43">
        <f t="shared" si="2"/>
        <v>0.48146601529311811</v>
      </c>
      <c r="J23" s="44">
        <f t="shared" si="3"/>
        <v>0.62125564408540113</v>
      </c>
      <c r="K23" s="126">
        <f t="shared" si="4"/>
        <v>2992443272.8855186</v>
      </c>
      <c r="L23" s="127">
        <f t="shared" si="5"/>
        <v>1.2712163436217156</v>
      </c>
    </row>
    <row r="24" spans="1:14" ht="22.5" customHeight="1">
      <c r="A24" s="60" t="str">
        <f>+'S&amp;D'!A26</f>
        <v>ONEOK Inc</v>
      </c>
      <c r="B24" s="87" t="str">
        <f>+'S&amp;D'!B26</f>
        <v>OKE</v>
      </c>
      <c r="C24" s="63">
        <f>+'Growth &amp; Inflation Rates'!$D$57</f>
        <v>2.3E-2</v>
      </c>
      <c r="D24" s="362">
        <v>52274000000</v>
      </c>
      <c r="E24" s="362">
        <v>38454000000</v>
      </c>
      <c r="F24" s="125">
        <f t="shared" ref="F24:F26" si="6">(D24+E24)/2</f>
        <v>45364000000</v>
      </c>
      <c r="G24" s="125">
        <v>1134000000</v>
      </c>
      <c r="H24" s="17">
        <f>+F24/G24</f>
        <v>40.003527336860671</v>
      </c>
      <c r="I24" s="43">
        <f>+C24*H24</f>
        <v>0.92008112874779546</v>
      </c>
      <c r="J24" s="44">
        <f>1/(1+C24)^H24</f>
        <v>0.40266123092294387</v>
      </c>
      <c r="K24" s="126">
        <f>(G24*I24)/(1-J24)</f>
        <v>1746700622.8510942</v>
      </c>
      <c r="L24" s="127">
        <f>+K24/G24</f>
        <v>1.5403003728845628</v>
      </c>
    </row>
    <row r="25" spans="1:14" ht="22.5" customHeight="1">
      <c r="A25" s="60" t="str">
        <f>+'S&amp;D'!A27</f>
        <v>TC Energy Corp</v>
      </c>
      <c r="B25" s="87" t="str">
        <f>+'S&amp;D'!B27</f>
        <v>TRP</v>
      </c>
      <c r="C25" s="63">
        <f>+'Growth &amp; Inflation Rates'!$D$57</f>
        <v>2.3E-2</v>
      </c>
      <c r="D25" s="362">
        <f>112898000000*0.6948</f>
        <v>78441530400</v>
      </c>
      <c r="E25" s="362">
        <f>117171000000*0.7453</f>
        <v>87327546300</v>
      </c>
      <c r="F25" s="125">
        <f t="shared" si="6"/>
        <v>82884538350</v>
      </c>
      <c r="G25" s="125">
        <f>2535000000*0.6948</f>
        <v>1761318000</v>
      </c>
      <c r="H25" s="17">
        <f>+F25/G25</f>
        <v>47.05824748852848</v>
      </c>
      <c r="I25" s="43">
        <f>+C25*H25</f>
        <v>1.082339692236155</v>
      </c>
      <c r="J25" s="44">
        <f>1/(1+C25)^H25</f>
        <v>0.34298093873128122</v>
      </c>
      <c r="K25" s="126">
        <f>(G25*I25)/(1-J25)</f>
        <v>2901505442.4278126</v>
      </c>
      <c r="L25" s="127">
        <f>+K25/G25</f>
        <v>1.6473489979820866</v>
      </c>
      <c r="M25" s="11" t="s">
        <v>484</v>
      </c>
    </row>
    <row r="26" spans="1:14" ht="22.5" customHeight="1">
      <c r="A26" s="60" t="str">
        <f>+'S&amp;D'!A28</f>
        <v>Williams Companys Inc</v>
      </c>
      <c r="B26" s="87" t="str">
        <f>+'S&amp;D'!B28</f>
        <v>WMB</v>
      </c>
      <c r="C26" s="63">
        <f>+'Growth &amp; Inflation Rates'!$D$57</f>
        <v>2.3E-2</v>
      </c>
      <c r="D26" s="362">
        <v>38692000000</v>
      </c>
      <c r="E26" s="362">
        <v>51842000000</v>
      </c>
      <c r="F26" s="125">
        <f t="shared" si="6"/>
        <v>45267000000</v>
      </c>
      <c r="G26" s="125">
        <v>2219000000</v>
      </c>
      <c r="H26" s="17">
        <f t="shared" ref="H26" si="7">+F26/G26</f>
        <v>20.399729607931501</v>
      </c>
      <c r="I26" s="43">
        <f t="shared" ref="I26" si="8">+C26*H26</f>
        <v>0.46919378098242454</v>
      </c>
      <c r="J26" s="44">
        <f t="shared" ref="J26" si="9">1/(1+C26)^H26</f>
        <v>0.62883939697930225</v>
      </c>
      <c r="K26" s="126">
        <f t="shared" ref="K26" si="10">(G26*I26)/(1-J26)</f>
        <v>2805095668.9008851</v>
      </c>
      <c r="L26" s="127">
        <f t="shared" ref="L26" si="11">+K26/G26</f>
        <v>1.2641260337543421</v>
      </c>
    </row>
    <row r="27" spans="1:14" ht="22.5" customHeight="1" thickBot="1">
      <c r="A27" s="67"/>
      <c r="B27" s="67"/>
      <c r="C27" s="45"/>
      <c r="D27" s="45"/>
      <c r="E27" s="45"/>
      <c r="F27" s="45"/>
      <c r="G27" s="45" t="s">
        <v>0</v>
      </c>
      <c r="H27" s="45"/>
      <c r="I27" s="45" t="s">
        <v>45</v>
      </c>
      <c r="J27" s="45"/>
      <c r="K27" s="45"/>
      <c r="L27" s="45"/>
    </row>
    <row r="28" spans="1:14" ht="22.5" customHeight="1" thickTop="1">
      <c r="A28" s="11"/>
      <c r="B28" s="11"/>
      <c r="C28" s="46" t="s">
        <v>0</v>
      </c>
      <c r="D28" s="46" t="s">
        <v>0</v>
      </c>
      <c r="E28" s="33" t="s">
        <v>0</v>
      </c>
      <c r="F28" s="33"/>
      <c r="G28" s="46" t="s">
        <v>0</v>
      </c>
      <c r="H28" s="33"/>
      <c r="I28" s="46" t="s">
        <v>0</v>
      </c>
      <c r="J28" s="46" t="s">
        <v>0</v>
      </c>
      <c r="K28" s="13" t="s">
        <v>46</v>
      </c>
      <c r="L28" s="284">
        <f>MAX(L20:L26)</f>
        <v>1.6473489979820866</v>
      </c>
    </row>
    <row r="29" spans="1:14" ht="22.5" customHeight="1">
      <c r="B29" s="11"/>
      <c r="C29" s="46"/>
      <c r="D29" s="46"/>
      <c r="E29" s="33"/>
      <c r="F29" s="33"/>
      <c r="G29" s="46"/>
      <c r="H29" s="33"/>
      <c r="I29" s="46"/>
      <c r="J29" s="46"/>
      <c r="K29" s="308" t="s">
        <v>47</v>
      </c>
      <c r="L29" s="305">
        <f>MIN(L20:L26)</f>
        <v>1.2641260337543421</v>
      </c>
    </row>
    <row r="30" spans="1:14" ht="22.5" customHeight="1">
      <c r="B30" s="11"/>
      <c r="C30" s="11"/>
      <c r="D30" s="11"/>
      <c r="E30" s="11"/>
      <c r="F30" s="11"/>
      <c r="G30" s="11"/>
      <c r="H30" s="11"/>
      <c r="I30" s="11"/>
      <c r="J30" s="11"/>
      <c r="K30" s="13" t="s">
        <v>18</v>
      </c>
      <c r="L30" s="52">
        <f>MEDIAN(L20:L26)</f>
        <v>1.3758319816165159</v>
      </c>
    </row>
    <row r="31" spans="1:14" ht="22.5" customHeight="1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  <c r="K31" s="13" t="s">
        <v>388</v>
      </c>
      <c r="L31" s="52">
        <f>AVERAGE(L20:L26)</f>
        <v>1.4014583951929234</v>
      </c>
    </row>
    <row r="32" spans="1:14" ht="22.5" customHeight="1" thickBot="1">
      <c r="A32" s="11"/>
      <c r="B32" s="11"/>
      <c r="C32" s="11"/>
      <c r="D32" s="11"/>
      <c r="E32" s="11"/>
      <c r="F32" s="11"/>
      <c r="G32" s="11" t="s">
        <v>0</v>
      </c>
      <c r="H32" s="11"/>
      <c r="I32" s="11"/>
      <c r="J32" s="11"/>
      <c r="K32" s="11"/>
      <c r="L32" s="11"/>
    </row>
    <row r="33" spans="1:12" ht="22.5" customHeight="1" thickBo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81" t="s">
        <v>202</v>
      </c>
      <c r="L33" s="353">
        <v>1.4015</v>
      </c>
    </row>
    <row r="34" spans="1:12" ht="16.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6.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16.5">
      <c r="A36" s="11" t="s">
        <v>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6.5">
      <c r="A37" s="11" t="s">
        <v>247</v>
      </c>
    </row>
    <row r="38" spans="1:12" ht="16.5">
      <c r="A38" s="11"/>
    </row>
    <row r="39" spans="1:12" ht="16.5">
      <c r="A39" s="11" t="s">
        <v>358</v>
      </c>
    </row>
    <row r="40" spans="1:12" ht="20.2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</row>
    <row r="41" spans="1:12" ht="26.25">
      <c r="A41" s="22" t="s">
        <v>1</v>
      </c>
      <c r="B41" s="11"/>
      <c r="C41" s="11"/>
      <c r="D41" s="11"/>
      <c r="E41" s="11"/>
      <c r="F41" s="11"/>
      <c r="G41" s="11"/>
      <c r="H41" s="11"/>
      <c r="I41" s="11"/>
      <c r="J41" s="11"/>
      <c r="K41" s="211"/>
      <c r="L41" s="211"/>
    </row>
    <row r="42" spans="1:12" ht="20.25">
      <c r="A42" s="23" t="s">
        <v>9</v>
      </c>
      <c r="B42" s="11"/>
      <c r="C42" s="11"/>
      <c r="D42" s="11"/>
      <c r="E42" s="11"/>
      <c r="F42" s="11"/>
      <c r="G42" s="11"/>
      <c r="H42" s="11"/>
      <c r="I42" s="11"/>
      <c r="J42" s="11"/>
      <c r="K42" s="211"/>
      <c r="L42" s="211"/>
    </row>
    <row r="43" spans="1:12" ht="20.25">
      <c r="A43" s="24" t="s">
        <v>421</v>
      </c>
      <c r="B43" s="11"/>
      <c r="C43" s="11"/>
      <c r="D43" s="11"/>
      <c r="E43" s="11"/>
      <c r="F43" s="11"/>
      <c r="G43" s="11"/>
      <c r="H43" s="11"/>
      <c r="I43" s="11"/>
      <c r="J43" s="11"/>
      <c r="K43" s="211"/>
      <c r="L43" s="211"/>
    </row>
    <row r="44" spans="1:12" ht="20.25">
      <c r="A44" s="24"/>
      <c r="B44" s="11"/>
      <c r="C44" s="11"/>
      <c r="D44" s="11"/>
      <c r="E44" s="11"/>
      <c r="F44" s="11"/>
      <c r="G44" s="11"/>
      <c r="H44" s="11"/>
      <c r="I44" s="11"/>
      <c r="J44" s="11"/>
      <c r="K44" s="211"/>
      <c r="L44" s="211"/>
    </row>
    <row r="45" spans="1:12" ht="20.25">
      <c r="A45" s="24"/>
      <c r="B45" s="11"/>
      <c r="C45" s="11"/>
      <c r="D45" s="11"/>
      <c r="E45" s="11"/>
      <c r="F45" s="11"/>
      <c r="G45" s="11"/>
      <c r="H45" s="11"/>
      <c r="I45" s="11"/>
      <c r="J45" s="11"/>
      <c r="K45" s="211"/>
      <c r="L45" s="211"/>
    </row>
    <row r="46" spans="1:12" ht="20.25">
      <c r="A46" s="24"/>
      <c r="B46" s="11"/>
      <c r="C46" s="11"/>
      <c r="D46" s="11"/>
      <c r="E46" s="11"/>
      <c r="F46" s="11"/>
      <c r="G46" s="11"/>
      <c r="H46" s="11"/>
      <c r="I46" s="11"/>
      <c r="J46" s="11"/>
      <c r="K46" s="211"/>
      <c r="L46" s="211"/>
    </row>
    <row r="47" spans="1:12" ht="21" thickBot="1">
      <c r="B47" s="11"/>
      <c r="C47" s="11"/>
      <c r="D47" s="11"/>
      <c r="E47" s="11"/>
      <c r="F47" s="27"/>
      <c r="G47" s="27"/>
      <c r="H47" s="28" t="s">
        <v>0</v>
      </c>
      <c r="I47" s="11"/>
      <c r="J47" s="11"/>
      <c r="K47" s="211"/>
      <c r="L47" s="211"/>
    </row>
    <row r="48" spans="1:12" ht="26.25">
      <c r="B48" s="11"/>
      <c r="C48" s="11"/>
      <c r="D48" s="11"/>
      <c r="E48" s="11"/>
      <c r="F48" s="11"/>
      <c r="G48" s="30" t="s">
        <v>269</v>
      </c>
      <c r="H48" s="11"/>
      <c r="I48" s="11"/>
      <c r="J48" s="11"/>
      <c r="K48" s="211"/>
      <c r="L48" s="211"/>
    </row>
    <row r="49" spans="1:12" ht="21" thickBot="1">
      <c r="B49" s="39" t="s">
        <v>0</v>
      </c>
      <c r="C49" s="39" t="s">
        <v>0</v>
      </c>
      <c r="D49" s="11"/>
      <c r="E49" s="11"/>
      <c r="F49" s="32" t="s">
        <v>0</v>
      </c>
      <c r="G49" s="35" t="s">
        <v>422</v>
      </c>
      <c r="H49" s="32" t="s">
        <v>0</v>
      </c>
      <c r="I49" s="39" t="s">
        <v>0</v>
      </c>
      <c r="J49" s="11"/>
      <c r="K49" s="211"/>
      <c r="L49" s="211"/>
    </row>
    <row r="50" spans="1:12" ht="20.2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1:12" ht="20.2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1:12" ht="20.2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</row>
    <row r="53" spans="1:12" ht="16.5">
      <c r="A53" s="39"/>
      <c r="B53" s="39"/>
      <c r="C53" s="39"/>
      <c r="D53" s="11"/>
      <c r="E53" s="11"/>
      <c r="J53" s="11"/>
      <c r="K53" s="11"/>
      <c r="L53" s="11"/>
    </row>
    <row r="54" spans="1:12" ht="31.5">
      <c r="A54" s="205" t="s">
        <v>258</v>
      </c>
      <c r="B54" s="39"/>
      <c r="C54" s="207" t="s">
        <v>263</v>
      </c>
      <c r="D54" s="11"/>
      <c r="E54" s="11"/>
      <c r="J54" s="11"/>
      <c r="K54" s="11"/>
      <c r="L54" s="11"/>
    </row>
    <row r="55" spans="1:12" ht="31.5">
      <c r="A55" s="205" t="s">
        <v>262</v>
      </c>
      <c r="B55" s="39"/>
      <c r="C55" s="207" t="s">
        <v>268</v>
      </c>
      <c r="D55" s="11"/>
      <c r="E55" s="11"/>
      <c r="J55" s="11"/>
      <c r="K55" s="11"/>
      <c r="L55" s="11"/>
    </row>
    <row r="56" spans="1:12" ht="17.25">
      <c r="A56" s="206" t="s">
        <v>259</v>
      </c>
      <c r="B56" s="39"/>
      <c r="C56" s="39"/>
      <c r="D56" s="11"/>
      <c r="E56" s="11"/>
      <c r="J56" s="11"/>
      <c r="K56" s="11"/>
      <c r="L56" s="11"/>
    </row>
    <row r="57" spans="1:12" ht="17.25">
      <c r="A57" s="206" t="s">
        <v>260</v>
      </c>
      <c r="B57" s="39"/>
      <c r="C57" s="39"/>
      <c r="D57" s="11"/>
      <c r="E57" s="11"/>
      <c r="J57" s="11"/>
      <c r="K57" s="11"/>
      <c r="L57" s="11"/>
    </row>
    <row r="58" spans="1:12" ht="17.25">
      <c r="A58" s="206" t="s">
        <v>261</v>
      </c>
      <c r="B58" s="39"/>
      <c r="C58" s="39"/>
      <c r="D58" s="11"/>
      <c r="E58" s="11"/>
      <c r="J58" s="11"/>
      <c r="K58" s="11"/>
      <c r="L58" s="11"/>
    </row>
    <row r="64" spans="1:12" ht="31.5">
      <c r="A64" s="208" t="s">
        <v>267</v>
      </c>
      <c r="B64" s="103"/>
      <c r="C64" s="103"/>
      <c r="D64" s="103"/>
      <c r="E64" s="103"/>
      <c r="F64" s="103"/>
      <c r="G64" s="11"/>
      <c r="H64" s="11"/>
      <c r="I64" s="11"/>
    </row>
    <row r="65" spans="1:9" ht="17.25">
      <c r="A65" s="103"/>
      <c r="B65" s="103"/>
      <c r="C65" s="103"/>
      <c r="D65" s="103"/>
      <c r="E65" s="103"/>
      <c r="F65" s="103"/>
      <c r="G65" s="11"/>
      <c r="H65" s="11"/>
      <c r="I65" s="11"/>
    </row>
    <row r="66" spans="1:9" ht="18" thickBot="1">
      <c r="A66" s="209" t="s">
        <v>264</v>
      </c>
      <c r="B66" s="105"/>
      <c r="C66" s="105"/>
      <c r="D66" s="210" t="s">
        <v>266</v>
      </c>
      <c r="E66" s="105"/>
      <c r="F66" s="103"/>
      <c r="G66" s="11"/>
      <c r="H66" s="11"/>
      <c r="I66" s="11"/>
    </row>
    <row r="67" spans="1:9" ht="17.25">
      <c r="A67" s="103"/>
      <c r="B67" s="103"/>
      <c r="C67" s="103"/>
      <c r="D67" s="103" t="s">
        <v>265</v>
      </c>
      <c r="E67" s="103"/>
      <c r="F67" s="103"/>
      <c r="G67" s="11"/>
      <c r="H67" s="11"/>
      <c r="I67" s="11"/>
    </row>
    <row r="68" spans="1:9" ht="17.25">
      <c r="A68" s="103"/>
      <c r="B68" s="103"/>
      <c r="C68" s="103"/>
      <c r="D68" s="103"/>
      <c r="E68" s="103"/>
      <c r="F68" s="103"/>
      <c r="G68" s="11"/>
      <c r="H68" s="11"/>
      <c r="I68" s="11"/>
    </row>
    <row r="69" spans="1:9" ht="16.5">
      <c r="A69" s="11"/>
      <c r="B69" s="11"/>
      <c r="C69" s="11"/>
      <c r="D69" s="11"/>
      <c r="E69" s="11"/>
      <c r="F69" s="11"/>
      <c r="G69" s="11"/>
      <c r="H69" s="11"/>
      <c r="I69" s="11"/>
    </row>
    <row r="70" spans="1:9" ht="16.5">
      <c r="A70" s="11"/>
      <c r="B70" s="11"/>
      <c r="C70" s="11"/>
      <c r="D70" s="11"/>
      <c r="E70" s="11"/>
      <c r="F70" s="11"/>
      <c r="G70" s="11"/>
      <c r="H70" s="11"/>
      <c r="I70" s="11"/>
    </row>
    <row r="71" spans="1:9" ht="16.5">
      <c r="A71" s="11"/>
      <c r="B71" s="11"/>
      <c r="C71" s="11"/>
      <c r="D71" s="11"/>
      <c r="E71" s="11"/>
      <c r="F71" s="11"/>
      <c r="G71" s="11"/>
      <c r="H71" s="11"/>
      <c r="I71" s="11"/>
    </row>
    <row r="72" spans="1:9" ht="16.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6.5">
      <c r="A73" s="11"/>
      <c r="B73" s="11"/>
      <c r="C73" s="11"/>
      <c r="D73" s="11"/>
      <c r="E73" s="11"/>
      <c r="F73" s="11"/>
      <c r="G73" s="11"/>
      <c r="H73" s="11"/>
      <c r="I73" s="11"/>
    </row>
    <row r="74" spans="1:9" ht="16.5">
      <c r="A74" s="11" t="s">
        <v>0</v>
      </c>
      <c r="B74" s="11"/>
      <c r="C74" s="11"/>
      <c r="D74" s="11"/>
      <c r="E74" s="11"/>
      <c r="F74" s="11"/>
      <c r="G74" s="11"/>
      <c r="H74" s="11"/>
      <c r="I74" s="11"/>
    </row>
    <row r="75" spans="1:9" ht="16.5">
      <c r="A75" s="11"/>
      <c r="B75" s="11"/>
      <c r="C75" s="11"/>
      <c r="D75" s="11"/>
      <c r="E75" s="11"/>
      <c r="F75" s="11"/>
      <c r="G75" s="11"/>
      <c r="H75" s="11"/>
      <c r="I75" s="11"/>
    </row>
  </sheetData>
  <pageMargins left="0.25" right="0.25" top="0.75" bottom="0.75" header="0.3" footer="0.3"/>
  <pageSetup scale="51" orientation="landscape" r:id="rId1"/>
  <rowBreaks count="1" manualBreakCount="1">
    <brk id="39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I34"/>
  <sheetViews>
    <sheetView view="pageBreakPreview" topLeftCell="A5" zoomScale="60" zoomScaleNormal="80" workbookViewId="0">
      <selection activeCell="A22" sqref="A22"/>
    </sheetView>
  </sheetViews>
  <sheetFormatPr defaultRowHeight="15"/>
  <cols>
    <col min="1" max="1" width="45.140625" customWidth="1"/>
    <col min="2" max="2" width="17" customWidth="1"/>
    <col min="3" max="3" width="30.140625" customWidth="1"/>
    <col min="4" max="4" width="20.140625" customWidth="1"/>
    <col min="5" max="5" width="24.5703125" customWidth="1"/>
    <col min="6" max="6" width="23.5703125" customWidth="1"/>
    <col min="7" max="7" width="21.28515625" customWidth="1"/>
    <col min="8" max="8" width="19.7109375" customWidth="1"/>
    <col min="9" max="9" width="28.28515625" customWidth="1"/>
    <col min="10" max="10" width="14.140625" bestFit="1" customWidth="1"/>
    <col min="12" max="12" width="10.5703125" customWidth="1"/>
  </cols>
  <sheetData>
    <row r="1" spans="1:9" ht="26.25">
      <c r="A1" s="22" t="s">
        <v>1</v>
      </c>
      <c r="B1" s="11"/>
      <c r="C1" s="11"/>
      <c r="D1" s="11"/>
      <c r="E1" s="11"/>
      <c r="F1" s="11"/>
      <c r="G1" s="11"/>
      <c r="H1" s="11"/>
      <c r="I1" s="11"/>
    </row>
    <row r="2" spans="1:9" ht="17.25">
      <c r="A2" s="23" t="s">
        <v>9</v>
      </c>
      <c r="B2" s="11"/>
      <c r="C2" s="11"/>
      <c r="D2" s="11"/>
      <c r="E2" s="11"/>
      <c r="F2" s="11"/>
      <c r="G2" s="11"/>
      <c r="H2" s="11"/>
      <c r="I2" s="11"/>
    </row>
    <row r="3" spans="1:9" ht="16.5">
      <c r="A3" s="24" t="s">
        <v>421</v>
      </c>
      <c r="B3" s="11"/>
      <c r="C3" s="11"/>
      <c r="D3" s="11"/>
      <c r="E3" s="11"/>
      <c r="F3" s="11"/>
      <c r="G3" s="11"/>
      <c r="H3" s="11"/>
      <c r="I3" s="11"/>
    </row>
    <row r="4" spans="1:9" ht="16.5">
      <c r="A4" s="24"/>
      <c r="B4" s="11"/>
      <c r="C4" s="11"/>
      <c r="D4" s="11"/>
      <c r="E4" s="11"/>
      <c r="F4" s="11"/>
      <c r="G4" s="11"/>
      <c r="H4" s="11"/>
      <c r="I4" s="11"/>
    </row>
    <row r="5" spans="1:9" ht="16.5">
      <c r="A5" s="24"/>
      <c r="B5" s="11"/>
      <c r="C5" s="11"/>
      <c r="D5" s="11"/>
      <c r="E5" s="11"/>
      <c r="F5" s="11"/>
      <c r="G5" s="11"/>
      <c r="H5" s="11"/>
      <c r="I5" s="11"/>
    </row>
    <row r="6" spans="1:9" ht="16.5">
      <c r="A6" s="24"/>
      <c r="B6" s="11"/>
      <c r="C6" s="11"/>
      <c r="D6" s="11"/>
      <c r="E6" s="11"/>
      <c r="F6" s="11"/>
      <c r="G6" s="11"/>
      <c r="H6" s="11"/>
      <c r="I6" s="11"/>
    </row>
    <row r="7" spans="1:9" ht="17.25" thickBot="1">
      <c r="A7" s="11"/>
      <c r="B7" s="11"/>
      <c r="C7" s="11"/>
      <c r="H7" s="25"/>
      <c r="I7" s="11"/>
    </row>
    <row r="8" spans="1:9" ht="21" thickBot="1">
      <c r="A8" s="239" t="str">
        <f>+'S&amp;D'!A12</f>
        <v>Natural Gas Transmission Pipeline Carrier</v>
      </c>
      <c r="B8" s="174"/>
      <c r="C8" s="11"/>
      <c r="D8" s="27"/>
      <c r="E8" s="27"/>
      <c r="F8" s="27"/>
      <c r="H8" s="11"/>
      <c r="I8" s="11"/>
    </row>
    <row r="9" spans="1:9" ht="26.25">
      <c r="A9" s="29"/>
      <c r="B9" s="11"/>
      <c r="C9" s="11"/>
      <c r="D9" s="11"/>
      <c r="E9" s="30" t="s">
        <v>118</v>
      </c>
      <c r="F9" s="30"/>
      <c r="H9" s="11"/>
      <c r="I9" s="11"/>
    </row>
    <row r="10" spans="1:9" ht="21" thickBot="1">
      <c r="A10" s="29"/>
      <c r="B10" s="11"/>
      <c r="C10" s="11"/>
      <c r="D10" s="27"/>
      <c r="E10" s="35" t="s">
        <v>422</v>
      </c>
      <c r="F10" s="35"/>
      <c r="H10" s="11"/>
      <c r="I10" s="11"/>
    </row>
    <row r="11" spans="1:9" ht="20.25">
      <c r="A11" s="29"/>
      <c r="B11" s="11"/>
      <c r="I11" s="11"/>
    </row>
    <row r="12" spans="1:9" ht="17.25" thickBot="1">
      <c r="A12" s="32" t="s">
        <v>0</v>
      </c>
      <c r="B12" s="32" t="s">
        <v>0</v>
      </c>
      <c r="C12" s="32" t="s">
        <v>0</v>
      </c>
      <c r="D12" s="32" t="s">
        <v>0</v>
      </c>
      <c r="E12" s="32" t="s">
        <v>0</v>
      </c>
      <c r="F12" s="32"/>
      <c r="G12" s="32"/>
      <c r="H12" s="27"/>
      <c r="I12" s="27"/>
    </row>
    <row r="13" spans="1:9" ht="17.25">
      <c r="A13" s="87" t="s">
        <v>0</v>
      </c>
      <c r="B13" s="87" t="s">
        <v>3</v>
      </c>
      <c r="C13" s="87" t="s">
        <v>5</v>
      </c>
      <c r="D13" s="87" t="s">
        <v>161</v>
      </c>
      <c r="E13" s="164" t="s">
        <v>221</v>
      </c>
      <c r="F13" s="164" t="s">
        <v>312</v>
      </c>
      <c r="G13" s="87" t="s">
        <v>20</v>
      </c>
      <c r="H13" s="87" t="s">
        <v>139</v>
      </c>
      <c r="I13" s="87" t="s">
        <v>139</v>
      </c>
    </row>
    <row r="14" spans="1:9" ht="18" thickBot="1">
      <c r="A14" s="94" t="s">
        <v>2</v>
      </c>
      <c r="B14" s="94" t="s">
        <v>4</v>
      </c>
      <c r="C14" s="94" t="s">
        <v>6</v>
      </c>
      <c r="D14" s="94" t="s">
        <v>23</v>
      </c>
      <c r="E14" s="94" t="s">
        <v>313</v>
      </c>
      <c r="F14" s="94" t="s">
        <v>183</v>
      </c>
      <c r="G14" s="94" t="s">
        <v>22</v>
      </c>
      <c r="H14" s="94" t="s">
        <v>161</v>
      </c>
      <c r="I14" s="94" t="s">
        <v>116</v>
      </c>
    </row>
    <row r="15" spans="1:9">
      <c r="A15" s="37" t="s">
        <v>7</v>
      </c>
      <c r="B15" s="37" t="s">
        <v>7</v>
      </c>
      <c r="C15" s="37" t="s">
        <v>7</v>
      </c>
      <c r="D15" s="37" t="s">
        <v>7</v>
      </c>
      <c r="E15" s="202" t="s">
        <v>488</v>
      </c>
      <c r="F15" s="202" t="s">
        <v>488</v>
      </c>
      <c r="G15" s="37" t="s">
        <v>7</v>
      </c>
      <c r="H15" s="37" t="s">
        <v>7</v>
      </c>
      <c r="I15" s="202" t="s">
        <v>425</v>
      </c>
    </row>
    <row r="16" spans="1:9" ht="17.25" thickBot="1">
      <c r="A16" s="33"/>
      <c r="B16" s="33"/>
      <c r="C16" s="33"/>
      <c r="D16" s="33"/>
      <c r="G16" s="33"/>
      <c r="H16" s="33"/>
      <c r="I16" s="33"/>
    </row>
    <row r="17" spans="1:9" ht="16.5">
      <c r="A17" s="143"/>
      <c r="B17" s="109"/>
      <c r="C17" s="109"/>
      <c r="D17" s="109"/>
      <c r="E17" s="281"/>
      <c r="F17" s="281"/>
      <c r="G17" s="109"/>
      <c r="H17" s="109"/>
      <c r="I17" s="144"/>
    </row>
    <row r="18" spans="1:9" ht="20.25" customHeight="1">
      <c r="A18" s="99" t="str">
        <f>+'S&amp;D'!A22</f>
        <v>Enbridge Inc</v>
      </c>
      <c r="B18" s="87" t="str">
        <f>+'S&amp;D'!B22</f>
        <v>ENB.TO</v>
      </c>
      <c r="C18" s="87" t="str">
        <f>+'S&amp;D'!C22</f>
        <v>Oil &amp; Gas Distribution</v>
      </c>
      <c r="D18" s="236">
        <v>0.15</v>
      </c>
      <c r="E18" s="236">
        <v>8.5000000000000006E-2</v>
      </c>
      <c r="F18" s="323" t="s">
        <v>486</v>
      </c>
      <c r="G18" s="87" t="s">
        <v>24</v>
      </c>
      <c r="H18" s="344">
        <v>0.85</v>
      </c>
      <c r="I18" s="344">
        <v>0.75</v>
      </c>
    </row>
    <row r="19" spans="1:9" ht="20.25" customHeight="1">
      <c r="A19" s="99" t="str">
        <f>+'S&amp;D'!A23</f>
        <v>Energy Transfer LP</v>
      </c>
      <c r="B19" s="87" t="str">
        <f>+'S&amp;D'!B23</f>
        <v>ET</v>
      </c>
      <c r="C19" s="87" t="str">
        <f>+'S&amp;D'!C23</f>
        <v>Pipeline MLPs</v>
      </c>
      <c r="D19" s="323" t="s">
        <v>486</v>
      </c>
      <c r="E19" s="236">
        <v>0.155</v>
      </c>
      <c r="F19" s="236">
        <v>0.03</v>
      </c>
      <c r="G19" s="87" t="s">
        <v>26</v>
      </c>
      <c r="H19" s="344">
        <v>1.1000000000000001</v>
      </c>
      <c r="I19" s="344">
        <v>1.1000000000000001</v>
      </c>
    </row>
    <row r="20" spans="1:9" ht="20.25" customHeight="1">
      <c r="A20" s="99" t="str">
        <f>+'S&amp;D'!A24</f>
        <v>Enterprise Products Partnership LP</v>
      </c>
      <c r="B20" s="87" t="str">
        <f>+'S&amp;D'!B24</f>
        <v>EPD</v>
      </c>
      <c r="C20" s="87" t="str">
        <f>+'S&amp;D'!C24</f>
        <v>Pipeline MLPs</v>
      </c>
      <c r="D20" s="236">
        <v>2.5000000000000001E-2</v>
      </c>
      <c r="E20" s="236">
        <v>0.21</v>
      </c>
      <c r="F20" s="236">
        <v>0.05</v>
      </c>
      <c r="G20" s="87" t="s">
        <v>24</v>
      </c>
      <c r="H20" s="344">
        <v>1</v>
      </c>
      <c r="I20" s="344">
        <v>1</v>
      </c>
    </row>
    <row r="21" spans="1:9" ht="20.25" customHeight="1">
      <c r="A21" s="99" t="str">
        <f>+'S&amp;D'!A25</f>
        <v>Kinder Morgan Inc</v>
      </c>
      <c r="B21" s="87" t="str">
        <f>+'S&amp;D'!B25</f>
        <v>KMI</v>
      </c>
      <c r="C21" s="87" t="str">
        <f>+'S&amp;D'!C25</f>
        <v>Oil &amp; Gas Distribution</v>
      </c>
      <c r="D21" s="236">
        <v>0.21</v>
      </c>
      <c r="E21" s="236">
        <v>0.1</v>
      </c>
      <c r="F21" s="323">
        <v>1.4999999999999999E-2</v>
      </c>
      <c r="G21" s="87" t="s">
        <v>26</v>
      </c>
      <c r="H21" s="344">
        <v>1.1000000000000001</v>
      </c>
      <c r="I21" s="344">
        <v>1.05</v>
      </c>
    </row>
    <row r="22" spans="1:9" ht="20.25" customHeight="1">
      <c r="A22" s="464" t="str">
        <f>+'S&amp;D'!A26</f>
        <v>ONEOK Inc</v>
      </c>
      <c r="B22" s="87" t="str">
        <f>+'S&amp;D'!B26</f>
        <v>OKE</v>
      </c>
      <c r="C22" s="87" t="str">
        <f>+'S&amp;D'!C26</f>
        <v>Oil &amp; Gas Distribution</v>
      </c>
      <c r="D22" s="236">
        <v>0.21</v>
      </c>
      <c r="E22" s="236">
        <v>0.21</v>
      </c>
      <c r="F22" s="236">
        <v>8.5000000000000006E-2</v>
      </c>
      <c r="G22" s="87" t="s">
        <v>25</v>
      </c>
      <c r="H22" s="344">
        <v>1.5</v>
      </c>
      <c r="I22" s="344">
        <v>1.4</v>
      </c>
    </row>
    <row r="23" spans="1:9" ht="20.25" customHeight="1">
      <c r="A23" s="99" t="str">
        <f>+'S&amp;D'!A27</f>
        <v>TC Energy Corp</v>
      </c>
      <c r="B23" s="87" t="str">
        <f>+'S&amp;D'!B27</f>
        <v>TRP</v>
      </c>
      <c r="C23" s="87" t="str">
        <f>+'S&amp;D'!C27</f>
        <v>Oil &amp; Gas Distribution</v>
      </c>
      <c r="D23" s="236">
        <v>0.21</v>
      </c>
      <c r="E23" s="236">
        <v>0.115</v>
      </c>
      <c r="F23" s="236">
        <v>0.04</v>
      </c>
      <c r="G23" s="87" t="s">
        <v>24</v>
      </c>
      <c r="H23" s="344">
        <v>1.05</v>
      </c>
      <c r="I23" s="344">
        <v>0.95</v>
      </c>
    </row>
    <row r="24" spans="1:9" ht="20.25" customHeight="1" thickBot="1">
      <c r="A24" s="99" t="str">
        <f>+'S&amp;D'!A28</f>
        <v>Williams Companys Inc</v>
      </c>
      <c r="B24" s="87" t="str">
        <f>+'S&amp;D'!B28</f>
        <v>WMB</v>
      </c>
      <c r="C24" s="87" t="str">
        <f>+'S&amp;D'!C28</f>
        <v>Oil &amp; Gas Distribution</v>
      </c>
      <c r="D24" s="236">
        <v>0.21</v>
      </c>
      <c r="E24" s="236">
        <v>0.26</v>
      </c>
      <c r="F24" s="236">
        <v>0.05</v>
      </c>
      <c r="G24" s="87" t="s">
        <v>26</v>
      </c>
      <c r="H24" s="345">
        <v>1.1000000000000001</v>
      </c>
      <c r="I24" s="345">
        <v>0.95</v>
      </c>
    </row>
    <row r="25" spans="1:9" ht="20.25" customHeight="1" thickTop="1">
      <c r="A25" s="103"/>
      <c r="B25" s="103"/>
      <c r="C25" s="4"/>
      <c r="D25" s="158" t="s">
        <v>0</v>
      </c>
      <c r="E25" s="4"/>
      <c r="F25" s="4"/>
      <c r="G25" s="115" t="s">
        <v>46</v>
      </c>
      <c r="H25" s="159">
        <f>MAX(H18:H24)</f>
        <v>1.5</v>
      </c>
      <c r="I25" s="160">
        <f>MAX(I18:I24)</f>
        <v>1.4</v>
      </c>
    </row>
    <row r="26" spans="1:9" ht="20.25" customHeight="1">
      <c r="A26" s="103"/>
      <c r="B26" s="103"/>
      <c r="C26" s="4"/>
      <c r="D26" s="158" t="s">
        <v>0</v>
      </c>
      <c r="E26" s="4"/>
      <c r="F26" s="4"/>
      <c r="G26" s="115" t="s">
        <v>47</v>
      </c>
      <c r="H26" s="306">
        <f>MIN(H18:H24)</f>
        <v>0.85</v>
      </c>
      <c r="I26" s="307">
        <f>MIN(I18:I24)</f>
        <v>0.75</v>
      </c>
    </row>
    <row r="27" spans="1:9" ht="20.25" customHeight="1">
      <c r="A27" s="103"/>
      <c r="B27" s="103"/>
      <c r="C27" s="4"/>
      <c r="D27" s="161" t="s">
        <v>0</v>
      </c>
      <c r="E27" s="4"/>
      <c r="F27" s="4"/>
      <c r="G27" s="115" t="s">
        <v>18</v>
      </c>
      <c r="H27" s="162">
        <f>MEDIAN(H18:H24)</f>
        <v>1.1000000000000001</v>
      </c>
      <c r="I27" s="162">
        <f>MEDIAN(I18:I24)</f>
        <v>1</v>
      </c>
    </row>
    <row r="28" spans="1:9" ht="20.25" customHeight="1">
      <c r="A28" s="103"/>
      <c r="B28" s="103"/>
      <c r="C28" s="4"/>
      <c r="D28" s="118" t="s">
        <v>0</v>
      </c>
      <c r="E28" s="4"/>
      <c r="F28" s="4"/>
      <c r="G28" s="115" t="s">
        <v>388</v>
      </c>
      <c r="H28" s="163">
        <f>AVERAGE(H18:H24)</f>
        <v>1.1000000000000001</v>
      </c>
      <c r="I28" s="163">
        <f>AVERAGE(I18:I24)</f>
        <v>1.0285714285714287</v>
      </c>
    </row>
    <row r="29" spans="1:9" ht="20.25" customHeight="1" thickBot="1">
      <c r="A29" s="11"/>
      <c r="B29" s="11"/>
      <c r="C29" s="11"/>
      <c r="D29" s="11" t="s">
        <v>0</v>
      </c>
      <c r="G29" s="11"/>
      <c r="H29" s="11"/>
      <c r="I29" s="11"/>
    </row>
    <row r="30" spans="1:9" ht="20.25" customHeight="1" thickBot="1">
      <c r="A30" s="11"/>
      <c r="B30" s="11"/>
      <c r="C30" s="11"/>
      <c r="D30" s="11"/>
      <c r="G30" s="11"/>
      <c r="H30" s="181" t="s">
        <v>74</v>
      </c>
      <c r="I30" s="280">
        <v>1.03</v>
      </c>
    </row>
    <row r="31" spans="1:9" ht="20.25" customHeight="1">
      <c r="A31" s="11"/>
      <c r="B31" s="11"/>
      <c r="C31" s="11"/>
      <c r="D31" s="11"/>
      <c r="G31" s="11"/>
      <c r="H31" s="66"/>
      <c r="I31" s="257"/>
    </row>
    <row r="32" spans="1:9" ht="20.25" customHeight="1">
      <c r="A32" s="11"/>
      <c r="B32" s="11"/>
      <c r="C32" s="11"/>
      <c r="D32" s="11"/>
      <c r="G32" s="11"/>
      <c r="H32" s="66"/>
      <c r="I32" s="257"/>
    </row>
    <row r="33" spans="1:1" ht="17.25">
      <c r="A33" s="103" t="s">
        <v>315</v>
      </c>
    </row>
    <row r="34" spans="1:1" ht="17.25">
      <c r="A34" s="103" t="s">
        <v>314</v>
      </c>
    </row>
  </sheetData>
  <pageMargins left="0.25" right="0.25" top="0.75" bottom="0.75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30"/>
  <sheetViews>
    <sheetView view="pageBreakPreview" topLeftCell="A5" zoomScale="60" zoomScaleNormal="80" workbookViewId="0">
      <selection activeCell="K18" sqref="K18"/>
    </sheetView>
  </sheetViews>
  <sheetFormatPr defaultRowHeight="15"/>
  <cols>
    <col min="1" max="1" width="50.42578125" customWidth="1"/>
    <col min="2" max="2" width="10.85546875" bestFit="1" customWidth="1"/>
    <col min="3" max="3" width="29.71093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16.5">
      <c r="A4" s="24"/>
      <c r="B4" s="11"/>
      <c r="C4" s="11"/>
      <c r="D4" s="11"/>
      <c r="E4" s="11"/>
      <c r="F4" s="11"/>
      <c r="G4" s="11"/>
      <c r="H4" s="11"/>
      <c r="I4" s="11"/>
      <c r="J4" s="11"/>
    </row>
    <row r="5" spans="1:11" ht="17.25" thickBot="1">
      <c r="A5" s="11"/>
      <c r="B5" s="11"/>
      <c r="C5" s="11"/>
      <c r="D5" s="11"/>
      <c r="E5" s="11"/>
      <c r="F5" s="11"/>
      <c r="G5" s="25"/>
      <c r="H5" s="11"/>
      <c r="I5" s="11"/>
      <c r="J5" s="11"/>
    </row>
    <row r="6" spans="1:11" ht="21" thickBot="1">
      <c r="A6" s="239" t="str">
        <f>+'S&amp;D'!A12</f>
        <v>Natural Gas Transmission Pipeline Carrier</v>
      </c>
      <c r="B6" s="174"/>
      <c r="C6" s="11"/>
      <c r="D6" s="27"/>
      <c r="E6" s="27"/>
      <c r="F6" s="28" t="s">
        <v>0</v>
      </c>
      <c r="G6" s="11"/>
      <c r="H6" s="11"/>
      <c r="I6" s="11"/>
      <c r="J6" s="11"/>
    </row>
    <row r="7" spans="1:11" ht="26.25">
      <c r="A7" s="29"/>
      <c r="B7" s="11"/>
      <c r="C7" s="11"/>
      <c r="D7" s="11"/>
      <c r="E7" s="30" t="s">
        <v>162</v>
      </c>
      <c r="F7" s="11"/>
      <c r="G7" s="11"/>
      <c r="H7" s="11"/>
      <c r="I7" s="11"/>
      <c r="J7" s="11"/>
    </row>
    <row r="8" spans="1:11" ht="21" thickBot="1">
      <c r="A8" s="29"/>
      <c r="B8" s="11"/>
      <c r="C8" s="11"/>
      <c r="D8" s="27"/>
      <c r="E8" s="31" t="s">
        <v>422</v>
      </c>
      <c r="F8" s="27"/>
      <c r="G8" s="11"/>
      <c r="H8" s="11"/>
      <c r="I8" s="11"/>
      <c r="J8" s="11"/>
    </row>
    <row r="9" spans="1:11" ht="17.25" thickBot="1">
      <c r="A9" s="32" t="s">
        <v>0</v>
      </c>
      <c r="B9" s="32" t="s">
        <v>0</v>
      </c>
      <c r="C9" s="32" t="s">
        <v>0</v>
      </c>
      <c r="D9" s="32" t="s">
        <v>0</v>
      </c>
      <c r="E9" s="32" t="s">
        <v>0</v>
      </c>
      <c r="F9" s="32"/>
      <c r="G9" s="27"/>
      <c r="H9" s="27"/>
      <c r="I9" s="27"/>
      <c r="J9" s="27"/>
      <c r="K9" s="141"/>
    </row>
    <row r="10" spans="1:11" ht="16.5">
      <c r="A10" s="33" t="s">
        <v>0</v>
      </c>
      <c r="B10" s="33" t="s">
        <v>3</v>
      </c>
      <c r="C10" s="33" t="s">
        <v>5</v>
      </c>
      <c r="D10" s="33" t="s">
        <v>157</v>
      </c>
      <c r="E10" s="33" t="s">
        <v>158</v>
      </c>
      <c r="F10" s="33" t="s">
        <v>160</v>
      </c>
      <c r="G10" s="33" t="s">
        <v>158</v>
      </c>
      <c r="H10" s="33" t="s">
        <v>160</v>
      </c>
      <c r="I10" s="33" t="s">
        <v>158</v>
      </c>
      <c r="J10" s="33" t="s">
        <v>160</v>
      </c>
      <c r="K10" s="33" t="s">
        <v>251</v>
      </c>
    </row>
    <row r="11" spans="1:11" ht="16.5">
      <c r="A11" s="33"/>
      <c r="B11" s="33" t="s">
        <v>4</v>
      </c>
      <c r="C11" s="33" t="s">
        <v>6</v>
      </c>
      <c r="D11" s="33" t="s">
        <v>28</v>
      </c>
      <c r="E11" s="33" t="s">
        <v>159</v>
      </c>
      <c r="F11" s="33" t="s">
        <v>117</v>
      </c>
      <c r="G11" s="33" t="s">
        <v>159</v>
      </c>
      <c r="H11" s="33" t="s">
        <v>117</v>
      </c>
      <c r="I11" s="33" t="s">
        <v>159</v>
      </c>
      <c r="J11" s="33" t="s">
        <v>117</v>
      </c>
      <c r="K11" s="33" t="s">
        <v>175</v>
      </c>
    </row>
    <row r="12" spans="1:11" ht="17.25" thickBot="1">
      <c r="A12" s="35" t="s">
        <v>2</v>
      </c>
      <c r="B12" s="35" t="s">
        <v>0</v>
      </c>
      <c r="C12" s="35" t="s">
        <v>0</v>
      </c>
      <c r="D12" s="35" t="s">
        <v>0</v>
      </c>
      <c r="E12" s="35" t="s">
        <v>161</v>
      </c>
      <c r="F12" s="35" t="s">
        <v>161</v>
      </c>
      <c r="G12" s="35" t="s">
        <v>249</v>
      </c>
      <c r="H12" s="35" t="s">
        <v>249</v>
      </c>
      <c r="I12" s="35" t="s">
        <v>250</v>
      </c>
      <c r="J12" s="35" t="s">
        <v>250</v>
      </c>
      <c r="K12" s="203" t="s">
        <v>252</v>
      </c>
    </row>
    <row r="13" spans="1:11">
      <c r="A13" s="37" t="s">
        <v>7</v>
      </c>
      <c r="B13" s="37" t="s">
        <v>7</v>
      </c>
      <c r="C13" s="37" t="s">
        <v>7</v>
      </c>
      <c r="D13" s="38" t="s">
        <v>113</v>
      </c>
      <c r="E13" s="37" t="s">
        <v>7</v>
      </c>
      <c r="F13" s="37" t="s">
        <v>15</v>
      </c>
      <c r="G13" s="37" t="s">
        <v>7</v>
      </c>
      <c r="H13" s="37" t="s">
        <v>15</v>
      </c>
      <c r="I13" s="37" t="s">
        <v>7</v>
      </c>
      <c r="J13" s="37" t="s">
        <v>15</v>
      </c>
      <c r="K13" s="37" t="s">
        <v>15</v>
      </c>
    </row>
    <row r="14" spans="1:11" ht="16.5">
      <c r="A14" s="33"/>
      <c r="B14" s="33"/>
      <c r="C14" s="33"/>
      <c r="D14" s="33"/>
      <c r="E14" s="33"/>
      <c r="F14" s="33"/>
      <c r="G14" s="11"/>
      <c r="H14" s="11"/>
      <c r="I14" s="11"/>
      <c r="J14" s="11"/>
      <c r="K14" s="11"/>
    </row>
    <row r="15" spans="1:11" ht="16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7.25">
      <c r="A16" s="60" t="str">
        <f>+'S&amp;D'!A22</f>
        <v>Enbridge Inc</v>
      </c>
      <c r="B16" s="87" t="str">
        <f>+'S&amp;D'!B22</f>
        <v>ENB.TO</v>
      </c>
      <c r="C16" s="87" t="str">
        <f>+'S&amp;D'!C22</f>
        <v>Oil &amp; Gas Distribution</v>
      </c>
      <c r="D16" s="57">
        <f>+'S&amp;D'!G22</f>
        <v>61.01</v>
      </c>
      <c r="E16" s="329">
        <v>3.77</v>
      </c>
      <c r="F16" s="51">
        <f t="shared" ref="F16:F19" si="0">+E16/D16</f>
        <v>6.1793148664153419E-2</v>
      </c>
      <c r="G16" s="329">
        <v>3.9</v>
      </c>
      <c r="H16" s="51">
        <f t="shared" ref="H16:H19" si="1">+G16/D16</f>
        <v>6.3923946893951811E-2</v>
      </c>
      <c r="I16" s="329">
        <v>4</v>
      </c>
      <c r="J16" s="51">
        <f t="shared" ref="J16:J19" si="2">+I16/D16</f>
        <v>6.5563022455335199E-2</v>
      </c>
      <c r="K16" s="346">
        <f t="shared" ref="K16:K19" si="3">RATE(3,,-G16,I16)</f>
        <v>8.4749803491257075E-3</v>
      </c>
    </row>
    <row r="17" spans="1:11" ht="17.25">
      <c r="A17" s="60" t="str">
        <f>+'S&amp;D'!A23</f>
        <v>Energy Transfer LP</v>
      </c>
      <c r="B17" s="87" t="str">
        <f>+'S&amp;D'!B23</f>
        <v>ET</v>
      </c>
      <c r="C17" s="87" t="str">
        <f>+'S&amp;D'!C23</f>
        <v>Pipeline MLPs</v>
      </c>
      <c r="D17" s="57">
        <f>+'S&amp;D'!G23</f>
        <v>19.59</v>
      </c>
      <c r="E17" s="329">
        <v>1.36</v>
      </c>
      <c r="F17" s="51">
        <f t="shared" si="0"/>
        <v>6.9423175089331296E-2</v>
      </c>
      <c r="G17" s="329">
        <v>1.36</v>
      </c>
      <c r="H17" s="51">
        <f t="shared" si="1"/>
        <v>6.9423175089331296E-2</v>
      </c>
      <c r="I17" s="329">
        <v>1.5</v>
      </c>
      <c r="J17" s="51">
        <f t="shared" si="2"/>
        <v>7.6569678407350683E-2</v>
      </c>
      <c r="K17" s="346">
        <f t="shared" si="3"/>
        <v>3.3199332429568629E-2</v>
      </c>
    </row>
    <row r="18" spans="1:11" ht="17.25">
      <c r="A18" s="60" t="str">
        <f>+'S&amp;D'!A24</f>
        <v>Enterprise Products Partnership LP</v>
      </c>
      <c r="B18" s="87" t="str">
        <f>+'S&amp;D'!B24</f>
        <v>EPD</v>
      </c>
      <c r="C18" s="87" t="str">
        <f>+'S&amp;D'!C24</f>
        <v>Pipeline MLPs</v>
      </c>
      <c r="D18" s="57">
        <f>+'S&amp;D'!G24</f>
        <v>31.36</v>
      </c>
      <c r="E18" s="329">
        <v>2.2000000000000002</v>
      </c>
      <c r="F18" s="51">
        <f t="shared" si="0"/>
        <v>7.0153061224489804E-2</v>
      </c>
      <c r="G18" s="329">
        <v>2.3199999999999998</v>
      </c>
      <c r="H18" s="51">
        <f t="shared" si="1"/>
        <v>7.3979591836734693E-2</v>
      </c>
      <c r="I18" s="329">
        <v>3.6</v>
      </c>
      <c r="J18" s="51">
        <f t="shared" si="2"/>
        <v>0.11479591836734694</v>
      </c>
      <c r="K18" s="346">
        <f t="shared" si="3"/>
        <v>0.15772347264219444</v>
      </c>
    </row>
    <row r="19" spans="1:11" ht="17.25">
      <c r="A19" s="60" t="str">
        <f>+'S&amp;D'!A25</f>
        <v>Kinder Morgan Inc</v>
      </c>
      <c r="B19" s="87" t="str">
        <f>+'S&amp;D'!B25</f>
        <v>KMI</v>
      </c>
      <c r="C19" s="87" t="str">
        <f>+'S&amp;D'!C25</f>
        <v>Oil &amp; Gas Distribution</v>
      </c>
      <c r="D19" s="57">
        <f>+'S&amp;D'!G25</f>
        <v>27.4</v>
      </c>
      <c r="E19" s="329">
        <v>1.17</v>
      </c>
      <c r="F19" s="51">
        <f t="shared" si="0"/>
        <v>4.2700729927007297E-2</v>
      </c>
      <c r="G19" s="329">
        <v>1.19</v>
      </c>
      <c r="H19" s="51">
        <f t="shared" si="1"/>
        <v>4.3430656934306568E-2</v>
      </c>
      <c r="I19" s="329">
        <v>1.55</v>
      </c>
      <c r="J19" s="51">
        <f t="shared" si="2"/>
        <v>5.6569343065693438E-2</v>
      </c>
      <c r="K19" s="346">
        <f t="shared" si="3"/>
        <v>9.2097917419371803E-2</v>
      </c>
    </row>
    <row r="20" spans="1:11" ht="17.25">
      <c r="A20" s="60" t="str">
        <f>+'S&amp;D'!A26</f>
        <v>ONEOK Inc</v>
      </c>
      <c r="B20" s="87" t="str">
        <f>+'S&amp;D'!B26</f>
        <v>OKE</v>
      </c>
      <c r="C20" s="87" t="str">
        <f>+'S&amp;D'!C26</f>
        <v>Oil &amp; Gas Distribution</v>
      </c>
      <c r="D20" s="57">
        <f>+'S&amp;D'!G26</f>
        <v>100.4</v>
      </c>
      <c r="E20" s="329">
        <v>4.12</v>
      </c>
      <c r="F20" s="51">
        <f t="shared" ref="F20:F22" si="4">+E20/D20</f>
        <v>4.1035856573705176E-2</v>
      </c>
      <c r="G20" s="329">
        <v>4.3</v>
      </c>
      <c r="H20" s="51">
        <f>+G20/D20</f>
        <v>4.282868525896414E-2</v>
      </c>
      <c r="I20" s="329">
        <v>4.8</v>
      </c>
      <c r="J20" s="51">
        <f t="shared" ref="J20:J22" si="5">+I20/D20</f>
        <v>4.7808764940239036E-2</v>
      </c>
      <c r="K20" s="346">
        <f>RATE(3,,-G20,I20)</f>
        <v>3.7347490357151195E-2</v>
      </c>
    </row>
    <row r="21" spans="1:11" ht="17.25">
      <c r="A21" s="60" t="str">
        <f>+'S&amp;D'!A27</f>
        <v>TC Energy Corp</v>
      </c>
      <c r="B21" s="87" t="str">
        <f>+'S&amp;D'!B27</f>
        <v>TRP</v>
      </c>
      <c r="C21" s="87" t="str">
        <f>+'S&amp;D'!C27</f>
        <v>Oil &amp; Gas Distribution</v>
      </c>
      <c r="D21" s="57">
        <f>+'S&amp;D'!G27</f>
        <v>46.53</v>
      </c>
      <c r="E21" s="329">
        <v>2.4</v>
      </c>
      <c r="F21" s="51">
        <f t="shared" si="4"/>
        <v>5.1579626047711151E-2</v>
      </c>
      <c r="G21" s="329">
        <v>2.6</v>
      </c>
      <c r="H21" s="51">
        <f t="shared" ref="H21:H22" si="6">+G21/D21</f>
        <v>5.5877928218353752E-2</v>
      </c>
      <c r="I21" s="329">
        <v>3.1</v>
      </c>
      <c r="J21" s="51">
        <f t="shared" si="5"/>
        <v>6.6623683644960241E-2</v>
      </c>
      <c r="K21" s="346">
        <f t="shared" ref="K21:K22" si="7">RATE(3,,-G21,I21)</f>
        <v>6.038306207482412E-2</v>
      </c>
    </row>
    <row r="22" spans="1:11" ht="17.25">
      <c r="A22" s="60" t="str">
        <f>+'S&amp;D'!A28</f>
        <v>Williams Companys Inc</v>
      </c>
      <c r="B22" s="87" t="str">
        <f>+'S&amp;D'!B28</f>
        <v>WMB</v>
      </c>
      <c r="C22" s="87" t="str">
        <f>+'S&amp;D'!C28</f>
        <v>Oil &amp; Gas Distribution</v>
      </c>
      <c r="D22" s="57">
        <f>+'S&amp;D'!G28</f>
        <v>54.12</v>
      </c>
      <c r="E22" s="329">
        <v>2</v>
      </c>
      <c r="F22" s="51">
        <f t="shared" si="4"/>
        <v>3.6954915003695493E-2</v>
      </c>
      <c r="G22" s="329">
        <v>2.09</v>
      </c>
      <c r="H22" s="51">
        <f t="shared" si="6"/>
        <v>3.8617886178861791E-2</v>
      </c>
      <c r="I22" s="329">
        <v>2.2000000000000002</v>
      </c>
      <c r="J22" s="51">
        <f t="shared" si="5"/>
        <v>4.0650406504065047E-2</v>
      </c>
      <c r="K22" s="346">
        <f t="shared" si="7"/>
        <v>1.7244768191104851E-2</v>
      </c>
    </row>
    <row r="23" spans="1:11" ht="17.25" thickBot="1">
      <c r="A23" s="11"/>
      <c r="B23" s="11"/>
      <c r="C23" s="42"/>
      <c r="D23" s="45"/>
      <c r="E23" s="45"/>
      <c r="F23" s="45"/>
      <c r="G23" s="45"/>
      <c r="H23" s="45"/>
      <c r="I23" s="45"/>
      <c r="J23" s="45"/>
      <c r="K23" s="45"/>
    </row>
    <row r="24" spans="1:11" ht="17.25" thickTop="1">
      <c r="A24" s="11"/>
      <c r="B24" s="11"/>
      <c r="D24" s="13" t="s">
        <v>46</v>
      </c>
      <c r="E24" s="15">
        <f t="shared" ref="E24:K24" si="8">MAX(E16:E22)</f>
        <v>4.12</v>
      </c>
      <c r="F24" s="284">
        <f t="shared" si="8"/>
        <v>7.0153061224489804E-2</v>
      </c>
      <c r="G24" s="15">
        <f t="shared" si="8"/>
        <v>4.3</v>
      </c>
      <c r="H24" s="284">
        <f t="shared" si="8"/>
        <v>7.3979591836734693E-2</v>
      </c>
      <c r="I24" s="15">
        <f t="shared" si="8"/>
        <v>4.8</v>
      </c>
      <c r="J24" s="284">
        <f t="shared" si="8"/>
        <v>0.11479591836734694</v>
      </c>
      <c r="K24" s="284">
        <f t="shared" si="8"/>
        <v>0.15772347264219444</v>
      </c>
    </row>
    <row r="25" spans="1:11" ht="16.5">
      <c r="A25" s="11"/>
      <c r="B25" s="11"/>
      <c r="D25" s="13" t="s">
        <v>47</v>
      </c>
      <c r="E25" s="304">
        <f t="shared" ref="E25:K25" si="9">+MIN(E16:E22)</f>
        <v>1.17</v>
      </c>
      <c r="F25" s="305">
        <f t="shared" si="9"/>
        <v>3.6954915003695493E-2</v>
      </c>
      <c r="G25" s="304">
        <f t="shared" si="9"/>
        <v>1.19</v>
      </c>
      <c r="H25" s="305">
        <f t="shared" si="9"/>
        <v>3.8617886178861791E-2</v>
      </c>
      <c r="I25" s="304">
        <f t="shared" si="9"/>
        <v>1.5</v>
      </c>
      <c r="J25" s="305">
        <f t="shared" si="9"/>
        <v>4.0650406504065047E-2</v>
      </c>
      <c r="K25" s="305">
        <f t="shared" si="9"/>
        <v>8.4749803491257075E-3</v>
      </c>
    </row>
    <row r="26" spans="1:11" ht="16.5">
      <c r="A26" s="11"/>
      <c r="B26" s="11"/>
      <c r="D26" s="13" t="s">
        <v>18</v>
      </c>
      <c r="E26" s="16">
        <f t="shared" ref="E26:K26" si="10">MEDIAN(E16:E22)</f>
        <v>2.2000000000000002</v>
      </c>
      <c r="F26" s="52">
        <f t="shared" si="10"/>
        <v>5.1579626047711151E-2</v>
      </c>
      <c r="G26" s="16">
        <f t="shared" si="10"/>
        <v>2.3199999999999998</v>
      </c>
      <c r="H26" s="52">
        <f t="shared" si="10"/>
        <v>5.5877928218353752E-2</v>
      </c>
      <c r="I26" s="16">
        <f t="shared" si="10"/>
        <v>3.1</v>
      </c>
      <c r="J26" s="52">
        <f t="shared" si="10"/>
        <v>6.5563022455335199E-2</v>
      </c>
      <c r="K26" s="52">
        <f t="shared" si="10"/>
        <v>3.7347490357151195E-2</v>
      </c>
    </row>
    <row r="27" spans="1:11" ht="16.5">
      <c r="A27" s="11"/>
      <c r="B27" s="11"/>
      <c r="D27" s="13" t="s">
        <v>388</v>
      </c>
      <c r="E27" s="20">
        <f t="shared" ref="E27:K27" si="11">AVERAGE(E16:E22)</f>
        <v>2.4314285714285719</v>
      </c>
      <c r="F27" s="54">
        <f t="shared" si="11"/>
        <v>5.3377216075727665E-2</v>
      </c>
      <c r="G27" s="20">
        <f t="shared" si="11"/>
        <v>2.5371428571428569</v>
      </c>
      <c r="H27" s="54">
        <f t="shared" si="11"/>
        <v>5.5440267201500582E-2</v>
      </c>
      <c r="I27" s="20">
        <f t="shared" si="11"/>
        <v>2.9642857142857144</v>
      </c>
      <c r="J27" s="54">
        <f t="shared" si="11"/>
        <v>6.6940116769284366E-2</v>
      </c>
      <c r="K27" s="54">
        <f t="shared" si="11"/>
        <v>5.8067289066191533E-2</v>
      </c>
    </row>
    <row r="28" spans="1:11" ht="16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26.25">
      <c r="A29" s="11"/>
      <c r="B29" s="11"/>
      <c r="C29" s="11"/>
      <c r="D29" s="11"/>
      <c r="E29" s="11"/>
      <c r="F29" s="47" t="s">
        <v>0</v>
      </c>
      <c r="G29" s="61" t="s">
        <v>0</v>
      </c>
      <c r="H29" s="11"/>
      <c r="I29" s="11"/>
      <c r="J29" s="11"/>
      <c r="K29" s="11"/>
    </row>
    <row r="30" spans="1:11" ht="18.75">
      <c r="A30" s="204" t="s">
        <v>253</v>
      </c>
    </row>
  </sheetData>
  <pageMargins left="0.25" right="0.25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30"/>
  <sheetViews>
    <sheetView view="pageBreakPreview" zoomScale="70" zoomScaleNormal="80" workbookViewId="0">
      <selection activeCell="E20" sqref="E20"/>
    </sheetView>
  </sheetViews>
  <sheetFormatPr defaultRowHeight="15"/>
  <cols>
    <col min="1" max="1" width="51.5703125" customWidth="1"/>
    <col min="2" max="2" width="10.85546875" bestFit="1" customWidth="1"/>
    <col min="3" max="3" width="24.855468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2" t="s">
        <v>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7.25">
      <c r="A2" s="23" t="s">
        <v>9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16.5">
      <c r="A3" s="24" t="s">
        <v>421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16.5">
      <c r="A4" s="24"/>
      <c r="B4" s="11"/>
      <c r="C4" s="11"/>
      <c r="D4" s="11"/>
      <c r="E4" s="11"/>
      <c r="F4" s="11"/>
      <c r="G4" s="11"/>
      <c r="H4" s="11"/>
      <c r="I4" s="11"/>
      <c r="J4" s="11"/>
    </row>
    <row r="5" spans="1:11" ht="17.25" thickBot="1">
      <c r="A5" s="11"/>
      <c r="B5" s="11"/>
      <c r="C5" s="11"/>
      <c r="D5" s="11"/>
      <c r="E5" s="11"/>
      <c r="F5" s="11"/>
      <c r="G5" s="25"/>
      <c r="H5" s="11"/>
      <c r="I5" s="11"/>
      <c r="J5" s="11"/>
    </row>
    <row r="6" spans="1:11" ht="21" thickBot="1">
      <c r="A6" s="239" t="str">
        <f>+'S&amp;D'!A12</f>
        <v>Natural Gas Transmission Pipeline Carrier</v>
      </c>
      <c r="B6" s="174"/>
      <c r="C6" s="11"/>
      <c r="D6" s="27"/>
      <c r="E6" s="27"/>
      <c r="F6" s="28" t="s">
        <v>0</v>
      </c>
      <c r="G6" s="11"/>
      <c r="H6" s="11"/>
      <c r="I6" s="11"/>
      <c r="J6" s="11"/>
    </row>
    <row r="7" spans="1:11" ht="26.25">
      <c r="A7" s="29"/>
      <c r="B7" s="11"/>
      <c r="C7" s="11"/>
      <c r="D7" s="11"/>
      <c r="E7" s="30" t="s">
        <v>254</v>
      </c>
      <c r="F7" s="11"/>
      <c r="G7" s="11"/>
      <c r="H7" s="11"/>
      <c r="I7" s="11"/>
      <c r="J7" s="11"/>
    </row>
    <row r="8" spans="1:11" ht="21" thickBot="1">
      <c r="A8" s="29"/>
      <c r="B8" s="11"/>
      <c r="C8" s="11"/>
      <c r="D8" s="27"/>
      <c r="E8" s="31" t="s">
        <v>422</v>
      </c>
      <c r="F8" s="27"/>
      <c r="G8" s="11"/>
      <c r="H8" s="11"/>
      <c r="I8" s="11"/>
      <c r="J8" s="11"/>
    </row>
    <row r="9" spans="1:11" ht="17.25" thickBot="1">
      <c r="A9" s="32" t="s">
        <v>0</v>
      </c>
      <c r="B9" s="32" t="s">
        <v>0</v>
      </c>
      <c r="C9" s="32" t="s">
        <v>0</v>
      </c>
      <c r="D9" s="32" t="s">
        <v>0</v>
      </c>
      <c r="E9" s="32" t="s">
        <v>0</v>
      </c>
      <c r="F9" s="32"/>
      <c r="G9" s="27"/>
      <c r="H9" s="27"/>
      <c r="I9" s="27"/>
      <c r="J9" s="27"/>
      <c r="K9" s="141"/>
    </row>
    <row r="10" spans="1:11" ht="16.5">
      <c r="A10" s="33" t="s">
        <v>0</v>
      </c>
      <c r="B10" s="33" t="s">
        <v>3</v>
      </c>
      <c r="C10" s="33" t="s">
        <v>5</v>
      </c>
      <c r="D10" s="33" t="s">
        <v>157</v>
      </c>
      <c r="E10" s="33" t="s">
        <v>163</v>
      </c>
      <c r="F10" s="33" t="s">
        <v>163</v>
      </c>
      <c r="G10" s="33" t="s">
        <v>163</v>
      </c>
      <c r="H10" s="33" t="s">
        <v>163</v>
      </c>
      <c r="I10" s="33" t="s">
        <v>163</v>
      </c>
      <c r="J10" s="33" t="s">
        <v>163</v>
      </c>
      <c r="K10" s="33" t="s">
        <v>251</v>
      </c>
    </row>
    <row r="11" spans="1:11" ht="16.5">
      <c r="A11" s="33"/>
      <c r="B11" s="33" t="s">
        <v>4</v>
      </c>
      <c r="C11" s="33" t="s">
        <v>6</v>
      </c>
      <c r="D11" s="33" t="s">
        <v>28</v>
      </c>
      <c r="E11" s="33" t="s">
        <v>159</v>
      </c>
      <c r="F11" s="33" t="s">
        <v>117</v>
      </c>
      <c r="G11" s="33" t="s">
        <v>159</v>
      </c>
      <c r="H11" s="33" t="s">
        <v>117</v>
      </c>
      <c r="I11" s="33" t="s">
        <v>159</v>
      </c>
      <c r="J11" s="33" t="s">
        <v>117</v>
      </c>
      <c r="K11" s="33" t="s">
        <v>175</v>
      </c>
    </row>
    <row r="12" spans="1:11" ht="17.25" thickBot="1">
      <c r="A12" s="35" t="s">
        <v>2</v>
      </c>
      <c r="B12" s="35" t="s">
        <v>0</v>
      </c>
      <c r="C12" s="35" t="s">
        <v>0</v>
      </c>
      <c r="D12" s="35" t="s">
        <v>0</v>
      </c>
      <c r="E12" s="35" t="s">
        <v>161</v>
      </c>
      <c r="F12" s="35" t="s">
        <v>161</v>
      </c>
      <c r="G12" s="35" t="s">
        <v>249</v>
      </c>
      <c r="H12" s="35" t="s">
        <v>249</v>
      </c>
      <c r="I12" s="35" t="s">
        <v>250</v>
      </c>
      <c r="J12" s="35" t="s">
        <v>250</v>
      </c>
      <c r="K12" s="203" t="s">
        <v>252</v>
      </c>
    </row>
    <row r="13" spans="1:11">
      <c r="A13" s="37" t="s">
        <v>7</v>
      </c>
      <c r="B13" s="37" t="s">
        <v>7</v>
      </c>
      <c r="C13" s="37" t="s">
        <v>7</v>
      </c>
      <c r="D13" s="38" t="s">
        <v>113</v>
      </c>
      <c r="E13" s="37" t="s">
        <v>7</v>
      </c>
      <c r="F13" s="37" t="s">
        <v>15</v>
      </c>
      <c r="G13" s="37" t="s">
        <v>7</v>
      </c>
      <c r="H13" s="37" t="s">
        <v>15</v>
      </c>
      <c r="I13" s="37" t="s">
        <v>7</v>
      </c>
      <c r="J13" s="37" t="s">
        <v>15</v>
      </c>
      <c r="K13" s="37" t="s">
        <v>15</v>
      </c>
    </row>
    <row r="14" spans="1:11" ht="16.5">
      <c r="A14" s="33"/>
      <c r="B14" s="33"/>
      <c r="C14" s="33"/>
      <c r="D14" s="33"/>
      <c r="E14" s="33"/>
      <c r="F14" s="33"/>
      <c r="G14" s="11"/>
      <c r="H14" s="11"/>
      <c r="I14" s="11"/>
      <c r="J14" s="11"/>
      <c r="K14" s="11"/>
    </row>
    <row r="15" spans="1:11" ht="16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7.25">
      <c r="A16" s="42" t="str">
        <f>+'S&amp;D'!A22</f>
        <v>Enbridge Inc</v>
      </c>
      <c r="B16" s="33" t="str">
        <f>+'S&amp;D'!B22</f>
        <v>ENB.TO</v>
      </c>
      <c r="C16" s="33" t="str">
        <f>+'S&amp;D'!C22</f>
        <v>Oil &amp; Gas Distribution</v>
      </c>
      <c r="D16" s="344">
        <f>+'S&amp;D'!G22</f>
        <v>61.01</v>
      </c>
      <c r="E16" s="329">
        <v>3.05</v>
      </c>
      <c r="F16" s="51">
        <f t="shared" ref="F16:F19" si="0">+E16/D16</f>
        <v>4.9991804622193083E-2</v>
      </c>
      <c r="G16" s="329">
        <v>2.8</v>
      </c>
      <c r="H16" s="51">
        <f t="shared" ref="H16:H19" si="1">+G16/D16</f>
        <v>4.5894115718734634E-2</v>
      </c>
      <c r="I16" s="329">
        <v>3.75</v>
      </c>
      <c r="J16" s="51">
        <f t="shared" ref="J16:J19" si="2">+I16/D16</f>
        <v>6.1465333551876743E-2</v>
      </c>
      <c r="K16" s="346">
        <f t="shared" ref="K16:K19" si="3">RATE(3,,-G16,I16)</f>
        <v>0.10227784577079826</v>
      </c>
    </row>
    <row r="17" spans="1:11" ht="17.25">
      <c r="A17" s="42" t="str">
        <f>+'S&amp;D'!A23</f>
        <v>Energy Transfer LP</v>
      </c>
      <c r="B17" s="33" t="str">
        <f>+'S&amp;D'!B23</f>
        <v>ET</v>
      </c>
      <c r="C17" s="33" t="str">
        <f>+'S&amp;D'!C23</f>
        <v>Pipeline MLPs</v>
      </c>
      <c r="D17" s="344">
        <f>+'S&amp;D'!G23</f>
        <v>19.59</v>
      </c>
      <c r="E17" s="329">
        <v>1.5</v>
      </c>
      <c r="F17" s="51">
        <f t="shared" si="0"/>
        <v>7.6569678407350683E-2</v>
      </c>
      <c r="G17" s="329">
        <v>1.6</v>
      </c>
      <c r="H17" s="51">
        <f t="shared" si="1"/>
        <v>8.1674323634507412E-2</v>
      </c>
      <c r="I17" s="329">
        <v>2.15</v>
      </c>
      <c r="J17" s="51">
        <f t="shared" si="2"/>
        <v>0.10974987238386932</v>
      </c>
      <c r="K17" s="346">
        <f t="shared" si="3"/>
        <v>0.10350124060976253</v>
      </c>
    </row>
    <row r="18" spans="1:11" ht="17.25">
      <c r="A18" s="42" t="str">
        <f>+'S&amp;D'!A24</f>
        <v>Enterprise Products Partnership LP</v>
      </c>
      <c r="B18" s="33" t="str">
        <f>+'S&amp;D'!B24</f>
        <v>EPD</v>
      </c>
      <c r="C18" s="33" t="str">
        <f>+'S&amp;D'!C24</f>
        <v>Pipeline MLPs</v>
      </c>
      <c r="D18" s="344">
        <f>+'S&amp;D'!G24</f>
        <v>31.36</v>
      </c>
      <c r="E18" s="329">
        <v>2.85</v>
      </c>
      <c r="F18" s="51">
        <f t="shared" si="0"/>
        <v>9.0880102040816327E-2</v>
      </c>
      <c r="G18" s="329">
        <v>3.05</v>
      </c>
      <c r="H18" s="51">
        <f t="shared" si="1"/>
        <v>9.7257653061224483E-2</v>
      </c>
      <c r="I18" s="329">
        <v>3.6</v>
      </c>
      <c r="J18" s="51">
        <f t="shared" si="2"/>
        <v>0.11479591836734694</v>
      </c>
      <c r="K18" s="346">
        <f t="shared" si="3"/>
        <v>5.6819667993607152E-2</v>
      </c>
    </row>
    <row r="19" spans="1:11" ht="17.25">
      <c r="A19" s="42" t="str">
        <f>+'S&amp;D'!A25</f>
        <v>Kinder Morgan Inc</v>
      </c>
      <c r="B19" s="33" t="str">
        <f>+'S&amp;D'!B25</f>
        <v>KMI</v>
      </c>
      <c r="C19" s="33" t="str">
        <f>+'S&amp;D'!C25</f>
        <v>Oil &amp; Gas Distribution</v>
      </c>
      <c r="D19" s="344">
        <f>+'S&amp;D'!G25</f>
        <v>27.4</v>
      </c>
      <c r="E19" s="329">
        <v>1.3</v>
      </c>
      <c r="F19" s="51">
        <f t="shared" si="0"/>
        <v>4.7445255474452559E-2</v>
      </c>
      <c r="G19" s="329">
        <v>1.4</v>
      </c>
      <c r="H19" s="51">
        <f t="shared" si="1"/>
        <v>5.1094890510948905E-2</v>
      </c>
      <c r="I19" s="329">
        <v>1.8</v>
      </c>
      <c r="J19" s="51">
        <f t="shared" si="2"/>
        <v>6.569343065693431E-2</v>
      </c>
      <c r="K19" s="346">
        <f t="shared" si="3"/>
        <v>8.7380373002892794E-2</v>
      </c>
    </row>
    <row r="20" spans="1:11" ht="17.25">
      <c r="A20" s="42" t="str">
        <f>+'S&amp;D'!A26</f>
        <v>ONEOK Inc</v>
      </c>
      <c r="B20" s="33" t="str">
        <f>+'S&amp;D'!B26</f>
        <v>OKE</v>
      </c>
      <c r="C20" s="33" t="str">
        <f>+'S&amp;D'!C26</f>
        <v>Oil &amp; Gas Distribution</v>
      </c>
      <c r="D20" s="344">
        <f>+'S&amp;D'!G26</f>
        <v>100.4</v>
      </c>
      <c r="E20" s="329">
        <v>6</v>
      </c>
      <c r="F20" s="51">
        <f t="shared" ref="F20:F22" si="4">+E20/D20</f>
        <v>5.97609561752988E-2</v>
      </c>
      <c r="G20" s="329">
        <v>7</v>
      </c>
      <c r="H20" s="51">
        <f>+G20/D20</f>
        <v>6.9721115537848599E-2</v>
      </c>
      <c r="I20" s="329">
        <v>10</v>
      </c>
      <c r="J20" s="51">
        <f t="shared" ref="J20:J22" si="5">+I20/D20</f>
        <v>9.9601593625498003E-2</v>
      </c>
      <c r="K20" s="346">
        <f t="shared" ref="K20:K22" si="6">RATE(3,,-G20,I20)</f>
        <v>0.12624788044374041</v>
      </c>
    </row>
    <row r="21" spans="1:11" ht="17.25">
      <c r="A21" s="42" t="str">
        <f>+'S&amp;D'!A27</f>
        <v>TC Energy Corp</v>
      </c>
      <c r="B21" s="33" t="str">
        <f>+'S&amp;D'!B27</f>
        <v>TRP</v>
      </c>
      <c r="C21" s="33" t="str">
        <f>+'S&amp;D'!C27</f>
        <v>Oil &amp; Gas Distribution</v>
      </c>
      <c r="D21" s="344">
        <f>+'S&amp;D'!G27</f>
        <v>46.53</v>
      </c>
      <c r="E21" s="329">
        <v>3.4</v>
      </c>
      <c r="F21" s="51">
        <f t="shared" si="4"/>
        <v>7.3071136900924136E-2</v>
      </c>
      <c r="G21" s="329">
        <v>4</v>
      </c>
      <c r="H21" s="51">
        <f t="shared" ref="H21:H22" si="7">+G21/D21</f>
        <v>8.5966043412851925E-2</v>
      </c>
      <c r="I21" s="329">
        <v>5.5</v>
      </c>
      <c r="J21" s="51">
        <f t="shared" si="5"/>
        <v>0.11820330969267138</v>
      </c>
      <c r="K21" s="346">
        <f t="shared" si="6"/>
        <v>0.11199004528465807</v>
      </c>
    </row>
    <row r="22" spans="1:11" ht="17.25">
      <c r="A22" s="42" t="str">
        <f>+'S&amp;D'!A28</f>
        <v>Williams Companys Inc</v>
      </c>
      <c r="B22" s="33" t="str">
        <f>+'S&amp;D'!B28</f>
        <v>WMB</v>
      </c>
      <c r="C22" s="33" t="str">
        <f>+'S&amp;D'!C28</f>
        <v>Oil &amp; Gas Distribution</v>
      </c>
      <c r="D22" s="344">
        <f>+'S&amp;D'!G28</f>
        <v>54.12</v>
      </c>
      <c r="E22" s="329">
        <v>2.35</v>
      </c>
      <c r="F22" s="51">
        <f t="shared" si="4"/>
        <v>4.3422025129342207E-2</v>
      </c>
      <c r="G22" s="329">
        <v>2.6</v>
      </c>
      <c r="H22" s="51">
        <f t="shared" si="7"/>
        <v>4.804138950480414E-2</v>
      </c>
      <c r="I22" s="329">
        <v>3.2</v>
      </c>
      <c r="J22" s="51">
        <f t="shared" si="5"/>
        <v>5.9127864005912793E-2</v>
      </c>
      <c r="K22" s="346">
        <f t="shared" si="6"/>
        <v>7.1664579674512355E-2</v>
      </c>
    </row>
    <row r="23" spans="1:11" ht="17.25" thickBot="1">
      <c r="A23" s="11"/>
      <c r="B23" s="11"/>
      <c r="C23" s="42"/>
      <c r="D23" s="45"/>
      <c r="E23" s="45"/>
      <c r="F23" s="45"/>
      <c r="G23" s="45"/>
      <c r="H23" s="45"/>
      <c r="I23" s="45"/>
      <c r="J23" s="45"/>
      <c r="K23" s="45"/>
    </row>
    <row r="24" spans="1:11" ht="17.25" thickTop="1">
      <c r="A24" s="11"/>
      <c r="B24" s="11"/>
      <c r="D24" s="13" t="s">
        <v>46</v>
      </c>
      <c r="E24" s="15">
        <f t="shared" ref="E24:K24" si="8">+MAX(E16:E22)</f>
        <v>6</v>
      </c>
      <c r="F24" s="284">
        <f t="shared" si="8"/>
        <v>9.0880102040816327E-2</v>
      </c>
      <c r="G24" s="15">
        <f t="shared" si="8"/>
        <v>7</v>
      </c>
      <c r="H24" s="284">
        <f t="shared" si="8"/>
        <v>9.7257653061224483E-2</v>
      </c>
      <c r="I24" s="15">
        <f t="shared" si="8"/>
        <v>10</v>
      </c>
      <c r="J24" s="284">
        <f t="shared" si="8"/>
        <v>0.11820330969267138</v>
      </c>
      <c r="K24" s="284">
        <f t="shared" si="8"/>
        <v>0.12624788044374041</v>
      </c>
    </row>
    <row r="25" spans="1:11" ht="16.5">
      <c r="A25" s="11"/>
      <c r="B25" s="11"/>
      <c r="D25" s="308" t="s">
        <v>47</v>
      </c>
      <c r="E25" s="304">
        <f t="shared" ref="E25:K25" si="9">+MIN(E16:E22)</f>
        <v>1.3</v>
      </c>
      <c r="F25" s="305">
        <f t="shared" si="9"/>
        <v>4.3422025129342207E-2</v>
      </c>
      <c r="G25" s="304">
        <f t="shared" si="9"/>
        <v>1.4</v>
      </c>
      <c r="H25" s="305">
        <f t="shared" si="9"/>
        <v>4.5894115718734634E-2</v>
      </c>
      <c r="I25" s="304">
        <f t="shared" si="9"/>
        <v>1.8</v>
      </c>
      <c r="J25" s="305">
        <f t="shared" si="9"/>
        <v>5.9127864005912793E-2</v>
      </c>
      <c r="K25" s="305">
        <f t="shared" si="9"/>
        <v>5.6819667993607152E-2</v>
      </c>
    </row>
    <row r="26" spans="1:11" ht="16.5">
      <c r="A26" s="11"/>
      <c r="B26" s="11"/>
      <c r="D26" s="13" t="s">
        <v>18</v>
      </c>
      <c r="E26" s="16">
        <f t="shared" ref="E26:K26" si="10">MEDIAN(E16:E22)</f>
        <v>2.85</v>
      </c>
      <c r="F26" s="52">
        <f t="shared" si="10"/>
        <v>5.97609561752988E-2</v>
      </c>
      <c r="G26" s="16">
        <f t="shared" si="10"/>
        <v>2.8</v>
      </c>
      <c r="H26" s="52">
        <f t="shared" si="10"/>
        <v>6.9721115537848599E-2</v>
      </c>
      <c r="I26" s="16">
        <f t="shared" si="10"/>
        <v>3.6</v>
      </c>
      <c r="J26" s="52">
        <f t="shared" si="10"/>
        <v>9.9601593625498003E-2</v>
      </c>
      <c r="K26" s="52">
        <f t="shared" si="10"/>
        <v>0.10227784577079826</v>
      </c>
    </row>
    <row r="27" spans="1:11" ht="16.5">
      <c r="A27" s="11"/>
      <c r="B27" s="11"/>
      <c r="D27" s="13" t="s">
        <v>388</v>
      </c>
      <c r="E27" s="20">
        <f t="shared" ref="E27:K27" si="11">AVERAGE(E16:E22)</f>
        <v>2.9214285714285717</v>
      </c>
      <c r="F27" s="54">
        <f t="shared" si="11"/>
        <v>6.3020136964339696E-2</v>
      </c>
      <c r="G27" s="20">
        <f t="shared" si="11"/>
        <v>3.2071428571428577</v>
      </c>
      <c r="H27" s="54">
        <f t="shared" si="11"/>
        <v>6.8521361625845725E-2</v>
      </c>
      <c r="I27" s="20">
        <f t="shared" si="11"/>
        <v>4.2857142857142856</v>
      </c>
      <c r="J27" s="54">
        <f t="shared" si="11"/>
        <v>8.9805331754872778E-2</v>
      </c>
      <c r="K27" s="54">
        <f t="shared" si="11"/>
        <v>9.4268804682853077E-2</v>
      </c>
    </row>
    <row r="28" spans="1:11" ht="16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26.25">
      <c r="A29" s="11"/>
      <c r="B29" s="11"/>
      <c r="C29" s="11"/>
      <c r="D29" s="11"/>
      <c r="E29" s="11"/>
      <c r="F29" s="47" t="s">
        <v>0</v>
      </c>
      <c r="G29" s="61" t="s">
        <v>0</v>
      </c>
      <c r="H29" s="11"/>
      <c r="I29" s="11"/>
      <c r="J29" s="11"/>
      <c r="K29" s="11"/>
    </row>
    <row r="30" spans="1:11" ht="18.75">
      <c r="A30" s="204" t="s">
        <v>253</v>
      </c>
    </row>
  </sheetData>
  <pageMargins left="0.25" right="0.25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7FDD43-C125-4CAD-AB74-B76845F01363}"/>
</file>

<file path=customXml/itemProps2.xml><?xml version="1.0" encoding="utf-8"?>
<ds:datastoreItem xmlns:ds="http://schemas.openxmlformats.org/officeDocument/2006/customXml" ds:itemID="{AD6D71CB-EFB9-4126-92DA-6CA9D47C1B5D}"/>
</file>

<file path=customXml/itemProps3.xml><?xml version="1.0" encoding="utf-8"?>
<ds:datastoreItem xmlns:ds="http://schemas.openxmlformats.org/officeDocument/2006/customXml" ds:itemID="{6D4E7EEE-26F8-4149-BA3D-AAC121668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</vt:lpstr>
      <vt:lpstr>Indicated Yield Equity Rate 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Natural Gas Transmission Pipelines</dc:title>
  <dc:creator>%USERNAME%</dc:creator>
  <cp:lastModifiedBy>Sheeks, Ashley (DOR)</cp:lastModifiedBy>
  <cp:lastPrinted>2023-05-30T17:10:49Z</cp:lastPrinted>
  <dcterms:created xsi:type="dcterms:W3CDTF">2016-02-12T19:29:24Z</dcterms:created>
  <dcterms:modified xsi:type="dcterms:W3CDTF">2025-10-01T15:55:59Z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