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8001_{8DB82DC0-1999-4542-8FA6-DBAE02CCD90D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Dividends " sheetId="17" r:id="rId8"/>
    <sheet name="Earnings" sheetId="27" r:id="rId9"/>
    <sheet name="Debt" sheetId="8" r:id="rId10"/>
    <sheet name="Direct GCF" sheetId="5" r:id="rId11"/>
    <sheet name="Direct NOPAT" sheetId="12" r:id="rId12"/>
    <sheet name="CAPM" sheetId="23" r:id="rId13"/>
    <sheet name="Growth &amp; Inflation Rates" sheetId="34" r:id="rId14"/>
    <sheet name="Indicated Yield Equity Rates" sheetId="16" r:id="rId15"/>
    <sheet name="Single Stage Div Growth Model" sheetId="19" r:id="rId16"/>
    <sheet name="Two-Stage Dividend Growth Model" sheetId="20" r:id="rId17"/>
    <sheet name="Multiples" sheetId="31" r:id="rId18"/>
    <sheet name="Info" sheetId="9" r:id="rId19"/>
  </sheets>
  <definedNames>
    <definedName name="_xlnm.Print_Area" localSheetId="6">'Beta for CAPM'!$A$1:$H$41</definedName>
    <definedName name="_xlnm.Print_Area" localSheetId="12">CAPM!$A$1:$H$85</definedName>
    <definedName name="_xlnm.Print_Area" localSheetId="0">'Cover Sheet'!$A$1:$I$37</definedName>
    <definedName name="_xlnm.Print_Area" localSheetId="9">Debt!$A$1:$M$63</definedName>
    <definedName name="_xlnm.Print_Area" localSheetId="2">'Direct CapRates'!$A$1:$H$66</definedName>
    <definedName name="_xlnm.Print_Area" localSheetId="10">'Direct GCF'!$A$1:$N$39</definedName>
    <definedName name="_xlnm.Print_Area" localSheetId="11">'Direct NOPAT'!$A$1:$N$68</definedName>
    <definedName name="_xlnm.Print_Area" localSheetId="7">'Dividends '!$A$1:$K$35</definedName>
    <definedName name="_xlnm.Print_Area" localSheetId="8">Earnings!$A$1:$K$35</definedName>
    <definedName name="_xlnm.Print_Area" localSheetId="13">'Growth &amp; Inflation Rates'!$A$1:$I$109</definedName>
    <definedName name="_xlnm.Print_Area" localSheetId="14">'Indicated Yield Equity Rates'!$A$1:$F$57</definedName>
    <definedName name="_xlnm.Print_Area" localSheetId="5">'Maintenance CapEx'!$A$1:$L$81</definedName>
    <definedName name="_xlnm.Print_Area" localSheetId="4">'Market to Book Ratios'!$A$1:$G$68</definedName>
    <definedName name="_xlnm.Print_Area" localSheetId="17">Multiples!$A$1:$I$42</definedName>
    <definedName name="_xlnm.Print_Area" localSheetId="3">'S&amp;D'!$A$1:$L$86</definedName>
    <definedName name="_xlnm.Print_Area" localSheetId="15">'Single Stage Div Growth Model'!$A$1:$K$49</definedName>
    <definedName name="_xlnm.Print_Area" localSheetId="16">'Two-Stage Dividend Growth Model'!$A$1:$I$47</definedName>
    <definedName name="_xlnm.Print_Area" localSheetId="1">'Yield CapRate'!$A$1:$H$35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10" l="1"/>
  <c r="D25" i="10"/>
  <c r="F21" i="20" l="1"/>
  <c r="G16" i="34" l="1"/>
  <c r="G15" i="34"/>
  <c r="F16" i="34"/>
  <c r="F15" i="34"/>
  <c r="A7" i="34"/>
  <c r="E51" i="12"/>
  <c r="E52" i="12"/>
  <c r="E53" i="12"/>
  <c r="E54" i="12"/>
  <c r="E55" i="12"/>
  <c r="E56" i="12"/>
  <c r="E57" i="12"/>
  <c r="E58" i="12"/>
  <c r="E59" i="12"/>
  <c r="E60" i="12"/>
  <c r="K17" i="12"/>
  <c r="K18" i="12"/>
  <c r="K19" i="12"/>
  <c r="K20" i="12"/>
  <c r="K21" i="12"/>
  <c r="K22" i="12"/>
  <c r="K23" i="12"/>
  <c r="K24" i="12"/>
  <c r="K25" i="12"/>
  <c r="K26" i="12"/>
  <c r="E17" i="12"/>
  <c r="E18" i="12"/>
  <c r="E19" i="12"/>
  <c r="E20" i="12"/>
  <c r="E21" i="12"/>
  <c r="E22" i="12"/>
  <c r="E23" i="12"/>
  <c r="E24" i="12"/>
  <c r="E25" i="12"/>
  <c r="E26" i="12"/>
  <c r="E50" i="12"/>
  <c r="K16" i="12"/>
  <c r="E16" i="12"/>
  <c r="I16" i="8"/>
  <c r="J16" i="8" s="1"/>
  <c r="I17" i="8"/>
  <c r="J17" i="8"/>
  <c r="I18" i="8"/>
  <c r="J18" i="8" s="1"/>
  <c r="I20" i="8"/>
  <c r="J20" i="8"/>
  <c r="I21" i="8"/>
  <c r="J21" i="8" s="1"/>
  <c r="I22" i="8"/>
  <c r="J22" i="8" s="1"/>
  <c r="I23" i="8"/>
  <c r="J23" i="8" s="1"/>
  <c r="I24" i="8"/>
  <c r="J24" i="8"/>
  <c r="I25" i="8"/>
  <c r="J25" i="8"/>
  <c r="I15" i="8"/>
  <c r="J15" i="8" s="1"/>
  <c r="C30" i="11"/>
  <c r="C29" i="11"/>
  <c r="C28" i="11"/>
  <c r="C27" i="11"/>
  <c r="C26" i="11"/>
  <c r="C25" i="11"/>
  <c r="C24" i="11"/>
  <c r="C23" i="11"/>
  <c r="C22" i="11"/>
  <c r="C21" i="11"/>
  <c r="C20" i="11"/>
  <c r="C59" i="23"/>
  <c r="C58" i="23"/>
  <c r="C57" i="23"/>
  <c r="C55" i="23"/>
  <c r="C54" i="23"/>
  <c r="C52" i="23"/>
  <c r="C50" i="23"/>
  <c r="C48" i="23"/>
  <c r="C47" i="23"/>
  <c r="C46" i="23"/>
  <c r="C45" i="23"/>
  <c r="C43" i="23"/>
  <c r="C42" i="23"/>
  <c r="C33" i="23"/>
  <c r="C32" i="23"/>
  <c r="C31" i="23"/>
  <c r="C29" i="23"/>
  <c r="C28" i="23"/>
  <c r="C26" i="23"/>
  <c r="C24" i="23"/>
  <c r="C22" i="23"/>
  <c r="C21" i="23"/>
  <c r="C20" i="23"/>
  <c r="C19" i="23"/>
  <c r="C17" i="23"/>
  <c r="C16" i="23"/>
  <c r="E33" i="23"/>
  <c r="E32" i="23"/>
  <c r="E31" i="23"/>
  <c r="E29" i="23"/>
  <c r="E28" i="23"/>
  <c r="E26" i="23"/>
  <c r="E24" i="23"/>
  <c r="E22" i="23"/>
  <c r="E21" i="23"/>
  <c r="E20" i="23"/>
  <c r="E19" i="23"/>
  <c r="E17" i="23"/>
  <c r="E16" i="23"/>
  <c r="F57" i="34"/>
  <c r="F54" i="34"/>
  <c r="E54" i="34"/>
  <c r="D54" i="34"/>
  <c r="E53" i="34"/>
  <c r="D53" i="34"/>
  <c r="F53" i="34" s="1"/>
  <c r="E52" i="34"/>
  <c r="D52" i="34"/>
  <c r="E51" i="34"/>
  <c r="D51" i="34"/>
  <c r="F50" i="34"/>
  <c r="F48" i="34"/>
  <c r="F47" i="34"/>
  <c r="F46" i="34"/>
  <c r="F45" i="34"/>
  <c r="F52" i="34" s="1"/>
  <c r="F44" i="34"/>
  <c r="F43" i="34"/>
  <c r="F42" i="34"/>
  <c r="F51" i="34" s="1"/>
  <c r="A15" i="34"/>
  <c r="G52" i="3" l="1"/>
  <c r="J32" i="3"/>
  <c r="D30" i="11"/>
  <c r="G51" i="3"/>
  <c r="G29" i="11"/>
  <c r="J31" i="3"/>
  <c r="G50" i="3"/>
  <c r="J30" i="3"/>
  <c r="D28" i="11"/>
  <c r="J29" i="3"/>
  <c r="G48" i="3"/>
  <c r="J28" i="3"/>
  <c r="G47" i="3"/>
  <c r="J27" i="3"/>
  <c r="G24" i="11"/>
  <c r="G46" i="3"/>
  <c r="F46" i="3"/>
  <c r="J26" i="3"/>
  <c r="G45" i="3"/>
  <c r="J25" i="3"/>
  <c r="G44" i="3" l="1"/>
  <c r="J24" i="3"/>
  <c r="G43" i="3"/>
  <c r="J23" i="3"/>
  <c r="H23" i="3"/>
  <c r="G20" i="11" l="1"/>
  <c r="G42" i="3"/>
  <c r="J22" i="3"/>
  <c r="G30" i="19" l="1"/>
  <c r="E30" i="11"/>
  <c r="E28" i="11"/>
  <c r="F23" i="11" l="1"/>
  <c r="D49" i="29" l="1"/>
  <c r="D50" i="29"/>
  <c r="D42" i="3" l="1"/>
  <c r="H42" i="3" s="1"/>
  <c r="J42" i="3" s="1"/>
  <c r="G29" i="31"/>
  <c r="G28" i="31"/>
  <c r="E29" i="31"/>
  <c r="E28" i="31"/>
  <c r="H29" i="19"/>
  <c r="G29" i="19"/>
  <c r="H28" i="19"/>
  <c r="G28" i="19"/>
  <c r="E63" i="12"/>
  <c r="E62" i="12"/>
  <c r="K29" i="12"/>
  <c r="K28" i="12"/>
  <c r="E29" i="12"/>
  <c r="E28" i="12"/>
  <c r="J30" i="5"/>
  <c r="J29" i="5"/>
  <c r="D30" i="5"/>
  <c r="D29" i="5"/>
  <c r="J28" i="8" l="1"/>
  <c r="I28" i="8"/>
  <c r="G28" i="8"/>
  <c r="J27" i="8"/>
  <c r="I27" i="8"/>
  <c r="G27" i="8"/>
  <c r="I29" i="27"/>
  <c r="G29" i="27"/>
  <c r="I28" i="27"/>
  <c r="G28" i="27"/>
  <c r="E29" i="27"/>
  <c r="E28" i="27"/>
  <c r="I29" i="17" l="1"/>
  <c r="G29" i="17"/>
  <c r="I28" i="17"/>
  <c r="G28" i="17"/>
  <c r="E29" i="17"/>
  <c r="E28" i="17"/>
  <c r="H30" i="14"/>
  <c r="H29" i="14"/>
  <c r="F46" i="23" l="1"/>
  <c r="B46" i="23"/>
  <c r="E46" i="23" s="1"/>
  <c r="A46" i="23"/>
  <c r="F58" i="23"/>
  <c r="B58" i="23"/>
  <c r="E58" i="23" s="1"/>
  <c r="F48" i="23"/>
  <c r="B48" i="23"/>
  <c r="E48" i="23" s="1"/>
  <c r="F47" i="23"/>
  <c r="B47" i="23"/>
  <c r="E47" i="23" s="1"/>
  <c r="A6" i="31"/>
  <c r="A6" i="20"/>
  <c r="A6" i="19"/>
  <c r="A6" i="23"/>
  <c r="A6" i="16"/>
  <c r="A6" i="12"/>
  <c r="A6" i="5"/>
  <c r="A6" i="8"/>
  <c r="A6" i="27"/>
  <c r="A6" i="17"/>
  <c r="A8" i="14"/>
  <c r="A8" i="11"/>
  <c r="A9" i="29"/>
  <c r="D15" i="10"/>
  <c r="D16" i="7"/>
  <c r="A16" i="6"/>
  <c r="F59" i="23"/>
  <c r="B59" i="23"/>
  <c r="E59" i="23" s="1"/>
  <c r="F57" i="23"/>
  <c r="B57" i="23"/>
  <c r="E57" i="23" s="1"/>
  <c r="F55" i="23"/>
  <c r="B55" i="23"/>
  <c r="E55" i="23" s="1"/>
  <c r="F54" i="23"/>
  <c r="B54" i="23"/>
  <c r="E54" i="23" s="1"/>
  <c r="F52" i="23"/>
  <c r="B52" i="23"/>
  <c r="E52" i="23" s="1"/>
  <c r="F50" i="23"/>
  <c r="B50" i="23"/>
  <c r="E50" i="23" s="1"/>
  <c r="F45" i="23"/>
  <c r="B45" i="23"/>
  <c r="E45" i="23" s="1"/>
  <c r="F43" i="23"/>
  <c r="B43" i="23"/>
  <c r="E43" i="23" s="1"/>
  <c r="F42" i="23"/>
  <c r="B42" i="23"/>
  <c r="E42" i="23" s="1"/>
  <c r="D55" i="23" l="1"/>
  <c r="G55" i="23" s="1"/>
  <c r="D36" i="16" s="1"/>
  <c r="D43" i="23"/>
  <c r="G43" i="23" s="1"/>
  <c r="D28" i="16" s="1"/>
  <c r="D42" i="23"/>
  <c r="G42" i="23" s="1"/>
  <c r="D27" i="16" s="1"/>
  <c r="D59" i="23"/>
  <c r="G59" i="23" s="1"/>
  <c r="D39" i="16" s="1"/>
  <c r="D29" i="23"/>
  <c r="F29" i="23" s="1"/>
  <c r="D16" i="23"/>
  <c r="F16" i="23" s="1"/>
  <c r="D54" i="23" l="1"/>
  <c r="G54" i="23" s="1"/>
  <c r="D35" i="16" s="1"/>
  <c r="D46" i="23"/>
  <c r="G46" i="23" s="1"/>
  <c r="D30" i="16" s="1"/>
  <c r="D20" i="23"/>
  <c r="F20" i="23" s="1"/>
  <c r="D17" i="16" s="1"/>
  <c r="D17" i="23"/>
  <c r="F17" i="23" s="1"/>
  <c r="D48" i="23"/>
  <c r="G48" i="23" s="1"/>
  <c r="D32" i="16" s="1"/>
  <c r="D22" i="23"/>
  <c r="F22" i="23" s="1"/>
  <c r="D19" i="16" s="1"/>
  <c r="D21" i="23"/>
  <c r="F21" i="23" s="1"/>
  <c r="D18" i="16" s="1"/>
  <c r="D47" i="23"/>
  <c r="G47" i="23" s="1"/>
  <c r="D31" i="16" s="1"/>
  <c r="D58" i="23"/>
  <c r="G58" i="23" s="1"/>
  <c r="D38" i="16" s="1"/>
  <c r="D32" i="23"/>
  <c r="F32" i="23" s="1"/>
  <c r="D25" i="16" s="1"/>
  <c r="D28" i="23"/>
  <c r="F28" i="23" s="1"/>
  <c r="D24" i="23"/>
  <c r="F24" i="23" s="1"/>
  <c r="D50" i="23"/>
  <c r="G50" i="23" s="1"/>
  <c r="D33" i="16" s="1"/>
  <c r="D26" i="23"/>
  <c r="F26" i="23" s="1"/>
  <c r="D52" i="23"/>
  <c r="G52" i="23" s="1"/>
  <c r="D34" i="16" s="1"/>
  <c r="D45" i="23"/>
  <c r="G45" i="23" s="1"/>
  <c r="D29" i="16" s="1"/>
  <c r="D19" i="23"/>
  <c r="F19" i="23" s="1"/>
  <c r="D33" i="23"/>
  <c r="F33" i="23" s="1"/>
  <c r="D26" i="16" s="1"/>
  <c r="D31" i="23"/>
  <c r="F31" i="23" s="1"/>
  <c r="D24" i="16" s="1"/>
  <c r="D57" i="23"/>
  <c r="G57" i="23" s="1"/>
  <c r="D37" i="16" s="1"/>
  <c r="A50" i="3" l="1"/>
  <c r="D15" i="16" l="1"/>
  <c r="B27" i="5"/>
  <c r="H27" i="5" s="1"/>
  <c r="A27" i="5"/>
  <c r="B26" i="5"/>
  <c r="H26" i="5" s="1"/>
  <c r="A26" i="5"/>
  <c r="B25" i="5"/>
  <c r="H25" i="5" s="1"/>
  <c r="A25" i="5"/>
  <c r="B24" i="5"/>
  <c r="H24" i="5" s="1"/>
  <c r="A24" i="5"/>
  <c r="B23" i="5"/>
  <c r="H23" i="5" s="1"/>
  <c r="A23" i="5"/>
  <c r="B22" i="5"/>
  <c r="H22" i="5" s="1"/>
  <c r="A22" i="5"/>
  <c r="B21" i="5"/>
  <c r="H21" i="5" s="1"/>
  <c r="A21" i="5"/>
  <c r="B20" i="5"/>
  <c r="H20" i="5" s="1"/>
  <c r="A20" i="5"/>
  <c r="B19" i="5"/>
  <c r="H19" i="5" s="1"/>
  <c r="A19" i="5"/>
  <c r="B18" i="5"/>
  <c r="H18" i="5" s="1"/>
  <c r="A18" i="5"/>
  <c r="C17" i="5"/>
  <c r="B17" i="5"/>
  <c r="H17" i="5" s="1"/>
  <c r="A17" i="5"/>
  <c r="F32" i="3"/>
  <c r="F31" i="3"/>
  <c r="F30" i="3"/>
  <c r="F29" i="3"/>
  <c r="F28" i="3"/>
  <c r="F27" i="3"/>
  <c r="F26" i="3"/>
  <c r="F25" i="3"/>
  <c r="F24" i="3"/>
  <c r="F23" i="3"/>
  <c r="F22" i="3"/>
  <c r="F31" i="20" l="1"/>
  <c r="F27" i="20"/>
  <c r="F23" i="20"/>
  <c r="F30" i="20"/>
  <c r="F26" i="20"/>
  <c r="F22" i="20"/>
  <c r="F29" i="20"/>
  <c r="F25" i="20"/>
  <c r="F28" i="20"/>
  <c r="F24" i="20"/>
  <c r="E44" i="29" l="1"/>
  <c r="E31" i="20"/>
  <c r="E30" i="20"/>
  <c r="E29" i="20"/>
  <c r="E28" i="20"/>
  <c r="E27" i="20"/>
  <c r="E26" i="20"/>
  <c r="E25" i="20"/>
  <c r="E24" i="20"/>
  <c r="E23" i="20"/>
  <c r="E2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A31" i="20"/>
  <c r="A30" i="20"/>
  <c r="A29" i="20"/>
  <c r="A28" i="20"/>
  <c r="A27" i="20"/>
  <c r="A26" i="20"/>
  <c r="A25" i="20"/>
  <c r="A24" i="20"/>
  <c r="A23" i="20"/>
  <c r="A22" i="20"/>
  <c r="A21" i="20"/>
  <c r="D27" i="19"/>
  <c r="D26" i="19"/>
  <c r="D25" i="19"/>
  <c r="D24" i="19"/>
  <c r="D23" i="19"/>
  <c r="D22" i="19"/>
  <c r="D21" i="19"/>
  <c r="D20" i="19"/>
  <c r="D19" i="19"/>
  <c r="D18" i="19"/>
  <c r="C27" i="19"/>
  <c r="B27" i="19"/>
  <c r="A27" i="19"/>
  <c r="C26" i="19"/>
  <c r="B26" i="19"/>
  <c r="A26" i="19"/>
  <c r="C25" i="19"/>
  <c r="B25" i="19"/>
  <c r="A25" i="19"/>
  <c r="C24" i="19"/>
  <c r="B24" i="19"/>
  <c r="A24" i="19"/>
  <c r="C23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C18" i="19"/>
  <c r="B18" i="19"/>
  <c r="A18" i="19"/>
  <c r="C17" i="19"/>
  <c r="B17" i="19"/>
  <c r="A17" i="19"/>
  <c r="E21" i="20"/>
  <c r="C26" i="12" l="1"/>
  <c r="A26" i="12"/>
  <c r="C25" i="12"/>
  <c r="A25" i="12"/>
  <c r="C24" i="12"/>
  <c r="A24" i="12"/>
  <c r="C23" i="12"/>
  <c r="A23" i="12"/>
  <c r="C22" i="12"/>
  <c r="A22" i="12"/>
  <c r="C21" i="12"/>
  <c r="A21" i="12"/>
  <c r="C20" i="12"/>
  <c r="A20" i="12"/>
  <c r="C19" i="12"/>
  <c r="A19" i="12"/>
  <c r="C18" i="12"/>
  <c r="A18" i="12"/>
  <c r="C17" i="12"/>
  <c r="A17" i="12"/>
  <c r="C16" i="12"/>
  <c r="A16" i="12"/>
  <c r="C60" i="12"/>
  <c r="A60" i="12"/>
  <c r="C59" i="12"/>
  <c r="A59" i="12"/>
  <c r="C58" i="12"/>
  <c r="A58" i="12"/>
  <c r="C57" i="12"/>
  <c r="A57" i="12"/>
  <c r="C56" i="12"/>
  <c r="A56" i="12"/>
  <c r="C55" i="12"/>
  <c r="A55" i="12"/>
  <c r="C54" i="12"/>
  <c r="A54" i="12"/>
  <c r="C53" i="12"/>
  <c r="A53" i="12"/>
  <c r="C52" i="12"/>
  <c r="A52" i="12"/>
  <c r="C51" i="12"/>
  <c r="A51" i="12"/>
  <c r="C50" i="12"/>
  <c r="A50" i="12"/>
  <c r="E54" i="29" l="1"/>
  <c r="E52" i="29"/>
  <c r="D52" i="29"/>
  <c r="D51" i="29"/>
  <c r="D52" i="3" l="1"/>
  <c r="C52" i="3"/>
  <c r="B52" i="3"/>
  <c r="D51" i="3"/>
  <c r="C51" i="3"/>
  <c r="B51" i="3"/>
  <c r="D50" i="3"/>
  <c r="C50" i="3"/>
  <c r="B50" i="3"/>
  <c r="C49" i="3"/>
  <c r="B49" i="3"/>
  <c r="D48" i="3"/>
  <c r="C48" i="3"/>
  <c r="B48" i="3"/>
  <c r="E26" i="19" l="1"/>
  <c r="E25" i="19"/>
  <c r="E23" i="19"/>
  <c r="E27" i="19"/>
  <c r="G30" i="8"/>
  <c r="G29" i="8"/>
  <c r="D43" i="16" l="1"/>
  <c r="D60" i="12"/>
  <c r="F60" i="12" s="1"/>
  <c r="G60" i="12" s="1"/>
  <c r="D59" i="12"/>
  <c r="F59" i="12" s="1"/>
  <c r="G59" i="12" s="1"/>
  <c r="D58" i="12"/>
  <c r="F58" i="12" s="1"/>
  <c r="G58" i="12" s="1"/>
  <c r="D57" i="12"/>
  <c r="F57" i="12" s="1"/>
  <c r="G57" i="12" s="1"/>
  <c r="D56" i="12"/>
  <c r="F56" i="12" s="1"/>
  <c r="G56" i="12" s="1"/>
  <c r="D55" i="12"/>
  <c r="F55" i="12" s="1"/>
  <c r="G55" i="12" s="1"/>
  <c r="D54" i="12"/>
  <c r="F54" i="12" s="1"/>
  <c r="G54" i="12" s="1"/>
  <c r="D53" i="12"/>
  <c r="F53" i="12" s="1"/>
  <c r="G53" i="12" s="1"/>
  <c r="D52" i="12"/>
  <c r="F52" i="12" s="1"/>
  <c r="G52" i="12" s="1"/>
  <c r="D51" i="12"/>
  <c r="D50" i="12"/>
  <c r="F50" i="12" s="1"/>
  <c r="E65" i="12"/>
  <c r="E64" i="12"/>
  <c r="G50" i="12" l="1"/>
  <c r="F51" i="12"/>
  <c r="G51" i="12" s="1"/>
  <c r="G64" i="12" s="1"/>
  <c r="F63" i="12" l="1"/>
  <c r="F62" i="12"/>
  <c r="G63" i="12"/>
  <c r="G62" i="12"/>
  <c r="F64" i="12"/>
  <c r="G65" i="12"/>
  <c r="F65" i="12"/>
  <c r="D26" i="31" l="1"/>
  <c r="C26" i="31"/>
  <c r="B26" i="31"/>
  <c r="D25" i="31"/>
  <c r="C25" i="31"/>
  <c r="B25" i="31"/>
  <c r="D24" i="31"/>
  <c r="C24" i="31"/>
  <c r="B24" i="31"/>
  <c r="D23" i="31"/>
  <c r="C23" i="31"/>
  <c r="B23" i="31"/>
  <c r="D22" i="31"/>
  <c r="C22" i="31"/>
  <c r="B22" i="31"/>
  <c r="D21" i="31"/>
  <c r="C21" i="31"/>
  <c r="B21" i="31"/>
  <c r="D20" i="31"/>
  <c r="C20" i="31"/>
  <c r="B20" i="31"/>
  <c r="D19" i="31"/>
  <c r="C19" i="31"/>
  <c r="B19" i="31"/>
  <c r="D18" i="31"/>
  <c r="C18" i="31"/>
  <c r="B18" i="31"/>
  <c r="D17" i="31"/>
  <c r="C17" i="31"/>
  <c r="B17" i="31"/>
  <c r="D16" i="31"/>
  <c r="C16" i="31"/>
  <c r="B16" i="31"/>
  <c r="F16" i="31" l="1"/>
  <c r="H16" i="31"/>
  <c r="F23" i="31"/>
  <c r="H23" i="31"/>
  <c r="F26" i="31"/>
  <c r="H26" i="31"/>
  <c r="F19" i="31"/>
  <c r="H19" i="31"/>
  <c r="F22" i="31"/>
  <c r="H22" i="31"/>
  <c r="F18" i="31"/>
  <c r="H18" i="31"/>
  <c r="F21" i="31"/>
  <c r="H21" i="31"/>
  <c r="F25" i="31"/>
  <c r="H25" i="31"/>
  <c r="F17" i="31"/>
  <c r="H17" i="31"/>
  <c r="F20" i="31"/>
  <c r="H20" i="31"/>
  <c r="F24" i="31"/>
  <c r="H24" i="31"/>
  <c r="H28" i="31" l="1"/>
  <c r="H29" i="31"/>
  <c r="F29" i="31"/>
  <c r="F28" i="31"/>
  <c r="F31" i="31"/>
  <c r="F30" i="31"/>
  <c r="H30" i="31"/>
  <c r="H31" i="31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26" i="27"/>
  <c r="B26" i="27"/>
  <c r="A26" i="27"/>
  <c r="C25" i="27"/>
  <c r="B25" i="27"/>
  <c r="A25" i="27"/>
  <c r="C24" i="27"/>
  <c r="B24" i="27"/>
  <c r="A24" i="27"/>
  <c r="C23" i="27"/>
  <c r="B23" i="27"/>
  <c r="A23" i="27"/>
  <c r="C22" i="27"/>
  <c r="B22" i="27"/>
  <c r="A22" i="27"/>
  <c r="C21" i="27"/>
  <c r="B21" i="27"/>
  <c r="A21" i="27"/>
  <c r="C20" i="27"/>
  <c r="B20" i="27"/>
  <c r="A20" i="27"/>
  <c r="C19" i="27"/>
  <c r="B19" i="27"/>
  <c r="A19" i="27"/>
  <c r="C18" i="27"/>
  <c r="B18" i="27"/>
  <c r="A18" i="27"/>
  <c r="C17" i="27"/>
  <c r="B17" i="27"/>
  <c r="A17" i="27"/>
  <c r="C16" i="27"/>
  <c r="B16" i="27"/>
  <c r="A16" i="27"/>
  <c r="C26" i="17"/>
  <c r="B26" i="17"/>
  <c r="A26" i="17"/>
  <c r="C25" i="17"/>
  <c r="B25" i="17"/>
  <c r="A25" i="17"/>
  <c r="C24" i="17"/>
  <c r="B24" i="17"/>
  <c r="A24" i="17"/>
  <c r="C23" i="17"/>
  <c r="B23" i="17"/>
  <c r="A23" i="17"/>
  <c r="C22" i="17"/>
  <c r="B22" i="17"/>
  <c r="A22" i="1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B30" i="11"/>
  <c r="A30" i="11"/>
  <c r="B29" i="11"/>
  <c r="A29" i="11"/>
  <c r="B28" i="11"/>
  <c r="A28" i="11"/>
  <c r="B27" i="11"/>
  <c r="A27" i="11"/>
  <c r="B26" i="11"/>
  <c r="A26" i="11"/>
  <c r="B25" i="11"/>
  <c r="A25" i="11"/>
  <c r="B24" i="11"/>
  <c r="A24" i="11"/>
  <c r="B23" i="11"/>
  <c r="A23" i="11"/>
  <c r="B22" i="11"/>
  <c r="A22" i="11"/>
  <c r="B21" i="11"/>
  <c r="A21" i="11"/>
  <c r="B20" i="11"/>
  <c r="A20" i="11"/>
  <c r="C32" i="29"/>
  <c r="B32" i="29"/>
  <c r="A32" i="29"/>
  <c r="C31" i="29"/>
  <c r="B31" i="29"/>
  <c r="A31" i="29"/>
  <c r="C30" i="29"/>
  <c r="B30" i="29"/>
  <c r="A30" i="29"/>
  <c r="C29" i="29"/>
  <c r="B29" i="29"/>
  <c r="A29" i="29"/>
  <c r="C28" i="29"/>
  <c r="B28" i="29"/>
  <c r="A28" i="29"/>
  <c r="C27" i="29"/>
  <c r="B27" i="29"/>
  <c r="A27" i="29"/>
  <c r="C26" i="29"/>
  <c r="B26" i="29"/>
  <c r="A26" i="29"/>
  <c r="C25" i="29"/>
  <c r="B25" i="29"/>
  <c r="A25" i="29"/>
  <c r="C24" i="29"/>
  <c r="B24" i="29"/>
  <c r="A24" i="29"/>
  <c r="C23" i="29"/>
  <c r="B23" i="29"/>
  <c r="A23" i="29"/>
  <c r="C22" i="29"/>
  <c r="B22" i="29"/>
  <c r="A22" i="29"/>
  <c r="C54" i="29"/>
  <c r="B54" i="29"/>
  <c r="A54" i="29"/>
  <c r="C53" i="29"/>
  <c r="B53" i="29"/>
  <c r="A53" i="29"/>
  <c r="C52" i="29"/>
  <c r="B52" i="29"/>
  <c r="A52" i="29"/>
  <c r="C51" i="29"/>
  <c r="B51" i="29"/>
  <c r="A51" i="29"/>
  <c r="C50" i="29"/>
  <c r="B50" i="29"/>
  <c r="A50" i="29"/>
  <c r="C49" i="29"/>
  <c r="B49" i="29"/>
  <c r="A49" i="29"/>
  <c r="C48" i="29"/>
  <c r="B48" i="29"/>
  <c r="A48" i="29"/>
  <c r="C47" i="29"/>
  <c r="B47" i="29"/>
  <c r="A47" i="29"/>
  <c r="C46" i="29"/>
  <c r="B46" i="29"/>
  <c r="A46" i="29"/>
  <c r="C45" i="29"/>
  <c r="B45" i="29"/>
  <c r="A45" i="29"/>
  <c r="C44" i="29"/>
  <c r="B44" i="29"/>
  <c r="A44" i="29"/>
  <c r="D25" i="8"/>
  <c r="D24" i="8"/>
  <c r="D23" i="8"/>
  <c r="D22" i="8"/>
  <c r="D21" i="8"/>
  <c r="D20" i="8"/>
  <c r="D19" i="8"/>
  <c r="D18" i="8"/>
  <c r="D17" i="8"/>
  <c r="D16" i="8"/>
  <c r="D15" i="8"/>
  <c r="G64" i="10"/>
  <c r="K17" i="17"/>
  <c r="K16" i="17"/>
  <c r="F52" i="29"/>
  <c r="B63" i="29"/>
  <c r="I31" i="27"/>
  <c r="G31" i="27"/>
  <c r="E31" i="27"/>
  <c r="I30" i="27"/>
  <c r="G30" i="27"/>
  <c r="E30" i="27"/>
  <c r="K26" i="27"/>
  <c r="D26" i="27"/>
  <c r="J26" i="27" s="1"/>
  <c r="K25" i="27"/>
  <c r="D25" i="27"/>
  <c r="F25" i="27" s="1"/>
  <c r="K24" i="27"/>
  <c r="D24" i="27"/>
  <c r="H24" i="27" s="1"/>
  <c r="K23" i="27"/>
  <c r="D23" i="27"/>
  <c r="J23" i="27" s="1"/>
  <c r="K22" i="27"/>
  <c r="D22" i="27"/>
  <c r="H22" i="27" s="1"/>
  <c r="K21" i="27"/>
  <c r="D21" i="27"/>
  <c r="F21" i="27" s="1"/>
  <c r="K20" i="27"/>
  <c r="D20" i="27"/>
  <c r="H20" i="27" s="1"/>
  <c r="K19" i="27"/>
  <c r="D19" i="27"/>
  <c r="H19" i="27" s="1"/>
  <c r="K18" i="27"/>
  <c r="D18" i="27"/>
  <c r="F18" i="27" s="1"/>
  <c r="K17" i="27"/>
  <c r="D17" i="27"/>
  <c r="H17" i="27" s="1"/>
  <c r="K16" i="27"/>
  <c r="D16" i="27"/>
  <c r="J16" i="27" s="1"/>
  <c r="K26" i="17"/>
  <c r="K25" i="17"/>
  <c r="K24" i="17"/>
  <c r="K23" i="17"/>
  <c r="K22" i="17"/>
  <c r="K21" i="17"/>
  <c r="K20" i="17"/>
  <c r="K19" i="17"/>
  <c r="K18" i="17"/>
  <c r="K29" i="27" l="1"/>
  <c r="K28" i="27"/>
  <c r="K29" i="17"/>
  <c r="K28" i="17"/>
  <c r="G30" i="20"/>
  <c r="G26" i="20"/>
  <c r="G23" i="20"/>
  <c r="G28" i="20"/>
  <c r="G31" i="20"/>
  <c r="G24" i="20"/>
  <c r="G29" i="20"/>
  <c r="G25" i="20"/>
  <c r="G22" i="20"/>
  <c r="G27" i="20"/>
  <c r="J17" i="27"/>
  <c r="F20" i="27"/>
  <c r="J20" i="27"/>
  <c r="F17" i="27"/>
  <c r="D48" i="10"/>
  <c r="J22" i="27"/>
  <c r="H26" i="27"/>
  <c r="F19" i="27"/>
  <c r="F24" i="27"/>
  <c r="J19" i="27"/>
  <c r="F22" i="27"/>
  <c r="H23" i="27"/>
  <c r="J24" i="27"/>
  <c r="K31" i="27"/>
  <c r="H18" i="27"/>
  <c r="H21" i="27"/>
  <c r="H25" i="27"/>
  <c r="K30" i="27"/>
  <c r="F16" i="27"/>
  <c r="J18" i="27"/>
  <c r="J21" i="27"/>
  <c r="F23" i="27"/>
  <c r="J25" i="27"/>
  <c r="F26" i="27"/>
  <c r="H16" i="27"/>
  <c r="K30" i="17"/>
  <c r="K31" i="17"/>
  <c r="F28" i="27" l="1"/>
  <c r="F29" i="27"/>
  <c r="J29" i="27"/>
  <c r="J28" i="27"/>
  <c r="H28" i="27"/>
  <c r="H29" i="27"/>
  <c r="J31" i="27"/>
  <c r="J30" i="27"/>
  <c r="F31" i="27"/>
  <c r="F30" i="27"/>
  <c r="H31" i="27"/>
  <c r="H30" i="27"/>
  <c r="I31" i="17" l="1"/>
  <c r="I30" i="17"/>
  <c r="I24" i="12" l="1"/>
  <c r="C25" i="5"/>
  <c r="I25" i="5" s="1"/>
  <c r="L25" i="5" s="1"/>
  <c r="M25" i="5" s="1"/>
  <c r="D24" i="17"/>
  <c r="F24" i="17" s="1"/>
  <c r="D30" i="29"/>
  <c r="F30" i="29" s="1"/>
  <c r="E50" i="3"/>
  <c r="H50" i="3" s="1"/>
  <c r="J50" i="3" s="1"/>
  <c r="F28" i="11"/>
  <c r="H28" i="11" s="1"/>
  <c r="D24" i="12"/>
  <c r="F24" i="12" s="1"/>
  <c r="G24" i="12" s="1"/>
  <c r="D23" i="7"/>
  <c r="E25" i="5" l="1"/>
  <c r="F25" i="5" s="1"/>
  <c r="H24" i="17"/>
  <c r="J24" i="17"/>
  <c r="J24" i="12"/>
  <c r="L24" i="12" s="1"/>
  <c r="M24" i="12" s="1"/>
  <c r="J28" i="11"/>
  <c r="I28" i="11"/>
  <c r="F25" i="19" l="1"/>
  <c r="I50" i="3"/>
  <c r="K28" i="11"/>
  <c r="L28" i="11" s="1"/>
  <c r="G31" i="10"/>
  <c r="D23" i="16"/>
  <c r="D22" i="16"/>
  <c r="D21" i="16"/>
  <c r="D20" i="16"/>
  <c r="D16" i="16"/>
  <c r="D14" i="16"/>
  <c r="D41" i="16"/>
  <c r="D40" i="16"/>
  <c r="D42" i="16"/>
  <c r="D46" i="16" l="1"/>
  <c r="D45" i="16"/>
  <c r="D47" i="16"/>
  <c r="D48" i="16"/>
  <c r="J25" i="19"/>
  <c r="D29" i="20"/>
  <c r="H29" i="20" s="1"/>
  <c r="I25" i="19"/>
  <c r="G21" i="20"/>
  <c r="H31" i="19"/>
  <c r="G31" i="19"/>
  <c r="H30" i="19"/>
  <c r="D17" i="19"/>
  <c r="G31" i="17"/>
  <c r="G30" i="17"/>
  <c r="D26" i="17"/>
  <c r="J26" i="17" s="1"/>
  <c r="D25" i="17"/>
  <c r="J25" i="17" s="1"/>
  <c r="D23" i="17"/>
  <c r="J23" i="17" s="1"/>
  <c r="D22" i="17"/>
  <c r="D21" i="17"/>
  <c r="J21" i="17" s="1"/>
  <c r="D20" i="17"/>
  <c r="J20" i="17" s="1"/>
  <c r="D19" i="17"/>
  <c r="J19" i="17" s="1"/>
  <c r="D18" i="17"/>
  <c r="J18" i="17" s="1"/>
  <c r="D17" i="17"/>
  <c r="D16" i="17"/>
  <c r="J16" i="17" s="1"/>
  <c r="E31" i="17"/>
  <c r="E30" i="17"/>
  <c r="H32" i="14"/>
  <c r="H31" i="14"/>
  <c r="I30" i="8"/>
  <c r="I29" i="8"/>
  <c r="F30" i="11"/>
  <c r="H30" i="11" s="1"/>
  <c r="F29" i="11"/>
  <c r="H29" i="11" s="1"/>
  <c r="F27" i="11"/>
  <c r="H27" i="11" s="1"/>
  <c r="F26" i="11"/>
  <c r="H26" i="11" s="1"/>
  <c r="F25" i="11"/>
  <c r="H25" i="11" s="1"/>
  <c r="F24" i="11"/>
  <c r="H24" i="11" s="1"/>
  <c r="H23" i="11"/>
  <c r="F22" i="11"/>
  <c r="H22" i="11" s="1"/>
  <c r="F21" i="11"/>
  <c r="H21" i="11" s="1"/>
  <c r="F20" i="11"/>
  <c r="H20" i="11" s="1"/>
  <c r="E25" i="8"/>
  <c r="E24" i="8"/>
  <c r="E22" i="8"/>
  <c r="E21" i="8"/>
  <c r="E20" i="8"/>
  <c r="E19" i="8"/>
  <c r="E18" i="8"/>
  <c r="E17" i="8"/>
  <c r="E16" i="8"/>
  <c r="E15" i="8"/>
  <c r="C27" i="5"/>
  <c r="I27" i="5" s="1"/>
  <c r="L27" i="5" s="1"/>
  <c r="C26" i="5"/>
  <c r="I26" i="5" s="1"/>
  <c r="L26" i="5" s="1"/>
  <c r="C24" i="5"/>
  <c r="I24" i="5" s="1"/>
  <c r="L24" i="5" s="1"/>
  <c r="C23" i="5"/>
  <c r="I23" i="5" s="1"/>
  <c r="L23" i="5" s="1"/>
  <c r="C22" i="5"/>
  <c r="I22" i="5" s="1"/>
  <c r="L22" i="5" s="1"/>
  <c r="C21" i="5"/>
  <c r="I21" i="5" s="1"/>
  <c r="L21" i="5" s="1"/>
  <c r="C20" i="5"/>
  <c r="I20" i="5" s="1"/>
  <c r="L20" i="5" s="1"/>
  <c r="C19" i="5"/>
  <c r="I19" i="5" s="1"/>
  <c r="L19" i="5" s="1"/>
  <c r="C18" i="5"/>
  <c r="I18" i="5" s="1"/>
  <c r="L18" i="5" s="1"/>
  <c r="I17" i="5"/>
  <c r="L17" i="5" s="1"/>
  <c r="J37" i="12"/>
  <c r="D23" i="10" s="1"/>
  <c r="I37" i="12"/>
  <c r="H36" i="5"/>
  <c r="D56" i="10" s="1"/>
  <c r="G36" i="5"/>
  <c r="K31" i="12"/>
  <c r="E31" i="12"/>
  <c r="K30" i="12"/>
  <c r="E30" i="12"/>
  <c r="D26" i="12"/>
  <c r="F26" i="12" s="1"/>
  <c r="G26" i="12" s="1"/>
  <c r="D25" i="12"/>
  <c r="J25" i="12" s="1"/>
  <c r="D23" i="12"/>
  <c r="D22" i="12"/>
  <c r="F22" i="12" s="1"/>
  <c r="G22" i="12" s="1"/>
  <c r="D21" i="12"/>
  <c r="F21" i="12" s="1"/>
  <c r="G21" i="12" s="1"/>
  <c r="D20" i="12"/>
  <c r="J20" i="12" s="1"/>
  <c r="D19" i="12"/>
  <c r="F19" i="12" s="1"/>
  <c r="G19" i="12" s="1"/>
  <c r="D18" i="12"/>
  <c r="F18" i="12" s="1"/>
  <c r="G18" i="12" s="1"/>
  <c r="D17" i="12"/>
  <c r="J17" i="12" s="1"/>
  <c r="D16" i="12"/>
  <c r="J16" i="12" s="1"/>
  <c r="J17" i="17" l="1"/>
  <c r="H17" i="17"/>
  <c r="L30" i="5"/>
  <c r="L29" i="5"/>
  <c r="J22" i="17"/>
  <c r="F22" i="17"/>
  <c r="J29" i="17"/>
  <c r="J28" i="17"/>
  <c r="J20" i="11"/>
  <c r="I20" i="11"/>
  <c r="J31" i="17"/>
  <c r="J30" i="17"/>
  <c r="J18" i="12"/>
  <c r="L20" i="12"/>
  <c r="M20" i="12" s="1"/>
  <c r="L25" i="12"/>
  <c r="M25" i="12" s="1"/>
  <c r="L16" i="12"/>
  <c r="F17" i="17"/>
  <c r="H25" i="17"/>
  <c r="F25" i="17"/>
  <c r="H19" i="17"/>
  <c r="F19" i="17"/>
  <c r="H22" i="17"/>
  <c r="H26" i="17"/>
  <c r="F26" i="17"/>
  <c r="J21" i="12"/>
  <c r="H20" i="17"/>
  <c r="F20" i="17"/>
  <c r="H18" i="17"/>
  <c r="F18" i="17"/>
  <c r="H21" i="17"/>
  <c r="F21" i="17"/>
  <c r="H16" i="17"/>
  <c r="F16" i="17"/>
  <c r="H23" i="17"/>
  <c r="F23" i="17"/>
  <c r="J19" i="12"/>
  <c r="J22" i="12"/>
  <c r="J26" i="12"/>
  <c r="L17" i="12"/>
  <c r="M17" i="12" s="1"/>
  <c r="J23" i="12"/>
  <c r="F16" i="12"/>
  <c r="F23" i="12"/>
  <c r="G23" i="12" s="1"/>
  <c r="F20" i="12"/>
  <c r="G20" i="12" s="1"/>
  <c r="F17" i="12"/>
  <c r="G17" i="12" s="1"/>
  <c r="F25" i="12"/>
  <c r="G25" i="12" s="1"/>
  <c r="G16" i="12" l="1"/>
  <c r="F28" i="12"/>
  <c r="F29" i="12"/>
  <c r="H29" i="17"/>
  <c r="H28" i="17"/>
  <c r="F29" i="17"/>
  <c r="F28" i="17"/>
  <c r="K20" i="11"/>
  <c r="L20" i="11" s="1"/>
  <c r="F26" i="19"/>
  <c r="F19" i="19"/>
  <c r="I19" i="19" s="1"/>
  <c r="F20" i="19"/>
  <c r="D24" i="20" s="1"/>
  <c r="H24" i="20" s="1"/>
  <c r="F21" i="19"/>
  <c r="F22" i="19"/>
  <c r="D26" i="20" s="1"/>
  <c r="H26" i="20" s="1"/>
  <c r="F23" i="19"/>
  <c r="F24" i="19"/>
  <c r="F27" i="19"/>
  <c r="F18" i="19"/>
  <c r="L18" i="12"/>
  <c r="M18" i="12" s="1"/>
  <c r="L26" i="12"/>
  <c r="M26" i="12" s="1"/>
  <c r="L23" i="12"/>
  <c r="M23" i="12" s="1"/>
  <c r="L22" i="12"/>
  <c r="M22" i="12" s="1"/>
  <c r="F30" i="17"/>
  <c r="F31" i="17"/>
  <c r="L21" i="12"/>
  <c r="M21" i="12" s="1"/>
  <c r="L19" i="12"/>
  <c r="M19" i="12" s="1"/>
  <c r="F17" i="19"/>
  <c r="H30" i="17"/>
  <c r="H31" i="17"/>
  <c r="G30" i="12"/>
  <c r="F31" i="12"/>
  <c r="F30" i="12"/>
  <c r="M16" i="12"/>
  <c r="G31" i="12"/>
  <c r="L29" i="12" l="1"/>
  <c r="D21" i="20"/>
  <c r="H21" i="20" s="1"/>
  <c r="F28" i="19"/>
  <c r="F29" i="19"/>
  <c r="L28" i="12"/>
  <c r="M28" i="12"/>
  <c r="M29" i="12"/>
  <c r="G28" i="12"/>
  <c r="G29" i="12"/>
  <c r="J22" i="19"/>
  <c r="I22" i="19"/>
  <c r="J27" i="19"/>
  <c r="D31" i="20"/>
  <c r="H31" i="20" s="1"/>
  <c r="J23" i="19"/>
  <c r="D27" i="20"/>
  <c r="H27" i="20" s="1"/>
  <c r="J21" i="19"/>
  <c r="D25" i="20"/>
  <c r="H25" i="20" s="1"/>
  <c r="I23" i="19"/>
  <c r="J20" i="19"/>
  <c r="J18" i="19"/>
  <c r="D22" i="20"/>
  <c r="H22" i="20" s="1"/>
  <c r="J24" i="19"/>
  <c r="D28" i="20"/>
  <c r="H28" i="20" s="1"/>
  <c r="J19" i="19"/>
  <c r="D23" i="20"/>
  <c r="H23" i="20" s="1"/>
  <c r="J26" i="19"/>
  <c r="D30" i="20"/>
  <c r="H30" i="20" s="1"/>
  <c r="I20" i="19"/>
  <c r="I24" i="19"/>
  <c r="I26" i="19"/>
  <c r="I21" i="19"/>
  <c r="I27" i="19"/>
  <c r="I18" i="19"/>
  <c r="L31" i="12"/>
  <c r="L30" i="12"/>
  <c r="J17" i="19"/>
  <c r="F31" i="19"/>
  <c r="F30" i="19"/>
  <c r="I17" i="19"/>
  <c r="M31" i="12"/>
  <c r="M30" i="12"/>
  <c r="J29" i="19" l="1"/>
  <c r="J28" i="19"/>
  <c r="I28" i="19"/>
  <c r="I29" i="19"/>
  <c r="H33" i="20"/>
  <c r="H32" i="20"/>
  <c r="H35" i="20"/>
  <c r="H34" i="20"/>
  <c r="J31" i="19"/>
  <c r="J30" i="19"/>
  <c r="I31" i="19"/>
  <c r="I30" i="19"/>
  <c r="J32" i="5"/>
  <c r="J31" i="5"/>
  <c r="J30" i="11"/>
  <c r="J29" i="11"/>
  <c r="J27" i="11"/>
  <c r="J26" i="11"/>
  <c r="J25" i="11"/>
  <c r="J24" i="11"/>
  <c r="J23" i="11"/>
  <c r="J22" i="11"/>
  <c r="J21" i="11"/>
  <c r="I30" i="11"/>
  <c r="I29" i="11"/>
  <c r="I27" i="11"/>
  <c r="I26" i="11"/>
  <c r="I25" i="11"/>
  <c r="I24" i="11"/>
  <c r="I23" i="11"/>
  <c r="I22" i="11"/>
  <c r="I21" i="11"/>
  <c r="F56" i="10"/>
  <c r="C58" i="10"/>
  <c r="C56" i="10"/>
  <c r="F58" i="10"/>
  <c r="F25" i="10"/>
  <c r="C25" i="10"/>
  <c r="F23" i="10"/>
  <c r="C23" i="10"/>
  <c r="K30" i="11" l="1"/>
  <c r="L30" i="11" s="1"/>
  <c r="K22" i="11"/>
  <c r="L22" i="11" s="1"/>
  <c r="K21" i="11"/>
  <c r="L21" i="11" s="1"/>
  <c r="K27" i="11"/>
  <c r="L27" i="11" s="1"/>
  <c r="K26" i="11"/>
  <c r="L26" i="11" s="1"/>
  <c r="K25" i="11"/>
  <c r="L25" i="11" s="1"/>
  <c r="K24" i="11"/>
  <c r="L24" i="11" s="1"/>
  <c r="K23" i="11"/>
  <c r="L23" i="11" s="1"/>
  <c r="K29" i="11"/>
  <c r="L29" i="11" s="1"/>
  <c r="G25" i="10"/>
  <c r="C27" i="10"/>
  <c r="C60" i="10"/>
  <c r="G23" i="10"/>
  <c r="G56" i="10"/>
  <c r="G58" i="10"/>
  <c r="E53" i="29"/>
  <c r="D49" i="3"/>
  <c r="E50" i="29"/>
  <c r="E49" i="29"/>
  <c r="E48" i="29"/>
  <c r="E47" i="29"/>
  <c r="E46" i="29"/>
  <c r="E45" i="29"/>
  <c r="L33" i="11" l="1"/>
  <c r="L32" i="11"/>
  <c r="E24" i="19"/>
  <c r="D54" i="29"/>
  <c r="F54" i="29" s="1"/>
  <c r="E51" i="29"/>
  <c r="F51" i="29" s="1"/>
  <c r="D46" i="29"/>
  <c r="D48" i="29"/>
  <c r="D44" i="29"/>
  <c r="D47" i="29"/>
  <c r="D53" i="29"/>
  <c r="D45" i="29"/>
  <c r="L34" i="11"/>
  <c r="L35" i="11"/>
  <c r="G27" i="10"/>
  <c r="G60" i="10"/>
  <c r="M18" i="5"/>
  <c r="M19" i="5"/>
  <c r="M20" i="5"/>
  <c r="M21" i="5"/>
  <c r="M22" i="5"/>
  <c r="M23" i="5"/>
  <c r="M24" i="5"/>
  <c r="M26" i="5"/>
  <c r="M27" i="5"/>
  <c r="F47" i="29" l="1"/>
  <c r="F48" i="29"/>
  <c r="F50" i="29"/>
  <c r="F49" i="29"/>
  <c r="F45" i="29"/>
  <c r="F53" i="29"/>
  <c r="F44" i="29"/>
  <c r="F46" i="29"/>
  <c r="M17" i="5"/>
  <c r="L31" i="5"/>
  <c r="L32" i="5"/>
  <c r="M30" i="5" l="1"/>
  <c r="M29" i="5"/>
  <c r="F55" i="29"/>
  <c r="D63" i="29" s="1"/>
  <c r="M32" i="5"/>
  <c r="M31" i="5"/>
  <c r="E17" i="5" l="1"/>
  <c r="E44" i="3" l="1"/>
  <c r="A52" i="3" l="1"/>
  <c r="A51" i="3"/>
  <c r="A49" i="3"/>
  <c r="A48" i="3"/>
  <c r="A47" i="3"/>
  <c r="A46" i="3"/>
  <c r="A45" i="3"/>
  <c r="A44" i="3"/>
  <c r="A43" i="3"/>
  <c r="D32" i="29"/>
  <c r="F32" i="29" s="1"/>
  <c r="D31" i="29"/>
  <c r="F31" i="29" s="1"/>
  <c r="D29" i="29"/>
  <c r="F29" i="29" s="1"/>
  <c r="D28" i="29"/>
  <c r="F28" i="29" s="1"/>
  <c r="D47" i="3"/>
  <c r="D46" i="3"/>
  <c r="D45" i="3"/>
  <c r="D44" i="3"/>
  <c r="H44" i="3" s="1"/>
  <c r="J44" i="3" s="1"/>
  <c r="D43" i="3"/>
  <c r="H43" i="3" s="1"/>
  <c r="J43" i="3" s="1"/>
  <c r="D27" i="29" l="1"/>
  <c r="F27" i="29" s="1"/>
  <c r="E22" i="19"/>
  <c r="D26" i="29"/>
  <c r="F26" i="29" s="1"/>
  <c r="E21" i="19"/>
  <c r="D24" i="29"/>
  <c r="F24" i="29" s="1"/>
  <c r="E19" i="19"/>
  <c r="D25" i="29"/>
  <c r="F25" i="29" s="1"/>
  <c r="E20" i="19"/>
  <c r="D23" i="29"/>
  <c r="F23" i="29" s="1"/>
  <c r="E18" i="19"/>
  <c r="C23" i="7" l="1"/>
  <c r="C62" i="29" s="1"/>
  <c r="C25" i="7"/>
  <c r="C63" i="29" s="1"/>
  <c r="E63" i="29" s="1"/>
  <c r="D25" i="7" l="1"/>
  <c r="J29" i="8" l="1"/>
  <c r="J30" i="8" l="1"/>
  <c r="E52" i="3" l="1"/>
  <c r="H52" i="3" s="1"/>
  <c r="J52" i="3" s="1"/>
  <c r="E51" i="3"/>
  <c r="H51" i="3" s="1"/>
  <c r="J51" i="3" s="1"/>
  <c r="E49" i="3"/>
  <c r="H49" i="3" s="1"/>
  <c r="J49" i="3" s="1"/>
  <c r="E48" i="3"/>
  <c r="E47" i="3"/>
  <c r="H47" i="3" s="1"/>
  <c r="J47" i="3" s="1"/>
  <c r="E46" i="3"/>
  <c r="H46" i="3" s="1"/>
  <c r="J46" i="3" s="1"/>
  <c r="E45" i="3"/>
  <c r="H45" i="3" s="1"/>
  <c r="J45" i="3" s="1"/>
  <c r="H48" i="3" l="1"/>
  <c r="J48" i="3" s="1"/>
  <c r="D22" i="29"/>
  <c r="I47" i="3"/>
  <c r="E17" i="19"/>
  <c r="I52" i="3"/>
  <c r="I51" i="3"/>
  <c r="I46" i="3"/>
  <c r="I49" i="3"/>
  <c r="E26" i="5"/>
  <c r="F26" i="5" s="1"/>
  <c r="J54" i="3" l="1"/>
  <c r="J53" i="3"/>
  <c r="F22" i="29"/>
  <c r="F33" i="29" s="1"/>
  <c r="D62" i="29" s="1"/>
  <c r="I48" i="3"/>
  <c r="I45" i="3"/>
  <c r="E24" i="5"/>
  <c r="F24" i="5" s="1"/>
  <c r="E23" i="5"/>
  <c r="F23" i="5" s="1"/>
  <c r="E62" i="29" l="1"/>
  <c r="E64" i="29" s="1"/>
  <c r="D32" i="5"/>
  <c r="D31" i="5"/>
  <c r="E43" i="3" l="1"/>
  <c r="E42" i="3"/>
  <c r="I43" i="3" l="1"/>
  <c r="I44" i="3"/>
  <c r="I42" i="3" l="1"/>
  <c r="I55" i="3" s="1"/>
  <c r="J56" i="3"/>
  <c r="I54" i="3" l="1"/>
  <c r="I53" i="3"/>
  <c r="B47" i="3"/>
  <c r="B46" i="3"/>
  <c r="B45" i="3"/>
  <c r="B44" i="3"/>
  <c r="B43" i="3"/>
  <c r="C47" i="3"/>
  <c r="C46" i="3"/>
  <c r="C45" i="3"/>
  <c r="C44" i="3"/>
  <c r="C43" i="3"/>
  <c r="C42" i="3"/>
  <c r="B42" i="3" l="1"/>
  <c r="A42" i="3"/>
  <c r="E27" i="5"/>
  <c r="F27" i="5" s="1"/>
  <c r="E22" i="5"/>
  <c r="F22" i="5" s="1"/>
  <c r="E21" i="5"/>
  <c r="F21" i="5" s="1"/>
  <c r="E20" i="5"/>
  <c r="F20" i="5" s="1"/>
  <c r="E19" i="5"/>
  <c r="F19" i="5" s="1"/>
  <c r="E18" i="5"/>
  <c r="F18" i="5" l="1"/>
  <c r="E30" i="5"/>
  <c r="E29" i="5"/>
  <c r="E31" i="5"/>
  <c r="J55" i="3"/>
  <c r="E32" i="5"/>
  <c r="I56" i="3"/>
  <c r="F17" i="5"/>
  <c r="F31" i="5" l="1"/>
  <c r="F29" i="5"/>
  <c r="F30" i="5"/>
  <c r="F23" i="7"/>
  <c r="G23" i="7" s="1"/>
  <c r="F32" i="5"/>
  <c r="C27" i="7"/>
  <c r="F25" i="7"/>
  <c r="G25" i="7" s="1"/>
  <c r="G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Brittney (DOR)</author>
    <author>rev3569</author>
  </authors>
  <commentList>
    <comment ref="H22" authorId="0" shapeId="0" xr:uid="{DC473032-3211-4DFE-8DA1-A5D28BCE021E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3</t>
        </r>
      </text>
    </comment>
    <comment ref="J22" authorId="0" shapeId="0" xr:uid="{E5189406-3B86-4AA0-A423-C0729D71091A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3</t>
        </r>
      </text>
    </comment>
    <comment ref="H23" authorId="0" shapeId="0" xr:uid="{ABDE9992-B4BA-464B-A3F3-AB7D0959ADA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61</t>
        </r>
      </text>
    </comment>
    <comment ref="J23" authorId="0" shapeId="0" xr:uid="{A80E6A11-0193-4623-B873-17C05575D15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61</t>
        </r>
      </text>
    </comment>
    <comment ref="H24" authorId="0" shapeId="0" xr:uid="{357EBCD5-E3B4-440A-9EC2-2E568FD76892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J24" authorId="0" shapeId="0" xr:uid="{E216E966-8696-4852-87F6-4288A80C09D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H25" authorId="0" shapeId="0" xr:uid="{66CA6F77-B414-45E5-A65B-2FAC5B54C2F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97</t>
        </r>
      </text>
    </comment>
    <comment ref="I25" authorId="0" shapeId="0" xr:uid="{3E05F190-6E08-45DA-A696-8807CBFBABB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97</t>
        </r>
      </text>
    </comment>
    <comment ref="J25" authorId="0" shapeId="0" xr:uid="{4194FE2C-F705-44A1-A48F-74DC938B38D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97 
LTD PLUS CURRENT PORTION LTD PLUS NON-CURRENT PORTION OF FINANCIAL LEASES</t>
        </r>
      </text>
    </comment>
    <comment ref="H26" authorId="0" shapeId="0" xr:uid="{C97EB8D6-59AC-4182-A793-081461D852EC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7</t>
        </r>
      </text>
    </comment>
    <comment ref="J26" authorId="0" shapeId="0" xr:uid="{94DAC37A-30F4-4F3A-B9C4-D6C430BDF1A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7</t>
        </r>
      </text>
    </comment>
    <comment ref="H27" authorId="0" shapeId="0" xr:uid="{8AB520F9-299F-472B-AA4B-F31F96CF906A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64</t>
        </r>
      </text>
    </comment>
    <comment ref="I27" authorId="0" shapeId="0" xr:uid="{9F89C271-D479-4413-B821-DAB4738B62C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ZERO THIS YEAR
10K PG 64</t>
        </r>
      </text>
    </comment>
    <comment ref="J27" authorId="0" shapeId="0" xr:uid="{010526BF-95B6-49B8-9047-CA66A981EC2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64</t>
        </r>
      </text>
    </comment>
    <comment ref="H28" authorId="0" shapeId="0" xr:uid="{580E8193-C6E5-4277-A675-A2EC225732DB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79</t>
        </r>
      </text>
    </comment>
    <comment ref="J28" authorId="0" shapeId="0" xr:uid="{993E2CF2-4566-439D-A7B2-4861437D83C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79</t>
        </r>
      </text>
    </comment>
    <comment ref="H29" authorId="0" shapeId="0" xr:uid="{D8E4FB06-C917-40DF-9AA9-9362212701E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41</t>
        </r>
      </text>
    </comment>
    <comment ref="J29" authorId="0" shapeId="0" xr:uid="{8935CC24-5058-4C85-A65E-46322202079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41</t>
        </r>
      </text>
    </comment>
    <comment ref="H30" authorId="0" shapeId="0" xr:uid="{092D6AA2-A32D-4EA1-9F30-EA40333E2BC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53</t>
        </r>
      </text>
    </comment>
    <comment ref="J30" authorId="0" shapeId="0" xr:uid="{B1EBF92D-8D05-4665-A47C-3E34A93112E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53</t>
        </r>
      </text>
    </comment>
    <comment ref="H31" authorId="0" shapeId="0" xr:uid="{9DAF1D7E-D5DB-4F7D-825A-4144EC3E79F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7</t>
        </r>
      </text>
    </comment>
    <comment ref="I31" authorId="0" shapeId="0" xr:uid="{2AC4ECDA-885A-425E-B2AE-248C8F2442B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7</t>
        </r>
      </text>
    </comment>
    <comment ref="J31" authorId="0" shapeId="0" xr:uid="{4B8B652F-BF05-469C-89F2-C9D6941732A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7</t>
        </r>
      </text>
    </comment>
    <comment ref="H32" authorId="0" shapeId="0" xr:uid="{94D3DCEA-F714-4D82-B47B-707E2502650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102</t>
        </r>
      </text>
    </comment>
    <comment ref="I32" authorId="0" shapeId="0" xr:uid="{EA01C0EB-6881-4718-BE95-01EF6C04047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102</t>
        </r>
      </text>
    </comment>
    <comment ref="J32" authorId="0" shapeId="0" xr:uid="{F3D28857-5FC9-47AA-9E6E-D5EDE963381C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102</t>
        </r>
      </text>
    </comment>
    <comment ref="F38" authorId="1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F42" authorId="0" shapeId="0" xr:uid="{9AC7811E-36EB-4955-8980-20EDB2A9EF4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57 OP LEASE COST 9/30/24 YEAR END</t>
        </r>
      </text>
    </comment>
    <comment ref="G42" authorId="0" shapeId="0" xr:uid="{BA8E74F3-0692-453C-BFFC-7CD9B5F7FF7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22 NOTE 14 
OTHER FAIR VALUE MEASURES</t>
        </r>
      </text>
    </comment>
    <comment ref="G43" authorId="0" shapeId="0" xr:uid="{F4DD744B-6347-45EB-82C7-A1F0A9760200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88 NOTE 10</t>
        </r>
      </text>
    </comment>
    <comment ref="F44" authorId="0" shapeId="0" xr:uid="{84AEA712-F63E-419F-881F-3BC1517A228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179 NOTE 19 LEASES</t>
        </r>
      </text>
    </comment>
    <comment ref="G44" authorId="0" shapeId="0" xr:uid="{059FB4FE-9789-4886-B8C5-833F58B54F2E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149 NOTE 9 FAIR VALUE MEASUREMENTS</t>
        </r>
      </text>
    </comment>
    <comment ref="F45" authorId="0" shapeId="0" xr:uid="{B99EB6C7-86C3-4716-AAC3-F4156BB78E9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140 NOTE 8 LEASES</t>
        </r>
      </text>
    </comment>
    <comment ref="G45" authorId="0" shapeId="0" xr:uid="{3EEAE516-FC0F-42EF-AE3B-46BD5D9AE2BC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133 NOTE FINANCIAL INSTRUMENTS</t>
        </r>
      </text>
    </comment>
    <comment ref="F46" authorId="0" shapeId="0" xr:uid="{75DBBA34-BF61-4DC5-9CED-4292709DDFB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7</t>
        </r>
      </text>
    </comment>
    <comment ref="G46" authorId="0" shapeId="0" xr:uid="{4847EE63-36B0-4AF8-8E44-32E31BA99CC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19 NOTE 6 FAIR VALUE</t>
        </r>
      </text>
    </comment>
    <comment ref="F47" authorId="0" shapeId="0" xr:uid="{554EFEA9-154D-4AEB-9CEE-3F5095B5AAF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112 NOTE 18 LEASES</t>
        </r>
      </text>
    </comment>
    <comment ref="G47" authorId="0" shapeId="0" xr:uid="{D5F2315A-272D-420B-8073-5A69574F083A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93 NOTE 14 FAIR VALUE</t>
        </r>
      </text>
    </comment>
    <comment ref="F48" authorId="0" shapeId="0" xr:uid="{C2297C83-DE45-48DB-88F6-372859B1964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104 NOTE 7 LEASES</t>
        </r>
      </text>
    </comment>
    <comment ref="G48" authorId="0" shapeId="0" xr:uid="{221B4976-C6AD-43C3-ACEE-B528F3D63F4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111  NOTE 9 DEBT</t>
        </r>
      </text>
    </comment>
    <comment ref="F49" authorId="0" shapeId="0" xr:uid="{0CAF5D93-2827-4B8D-9C40-4D501E4A22A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54 NOTE 6 LEASES</t>
        </r>
      </text>
    </comment>
    <comment ref="G49" authorId="0" shapeId="0" xr:uid="{E5344320-A09D-48E4-8AC5-DC8CD100E23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PF 71 NOTE 16. SECOND TO LAST SENTENCE ON PAGE. </t>
        </r>
      </text>
    </comment>
    <comment ref="F50" authorId="0" shapeId="0" xr:uid="{8CE3B6E8-325B-4F02-8419-B3FB6156E76C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72 NOTE 2</t>
        </r>
      </text>
    </comment>
    <comment ref="G50" authorId="0" shapeId="0" xr:uid="{612EEEB4-357B-4894-BB21-BCC6F956AFE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83 NOTE 8 DEBT</t>
        </r>
      </text>
    </comment>
    <comment ref="G51" authorId="0" shapeId="0" xr:uid="{B9CB0EBE-1DCA-4F6A-A7E1-DC7F0D6DE1F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85 NOTE 8 FAIR VALUE OF FINANCIAL INSTRUMENTS</t>
        </r>
      </text>
    </comment>
    <comment ref="F52" authorId="0" shapeId="0" xr:uid="{233B17D6-BEC6-477F-A01A-31B4BA003B90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143 NOTE 15 LEASES</t>
        </r>
      </text>
    </comment>
    <comment ref="G52" authorId="0" shapeId="0" xr:uid="{C6D4F051-0447-4682-A9EA-5E5DE59EA7F9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147 NOTE 17 FAIR VALUE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Brittney (DOR)</author>
  </authors>
  <commentList>
    <comment ref="E22" authorId="0" shapeId="0" xr:uid="{B63B50F0-A729-4039-9BC1-9FC570EE729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3</t>
        </r>
      </text>
    </comment>
    <comment ref="E23" authorId="0" shapeId="0" xr:uid="{705AE372-FF7D-4427-84AE-27246BF7A78B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61</t>
        </r>
      </text>
    </comment>
    <comment ref="E24" authorId="0" shapeId="0" xr:uid="{6712413C-A013-4F28-B2A4-E9BA0D49222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E25" authorId="0" shapeId="0" xr:uid="{48009800-B079-4B25-AB62-1E386122A2F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97</t>
        </r>
      </text>
    </comment>
    <comment ref="E26" authorId="0" shapeId="0" xr:uid="{CF45EA81-382B-44EB-82B3-33A94F1B632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7</t>
        </r>
      </text>
    </comment>
    <comment ref="E27" authorId="0" shapeId="0" xr:uid="{6937C0DA-211A-4FFD-AE81-F9741AFEA33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64 
BEFORE NONCONTROLLING INTEREST</t>
        </r>
      </text>
    </comment>
    <comment ref="E28" authorId="0" shapeId="0" xr:uid="{F957286C-4175-4CC5-A3D3-83960DFF9D1B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79</t>
        </r>
      </text>
    </comment>
    <comment ref="E29" authorId="0" shapeId="0" xr:uid="{B76925CF-4B0C-40D6-BDE2-695486DB680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41</t>
        </r>
      </text>
    </comment>
    <comment ref="E30" authorId="0" shapeId="0" xr:uid="{FD32346D-72C6-411F-A21F-9804B14C06D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53 
BEFORE NONCONTROLLING INTEREST</t>
        </r>
      </text>
    </comment>
    <comment ref="E31" authorId="0" shapeId="0" xr:uid="{C70B93B8-74DB-49AF-822B-410CC5467FE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7</t>
        </r>
      </text>
    </comment>
    <comment ref="E32" authorId="0" shapeId="0" xr:uid="{674A43E6-243F-4A92-9765-BFFD1373EB1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Brittney (DOR)</author>
    <author>Baker, Mike A (DOR)</author>
  </authors>
  <commentList>
    <comment ref="D20" authorId="0" shapeId="0" xr:uid="{EABF0190-00D8-4BF8-AA8B-F7E183FD99A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3</t>
        </r>
      </text>
    </comment>
    <comment ref="E20" authorId="1" shapeId="0" xr:uid="{DF2E398F-F4C2-4CD5-BF65-D41180D21B82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10Q page 3</t>
        </r>
      </text>
    </comment>
    <comment ref="G20" authorId="0" shapeId="0" xr:uid="{4C85C1CC-2C30-4924-940C-64CDA25EB28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.  </t>
        </r>
        <r>
          <rPr>
            <sz val="11"/>
            <color indexed="81"/>
            <rFont val="Tahoma"/>
            <family val="2"/>
          </rPr>
          <t>3 MONTH YEAR END 12/31/24: 180,533,000
FROM 10Q
2.  12 MONTH YEAR END 9/30/24:  669,972,000
FROM 10K
3.  3 MONTH YEAR END 12/31/23:  164,608,000
FROM 10Q
FORMULA = 1 + (2 - 3)</t>
        </r>
      </text>
    </comment>
    <comment ref="D21" authorId="0" shapeId="0" xr:uid="{D471CBC5-3C80-46F0-84D6-5A919CF4DF2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60</t>
        </r>
      </text>
    </comment>
    <comment ref="E21" authorId="1" shapeId="0" xr:uid="{D6F5ED26-19DD-4FD6-9267-F9F16E63C3BD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10K page 62 of pdf</t>
        </r>
      </text>
    </comment>
    <comment ref="G21" authorId="0" shapeId="0" xr:uid="{F30E74B7-AEAE-4A12-AC82-E595BE064848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58</t>
        </r>
      </text>
    </comment>
    <comment ref="D22" authorId="0" shapeId="0" xr:uid="{658AA8AF-C1D1-46A0-A842-22656DFBCF6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97</t>
        </r>
      </text>
    </comment>
    <comment ref="G22" authorId="0" shapeId="0" xr:uid="{145E7830-6919-4935-843C-D5226DC2D96A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95</t>
        </r>
      </text>
    </comment>
    <comment ref="D23" authorId="0" shapeId="0" xr:uid="{D42C95E2-E870-4D5D-A823-EB3EBB62539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96</t>
        </r>
      </text>
    </comment>
    <comment ref="G23" authorId="0" shapeId="0" xr:uid="{9C3BF40E-2B23-4738-B06E-1A3AD0F59B5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100
</t>
        </r>
      </text>
    </comment>
    <comment ref="D24" authorId="0" shapeId="0" xr:uid="{9D8347A8-A31D-4FD1-BADC-489C7830D4A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6</t>
        </r>
      </text>
    </comment>
    <comment ref="E24" authorId="1" shapeId="0" xr:uid="{93F0B35D-B4F9-4E27-8C3F-B2F34A1C0E7E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10Q page 8 PDF</t>
        </r>
      </text>
    </comment>
    <comment ref="G24" authorId="0" shapeId="0" xr:uid="{E100DDA9-8DE4-4525-932D-4BE73939BD7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.  </t>
        </r>
        <r>
          <rPr>
            <sz val="11"/>
            <color indexed="81"/>
            <rFont val="Tahoma"/>
            <family val="2"/>
          </rPr>
          <t>3 MONTH YEAR END 12/31/24: 45,329,000
FROM 10Q
2.  12 MONTH YEAR END 9/30/24:  166,567,000
FROM 10K
3.  3 MONTH YEAR END 12/31/23:  40,287,000
FROM 10Q
FORMULA = 1 + (2 - 3)</t>
        </r>
      </text>
    </comment>
    <comment ref="D25" authorId="0" shapeId="0" xr:uid="{C22DEA18-166B-49A9-A9C9-2FD4EB9B31E6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63</t>
        </r>
      </text>
    </comment>
    <comment ref="E25" authorId="1" shapeId="0" xr:uid="{A4983D3D-8D94-4814-9CC6-53B118EECAB8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10K page 63 of pdf</t>
        </r>
      </text>
    </comment>
    <comment ref="G25" authorId="0" shapeId="0" xr:uid="{71FACAF8-76E9-4954-9E34-430386F7C252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61</t>
        </r>
      </text>
    </comment>
    <comment ref="D26" authorId="0" shapeId="0" xr:uid="{CC6A6F67-2B15-4432-815E-7C4096B3F1AC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78</t>
        </r>
      </text>
    </comment>
    <comment ref="E26" authorId="1" shapeId="0" xr:uid="{3DC8A3CF-273E-4DE1-9272-3812C62D1593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10K page 80 of pdf</t>
        </r>
      </text>
    </comment>
    <comment ref="G26" authorId="0" shapeId="0" xr:uid="{647D54B9-18DE-4F62-9C50-1B37264E637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77</t>
        </r>
      </text>
    </comment>
    <comment ref="D27" authorId="0" shapeId="0" xr:uid="{3A712F94-F27F-416C-8449-48D05647973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 PG 40</t>
        </r>
      </text>
    </comment>
    <comment ref="E27" authorId="1" shapeId="0" xr:uid="{D070CD38-A54A-499A-84C0-B1AC3C9C1CDA}">
      <text>
        <r>
          <rPr>
            <b/>
            <sz val="9"/>
            <color indexed="81"/>
            <rFont val="Tahoma"/>
            <family val="2"/>
          </rPr>
          <t xml:space="preserve">Rev4175 
10K page 44 of pdf </t>
        </r>
      </text>
    </comment>
    <comment ref="G27" authorId="0" shapeId="0" xr:uid="{FDDD00FE-2B15-4383-BB31-14AD4A77472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38</t>
        </r>
      </text>
    </comment>
    <comment ref="D28" authorId="0" shapeId="0" xr:uid="{F031C019-61DE-47A3-A42D-8C0C8A5B4937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53 
GAS PLANT PLUS CWIP</t>
        </r>
      </text>
    </comment>
    <comment ref="E28" authorId="1" shapeId="0" xr:uid="{905A01CD-00DC-4E61-8166-75427333E1C6}">
      <text>
        <r>
          <rPr>
            <b/>
            <sz val="9"/>
            <color indexed="81"/>
            <rFont val="Tahoma"/>
            <family val="2"/>
          </rPr>
          <t>Rev4175 10K page 51 of pdf plant plus CWIP</t>
        </r>
      </text>
    </comment>
    <comment ref="G28" authorId="0" shapeId="0" xr:uid="{687EB7D8-7A2F-4A41-834B-A4B17929ACDD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54</t>
        </r>
      </text>
    </comment>
    <comment ref="D29" authorId="0" shapeId="0" xr:uid="{312E5CB7-3063-4695-AF0A-FFBD1D17F4F0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10Q PG 6</t>
        </r>
      </text>
    </comment>
    <comment ref="E29" authorId="1" shapeId="0" xr:uid="{E9DABFC0-F010-45BC-82B0-611A4CB26F52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See 10Q page 8 of pdf</t>
        </r>
      </text>
    </comment>
    <comment ref="G29" authorId="0" shapeId="0" xr:uid="{1A443382-457C-4389-BC6F-617534813065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.  </t>
        </r>
        <r>
          <rPr>
            <sz val="11"/>
            <color indexed="81"/>
            <rFont val="Tahoma"/>
            <family val="2"/>
          </rPr>
          <t>3 MONTH YEAR END 12/31/24: 72,300,000
FROM 10Q
2.  12 MONTH YEAR END 9/30/24: 278,400,000
FROM 10K
3.  3 MONTH YEAR END 12/31/23:  67,000,000
FROM 10Q
FORMULA = 1 + (2 - 3)</t>
        </r>
      </text>
    </comment>
    <comment ref="D30" authorId="0" shapeId="0" xr:uid="{EB13A2F7-D639-47F5-B1DB-CFB1FC670EA3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102</t>
        </r>
      </text>
    </comment>
    <comment ref="E30" authorId="1" shapeId="0" xr:uid="{6CE4B7F3-7A3E-4E01-9CEB-DD4FE4A7159A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See 10K page 100 of pdf</t>
        </r>
      </text>
    </comment>
    <comment ref="G30" authorId="0" shapeId="0" xr:uid="{704D6F6E-5DE9-45FF-B780-767C57E3DECF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100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rev3569</author>
  </authors>
  <commentList>
    <comment ref="H19" authorId="0" shapeId="0" xr:uid="{17CB1635-4F29-4E75-BF7E-95BE700F855C}">
      <text>
        <r>
          <rPr>
            <b/>
            <sz val="9"/>
            <color indexed="81"/>
            <rFont val="Tahoma"/>
            <charset val="1"/>
          </rPr>
          <t>rev3569:</t>
        </r>
        <r>
          <rPr>
            <sz val="9"/>
            <color indexed="81"/>
            <rFont val="Tahoma"/>
            <charset val="1"/>
          </rPr>
          <t xml:space="preserve">
Moody's is not reporting a rating
</t>
        </r>
      </text>
    </comment>
  </commentList>
</comments>
</file>

<file path=xl/sharedStrings.xml><?xml version="1.0" encoding="utf-8"?>
<sst xmlns="http://schemas.openxmlformats.org/spreadsheetml/2006/main" count="1526" uniqueCount="518">
  <si>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</si>
  <si>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</si>
  <si>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</si>
  <si>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</si>
  <si>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</si>
  <si>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</si>
  <si>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</si>
  <si>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</si>
  <si>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</si>
  <si>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</si>
  <si>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</si>
  <si>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</si>
  <si>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</si>
  <si>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</si>
  <si>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</si>
  <si>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</si>
  <si>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</si>
  <si>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</si>
  <si>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</si>
  <si>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</si>
  <si>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</si>
  <si>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</si>
  <si>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</si>
  <si>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</si>
  <si>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</si>
  <si>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</si>
  <si>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B++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</si>
  <si>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</si>
  <si>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</si>
  <si>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</si>
  <si>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</si>
  <si>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</si>
  <si>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</si>
  <si>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</si>
  <si>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</si>
  <si>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</si>
  <si>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</si>
  <si>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</si>
  <si>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</si>
  <si>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</si>
  <si>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</si>
  <si>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</si>
  <si>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</si>
  <si>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</si>
  <si>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WEC Energy Group</t>
  </si>
  <si>
    <t>ALE</t>
  </si>
  <si>
    <t>LNT</t>
  </si>
  <si>
    <t>CMS</t>
  </si>
  <si>
    <t>DTE</t>
  </si>
  <si>
    <t>OGE</t>
  </si>
  <si>
    <t>AEE</t>
  </si>
  <si>
    <t>AEP</t>
  </si>
  <si>
    <t>CNP</t>
  </si>
  <si>
    <t>WEC</t>
  </si>
  <si>
    <t>A+</t>
  </si>
  <si>
    <t xml:space="preserve">  </t>
  </si>
  <si>
    <t>High</t>
  </si>
  <si>
    <t>Low</t>
  </si>
  <si>
    <t>DUK</t>
  </si>
  <si>
    <t>ETR</t>
  </si>
  <si>
    <t>Mergent Bond</t>
  </si>
  <si>
    <t>Rating</t>
  </si>
  <si>
    <t>FE</t>
  </si>
  <si>
    <t>Debt Rate</t>
  </si>
  <si>
    <t>S&amp;P</t>
  </si>
  <si>
    <t>S &amp; P</t>
  </si>
  <si>
    <t>% LT Debt &amp; Pref Stock</t>
  </si>
  <si>
    <t>Baa1</t>
  </si>
  <si>
    <t>Baa2</t>
  </si>
  <si>
    <t>BBB+</t>
  </si>
  <si>
    <t>BBB</t>
  </si>
  <si>
    <t xml:space="preserve">Guideline companies were selected from Electric (East &amp; Central &amp; West) Value Line Industry groups. 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</si>
  <si>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</si>
  <si>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</si>
  <si>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</si>
  <si>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</si>
  <si>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</si>
  <si>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</si>
  <si>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BBB-</t>
  </si>
  <si>
    <t>Book Value</t>
  </si>
  <si>
    <t>Shares Issued less Treasury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</si>
  <si>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</si>
  <si>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</si>
  <si>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</si>
  <si>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</si>
  <si>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</si>
  <si>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</si>
  <si>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</si>
  <si>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</si>
  <si>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</si>
  <si>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</si>
  <si>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</si>
  <si>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</si>
  <si>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</si>
  <si>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</si>
  <si>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</si>
  <si>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</si>
  <si>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</si>
  <si>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</si>
  <si>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</si>
  <si>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</si>
  <si>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</si>
  <si>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</si>
  <si>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</si>
  <si>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</si>
  <si>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</si>
  <si>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</si>
  <si>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</si>
  <si>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</si>
  <si>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</si>
  <si>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</si>
  <si>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</si>
  <si>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</si>
  <si>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</si>
  <si>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</si>
  <si>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</si>
  <si>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</si>
  <si>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</si>
  <si>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</si>
  <si>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</si>
  <si>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</si>
  <si>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</si>
  <si>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</si>
  <si>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</si>
  <si>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</si>
  <si>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</si>
  <si>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</si>
  <si>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</si>
  <si>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</si>
  <si>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</si>
  <si>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</si>
  <si>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</si>
  <si>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</si>
  <si>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</si>
  <si>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</si>
  <si>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</si>
  <si>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BETA SELECTION for CAPM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</si>
  <si>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</si>
  <si>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</si>
  <si>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</si>
  <si>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</si>
  <si>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</si>
  <si>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</si>
  <si>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</si>
  <si>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</si>
  <si>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</si>
  <si>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</si>
  <si>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</si>
  <si>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</si>
  <si>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</si>
  <si>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</si>
  <si>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</si>
  <si>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</si>
  <si>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</si>
  <si>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</si>
  <si>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</si>
  <si>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</si>
  <si>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</si>
  <si>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</si>
  <si>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</si>
  <si>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</si>
  <si>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</si>
  <si>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 xml:space="preserve">** Debt includes  LT Debt , Current portion of LT Debt, and Finance leases from 10K 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</si>
  <si>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</si>
  <si>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</si>
  <si>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</si>
  <si>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</si>
  <si>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</si>
  <si>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</si>
  <si>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</si>
  <si>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</si>
  <si>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</si>
  <si>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</si>
  <si>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</si>
  <si>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</si>
  <si>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</si>
  <si>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</si>
  <si>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</si>
  <si>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</si>
  <si>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</si>
  <si>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</si>
  <si>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AA-</t>
  </si>
  <si>
    <t>Earnings</t>
  </si>
  <si>
    <t>Equity</t>
  </si>
  <si>
    <t>Equity Rate</t>
  </si>
  <si>
    <t>(F+G)</t>
  </si>
  <si>
    <t>(F+H)</t>
  </si>
  <si>
    <t xml:space="preserve">Yield Equity Rate - DGM (Dividend Growth) &amp; DGM (Earnings Growth)  </t>
  </si>
  <si>
    <t>Dividend Yield</t>
  </si>
  <si>
    <t xml:space="preserve">Projected Short Term </t>
  </si>
  <si>
    <t>DGM - Earnings Growth Rate &gt;</t>
  </si>
  <si>
    <t>DGM - Dividend Growth Rate &gt;</t>
  </si>
  <si>
    <t>Yield Equity Rate - DGM (Two-Stage)</t>
  </si>
  <si>
    <t>Stable</t>
  </si>
  <si>
    <t>Growth Rate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</si>
  <si>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</si>
  <si>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</si>
  <si>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</si>
  <si>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</si>
  <si>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</si>
  <si>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</si>
  <si>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</si>
  <si>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</si>
  <si>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>.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</si>
  <si>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</si>
  <si>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</si>
  <si>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</si>
  <si>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</si>
  <si>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</si>
  <si>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</si>
  <si>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</si>
  <si>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</si>
  <si>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</si>
  <si>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</si>
  <si>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</si>
  <si>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</si>
  <si>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</si>
  <si>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</si>
  <si>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</si>
  <si>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</si>
  <si>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</si>
  <si>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</si>
  <si>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</si>
  <si>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</si>
  <si>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</si>
  <si>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</si>
  <si>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</si>
  <si>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</si>
  <si>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</si>
  <si>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</si>
  <si>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</si>
  <si>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</si>
  <si>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</si>
  <si>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</si>
  <si>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</si>
  <si>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</si>
  <si>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</si>
  <si>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</si>
  <si>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</si>
  <si>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</si>
  <si>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</si>
  <si>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</si>
  <si>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</si>
  <si>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t>NOPAT CASH FLOW MULTIPLE &amp; EQUITY RATE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</si>
  <si>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</si>
  <si>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</si>
  <si>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</si>
  <si>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</si>
  <si>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</si>
  <si>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t>VL LT Projected NOI</t>
  </si>
  <si>
    <t>Indicated Rate of Debt &gt;</t>
  </si>
  <si>
    <t>Year End</t>
  </si>
  <si>
    <t>&amp; Finance Leases</t>
  </si>
  <si>
    <t>10K Income Statement</t>
  </si>
  <si>
    <t>10K Balance Sheet</t>
  </si>
  <si>
    <t>Indicated Rate of Equity Selected &gt;</t>
  </si>
  <si>
    <t>NOTE: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</si>
  <si>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</si>
  <si>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</si>
  <si>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</si>
  <si>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</si>
  <si>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</si>
  <si>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</si>
  <si>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</si>
  <si>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</si>
  <si>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</si>
  <si>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</si>
  <si>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</si>
  <si>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</si>
  <si>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</si>
  <si>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</si>
  <si>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</si>
  <si>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</si>
  <si>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</si>
  <si>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</si>
  <si>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</si>
  <si>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</si>
  <si>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</si>
  <si>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</si>
  <si>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</si>
  <si>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</si>
  <si>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</si>
  <si>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</si>
  <si>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</si>
  <si>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</si>
  <si>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</si>
  <si>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</si>
  <si>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</si>
  <si>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</si>
  <si>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</si>
  <si>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</si>
  <si>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</si>
  <si>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</si>
  <si>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</si>
  <si>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</si>
  <si>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</si>
  <si>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</si>
  <si>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</si>
  <si>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</si>
  <si>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</si>
  <si>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Market to Book Ratios - Obsolescence Measurement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</si>
  <si>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</si>
  <si>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</si>
  <si>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</si>
  <si>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</si>
  <si>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</si>
  <si>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</si>
  <si>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t>*** Market value of operating leases for all companies including the airlines and railroads</t>
  </si>
  <si>
    <t>Companies excluded from the study &gt;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</si>
  <si>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</si>
  <si>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DY = Dividend Yield     See ValueLine</t>
  </si>
  <si>
    <t>G   = Average growth rate</t>
  </si>
  <si>
    <t>G1 = Short term growth estimate</t>
  </si>
  <si>
    <t>g   = Stable Growth - Nominal growth rate</t>
  </si>
  <si>
    <t>AAA</t>
  </si>
  <si>
    <t>AA+</t>
  </si>
  <si>
    <t>AA</t>
  </si>
  <si>
    <t>Obligations rated Aa are judged to be of high quality, with minimal risk.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</si>
  <si>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</si>
  <si>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</si>
  <si>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</si>
  <si>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</si>
  <si>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</si>
  <si>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</si>
  <si>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</si>
  <si>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</si>
  <si>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</si>
  <si>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</si>
  <si>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</si>
  <si>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Return on Shareholders Equity -- Annual net profit divided by year-end shareholders equity, expressed as a percentage.</t>
  </si>
  <si>
    <t>Retained to Common Equity -- Net profit less all common and preferred dividends divided by common equity including intangible assets, expressed as a percentage.  Also known as the plowback ratio.</t>
  </si>
  <si>
    <t>Aaa1</t>
  </si>
  <si>
    <t>AAA+</t>
  </si>
  <si>
    <t>Aaa2</t>
  </si>
  <si>
    <t>Aaa3</t>
  </si>
  <si>
    <t>AAA-</t>
  </si>
  <si>
    <t>Ca1</t>
  </si>
  <si>
    <t>CC+</t>
  </si>
  <si>
    <t>Ca2</t>
  </si>
  <si>
    <t>Ca3</t>
  </si>
  <si>
    <t>CC-</t>
  </si>
  <si>
    <t>GROSS REVENUE &amp; GROSS BOOK (EQUITY) MULTIPLES</t>
  </si>
  <si>
    <t>Gross Revenues</t>
  </si>
  <si>
    <t>Gross Book Value Equity</t>
  </si>
  <si>
    <t>Multiple *</t>
  </si>
  <si>
    <t>* This multiple is applicable to service type companies, or those with few assets.  These companies sell at prices related to their revenues.</t>
  </si>
  <si>
    <t>The higher the return on revenue the higher the price to revenue will be.</t>
  </si>
  <si>
    <t>** The book value, or common equity, per share is total owners' equity minus preferred stock divided by the number of common shares outstanding.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</si>
  <si>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</si>
  <si>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</si>
  <si>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Share</t>
  </si>
  <si>
    <t>NOPAT Earnings</t>
  </si>
  <si>
    <t>P/E Ratio - Long Term Projection NOPAT</t>
  </si>
  <si>
    <t>&amp; Op Leases</t>
  </si>
  <si>
    <t>CS+LTD +PS +OL</t>
  </si>
  <si>
    <t xml:space="preserve">For rate based companies, the maximum allowed  'rate of return' established by state regulators is not comparable (a mismatch) to the 'cost of equity' calculated above.   </t>
  </si>
  <si>
    <t>Dividend Growth = DY + DG</t>
  </si>
  <si>
    <t>Earnings Growth = DY + EG</t>
  </si>
  <si>
    <t>DY = Dividend Yield</t>
  </si>
  <si>
    <t>DG = Dividend Growth</t>
  </si>
  <si>
    <t>EG = Earnings Growth</t>
  </si>
  <si>
    <t>G = Projected Growth (Div. 5 Yr Growth Rate)</t>
  </si>
  <si>
    <t>G = Projected Growth (Earnings Per Share 5 Yr Growth Rate)</t>
  </si>
  <si>
    <t>MGE Energy (MGEE) - Removed due to a lack of a ValueLine review sheet</t>
  </si>
  <si>
    <t>Per Share **</t>
  </si>
  <si>
    <t>Common Total Equity excludes 'noncontrolling interests' equity value.</t>
  </si>
  <si>
    <t xml:space="preserve">Property, Plant &amp; Equipment includes CWIP, but should exclude intangibles and the associated amortization.  </t>
  </si>
  <si>
    <t xml:space="preserve">http://www.federalreserve.gov/Releases/H15/Current/ </t>
  </si>
  <si>
    <t>Projected 1 Yr</t>
  </si>
  <si>
    <t>Estimated 20-22 to 26-28</t>
  </si>
  <si>
    <t>Earnings Per Share Growth Rate</t>
  </si>
  <si>
    <t>Atmos Energy Corp</t>
  </si>
  <si>
    <t>ATO</t>
  </si>
  <si>
    <t>Gas Utility</t>
  </si>
  <si>
    <t>Black Hills Corporation</t>
  </si>
  <si>
    <t>BKH</t>
  </si>
  <si>
    <t>CenterPoint Energy Inc.</t>
  </si>
  <si>
    <t>CMS Energy Corporation</t>
  </si>
  <si>
    <t>New Jersey Resources Corp</t>
  </si>
  <si>
    <t>NJR</t>
  </si>
  <si>
    <t>NISOURCE Inc.</t>
  </si>
  <si>
    <t>NI</t>
  </si>
  <si>
    <t>NWN</t>
  </si>
  <si>
    <t>One Gas INC</t>
  </si>
  <si>
    <t>OGS</t>
  </si>
  <si>
    <t>SWX</t>
  </si>
  <si>
    <t>SR</t>
  </si>
  <si>
    <t>Delta Natural Gas Company  -  No longer publicly traded.  Peoples Natural Gas acquired Delta.</t>
  </si>
  <si>
    <t>Gas Natural, Inc. - Not publicly traded.  Recently acquired (June 2017) by Black Rock Assets Global Energy &amp; Power.</t>
  </si>
  <si>
    <t>UGI Corporation  -  Gas distribution utility operations too small (27%).  Propane distribution 35% Amerigas.</t>
  </si>
  <si>
    <t>WGL Holdings - Currently merged with AtlaGas Ltd.</t>
  </si>
  <si>
    <t>Companies added to the study last year &gt;</t>
  </si>
  <si>
    <t xml:space="preserve">Black Hills Corporation - 84% of their customers are provided gas distribtuion and 16% are provided electric services.  Serve gas customers in Arkansas, Colorado, Iowa, Kansas, Nebraska, and Wyoming.  </t>
  </si>
  <si>
    <t>CenterPoint Energy Inc - 64% of their customers are provided gas distribtuion and 36% are provided electric services.  This company merged with Vectren Corp. in early 2019 but will be used for our purposes.</t>
  </si>
  <si>
    <t>CMS Energy Corporation - 50% of their customers are provided gas distribution and 50% are provided electric services.</t>
  </si>
  <si>
    <t>MGE Energy Inc. - 51% of their customers are provided gas distribution and 49% are provided electric services.</t>
  </si>
  <si>
    <t>WEC Energy Group - 64% of their customers receive gas distribution as well as electric service</t>
  </si>
  <si>
    <t>Companies to consider in the study &gt;</t>
  </si>
  <si>
    <t xml:space="preserve">Chesapeake Utilities - Regulated business 67%.  Electricity in Florida.    Regulated gas in Delaware, Maryland &amp; Florida.  43% of their business income is associated with unregulated propane distribution.   </t>
  </si>
  <si>
    <t>Natural Gas Utility Distribution</t>
  </si>
  <si>
    <t>Spire Inc / Laclede Group Inc</t>
  </si>
  <si>
    <t>Electric Utility - West</t>
  </si>
  <si>
    <t>Electric Utility - Central</t>
  </si>
  <si>
    <t xml:space="preserve">Risk Free Rate (Rf) </t>
  </si>
  <si>
    <t>Southwest Gas Holdings, Inc</t>
  </si>
  <si>
    <t xml:space="preserve">Northwest Natural Holding Company </t>
  </si>
  <si>
    <t>Three Stage Ex Ante  Version 1  (1) (2)</t>
  </si>
  <si>
    <t>Three Stage Ex Ante  Version 2   (1) (2)</t>
  </si>
  <si>
    <t>CAPM - Ex Ante, Three Stage - V1</t>
  </si>
  <si>
    <t>CAPM - Ex Ante, Three Stage - V2</t>
  </si>
  <si>
    <t>Empirical CAPM - Ex Ante, Three Stage - V1</t>
  </si>
  <si>
    <t>Empirical CAPM - Ex Ante, Three Stage - V2</t>
  </si>
  <si>
    <t>NOPAT CASH FLOW MULTIPLE &amp; EQUITY RATE (LT 26-28 Yr Projected VL</t>
  </si>
  <si>
    <t>Mean</t>
  </si>
  <si>
    <t xml:space="preserve">S&amp;P Rating </t>
  </si>
  <si>
    <t>A market to book ratio over one would be an indication of obsolescence.</t>
  </si>
  <si>
    <t>http://pages.stern.nyu.edu/~adamodar/New_Home_Page/datacurrent.html</t>
  </si>
  <si>
    <t>https://www.richmondfed.org/research/national_economy/cfo_survey</t>
  </si>
  <si>
    <t>https://www.bvresources.com/products/faqs/cost-of-capital-professional</t>
  </si>
  <si>
    <t>Damodaran Implied ERP Ex Ante   Trailing 12 mo Cash Yield (3)</t>
  </si>
  <si>
    <t>Damodaran Implied ERP Ex Ante   Net Cash Yield (3)</t>
  </si>
  <si>
    <t>Damodaran Implied ERP Ex Ante   Norm. Earnings &amp; Payout (3)</t>
  </si>
  <si>
    <t>KROLL Ex Post  - ERP Historical (8)</t>
  </si>
  <si>
    <t>KROLL Ex Post - ERP Supply Side (8)</t>
  </si>
  <si>
    <t>KROLL Ex Ante - ERP Conditional (8)</t>
  </si>
  <si>
    <t>CAPM - Ex Ante  Damodaran 12 Mo Cash Yield</t>
  </si>
  <si>
    <t>CAPM - Ex Ante  Damodaran Net Cash Yield</t>
  </si>
  <si>
    <t>CAPM - Ex Ante  Damodaran NEP</t>
  </si>
  <si>
    <t>CAPM - Ex Post KROLL ERP Historical</t>
  </si>
  <si>
    <t>CAPM - Ex Post  KROLL ERP Supply Side</t>
  </si>
  <si>
    <t>CAPM - Ex Ante  KROLL ERP Conditional</t>
  </si>
  <si>
    <t>Empirical CAPM - Ex Ante  Damodaran 12 Mo Cash Yield</t>
  </si>
  <si>
    <t>Empirical CAPM - Ex Ante  Damodaran Net Cash Yield</t>
  </si>
  <si>
    <t>Empirical CAPM - Ex Ante  Damodaran NEP</t>
  </si>
  <si>
    <t>Empirical CAPM - Ex Post KROLL ERP Historical</t>
  </si>
  <si>
    <t>Empirical CAPM - Ex Post  KROLL ERP Supply Side</t>
  </si>
  <si>
    <t>Empirical CAPM - Ex Ante  KROLL ERP Conditional</t>
  </si>
  <si>
    <t>Damodaran Implied ERP Ex Ante   Avg CF Yield Last 10 Yrs (3)</t>
  </si>
  <si>
    <t>P. Fernandez, T. Garcia de Santos &amp; J.F.Acin  (5)</t>
  </si>
  <si>
    <t>CAPM - Ex Ante  Damodaran Avg CF Yield Last 10 Yrs</t>
  </si>
  <si>
    <t>Empirical CAPM - Ex Ante  Damodaran Avg CF Yield Last 10 Yrs</t>
  </si>
  <si>
    <t>2024 Tax Year</t>
  </si>
  <si>
    <t>Corporate                          December Avg</t>
  </si>
  <si>
    <t>Utility                                                December Avg</t>
  </si>
  <si>
    <t>2025 Tax Year</t>
  </si>
  <si>
    <t>YEAR END 12/31/2024</t>
  </si>
  <si>
    <t>Dec. 31, 2024</t>
  </si>
  <si>
    <t>2025 CAPITALIZATION RATE STUDY</t>
  </si>
  <si>
    <t>Vl Projected 2025</t>
  </si>
  <si>
    <t>INFLATION (CPI) &amp; GROSS DOMESTIC PRODUCT (GDP)</t>
  </si>
  <si>
    <t>Federal Reserve Bank of Philadelphia / Livingston Survey  Median (2a)</t>
  </si>
  <si>
    <t>Federal Reserve Bank of Philadelphia  /Survey of Professional Forecasters  Mean (2b)</t>
  </si>
  <si>
    <t xml:space="preserve">Congressional Budget Office Real Economic Projections (3)  </t>
  </si>
  <si>
    <t xml:space="preserve">Congressional Budget Office Real Economic Projections (3a)  </t>
  </si>
  <si>
    <t xml:space="preserve">Congressional Budget Office Real Economic Projections (3b)  </t>
  </si>
  <si>
    <t>The Trading Economics (4)</t>
  </si>
  <si>
    <t>The World Bank (5)</t>
  </si>
  <si>
    <t xml:space="preserve">Federal Reserve Bank "Long Term" Projection - Members &amp; Presidents opinion (6) </t>
  </si>
  <si>
    <t>The Federal Reserve Bank projects their "long-term" estimate of Change in US real GDP at 1.8%</t>
  </si>
  <si>
    <t>The Congressional Budget Office projects the U.S. Real GDP annual growth rate of 1.9% in 2025 and 1.8% in 2026       Core CPI = 2.30%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</si>
  <si>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</si>
  <si>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rates of 1.8% from 2028 to 2029 and 1.8% from 2030 to 2035</t>
  </si>
  <si>
    <t>The Congressional Budget Office projects the U.S. Real GDP average annual (Yr to Yr) growth rates of 2.20% from 2025 to 2029 and 1.90% from 2030 to 2035 and 2.00 GDP overall from 2025 to 2035</t>
  </si>
  <si>
    <t xml:space="preserve">than the overall growth rate of the economy.”  Dr. Aswath Damodaran (n.d.) The Stable Growth Rate </t>
  </si>
  <si>
    <t>SOURCES:</t>
  </si>
  <si>
    <t>(1)  Federal Reserve Statistical Release</t>
  </si>
  <si>
    <t>(2) (2a)  Federal Reserve Bank of Philadelphia - The Livingston Survey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</si>
  <si>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</si>
  <si>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</si>
  <si>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(2b)  Federal Reserve Bank of Philadelphia - Survey of Professional Forecasters</t>
  </si>
  <si>
    <t>First Qtr. 2025,  Feb. 14, 2025, Table 8 &amp; Table 9, Average (Mean) over next 10 yrs</t>
  </si>
  <si>
    <t>(3) (3a) (3b)  The Congressional Budget Office</t>
  </si>
  <si>
    <t>Real Economic Projections, Table C-1 Table C-2 pages 27 &amp; 28 Annual Avg. Economic Projections for Calendar years 2025to 2035</t>
  </si>
  <si>
    <t>Budget and Economic Data | Congressional Budget Office</t>
  </si>
  <si>
    <t>The Budget and Economic Outlook: 2025 to 2035</t>
  </si>
  <si>
    <t xml:space="preserve">https://www.cbo.gov/system/files/2025-01/60870-Outlook-2025.pdf </t>
  </si>
  <si>
    <t>https://www.cbo.gov/publication/60870</t>
  </si>
  <si>
    <t>(4) The Trading Economics</t>
  </si>
  <si>
    <t>Trading Economics, United States,  Full Year GDP Growth Rate Forecast for 2025</t>
  </si>
  <si>
    <t>https://tradingeconomics.com/united-states/full-year-gdp-growth</t>
  </si>
  <si>
    <t xml:space="preserve">(5) The World Bank </t>
  </si>
  <si>
    <t>January 2024-2025</t>
  </si>
  <si>
    <t>World Bank Group Flagship Report, GlobalEconomic Prospects,  Page 4  Table 1.1 Real GDP</t>
  </si>
  <si>
    <t>http://www.worldbank.org/en/publication/global-economic-prospects</t>
  </si>
  <si>
    <t>(6) Board of Governors of the Federal Reserve System - Federal Reserve Bank Members &amp; Presidents Opinion</t>
  </si>
  <si>
    <t>Medium projection value from Dec. 18, 2024 report Table 1</t>
  </si>
  <si>
    <t>https://www.federalreserve.gov/monetarypolicy/files/fomcprojtabl20241218.pd</t>
  </si>
  <si>
    <t>na</t>
  </si>
  <si>
    <t>January 2, 2025  Compare inflation indexed securities to non-inflation indexed securities.  The difference is the inflation rate.  See Minnesota study page 26 or Wsahington study page 6.</t>
  </si>
  <si>
    <t>RISK FREE RATE (Rf)</t>
  </si>
  <si>
    <t>Federal Reserve Statistical Release (January 2, 2025)  Treasury Constant Maturities, Nominal (1) :</t>
  </si>
  <si>
    <t xml:space="preserve">10-year U.S. Treasury coupon bonds </t>
  </si>
  <si>
    <t xml:space="preserve">20-year U.S. Treasury coupon bonds (5 yr. monthly avg) 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</si>
  <si>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</si>
  <si>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t>30-year U.S. Treasury coupon bonds</t>
  </si>
  <si>
    <t>KDOR Selected Risk Free Rate (Rf) &gt;</t>
  </si>
  <si>
    <t>Value Line Investment Survey (January 10, 2025)  Selected Yields on Taxable U.S. Treasury Securities :</t>
  </si>
  <si>
    <t>20-year U.S. Treasury coupon bonds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</si>
  <si>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</si>
  <si>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Damodaran selected Risk-Free rate (January 1, 2025) (7) :</t>
  </si>
  <si>
    <t>KROLL Cost of Capital Navigator Risk-Free rate Ex Post  (January 1, 2025) :</t>
  </si>
  <si>
    <t>(7) Aswath Damoodaran</t>
  </si>
  <si>
    <t>http://pages.stern.nyu.edu/~adamodar/</t>
  </si>
  <si>
    <t>https://pages.stern.nyu.edu/~adamodar/pc/blog/S&amp;P500ValueJan2025.xlsx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</si>
  <si>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</si>
  <si>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</si>
  <si>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Estimated 22-24 to 28-30</t>
  </si>
  <si>
    <t>Moody's Rating</t>
  </si>
  <si>
    <t>Moody's Bond</t>
  </si>
  <si>
    <t>Moody's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</si>
  <si>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</si>
  <si>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</si>
  <si>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</si>
  <si>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</si>
  <si>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</si>
  <si>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</si>
  <si>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DEBT RATE for Direct and Yield Approach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</si>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</sst>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"/>
    <numFmt numFmtId="168" formatCode="_(* #,##0.000_);_(* \(#,##0.000\);_(* &quot;-&quot;??_);_(@_)"/>
    <numFmt numFmtId="169" formatCode="_(&quot;$&quot;* #,##0.0_);_(&quot;$&quot;* \(#,##0.0\);_(&quot;$&quot;* &quot;-&quot;??_);_(@_)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i/>
      <sz val="11"/>
      <color theme="1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rgb="FF000000"/>
      <name val="Microsoft GothicNeo"/>
      <family val="2"/>
      <charset val="129"/>
    </font>
    <font>
      <sz val="11"/>
      <name val="Calibri"/>
      <family val="2"/>
      <scheme val="minor"/>
    </font>
    <font>
      <b/>
      <sz val="9"/>
      <name val="Microsoft GothicNeo"/>
      <family val="2"/>
      <charset val="129"/>
    </font>
    <font>
      <b/>
      <i/>
      <sz val="18"/>
      <color rgb="FF0000CC"/>
      <name val="Microsoft GothicNeo"/>
      <family val="2"/>
      <charset val="129"/>
    </font>
    <font>
      <b/>
      <i/>
      <sz val="18"/>
      <name val="Microsoft GothicNeo"/>
      <family val="2"/>
      <charset val="129"/>
    </font>
    <font>
      <sz val="11"/>
      <color rgb="FF0000CC"/>
      <name val="Microsoft GothicNeo"/>
      <family val="2"/>
      <charset val="129"/>
    </font>
    <font>
      <sz val="11"/>
      <color theme="1"/>
      <name val="Cordia New"/>
      <family val="2"/>
      <charset val="222"/>
    </font>
    <font>
      <b/>
      <sz val="11"/>
      <color theme="1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b/>
      <i/>
      <sz val="12"/>
      <name val="Microsoft GothicNeo"/>
      <family val="2"/>
      <charset val="129"/>
    </font>
    <font>
      <sz val="10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1"/>
      <name val="Cordia New"/>
      <family val="2"/>
      <charset val="222"/>
    </font>
    <font>
      <sz val="9"/>
      <color rgb="FFC00000"/>
      <name val="Aptos"/>
      <family val="2"/>
    </font>
    <font>
      <b/>
      <i/>
      <sz val="14"/>
      <name val="Microsoft GothicNeo"/>
      <family val="2"/>
      <charset val="129"/>
    </font>
    <font>
      <u/>
      <sz val="12"/>
      <color rgb="FF0000CC"/>
      <name val="Microsoft GothicNeo"/>
      <family val="2"/>
      <charset val="129"/>
    </font>
    <font>
      <sz val="12"/>
      <color theme="1"/>
      <name val="Cordia New"/>
      <family val="2"/>
      <charset val="222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b/>
      <sz val="11"/>
      <color theme="1"/>
      <name val="Microsoft GothicNeo Light"/>
      <family val="2"/>
      <charset val="129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ill="0" applyBorder="0" applyAlignment="0" applyProtection="0"/>
  </cellStyleXfs>
  <cellXfs count="48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2" fillId="0" borderId="0" xfId="0" applyNumberFormat="1" applyFont="1"/>
    <xf numFmtId="0" fontId="18" fillId="0" borderId="0" xfId="0" applyFont="1"/>
    <xf numFmtId="167" fontId="15" fillId="2" borderId="0" xfId="0" applyNumberFormat="1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43" fontId="24" fillId="0" borderId="0" xfId="1" applyFont="1" applyAlignment="1">
      <alignment horizontal="right" vertical="center"/>
    </xf>
    <xf numFmtId="43" fontId="24" fillId="0" borderId="0" xfId="1" applyFont="1" applyFill="1" applyAlignment="1">
      <alignment horizontal="right" vertical="center"/>
    </xf>
    <xf numFmtId="43" fontId="23" fillId="0" borderId="0" xfId="1" applyFont="1" applyFill="1" applyAlignment="1">
      <alignment horizontal="right"/>
    </xf>
    <xf numFmtId="43" fontId="23" fillId="0" borderId="0" xfId="1" applyFont="1" applyFill="1" applyAlignment="1">
      <alignment horizontal="center"/>
    </xf>
    <xf numFmtId="43" fontId="23" fillId="0" borderId="0" xfId="1" applyFont="1" applyFill="1" applyAlignment="1">
      <alignment horizontal="center" vertical="center"/>
    </xf>
    <xf numFmtId="43" fontId="23" fillId="0" borderId="0" xfId="1" applyFont="1" applyFill="1" applyBorder="1" applyAlignment="1">
      <alignment horizontal="center" vertical="center"/>
    </xf>
    <xf numFmtId="43" fontId="23" fillId="0" borderId="0" xfId="1" applyFont="1" applyFill="1"/>
    <xf numFmtId="164" fontId="23" fillId="0" borderId="0" xfId="1" applyNumberFormat="1" applyFont="1" applyFill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16" xfId="0" applyFont="1" applyBorder="1"/>
    <xf numFmtId="0" fontId="21" fillId="0" borderId="2" xfId="0" applyFont="1" applyBorder="1"/>
    <xf numFmtId="0" fontId="29" fillId="0" borderId="2" xfId="0" applyFont="1" applyBorder="1"/>
    <xf numFmtId="0" fontId="30" fillId="0" borderId="0" xfId="0" applyFont="1"/>
    <xf numFmtId="0" fontId="26" fillId="0" borderId="0" xfId="0" applyFont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23" fillId="0" borderId="0" xfId="0" applyFont="1"/>
    <xf numFmtId="166" fontId="24" fillId="0" borderId="0" xfId="1" applyNumberFormat="1" applyFont="1" applyFill="1" applyAlignment="1">
      <alignment horizontal="center"/>
    </xf>
    <xf numFmtId="166" fontId="24" fillId="0" borderId="0" xfId="1" applyNumberFormat="1" applyFont="1" applyFill="1"/>
    <xf numFmtId="0" fontId="23" fillId="0" borderId="4" xfId="0" applyFont="1" applyBorder="1"/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10" fontId="23" fillId="0" borderId="0" xfId="2" applyNumberFormat="1" applyFont="1" applyFill="1" applyAlignment="1">
      <alignment horizontal="center" vertical="center"/>
    </xf>
    <xf numFmtId="10" fontId="23" fillId="0" borderId="0" xfId="2" applyNumberFormat="1" applyFont="1" applyFill="1" applyBorder="1" applyAlignment="1">
      <alignment horizontal="center" vertical="center"/>
    </xf>
    <xf numFmtId="10" fontId="24" fillId="0" borderId="0" xfId="2" applyNumberFormat="1" applyFont="1" applyAlignment="1">
      <alignment horizontal="right" vertical="center"/>
    </xf>
    <xf numFmtId="10" fontId="24" fillId="0" borderId="0" xfId="2" applyNumberFormat="1" applyFont="1" applyFill="1" applyAlignment="1">
      <alignment horizontal="center" vertical="center"/>
    </xf>
    <xf numFmtId="10" fontId="24" fillId="0" borderId="0" xfId="2" applyNumberFormat="1" applyFont="1" applyFill="1" applyAlignment="1">
      <alignment horizontal="right"/>
    </xf>
    <xf numFmtId="10" fontId="23" fillId="0" borderId="0" xfId="2" applyNumberFormat="1" applyFont="1" applyFill="1" applyAlignment="1">
      <alignment horizontal="right"/>
    </xf>
    <xf numFmtId="10" fontId="23" fillId="0" borderId="0" xfId="2" applyNumberFormat="1" applyFont="1" applyFill="1" applyAlignment="1">
      <alignment horizontal="center"/>
    </xf>
    <xf numFmtId="10" fontId="23" fillId="0" borderId="0" xfId="2" applyNumberFormat="1" applyFont="1" applyFill="1"/>
    <xf numFmtId="0" fontId="21" fillId="3" borderId="20" xfId="0" applyFont="1" applyFill="1" applyBorder="1" applyAlignment="1">
      <alignment horizontal="center"/>
    </xf>
    <xf numFmtId="0" fontId="21" fillId="3" borderId="22" xfId="0" applyFont="1" applyFill="1" applyBorder="1" applyAlignment="1">
      <alignment horizontal="center"/>
    </xf>
    <xf numFmtId="2" fontId="40" fillId="0" borderId="0" xfId="0" applyNumberFormat="1" applyFont="1" applyAlignment="1">
      <alignment horizontal="center"/>
    </xf>
    <xf numFmtId="164" fontId="40" fillId="0" borderId="0" xfId="1" applyNumberFormat="1" applyFont="1" applyAlignment="1"/>
    <xf numFmtId="2" fontId="24" fillId="0" borderId="0" xfId="0" applyNumberFormat="1" applyFont="1" applyAlignment="1">
      <alignment horizontal="center"/>
    </xf>
    <xf numFmtId="0" fontId="36" fillId="0" borderId="0" xfId="0" applyFont="1"/>
    <xf numFmtId="43" fontId="26" fillId="0" borderId="0" xfId="1" applyFont="1" applyFill="1"/>
    <xf numFmtId="2" fontId="40" fillId="0" borderId="4" xfId="0" applyNumberFormat="1" applyFont="1" applyBorder="1" applyAlignment="1">
      <alignment horizontal="center"/>
    </xf>
    <xf numFmtId="10" fontId="24" fillId="0" borderId="0" xfId="2" applyNumberFormat="1" applyFont="1" applyFill="1" applyAlignment="1">
      <alignment horizontal="center"/>
    </xf>
    <xf numFmtId="0" fontId="21" fillId="0" borderId="2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/>
    </xf>
    <xf numFmtId="0" fontId="21" fillId="0" borderId="4" xfId="0" applyFont="1" applyBorder="1"/>
    <xf numFmtId="2" fontId="23" fillId="0" borderId="0" xfId="0" applyNumberFormat="1" applyFont="1" applyAlignment="1">
      <alignment horizontal="right"/>
    </xf>
    <xf numFmtId="10" fontId="23" fillId="0" borderId="0" xfId="0" applyNumberFormat="1" applyFont="1"/>
    <xf numFmtId="0" fontId="41" fillId="0" borderId="0" xfId="0" applyFont="1" applyAlignment="1">
      <alignment horizontal="center"/>
    </xf>
    <xf numFmtId="0" fontId="42" fillId="0" borderId="0" xfId="0" applyFont="1"/>
    <xf numFmtId="0" fontId="43" fillId="0" borderId="17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10" fontId="23" fillId="0" borderId="0" xfId="2" applyNumberFormat="1" applyFont="1"/>
    <xf numFmtId="10" fontId="23" fillId="0" borderId="0" xfId="1" applyNumberFormat="1" applyFont="1" applyFill="1"/>
    <xf numFmtId="10" fontId="45" fillId="0" borderId="0" xfId="2" applyNumberFormat="1" applyFont="1" applyFill="1" applyAlignment="1">
      <alignment horizontal="center"/>
    </xf>
    <xf numFmtId="164" fontId="23" fillId="0" borderId="0" xfId="1" applyNumberFormat="1" applyFont="1"/>
    <xf numFmtId="0" fontId="21" fillId="0" borderId="0" xfId="0" applyFont="1" applyAlignment="1">
      <alignment horizontal="left"/>
    </xf>
    <xf numFmtId="0" fontId="23" fillId="0" borderId="2" xfId="0" applyFont="1" applyBorder="1"/>
    <xf numFmtId="0" fontId="36" fillId="0" borderId="7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0" xfId="0" applyFont="1" applyAlignment="1">
      <alignment horizontal="center"/>
    </xf>
    <xf numFmtId="15" fontId="36" fillId="0" borderId="10" xfId="0" applyNumberFormat="1" applyFont="1" applyBorder="1" applyAlignment="1">
      <alignment horizontal="center"/>
    </xf>
    <xf numFmtId="15" fontId="36" fillId="0" borderId="0" xfId="0" applyNumberFormat="1" applyFont="1" applyAlignment="1">
      <alignment horizontal="center"/>
    </xf>
    <xf numFmtId="15" fontId="36" fillId="0" borderId="10" xfId="0" quotePrefix="1" applyNumberFormat="1" applyFont="1" applyBorder="1" applyAlignment="1">
      <alignment horizontal="center"/>
    </xf>
    <xf numFmtId="15" fontId="36" fillId="0" borderId="0" xfId="0" quotePrefix="1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6" fillId="0" borderId="10" xfId="0" applyFont="1" applyBorder="1"/>
    <xf numFmtId="0" fontId="36" fillId="0" borderId="7" xfId="0" applyFont="1" applyBorder="1"/>
    <xf numFmtId="0" fontId="40" fillId="0" borderId="0" xfId="0" applyFont="1" applyAlignment="1">
      <alignment horizontal="center"/>
    </xf>
    <xf numFmtId="2" fontId="40" fillId="0" borderId="10" xfId="0" applyNumberFormat="1" applyFont="1" applyBorder="1" applyAlignment="1">
      <alignment horizontal="center"/>
    </xf>
    <xf numFmtId="0" fontId="40" fillId="0" borderId="7" xfId="0" applyFont="1" applyBorder="1"/>
    <xf numFmtId="0" fontId="36" fillId="0" borderId="8" xfId="0" applyFont="1" applyBorder="1"/>
    <xf numFmtId="3" fontId="40" fillId="0" borderId="2" xfId="0" applyNumberFormat="1" applyFont="1" applyBorder="1"/>
    <xf numFmtId="0" fontId="39" fillId="0" borderId="0" xfId="0" applyFont="1"/>
    <xf numFmtId="0" fontId="47" fillId="0" borderId="2" xfId="0" applyFont="1" applyBorder="1"/>
    <xf numFmtId="0" fontId="39" fillId="0" borderId="2" xfId="0" applyFont="1" applyBorder="1"/>
    <xf numFmtId="0" fontId="39" fillId="0" borderId="5" xfId="0" applyFont="1" applyBorder="1"/>
    <xf numFmtId="0" fontId="39" fillId="0" borderId="6" xfId="0" applyFont="1" applyBorder="1"/>
    <xf numFmtId="15" fontId="36" fillId="0" borderId="6" xfId="0" quotePrefix="1" applyNumberFormat="1" applyFont="1" applyBorder="1" applyAlignment="1">
      <alignment horizontal="center"/>
    </xf>
    <xf numFmtId="0" fontId="21" fillId="0" borderId="6" xfId="0" applyFont="1" applyBorder="1"/>
    <xf numFmtId="0" fontId="36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164" fontId="40" fillId="0" borderId="0" xfId="1" applyNumberFormat="1" applyFont="1" applyFill="1" applyBorder="1"/>
    <xf numFmtId="0" fontId="36" fillId="0" borderId="0" xfId="0" applyFont="1" applyAlignment="1">
      <alignment horizontal="right"/>
    </xf>
    <xf numFmtId="164" fontId="23" fillId="0" borderId="0" xfId="0" applyNumberFormat="1" applyFont="1"/>
    <xf numFmtId="10" fontId="36" fillId="0" borderId="0" xfId="0" applyNumberFormat="1" applyFont="1" applyAlignment="1">
      <alignment horizontal="right"/>
    </xf>
    <xf numFmtId="10" fontId="36" fillId="0" borderId="0" xfId="2" applyNumberFormat="1" applyFont="1" applyFill="1"/>
    <xf numFmtId="10" fontId="36" fillId="0" borderId="0" xfId="2" applyNumberFormat="1" applyFont="1"/>
    <xf numFmtId="2" fontId="21" fillId="0" borderId="0" xfId="0" applyNumberFormat="1" applyFont="1"/>
    <xf numFmtId="0" fontId="23" fillId="0" borderId="1" xfId="0" applyFont="1" applyBorder="1" applyAlignment="1">
      <alignment horizontal="center"/>
    </xf>
    <xf numFmtId="0" fontId="30" fillId="0" borderId="0" xfId="0" applyFont="1" applyAlignment="1">
      <alignment horizontal="right"/>
    </xf>
    <xf numFmtId="0" fontId="24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65" fontId="23" fillId="0" borderId="0" xfId="3" applyNumberFormat="1" applyFont="1" applyFill="1" applyAlignment="1">
      <alignment horizontal="center"/>
    </xf>
    <xf numFmtId="164" fontId="24" fillId="0" borderId="0" xfId="1" applyNumberFormat="1" applyFont="1" applyFill="1"/>
    <xf numFmtId="10" fontId="24" fillId="0" borderId="0" xfId="2" applyNumberFormat="1" applyFont="1" applyFill="1"/>
    <xf numFmtId="0" fontId="30" fillId="0" borderId="2" xfId="0" applyFont="1" applyBorder="1" applyAlignment="1">
      <alignment horizontal="center"/>
    </xf>
    <xf numFmtId="10" fontId="40" fillId="0" borderId="0" xfId="2" applyNumberFormat="1" applyFont="1" applyFill="1" applyAlignment="1">
      <alignment horizontal="center"/>
    </xf>
    <xf numFmtId="10" fontId="40" fillId="0" borderId="0" xfId="2" applyNumberFormat="1" applyFont="1" applyFill="1"/>
    <xf numFmtId="2" fontId="51" fillId="0" borderId="0" xfId="0" applyNumberFormat="1" applyFont="1" applyAlignment="1">
      <alignment horizontal="center"/>
    </xf>
    <xf numFmtId="2" fontId="36" fillId="0" borderId="2" xfId="0" applyNumberFormat="1" applyFont="1" applyBorder="1" applyAlignment="1">
      <alignment horizontal="center"/>
    </xf>
    <xf numFmtId="10" fontId="36" fillId="0" borderId="2" xfId="2" applyNumberFormat="1" applyFont="1" applyBorder="1"/>
    <xf numFmtId="10" fontId="36" fillId="0" borderId="0" xfId="0" applyNumberFormat="1" applyFont="1" applyAlignment="1">
      <alignment horizontal="center"/>
    </xf>
    <xf numFmtId="2" fontId="36" fillId="0" borderId="0" xfId="0" applyNumberFormat="1" applyFont="1" applyAlignment="1">
      <alignment horizontal="center"/>
    </xf>
    <xf numFmtId="0" fontId="40" fillId="0" borderId="0" xfId="0" applyFont="1"/>
    <xf numFmtId="0" fontId="36" fillId="0" borderId="0" xfId="0" applyFont="1" applyAlignment="1">
      <alignment horizontal="left"/>
    </xf>
    <xf numFmtId="10" fontId="24" fillId="0" borderId="4" xfId="2" applyNumberFormat="1" applyFont="1" applyFill="1" applyBorder="1" applyAlignment="1">
      <alignment horizontal="center"/>
    </xf>
    <xf numFmtId="10" fontId="21" fillId="0" borderId="0" xfId="0" applyNumberFormat="1" applyFont="1"/>
    <xf numFmtId="0" fontId="20" fillId="0" borderId="0" xfId="6"/>
    <xf numFmtId="0" fontId="52" fillId="0" borderId="2" xfId="0" applyFont="1" applyBorder="1"/>
    <xf numFmtId="0" fontId="0" fillId="0" borderId="2" xfId="0" applyBorder="1"/>
    <xf numFmtId="0" fontId="30" fillId="0" borderId="2" xfId="0" applyFont="1" applyBorder="1"/>
    <xf numFmtId="0" fontId="21" fillId="0" borderId="5" xfId="0" applyFont="1" applyBorder="1"/>
    <xf numFmtId="0" fontId="21" fillId="0" borderId="12" xfId="0" applyFont="1" applyBorder="1"/>
    <xf numFmtId="0" fontId="23" fillId="0" borderId="8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10" fontId="30" fillId="0" borderId="2" xfId="2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52" fillId="0" borderId="33" xfId="0" applyFont="1" applyBorder="1"/>
    <xf numFmtId="0" fontId="36" fillId="0" borderId="31" xfId="0" applyFont="1" applyBorder="1"/>
    <xf numFmtId="0" fontId="36" fillId="0" borderId="1" xfId="0" applyFont="1" applyBorder="1"/>
    <xf numFmtId="10" fontId="40" fillId="0" borderId="0" xfId="2" applyNumberFormat="1" applyFont="1" applyAlignment="1">
      <alignment horizontal="right" vertical="center"/>
    </xf>
    <xf numFmtId="10" fontId="36" fillId="0" borderId="0" xfId="2" applyNumberFormat="1" applyFont="1" applyFill="1" applyAlignment="1">
      <alignment horizontal="right"/>
    </xf>
    <xf numFmtId="0" fontId="36" fillId="0" borderId="0" xfId="0" applyFont="1" applyAlignment="1">
      <alignment horizontal="center" vertical="center"/>
    </xf>
    <xf numFmtId="44" fontId="40" fillId="0" borderId="0" xfId="3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46" fillId="0" borderId="0" xfId="0" applyFont="1"/>
    <xf numFmtId="0" fontId="0" fillId="0" borderId="34" xfId="0" applyBorder="1"/>
    <xf numFmtId="10" fontId="40" fillId="0" borderId="16" xfId="2" applyNumberFormat="1" applyFont="1" applyFill="1" applyBorder="1"/>
    <xf numFmtId="0" fontId="21" fillId="0" borderId="32" xfId="0" applyFont="1" applyBorder="1"/>
    <xf numFmtId="0" fontId="26" fillId="0" borderId="34" xfId="0" applyFont="1" applyBorder="1" applyAlignment="1">
      <alignment horizontal="right"/>
    </xf>
    <xf numFmtId="0" fontId="25" fillId="0" borderId="32" xfId="0" applyFont="1" applyBorder="1"/>
    <xf numFmtId="0" fontId="25" fillId="0" borderId="34" xfId="0" applyFont="1" applyBorder="1" applyAlignment="1">
      <alignment horizontal="right"/>
    </xf>
    <xf numFmtId="0" fontId="25" fillId="0" borderId="34" xfId="0" applyFont="1" applyBorder="1"/>
    <xf numFmtId="0" fontId="21" fillId="0" borderId="34" xfId="0" applyFont="1" applyBorder="1"/>
    <xf numFmtId="0" fontId="36" fillId="0" borderId="7" xfId="0" applyFont="1" applyBorder="1" applyAlignment="1">
      <alignment horizontal="center" vertical="center"/>
    </xf>
    <xf numFmtId="10" fontId="36" fillId="0" borderId="0" xfId="2" applyNumberFormat="1" applyFont="1" applyBorder="1" applyAlignment="1">
      <alignment horizontal="center" vertical="center"/>
    </xf>
    <xf numFmtId="10" fontId="36" fillId="0" borderId="13" xfId="2" applyNumberFormat="1" applyFont="1" applyBorder="1" applyAlignment="1">
      <alignment horizontal="center" vertical="center"/>
    </xf>
    <xf numFmtId="0" fontId="39" fillId="0" borderId="7" xfId="0" applyFont="1" applyBorder="1"/>
    <xf numFmtId="0" fontId="39" fillId="0" borderId="13" xfId="0" applyFont="1" applyBorder="1"/>
    <xf numFmtId="0" fontId="26" fillId="0" borderId="16" xfId="0" applyFont="1" applyBorder="1" applyAlignment="1">
      <alignment horizontal="center" vertical="center"/>
    </xf>
    <xf numFmtId="0" fontId="55" fillId="0" borderId="0" xfId="0" applyFont="1"/>
    <xf numFmtId="0" fontId="29" fillId="0" borderId="0" xfId="0" applyFont="1" applyAlignment="1">
      <alignment horizontal="center"/>
    </xf>
    <xf numFmtId="0" fontId="26" fillId="0" borderId="16" xfId="0" applyFont="1" applyBorder="1" applyAlignment="1">
      <alignment horizontal="right"/>
    </xf>
    <xf numFmtId="2" fontId="36" fillId="0" borderId="16" xfId="0" applyNumberFormat="1" applyFont="1" applyBorder="1" applyAlignment="1">
      <alignment horizontal="center"/>
    </xf>
    <xf numFmtId="43" fontId="36" fillId="0" borderId="0" xfId="1" applyFont="1" applyBorder="1" applyAlignment="1">
      <alignment horizontal="center" vertical="center"/>
    </xf>
    <xf numFmtId="43" fontId="36" fillId="0" borderId="0" xfId="1" applyFont="1" applyBorder="1" applyAlignment="1">
      <alignment vertical="center"/>
    </xf>
    <xf numFmtId="10" fontId="36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6" fillId="0" borderId="0" xfId="2" applyNumberFormat="1" applyFont="1" applyFill="1" applyBorder="1" applyAlignment="1">
      <alignment horizontal="center" vertical="center"/>
    </xf>
    <xf numFmtId="0" fontId="36" fillId="0" borderId="30" xfId="0" applyFont="1" applyBorder="1"/>
    <xf numFmtId="0" fontId="36" fillId="0" borderId="21" xfId="0" applyFont="1" applyBorder="1"/>
    <xf numFmtId="0" fontId="36" fillId="0" borderId="23" xfId="0" applyFont="1" applyBorder="1"/>
    <xf numFmtId="0" fontId="21" fillId="0" borderId="24" xfId="0" applyFont="1" applyBorder="1"/>
    <xf numFmtId="10" fontId="30" fillId="0" borderId="3" xfId="2" applyNumberFormat="1" applyFont="1" applyBorder="1" applyAlignment="1">
      <alignment horizontal="center" vertical="center"/>
    </xf>
    <xf numFmtId="164" fontId="23" fillId="0" borderId="0" xfId="1" applyNumberFormat="1" applyFont="1" applyFill="1" applyAlignment="1">
      <alignment horizontal="center"/>
    </xf>
    <xf numFmtId="164" fontId="23" fillId="0" borderId="0" xfId="1" applyNumberFormat="1" applyFont="1" applyFill="1" applyAlignment="1"/>
    <xf numFmtId="2" fontId="26" fillId="0" borderId="16" xfId="0" applyNumberFormat="1" applyFont="1" applyBorder="1" applyAlignment="1">
      <alignment horizontal="center" vertical="center"/>
    </xf>
    <xf numFmtId="10" fontId="26" fillId="0" borderId="16" xfId="2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right" vertical="center"/>
    </xf>
    <xf numFmtId="0" fontId="32" fillId="0" borderId="17" xfId="0" applyFont="1" applyBorder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6" fillId="0" borderId="0" xfId="0" applyFont="1"/>
    <xf numFmtId="0" fontId="56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7" fillId="0" borderId="0" xfId="0" applyFont="1"/>
    <xf numFmtId="0" fontId="39" fillId="0" borderId="0" xfId="0" applyFont="1" applyAlignment="1">
      <alignment horizontal="right"/>
    </xf>
    <xf numFmtId="0" fontId="39" fillId="0" borderId="2" xfId="0" applyFont="1" applyBorder="1" applyAlignment="1">
      <alignment horizontal="center"/>
    </xf>
    <xf numFmtId="0" fontId="54" fillId="0" borderId="0" xfId="0" applyFont="1"/>
    <xf numFmtId="10" fontId="30" fillId="0" borderId="10" xfId="2" applyNumberFormat="1" applyFont="1" applyFill="1" applyBorder="1" applyAlignment="1">
      <alignment horizontal="center" vertical="center"/>
    </xf>
    <xf numFmtId="168" fontId="40" fillId="0" borderId="16" xfId="1" applyNumberFormat="1" applyFont="1" applyFill="1" applyBorder="1"/>
    <xf numFmtId="15" fontId="36" fillId="0" borderId="24" xfId="0" applyNumberFormat="1" applyFont="1" applyBorder="1" applyAlignment="1">
      <alignment horizontal="center"/>
    </xf>
    <xf numFmtId="15" fontId="36" fillId="0" borderId="12" xfId="0" applyNumberFormat="1" applyFont="1" applyBorder="1" applyAlignment="1">
      <alignment horizontal="center"/>
    </xf>
    <xf numFmtId="15" fontId="36" fillId="0" borderId="13" xfId="0" applyNumberFormat="1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0" fillId="0" borderId="1" xfId="0" applyBorder="1"/>
    <xf numFmtId="0" fontId="36" fillId="0" borderId="1" xfId="0" applyFont="1" applyBorder="1" applyAlignment="1">
      <alignment horizontal="center"/>
    </xf>
    <xf numFmtId="10" fontId="40" fillId="0" borderId="1" xfId="2" applyNumberFormat="1" applyFont="1" applyFill="1" applyBorder="1" applyAlignment="1">
      <alignment horizontal="center"/>
    </xf>
    <xf numFmtId="43" fontId="40" fillId="0" borderId="1" xfId="1" applyFont="1" applyFill="1" applyBorder="1" applyAlignment="1">
      <alignment horizontal="center"/>
    </xf>
    <xf numFmtId="43" fontId="40" fillId="0" borderId="0" xfId="1" applyFont="1" applyAlignment="1">
      <alignment horizontal="center"/>
    </xf>
    <xf numFmtId="43" fontId="40" fillId="0" borderId="0" xfId="1" applyFont="1" applyFill="1" applyAlignment="1">
      <alignment horizontal="center"/>
    </xf>
    <xf numFmtId="0" fontId="53" fillId="0" borderId="0" xfId="0" applyFont="1" applyAlignment="1">
      <alignment horizontal="right"/>
    </xf>
    <xf numFmtId="2" fontId="53" fillId="0" borderId="0" xfId="0" applyNumberFormat="1" applyFont="1"/>
    <xf numFmtId="0" fontId="36" fillId="0" borderId="5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164" fontId="40" fillId="0" borderId="10" xfId="1" applyNumberFormat="1" applyFont="1" applyFill="1" applyBorder="1" applyAlignment="1">
      <alignment horizontal="center"/>
    </xf>
    <xf numFmtId="164" fontId="40" fillId="0" borderId="3" xfId="1" applyNumberFormat="1" applyFont="1" applyFill="1" applyBorder="1" applyAlignment="1">
      <alignment horizontal="center"/>
    </xf>
    <xf numFmtId="164" fontId="40" fillId="0" borderId="13" xfId="1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0" fontId="40" fillId="0" borderId="0" xfId="2" applyNumberFormat="1" applyFont="1" applyFill="1" applyBorder="1" applyAlignment="1">
      <alignment horizontal="center"/>
    </xf>
    <xf numFmtId="10" fontId="40" fillId="0" borderId="0" xfId="2" applyNumberFormat="1" applyFont="1" applyBorder="1" applyAlignment="1">
      <alignment horizontal="center" vertical="center"/>
    </xf>
    <xf numFmtId="10" fontId="30" fillId="0" borderId="3" xfId="2" applyNumberFormat="1" applyFont="1" applyFill="1" applyBorder="1" applyAlignment="1">
      <alignment horizontal="center" vertical="center"/>
    </xf>
    <xf numFmtId="0" fontId="30" fillId="0" borderId="32" xfId="0" applyFont="1" applyBorder="1"/>
    <xf numFmtId="0" fontId="21" fillId="0" borderId="33" xfId="0" applyFont="1" applyBorder="1"/>
    <xf numFmtId="0" fontId="36" fillId="0" borderId="32" xfId="0" applyFont="1" applyBorder="1"/>
    <xf numFmtId="0" fontId="36" fillId="0" borderId="34" xfId="0" applyFont="1" applyBorder="1"/>
    <xf numFmtId="0" fontId="40" fillId="3" borderId="20" xfId="0" applyFont="1" applyFill="1" applyBorder="1"/>
    <xf numFmtId="0" fontId="36" fillId="0" borderId="32" xfId="0" applyFont="1" applyBorder="1" applyAlignment="1">
      <alignment horizontal="right"/>
    </xf>
    <xf numFmtId="43" fontId="36" fillId="0" borderId="0" xfId="0" applyNumberFormat="1" applyFont="1"/>
    <xf numFmtId="0" fontId="37" fillId="0" borderId="35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37" xfId="0" applyFont="1" applyBorder="1" applyAlignment="1">
      <alignment horizontal="center"/>
    </xf>
    <xf numFmtId="0" fontId="60" fillId="0" borderId="0" xfId="0" applyFont="1" applyAlignment="1">
      <alignment horizontal="left" vertical="top" wrapText="1"/>
    </xf>
    <xf numFmtId="0" fontId="30" fillId="0" borderId="28" xfId="0" applyFont="1" applyBorder="1" applyAlignment="1">
      <alignment horizontal="center"/>
    </xf>
    <xf numFmtId="0" fontId="39" fillId="3" borderId="26" xfId="0" applyFont="1" applyFill="1" applyBorder="1" applyAlignment="1">
      <alignment horizontal="center"/>
    </xf>
    <xf numFmtId="0" fontId="21" fillId="3" borderId="26" xfId="0" applyFont="1" applyFill="1" applyBorder="1" applyAlignment="1">
      <alignment horizontal="center"/>
    </xf>
    <xf numFmtId="0" fontId="39" fillId="3" borderId="27" xfId="0" applyFont="1" applyFill="1" applyBorder="1" applyAlignment="1">
      <alignment horizontal="center"/>
    </xf>
    <xf numFmtId="0" fontId="21" fillId="3" borderId="27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/>
    </xf>
    <xf numFmtId="0" fontId="39" fillId="3" borderId="25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/>
    </xf>
    <xf numFmtId="164" fontId="24" fillId="0" borderId="0" xfId="1" applyNumberFormat="1" applyFont="1" applyFill="1" applyAlignment="1">
      <alignment horizontal="center"/>
    </xf>
    <xf numFmtId="0" fontId="0" fillId="0" borderId="4" xfId="0" applyBorder="1"/>
    <xf numFmtId="0" fontId="0" fillId="0" borderId="33" xfId="0" applyBorder="1"/>
    <xf numFmtId="0" fontId="23" fillId="0" borderId="1" xfId="0" applyFont="1" applyBorder="1" applyAlignment="1">
      <alignment horizontal="right"/>
    </xf>
    <xf numFmtId="164" fontId="24" fillId="0" borderId="1" xfId="1" applyNumberFormat="1" applyFont="1" applyFill="1" applyBorder="1" applyAlignment="1">
      <alignment horizontal="center"/>
    </xf>
    <xf numFmtId="10" fontId="24" fillId="0" borderId="1" xfId="2" applyNumberFormat="1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44" fontId="24" fillId="0" borderId="0" xfId="3" applyFont="1" applyFill="1" applyAlignment="1">
      <alignment horizontal="center"/>
    </xf>
    <xf numFmtId="10" fontId="24" fillId="0" borderId="0" xfId="2" applyNumberFormat="1" applyFont="1" applyFill="1" applyAlignment="1">
      <alignment horizontal="right" vertical="center"/>
    </xf>
    <xf numFmtId="10" fontId="24" fillId="0" borderId="1" xfId="2" applyNumberFormat="1" applyFont="1" applyFill="1" applyBorder="1" applyAlignment="1">
      <alignment horizontal="right" vertical="center"/>
    </xf>
    <xf numFmtId="43" fontId="24" fillId="0" borderId="0" xfId="1" applyFont="1" applyFill="1" applyAlignment="1">
      <alignment horizontal="center" vertical="center"/>
    </xf>
    <xf numFmtId="43" fontId="26" fillId="0" borderId="16" xfId="1" applyFont="1" applyFill="1" applyBorder="1" applyAlignment="1">
      <alignment horizontal="center" vertical="center"/>
    </xf>
    <xf numFmtId="43" fontId="24" fillId="0" borderId="1" xfId="1" applyFont="1" applyFill="1" applyBorder="1" applyAlignment="1">
      <alignment horizontal="right" vertical="center"/>
    </xf>
    <xf numFmtId="3" fontId="40" fillId="0" borderId="10" xfId="0" applyNumberFormat="1" applyFont="1" applyBorder="1"/>
    <xf numFmtId="165" fontId="24" fillId="0" borderId="0" xfId="3" applyNumberFormat="1" applyFont="1" applyFill="1" applyAlignment="1">
      <alignment horizontal="right"/>
    </xf>
    <xf numFmtId="3" fontId="40" fillId="0" borderId="3" xfId="0" applyNumberFormat="1" applyFont="1" applyBorder="1"/>
    <xf numFmtId="169" fontId="21" fillId="0" borderId="0" xfId="0" applyNumberFormat="1" applyFont="1"/>
    <xf numFmtId="3" fontId="40" fillId="0" borderId="0" xfId="0" applyNumberFormat="1" applyFont="1"/>
    <xf numFmtId="0" fontId="40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right" vertical="center"/>
    </xf>
    <xf numFmtId="164" fontId="40" fillId="0" borderId="2" xfId="1" applyNumberFormat="1" applyFont="1" applyFill="1" applyBorder="1"/>
    <xf numFmtId="0" fontId="36" fillId="0" borderId="1" xfId="0" applyFont="1" applyBorder="1" applyAlignment="1">
      <alignment horizontal="right"/>
    </xf>
    <xf numFmtId="10" fontId="36" fillId="0" borderId="1" xfId="2" applyNumberFormat="1" applyFont="1" applyBorder="1"/>
    <xf numFmtId="2" fontId="24" fillId="0" borderId="1" xfId="0" applyNumberFormat="1" applyFont="1" applyBorder="1" applyAlignment="1">
      <alignment horizontal="right" vertical="center"/>
    </xf>
    <xf numFmtId="10" fontId="30" fillId="0" borderId="0" xfId="2" applyNumberFormat="1" applyFont="1" applyFill="1" applyBorder="1" applyAlignment="1">
      <alignment horizontal="center" vertical="center"/>
    </xf>
    <xf numFmtId="0" fontId="21" fillId="0" borderId="21" xfId="0" applyFont="1" applyBorder="1"/>
    <xf numFmtId="0" fontId="21" fillId="0" borderId="23" xfId="0" applyFont="1" applyBorder="1"/>
    <xf numFmtId="0" fontId="61" fillId="0" borderId="0" xfId="0" applyFont="1"/>
    <xf numFmtId="0" fontId="38" fillId="0" borderId="28" xfId="0" applyFont="1" applyBorder="1"/>
    <xf numFmtId="10" fontId="38" fillId="0" borderId="28" xfId="2" applyNumberFormat="1" applyFont="1" applyFill="1" applyBorder="1"/>
    <xf numFmtId="2" fontId="38" fillId="0" borderId="28" xfId="0" applyNumberFormat="1" applyFont="1" applyBorder="1"/>
    <xf numFmtId="2" fontId="26" fillId="0" borderId="0" xfId="0" applyNumberFormat="1" applyFont="1" applyAlignment="1">
      <alignment horizontal="center"/>
    </xf>
    <xf numFmtId="10" fontId="26" fillId="0" borderId="0" xfId="2" applyNumberFormat="1" applyFont="1" applyFill="1" applyBorder="1" applyAlignment="1">
      <alignment horizontal="center"/>
    </xf>
    <xf numFmtId="3" fontId="36" fillId="0" borderId="10" xfId="0" applyNumberFormat="1" applyFont="1" applyBorder="1" applyAlignment="1">
      <alignment horizontal="right" vertical="center"/>
    </xf>
    <xf numFmtId="0" fontId="23" fillId="0" borderId="7" xfId="0" applyFont="1" applyBorder="1"/>
    <xf numFmtId="0" fontId="24" fillId="0" borderId="8" xfId="0" applyFont="1" applyBorder="1"/>
    <xf numFmtId="0" fontId="37" fillId="0" borderId="17" xfId="0" applyFont="1" applyBorder="1" applyAlignment="1">
      <alignment horizontal="center"/>
    </xf>
    <xf numFmtId="0" fontId="63" fillId="0" borderId="0" xfId="0" applyFont="1"/>
    <xf numFmtId="0" fontId="22" fillId="0" borderId="20" xfId="0" applyFont="1" applyBorder="1"/>
    <xf numFmtId="0" fontId="15" fillId="0" borderId="0" xfId="0" applyFont="1" applyAlignment="1">
      <alignment horizontal="center"/>
    </xf>
    <xf numFmtId="0" fontId="64" fillId="0" borderId="0" xfId="0" applyFont="1"/>
    <xf numFmtId="0" fontId="55" fillId="0" borderId="20" xfId="0" applyFont="1" applyBorder="1"/>
    <xf numFmtId="164" fontId="48" fillId="0" borderId="0" xfId="1" applyNumberFormat="1" applyFont="1" applyFill="1" applyBorder="1"/>
    <xf numFmtId="43" fontId="24" fillId="0" borderId="1" xfId="1" applyFont="1" applyFill="1" applyBorder="1" applyAlignment="1">
      <alignment horizontal="center" vertical="center"/>
    </xf>
    <xf numFmtId="164" fontId="36" fillId="0" borderId="0" xfId="1" applyNumberFormat="1" applyFont="1"/>
    <xf numFmtId="164" fontId="36" fillId="0" borderId="10" xfId="1" applyNumberFormat="1" applyFont="1" applyFill="1" applyBorder="1"/>
    <xf numFmtId="164" fontId="39" fillId="0" borderId="0" xfId="1" applyNumberFormat="1" applyFont="1"/>
    <xf numFmtId="0" fontId="37" fillId="0" borderId="0" xfId="0" applyFont="1" applyAlignment="1">
      <alignment horizontal="center"/>
    </xf>
    <xf numFmtId="2" fontId="40" fillId="0" borderId="3" xfId="0" applyNumberFormat="1" applyFont="1" applyBorder="1" applyAlignment="1">
      <alignment horizontal="center"/>
    </xf>
    <xf numFmtId="0" fontId="22" fillId="0" borderId="20" xfId="0" applyFont="1" applyBorder="1" applyAlignment="1">
      <alignment horizontal="left"/>
    </xf>
    <xf numFmtId="0" fontId="40" fillId="0" borderId="3" xfId="0" applyFont="1" applyBorder="1" applyAlignment="1">
      <alignment horizontal="center"/>
    </xf>
    <xf numFmtId="2" fontId="24" fillId="0" borderId="0" xfId="0" applyNumberFormat="1" applyFont="1" applyAlignment="1">
      <alignment horizontal="right"/>
    </xf>
    <xf numFmtId="10" fontId="40" fillId="0" borderId="28" xfId="2" applyNumberFormat="1" applyFont="1" applyFill="1" applyBorder="1" applyAlignment="1">
      <alignment horizontal="center"/>
    </xf>
    <xf numFmtId="0" fontId="40" fillId="0" borderId="18" xfId="0" applyFont="1" applyBorder="1"/>
    <xf numFmtId="10" fontId="24" fillId="0" borderId="1" xfId="2" applyNumberFormat="1" applyFont="1" applyBorder="1" applyAlignment="1">
      <alignment horizontal="right" vertical="center"/>
    </xf>
    <xf numFmtId="0" fontId="30" fillId="0" borderId="3" xfId="0" applyFont="1" applyBorder="1" applyAlignment="1">
      <alignment horizontal="center"/>
    </xf>
    <xf numFmtId="0" fontId="40" fillId="3" borderId="22" xfId="0" applyFont="1" applyFill="1" applyBorder="1"/>
    <xf numFmtId="164" fontId="0" fillId="0" borderId="0" xfId="1" applyNumberFormat="1" applyFont="1"/>
    <xf numFmtId="165" fontId="23" fillId="0" borderId="0" xfId="3" applyNumberFormat="1" applyFont="1"/>
    <xf numFmtId="16" fontId="21" fillId="0" borderId="0" xfId="0" applyNumberFormat="1" applyFont="1"/>
    <xf numFmtId="17" fontId="21" fillId="0" borderId="0" xfId="0" applyNumberFormat="1" applyFont="1"/>
    <xf numFmtId="16" fontId="23" fillId="0" borderId="0" xfId="0" applyNumberFormat="1" applyFont="1" applyAlignment="1">
      <alignment horizontal="right"/>
    </xf>
    <xf numFmtId="0" fontId="24" fillId="0" borderId="7" xfId="0" applyFont="1" applyBorder="1"/>
    <xf numFmtId="10" fontId="40" fillId="0" borderId="0" xfId="2" applyNumberFormat="1" applyFont="1" applyFill="1" applyAlignment="1">
      <alignment horizontal="right"/>
    </xf>
    <xf numFmtId="10" fontId="23" fillId="0" borderId="0" xfId="0" applyNumberFormat="1" applyFont="1" applyAlignment="1">
      <alignment horizontal="right"/>
    </xf>
    <xf numFmtId="0" fontId="38" fillId="0" borderId="16" xfId="0" applyFont="1" applyBorder="1" applyAlignment="1">
      <alignment horizontal="center"/>
    </xf>
    <xf numFmtId="10" fontId="26" fillId="0" borderId="16" xfId="2" applyNumberFormat="1" applyFont="1" applyFill="1" applyBorder="1" applyAlignment="1">
      <alignment horizontal="center"/>
    </xf>
    <xf numFmtId="10" fontId="24" fillId="0" borderId="0" xfId="0" applyNumberFormat="1" applyFont="1" applyAlignment="1">
      <alignment horizontal="center"/>
    </xf>
    <xf numFmtId="10" fontId="24" fillId="0" borderId="0" xfId="2" applyNumberFormat="1" applyFont="1" applyAlignment="1">
      <alignment horizontal="right"/>
    </xf>
    <xf numFmtId="10" fontId="24" fillId="0" borderId="4" xfId="2" applyNumberFormat="1" applyFont="1" applyFill="1" applyBorder="1" applyAlignment="1">
      <alignment horizontal="right"/>
    </xf>
    <xf numFmtId="10" fontId="24" fillId="0" borderId="4" xfId="2" applyNumberFormat="1" applyFont="1" applyBorder="1" applyAlignment="1">
      <alignment horizontal="right"/>
    </xf>
    <xf numFmtId="10" fontId="23" fillId="0" borderId="0" xfId="2" applyNumberFormat="1" applyFont="1" applyFill="1" applyAlignment="1">
      <alignment horizontal="right" vertical="center"/>
    </xf>
    <xf numFmtId="10" fontId="23" fillId="0" borderId="0" xfId="2" applyNumberFormat="1" applyFont="1" applyFill="1" applyBorder="1" applyAlignment="1">
      <alignment horizontal="right" vertical="center"/>
    </xf>
    <xf numFmtId="10" fontId="25" fillId="0" borderId="16" xfId="2" applyNumberFormat="1" applyFont="1" applyFill="1" applyBorder="1"/>
    <xf numFmtId="10" fontId="25" fillId="0" borderId="16" xfId="2" applyNumberFormat="1" applyFont="1" applyFill="1" applyBorder="1" applyAlignment="1">
      <alignment horizontal="center"/>
    </xf>
    <xf numFmtId="2" fontId="38" fillId="0" borderId="18" xfId="0" applyNumberFormat="1" applyFont="1" applyBorder="1"/>
    <xf numFmtId="43" fontId="38" fillId="0" borderId="28" xfId="1" applyFont="1" applyFill="1" applyBorder="1"/>
    <xf numFmtId="2" fontId="26" fillId="0" borderId="16" xfId="0" applyNumberFormat="1" applyFont="1" applyBorder="1" applyAlignment="1">
      <alignment horizontal="center"/>
    </xf>
    <xf numFmtId="2" fontId="36" fillId="0" borderId="34" xfId="0" applyNumberFormat="1" applyFont="1" applyBorder="1" applyAlignment="1">
      <alignment horizontal="center"/>
    </xf>
    <xf numFmtId="43" fontId="40" fillId="0" borderId="0" xfId="1" applyFont="1" applyFill="1" applyAlignment="1">
      <alignment horizontal="center" vertical="center"/>
    </xf>
    <xf numFmtId="43" fontId="40" fillId="0" borderId="1" xfId="1" applyFont="1" applyFill="1" applyBorder="1" applyAlignment="1">
      <alignment horizontal="center" vertical="center"/>
    </xf>
    <xf numFmtId="43" fontId="36" fillId="0" borderId="0" xfId="1" applyFont="1" applyFill="1" applyAlignment="1">
      <alignment horizontal="center"/>
    </xf>
    <xf numFmtId="2" fontId="40" fillId="0" borderId="0" xfId="0" applyNumberFormat="1" applyFont="1" applyAlignment="1">
      <alignment horizontal="right"/>
    </xf>
    <xf numFmtId="2" fontId="40" fillId="0" borderId="4" xfId="0" applyNumberFormat="1" applyFont="1" applyBorder="1" applyAlignment="1">
      <alignment horizontal="right"/>
    </xf>
    <xf numFmtId="10" fontId="24" fillId="0" borderId="0" xfId="0" applyNumberFormat="1" applyFont="1" applyAlignment="1">
      <alignment horizontal="right"/>
    </xf>
    <xf numFmtId="164" fontId="36" fillId="0" borderId="0" xfId="1" applyNumberFormat="1" applyFont="1" applyFill="1"/>
    <xf numFmtId="0" fontId="36" fillId="4" borderId="38" xfId="0" applyFont="1" applyFill="1" applyBorder="1"/>
    <xf numFmtId="0" fontId="36" fillId="4" borderId="20" xfId="0" applyFont="1" applyFill="1" applyBorder="1"/>
    <xf numFmtId="0" fontId="40" fillId="4" borderId="20" xfId="0" applyFont="1" applyFill="1" applyBorder="1"/>
    <xf numFmtId="10" fontId="40" fillId="4" borderId="38" xfId="2" applyNumberFormat="1" applyFont="1" applyFill="1" applyBorder="1" applyAlignment="1">
      <alignment horizontal="center"/>
    </xf>
    <xf numFmtId="10" fontId="40" fillId="4" borderId="20" xfId="2" applyNumberFormat="1" applyFont="1" applyFill="1" applyBorder="1" applyAlignment="1">
      <alignment horizontal="center"/>
    </xf>
    <xf numFmtId="0" fontId="21" fillId="0" borderId="20" xfId="0" applyFont="1" applyBorder="1"/>
    <xf numFmtId="10" fontId="21" fillId="0" borderId="20" xfId="2" applyNumberFormat="1" applyFont="1" applyFill="1" applyBorder="1"/>
    <xf numFmtId="10" fontId="21" fillId="0" borderId="20" xfId="0" applyNumberFormat="1" applyFont="1" applyBorder="1"/>
    <xf numFmtId="0" fontId="21" fillId="0" borderId="8" xfId="0" applyFont="1" applyBorder="1"/>
    <xf numFmtId="0" fontId="21" fillId="0" borderId="14" xfId="0" applyFont="1" applyBorder="1"/>
    <xf numFmtId="0" fontId="0" fillId="0" borderId="8" xfId="0" applyBorder="1"/>
    <xf numFmtId="0" fontId="0" fillId="0" borderId="14" xfId="0" applyBorder="1"/>
    <xf numFmtId="0" fontId="36" fillId="4" borderId="26" xfId="0" applyFont="1" applyFill="1" applyBorder="1"/>
    <xf numFmtId="0" fontId="40" fillId="4" borderId="26" xfId="0" applyFont="1" applyFill="1" applyBorder="1"/>
    <xf numFmtId="0" fontId="40" fillId="3" borderId="26" xfId="0" applyFont="1" applyFill="1" applyBorder="1"/>
    <xf numFmtId="10" fontId="40" fillId="3" borderId="20" xfId="2" applyNumberFormat="1" applyFont="1" applyFill="1" applyBorder="1" applyAlignment="1">
      <alignment horizontal="center"/>
    </xf>
    <xf numFmtId="10" fontId="26" fillId="0" borderId="16" xfId="2" applyNumberFormat="1" applyFont="1" applyFill="1" applyBorder="1" applyAlignment="1">
      <alignment horizontal="center" vertical="center"/>
    </xf>
    <xf numFmtId="10" fontId="44" fillId="0" borderId="16" xfId="2" applyNumberFormat="1" applyFont="1" applyFill="1" applyBorder="1" applyAlignment="1">
      <alignment horizontal="center"/>
    </xf>
    <xf numFmtId="10" fontId="26" fillId="0" borderId="16" xfId="2" applyNumberFormat="1" applyFont="1" applyFill="1" applyBorder="1" applyAlignment="1">
      <alignment horizontal="right"/>
    </xf>
    <xf numFmtId="10" fontId="26" fillId="0" borderId="34" xfId="0" applyNumberFormat="1" applyFont="1" applyBorder="1"/>
    <xf numFmtId="0" fontId="0" fillId="0" borderId="20" xfId="0" applyBorder="1"/>
    <xf numFmtId="10" fontId="40" fillId="3" borderId="22" xfId="2" applyNumberFormat="1" applyFont="1" applyFill="1" applyBorder="1" applyAlignment="1">
      <alignment horizontal="center"/>
    </xf>
    <xf numFmtId="10" fontId="24" fillId="0" borderId="0" xfId="1" applyNumberFormat="1" applyFont="1" applyFill="1" applyAlignment="1">
      <alignment horizontal="right" vertical="center"/>
    </xf>
    <xf numFmtId="10" fontId="24" fillId="0" borderId="1" xfId="1" applyNumberFormat="1" applyFont="1" applyFill="1" applyBorder="1" applyAlignment="1">
      <alignment horizontal="right" vertical="center"/>
    </xf>
    <xf numFmtId="0" fontId="50" fillId="0" borderId="0" xfId="6" applyFont="1"/>
    <xf numFmtId="10" fontId="40" fillId="0" borderId="0" xfId="2" applyNumberFormat="1" applyFont="1" applyFill="1" applyBorder="1" applyAlignment="1">
      <alignment horizontal="center" vertical="center"/>
    </xf>
    <xf numFmtId="10" fontId="40" fillId="0" borderId="13" xfId="2" applyNumberFormat="1" applyFont="1" applyFill="1" applyBorder="1" applyAlignment="1">
      <alignment horizontal="center" vertical="center"/>
    </xf>
    <xf numFmtId="43" fontId="40" fillId="0" borderId="0" xfId="1" applyFont="1" applyFill="1" applyBorder="1" applyAlignment="1">
      <alignment horizontal="right" vertical="center"/>
    </xf>
    <xf numFmtId="0" fontId="39" fillId="0" borderId="24" xfId="0" applyFont="1" applyBorder="1"/>
    <xf numFmtId="10" fontId="40" fillId="0" borderId="10" xfId="2" applyNumberFormat="1" applyFont="1" applyFill="1" applyBorder="1"/>
    <xf numFmtId="10" fontId="40" fillId="0" borderId="3" xfId="2" applyNumberFormat="1" applyFont="1" applyFill="1" applyBorder="1"/>
    <xf numFmtId="0" fontId="39" fillId="0" borderId="10" xfId="0" applyFont="1" applyBorder="1"/>
    <xf numFmtId="164" fontId="40" fillId="0" borderId="10" xfId="1" applyNumberFormat="1" applyFont="1" applyFill="1" applyBorder="1"/>
    <xf numFmtId="164" fontId="40" fillId="0" borderId="3" xfId="1" applyNumberFormat="1" applyFont="1" applyFill="1" applyBorder="1"/>
    <xf numFmtId="15" fontId="36" fillId="0" borderId="24" xfId="0" quotePrefix="1" applyNumberFormat="1" applyFont="1" applyBorder="1" applyAlignment="1">
      <alignment horizontal="center"/>
    </xf>
    <xf numFmtId="0" fontId="30" fillId="3" borderId="25" xfId="0" applyFont="1" applyFill="1" applyBorder="1" applyAlignment="1">
      <alignment horizontal="center"/>
    </xf>
    <xf numFmtId="10" fontId="24" fillId="3" borderId="10" xfId="2" applyNumberFormat="1" applyFont="1" applyFill="1" applyBorder="1" applyAlignment="1">
      <alignment horizontal="center"/>
    </xf>
    <xf numFmtId="10" fontId="24" fillId="3" borderId="3" xfId="2" applyNumberFormat="1" applyFont="1" applyFill="1" applyBorder="1" applyAlignment="1">
      <alignment horizontal="center"/>
    </xf>
    <xf numFmtId="10" fontId="24" fillId="3" borderId="3" xfId="1" applyNumberFormat="1" applyFont="1" applyFill="1" applyBorder="1" applyAlignment="1">
      <alignment horizontal="center"/>
    </xf>
    <xf numFmtId="10" fontId="24" fillId="3" borderId="24" xfId="1" applyNumberFormat="1" applyFont="1" applyFill="1" applyBorder="1" applyAlignment="1">
      <alignment horizontal="center"/>
    </xf>
    <xf numFmtId="10" fontId="24" fillId="3" borderId="10" xfId="1" applyNumberFormat="1" applyFont="1" applyFill="1" applyBorder="1" applyAlignment="1">
      <alignment horizontal="center"/>
    </xf>
    <xf numFmtId="0" fontId="21" fillId="3" borderId="39" xfId="0" applyFont="1" applyFill="1" applyBorder="1" applyAlignment="1">
      <alignment horizontal="center"/>
    </xf>
    <xf numFmtId="0" fontId="39" fillId="3" borderId="0" xfId="0" applyFont="1" applyFill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21" fillId="3" borderId="40" xfId="0" applyFont="1" applyFill="1" applyBorder="1" applyAlignment="1">
      <alignment horizontal="center"/>
    </xf>
    <xf numFmtId="0" fontId="39" fillId="3" borderId="20" xfId="0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0" fontId="39" fillId="3" borderId="22" xfId="0" applyFont="1" applyFill="1" applyBorder="1" applyAlignment="1">
      <alignment horizontal="center"/>
    </xf>
    <xf numFmtId="0" fontId="61" fillId="3" borderId="16" xfId="0" applyFont="1" applyFill="1" applyBorder="1"/>
    <xf numFmtId="43" fontId="53" fillId="0" borderId="0" xfId="1" applyFont="1"/>
    <xf numFmtId="165" fontId="24" fillId="0" borderId="0" xfId="0" applyNumberFormat="1" applyFont="1" applyAlignment="1">
      <alignment horizontal="center" vertical="center"/>
    </xf>
    <xf numFmtId="0" fontId="62" fillId="3" borderId="24" xfId="0" applyFont="1" applyFill="1" applyBorder="1" applyAlignment="1">
      <alignment horizontal="center" vertical="center" wrapText="1"/>
    </xf>
    <xf numFmtId="0" fontId="66" fillId="0" borderId="0" xfId="0" applyFont="1"/>
    <xf numFmtId="0" fontId="67" fillId="0" borderId="0" xfId="0" applyFont="1"/>
    <xf numFmtId="0" fontId="68" fillId="0" borderId="0" xfId="6" applyFont="1"/>
    <xf numFmtId="0" fontId="65" fillId="0" borderId="0" xfId="0" applyFont="1"/>
    <xf numFmtId="0" fontId="49" fillId="5" borderId="25" xfId="0" applyFont="1" applyFill="1" applyBorder="1" applyAlignment="1">
      <alignment horizontal="center"/>
    </xf>
    <xf numFmtId="0" fontId="49" fillId="5" borderId="27" xfId="0" applyFont="1" applyFill="1" applyBorder="1" applyAlignment="1">
      <alignment horizontal="center"/>
    </xf>
    <xf numFmtId="0" fontId="30" fillId="0" borderId="29" xfId="0" applyFont="1" applyBorder="1"/>
    <xf numFmtId="10" fontId="49" fillId="0" borderId="25" xfId="2" applyNumberFormat="1" applyFont="1" applyFill="1" applyBorder="1" applyAlignment="1">
      <alignment horizontal="center"/>
    </xf>
    <xf numFmtId="0" fontId="30" fillId="0" borderId="20" xfId="0" applyFont="1" applyBorder="1"/>
    <xf numFmtId="10" fontId="49" fillId="0" borderId="26" xfId="2" applyNumberFormat="1" applyFont="1" applyFill="1" applyBorder="1" applyAlignment="1">
      <alignment horizontal="center"/>
    </xf>
    <xf numFmtId="0" fontId="30" fillId="0" borderId="22" xfId="0" applyFont="1" applyBorder="1"/>
    <xf numFmtId="10" fontId="49" fillId="0" borderId="27" xfId="2" applyNumberFormat="1" applyFont="1" applyFill="1" applyBorder="1" applyAlignment="1">
      <alignment horizontal="center"/>
    </xf>
    <xf numFmtId="10" fontId="30" fillId="0" borderId="26" xfId="2" applyNumberFormat="1" applyFont="1" applyFill="1" applyBorder="1" applyAlignment="1">
      <alignment horizontal="center"/>
    </xf>
    <xf numFmtId="10" fontId="30" fillId="0" borderId="27" xfId="2" applyNumberFormat="1" applyFont="1" applyFill="1" applyBorder="1" applyAlignment="1">
      <alignment horizontal="center"/>
    </xf>
    <xf numFmtId="10" fontId="49" fillId="0" borderId="26" xfId="2" applyNumberFormat="1" applyFont="1" applyBorder="1" applyAlignment="1">
      <alignment horizontal="center" vertical="center"/>
    </xf>
    <xf numFmtId="10" fontId="49" fillId="0" borderId="27" xfId="2" applyNumberFormat="1" applyFont="1" applyBorder="1" applyAlignment="1">
      <alignment horizontal="center" vertical="center"/>
    </xf>
    <xf numFmtId="10" fontId="30" fillId="0" borderId="25" xfId="2" applyNumberFormat="1" applyFont="1" applyFill="1" applyBorder="1" applyAlignment="1">
      <alignment horizontal="center"/>
    </xf>
    <xf numFmtId="0" fontId="21" fillId="0" borderId="31" xfId="0" applyFont="1" applyBorder="1"/>
    <xf numFmtId="0" fontId="21" fillId="0" borderId="30" xfId="0" applyFont="1" applyBorder="1"/>
    <xf numFmtId="0" fontId="21" fillId="0" borderId="1" xfId="0" applyFont="1" applyBorder="1"/>
    <xf numFmtId="0" fontId="0" fillId="0" borderId="31" xfId="0" applyBorder="1"/>
    <xf numFmtId="0" fontId="67" fillId="0" borderId="0" xfId="0" applyFont="1" applyAlignment="1">
      <alignment vertical="center"/>
    </xf>
    <xf numFmtId="15" fontId="70" fillId="0" borderId="0" xfId="0" quotePrefix="1" applyNumberFormat="1" applyFont="1" applyAlignment="1">
      <alignment horizontal="left"/>
    </xf>
    <xf numFmtId="0" fontId="71" fillId="0" borderId="0" xfId="0" applyFont="1" applyAlignment="1">
      <alignment vertical="center"/>
    </xf>
    <xf numFmtId="0" fontId="73" fillId="0" borderId="0" xfId="6" applyFont="1" applyAlignment="1">
      <alignment vertical="center"/>
    </xf>
    <xf numFmtId="0" fontId="68" fillId="0" borderId="0" xfId="6" applyFont="1" applyAlignment="1">
      <alignment vertical="center"/>
    </xf>
    <xf numFmtId="0" fontId="70" fillId="0" borderId="0" xfId="6" applyFont="1"/>
    <xf numFmtId="17" fontId="71" fillId="0" borderId="0" xfId="0" quotePrefix="1" applyNumberFormat="1" applyFont="1" applyAlignment="1">
      <alignment vertical="center"/>
    </xf>
    <xf numFmtId="0" fontId="74" fillId="0" borderId="0" xfId="6" applyFont="1" applyAlignment="1">
      <alignment vertical="center"/>
    </xf>
    <xf numFmtId="0" fontId="74" fillId="0" borderId="0" xfId="0" applyFont="1"/>
    <xf numFmtId="0" fontId="75" fillId="0" borderId="0" xfId="0" applyFont="1" applyAlignment="1">
      <alignment vertical="center"/>
    </xf>
    <xf numFmtId="0" fontId="5" fillId="0" borderId="0" xfId="0" applyFont="1"/>
    <xf numFmtId="10" fontId="76" fillId="0" borderId="25" xfId="2" applyNumberFormat="1" applyFont="1" applyFill="1" applyBorder="1" applyAlignment="1">
      <alignment horizontal="center"/>
    </xf>
    <xf numFmtId="10" fontId="76" fillId="0" borderId="26" xfId="2" applyNumberFormat="1" applyFont="1" applyFill="1" applyBorder="1" applyAlignment="1">
      <alignment horizontal="center"/>
    </xf>
    <xf numFmtId="10" fontId="76" fillId="0" borderId="27" xfId="2" applyNumberFormat="1" applyFont="1" applyFill="1" applyBorder="1" applyAlignment="1">
      <alignment horizontal="center"/>
    </xf>
    <xf numFmtId="0" fontId="40" fillId="0" borderId="29" xfId="0" applyFont="1" applyBorder="1"/>
    <xf numFmtId="0" fontId="0" fillId="0" borderId="30" xfId="0" applyBorder="1"/>
    <xf numFmtId="0" fontId="40" fillId="0" borderId="20" xfId="0" applyFont="1" applyBorder="1"/>
    <xf numFmtId="0" fontId="0" fillId="0" borderId="21" xfId="0" applyBorder="1"/>
    <xf numFmtId="0" fontId="40" fillId="0" borderId="22" xfId="0" applyFont="1" applyBorder="1"/>
    <xf numFmtId="0" fontId="0" fillId="0" borderId="23" xfId="0" applyBorder="1"/>
    <xf numFmtId="10" fontId="36" fillId="0" borderId="29" xfId="2" applyNumberFormat="1" applyFont="1" applyBorder="1" applyAlignment="1">
      <alignment horizontal="left"/>
    </xf>
    <xf numFmtId="0" fontId="36" fillId="0" borderId="20" xfId="0" applyFont="1" applyBorder="1"/>
    <xf numFmtId="0" fontId="77" fillId="0" borderId="22" xfId="6" applyFont="1" applyBorder="1"/>
    <xf numFmtId="0" fontId="30" fillId="5" borderId="28" xfId="0" applyFont="1" applyFill="1" applyBorder="1" applyAlignment="1">
      <alignment horizontal="center"/>
    </xf>
    <xf numFmtId="0" fontId="0" fillId="0" borderId="29" xfId="0" applyBorder="1"/>
    <xf numFmtId="0" fontId="79" fillId="0" borderId="31" xfId="0" applyFont="1" applyBorder="1" applyAlignment="1">
      <alignment horizontal="right"/>
    </xf>
    <xf numFmtId="0" fontId="0" fillId="0" borderId="25" xfId="0" applyBorder="1"/>
    <xf numFmtId="0" fontId="80" fillId="0" borderId="0" xfId="0" applyFont="1" applyAlignment="1">
      <alignment horizontal="right"/>
    </xf>
    <xf numFmtId="10" fontId="30" fillId="0" borderId="26" xfId="2" applyNumberFormat="1" applyFont="1" applyBorder="1" applyAlignment="1">
      <alignment horizontal="center"/>
    </xf>
    <xf numFmtId="0" fontId="30" fillId="0" borderId="0" xfId="0" applyFont="1" applyAlignment="1">
      <alignment horizontal="right" indent="1"/>
    </xf>
    <xf numFmtId="0" fontId="79" fillId="0" borderId="0" xfId="0" applyFont="1" applyAlignment="1">
      <alignment horizontal="right"/>
    </xf>
    <xf numFmtId="0" fontId="21" fillId="0" borderId="26" xfId="0" applyFont="1" applyBorder="1" applyAlignment="1">
      <alignment horizontal="center"/>
    </xf>
    <xf numFmtId="10" fontId="26" fillId="6" borderId="16" xfId="2" applyNumberFormat="1" applyFont="1" applyFill="1" applyBorder="1" applyAlignment="1">
      <alignment horizontal="center"/>
    </xf>
    <xf numFmtId="0" fontId="79" fillId="0" borderId="0" xfId="0" applyFont="1" applyAlignment="1">
      <alignment horizontal="right" vertical="center"/>
    </xf>
    <xf numFmtId="10" fontId="79" fillId="0" borderId="26" xfId="0" applyNumberFormat="1" applyFont="1" applyBorder="1" applyAlignment="1">
      <alignment horizontal="center"/>
    </xf>
    <xf numFmtId="0" fontId="0" fillId="0" borderId="22" xfId="0" applyBorder="1"/>
    <xf numFmtId="0" fontId="79" fillId="0" borderId="1" xfId="0" applyFont="1" applyBorder="1" applyAlignment="1">
      <alignment horizontal="right" vertical="center"/>
    </xf>
    <xf numFmtId="10" fontId="79" fillId="0" borderId="27" xfId="0" applyNumberFormat="1" applyFont="1" applyBorder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54" fillId="0" borderId="0" xfId="0" applyNumberFormat="1" applyFont="1" applyAlignment="1">
      <alignment horizontal="left"/>
    </xf>
    <xf numFmtId="10" fontId="69" fillId="0" borderId="0" xfId="2" applyNumberFormat="1" applyFont="1" applyFill="1" applyBorder="1" applyAlignment="1">
      <alignment horizontal="left"/>
    </xf>
    <xf numFmtId="0" fontId="78" fillId="0" borderId="0" xfId="0" applyFont="1" applyAlignment="1">
      <alignment horizontal="left"/>
    </xf>
    <xf numFmtId="10" fontId="44" fillId="6" borderId="16" xfId="2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82" fillId="0" borderId="0" xfId="0" applyFont="1"/>
    <xf numFmtId="1" fontId="24" fillId="0" borderId="0" xfId="0" applyNumberFormat="1" applyFont="1" applyAlignment="1">
      <alignment horizontal="right"/>
    </xf>
    <xf numFmtId="0" fontId="5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0" fillId="5" borderId="18" xfId="0" applyFont="1" applyFill="1" applyBorder="1" applyAlignment="1">
      <alignment horizontal="center"/>
    </xf>
    <xf numFmtId="0" fontId="30" fillId="5" borderId="42" xfId="0" applyFont="1" applyFill="1" applyBorder="1" applyAlignment="1">
      <alignment horizontal="center"/>
    </xf>
    <xf numFmtId="0" fontId="30" fillId="5" borderId="19" xfId="0" applyFont="1" applyFill="1" applyBorder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400049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142875</xdr:colOff>
      <xdr:row>46</xdr:row>
      <xdr:rowOff>133350</xdr:rowOff>
    </xdr:to>
    <xdr:pic>
      <xdr:nvPicPr>
        <xdr:cNvPr id="28673" name="Picture 1">
          <a:extLst>
            <a:ext uri="{FF2B5EF4-FFF2-40B4-BE49-F238E27FC236}">
              <a16:creationId xmlns:a16="http://schemas.microsoft.com/office/drawing/2014/main" id="{5F788A95-B4B5-A0D5-4916-A3058BE1C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48475" cy="88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0</xdr:row>
      <xdr:rowOff>0</xdr:rowOff>
    </xdr:from>
    <xdr:to>
      <xdr:col>22</xdr:col>
      <xdr:colOff>428625</xdr:colOff>
      <xdr:row>46</xdr:row>
      <xdr:rowOff>152400</xdr:rowOff>
    </xdr:to>
    <xdr:pic>
      <xdr:nvPicPr>
        <xdr:cNvPr id="28674" name="Picture 2">
          <a:extLst>
            <a:ext uri="{FF2B5EF4-FFF2-40B4-BE49-F238E27FC236}">
              <a16:creationId xmlns:a16="http://schemas.microsoft.com/office/drawing/2014/main" id="{10061263-4634-705F-CD29-9E1F49E8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0"/>
          <a:ext cx="6772275" cy="891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richmondfed.org/research/national_economy/cfo_survey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tabSelected="1" view="pageBreakPreview" zoomScale="60" zoomScaleNormal="100" workbookViewId="0">
      <selection activeCell="A10" sqref="A10"/>
    </sheetView>
  </sheetViews>
  <sheetFormatPr defaultRowHeight="15"/>
  <cols>
    <col min="9" max="9" width="16.42578125" customWidth="1"/>
  </cols>
  <sheetData>
    <row r="1" spans="1:13" ht="18.75">
      <c r="A1" s="478" t="s">
        <v>0</v>
      </c>
      <c r="B1" s="479"/>
      <c r="C1" s="479"/>
      <c r="D1" s="479"/>
      <c r="E1" s="479"/>
      <c r="F1" s="479"/>
      <c r="G1" s="479"/>
      <c r="H1" s="479"/>
      <c r="I1" s="479"/>
    </row>
    <row r="5" spans="1:13" ht="27">
      <c r="E5" s="480" t="s">
        <v>0</v>
      </c>
      <c r="F5" s="481"/>
      <c r="G5" s="481"/>
      <c r="H5" s="481"/>
      <c r="I5" s="481"/>
      <c r="J5" s="481"/>
      <c r="K5" s="481"/>
      <c r="L5" s="481"/>
      <c r="M5" s="481"/>
    </row>
    <row r="7" spans="1:13" ht="27">
      <c r="A7" s="482" t="s">
        <v>31</v>
      </c>
      <c r="B7" s="483"/>
      <c r="C7" s="483"/>
      <c r="D7" s="483"/>
      <c r="E7" s="483"/>
      <c r="F7" s="483"/>
      <c r="G7" s="483"/>
      <c r="H7" s="483"/>
      <c r="I7" s="483"/>
    </row>
    <row r="8" spans="1:13" ht="27">
      <c r="A8" s="6"/>
      <c r="B8" s="7"/>
      <c r="C8" s="7"/>
      <c r="D8" s="7"/>
      <c r="E8" s="480" t="s">
        <v>0</v>
      </c>
      <c r="F8" s="481"/>
      <c r="G8" s="481"/>
      <c r="H8" s="481"/>
      <c r="I8" s="481"/>
      <c r="J8" s="481"/>
      <c r="K8" s="481"/>
      <c r="L8" s="481"/>
      <c r="M8" s="481"/>
    </row>
    <row r="9" spans="1:13" ht="27">
      <c r="A9" s="480" t="s">
        <v>447</v>
      </c>
      <c r="B9" s="481"/>
      <c r="C9" s="481"/>
      <c r="D9" s="481"/>
      <c r="E9" s="481"/>
      <c r="F9" s="481"/>
      <c r="G9" s="481"/>
      <c r="H9" s="481"/>
      <c r="I9" s="481"/>
    </row>
    <row r="15" spans="1:13">
      <c r="A15" s="475" t="s">
        <v>0</v>
      </c>
      <c r="B15" s="476"/>
      <c r="C15" s="476"/>
      <c r="D15" s="476"/>
      <c r="E15" s="476"/>
      <c r="F15" s="476"/>
      <c r="G15" s="476"/>
      <c r="H15" s="476"/>
      <c r="I15" s="476"/>
    </row>
    <row r="16" spans="1:13" ht="33.75">
      <c r="A16" s="473" t="str">
        <f>+'S&amp;D'!A12</f>
        <v>Natural Gas Utility Distribution</v>
      </c>
      <c r="B16" s="474"/>
      <c r="C16" s="474"/>
      <c r="D16" s="474"/>
      <c r="E16" s="474"/>
      <c r="F16" s="474"/>
      <c r="G16" s="474"/>
      <c r="H16" s="474"/>
      <c r="I16" s="474"/>
    </row>
    <row r="17" spans="1:9">
      <c r="A17" s="475" t="s">
        <v>0</v>
      </c>
      <c r="B17" s="476"/>
      <c r="C17" s="476"/>
      <c r="D17" s="476"/>
      <c r="E17" s="476"/>
      <c r="F17" s="476"/>
      <c r="G17" s="476"/>
      <c r="H17" s="476"/>
      <c r="I17" s="476"/>
    </row>
    <row r="18" spans="1:9">
      <c r="A18" s="8"/>
      <c r="B18" s="9"/>
      <c r="C18" s="9"/>
      <c r="D18" s="9"/>
      <c r="E18" s="9"/>
      <c r="F18" s="9"/>
      <c r="G18" s="9"/>
      <c r="H18" s="9"/>
      <c r="I18" s="9"/>
    </row>
    <row r="19" spans="1:9">
      <c r="A19" s="8"/>
      <c r="B19" s="9"/>
      <c r="C19" s="9"/>
      <c r="D19" s="9"/>
      <c r="E19" s="9"/>
      <c r="F19" s="9"/>
      <c r="G19" s="9"/>
      <c r="H19" s="9"/>
      <c r="I19" s="9"/>
    </row>
    <row r="20" spans="1:9">
      <c r="A20" s="8"/>
      <c r="B20" s="9"/>
      <c r="C20" s="9"/>
      <c r="D20" s="9"/>
      <c r="E20" s="9"/>
      <c r="F20" s="9"/>
      <c r="G20" s="9"/>
      <c r="H20" s="9"/>
      <c r="I20" s="9"/>
    </row>
    <row r="21" spans="1:9">
      <c r="A21" s="8"/>
      <c r="B21" s="9"/>
      <c r="C21" s="9"/>
      <c r="D21" s="9"/>
      <c r="E21" s="9"/>
      <c r="F21" s="9"/>
      <c r="G21" s="9"/>
      <c r="H21" s="9"/>
      <c r="I21" s="9"/>
    </row>
    <row r="22" spans="1:9">
      <c r="A22" s="8"/>
      <c r="B22" s="9"/>
      <c r="C22" s="9"/>
      <c r="D22" s="9"/>
      <c r="E22" s="9"/>
      <c r="F22" s="9"/>
      <c r="G22" s="9"/>
      <c r="H22" s="9"/>
      <c r="I22" s="9"/>
    </row>
    <row r="23" spans="1:9">
      <c r="A23" s="8"/>
      <c r="B23" s="9"/>
      <c r="C23" s="9"/>
      <c r="D23" s="9"/>
      <c r="E23" s="9"/>
      <c r="F23" s="9"/>
      <c r="G23" s="9"/>
      <c r="H23" s="9"/>
      <c r="I23" s="9"/>
    </row>
    <row r="24" spans="1:9">
      <c r="A24" s="8"/>
      <c r="B24" s="9"/>
      <c r="C24" s="9"/>
      <c r="D24" s="9"/>
      <c r="E24" s="9"/>
      <c r="F24" s="9"/>
      <c r="G24" s="9"/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/>
      <c r="B26" s="9"/>
      <c r="C26" s="9"/>
      <c r="D26" s="9"/>
      <c r="E26" s="9"/>
      <c r="F26" s="9"/>
      <c r="G26" s="9"/>
      <c r="H26" s="9"/>
      <c r="I26" s="9"/>
    </row>
    <row r="27" spans="1:9">
      <c r="A27" s="8"/>
      <c r="B27" s="9"/>
      <c r="C27" s="9"/>
      <c r="D27" s="9"/>
      <c r="E27" s="9"/>
      <c r="F27" s="9"/>
      <c r="G27" s="9"/>
      <c r="H27" s="9"/>
      <c r="I27" s="9"/>
    </row>
    <row r="28" spans="1:9">
      <c r="A28" s="8"/>
      <c r="B28" s="9"/>
      <c r="C28" s="9"/>
      <c r="D28" s="9"/>
      <c r="E28" s="9"/>
      <c r="F28" s="9"/>
      <c r="G28" s="9"/>
      <c r="H28" s="9"/>
      <c r="I28" s="9"/>
    </row>
    <row r="29" spans="1:9">
      <c r="A29" s="475" t="s">
        <v>0</v>
      </c>
      <c r="B29" s="476"/>
      <c r="C29" s="476"/>
      <c r="D29" s="476"/>
      <c r="E29" s="476"/>
      <c r="F29" s="476"/>
      <c r="G29" s="476"/>
      <c r="H29" s="476"/>
      <c r="I29" s="476"/>
    </row>
    <row r="34" spans="1:9">
      <c r="A34" s="477"/>
      <c r="B34" s="477"/>
      <c r="C34" s="477"/>
      <c r="D34" s="477"/>
      <c r="E34" s="477"/>
      <c r="F34" s="477"/>
      <c r="G34" s="477"/>
      <c r="H34" s="477"/>
      <c r="I34" s="477"/>
    </row>
    <row r="35" spans="1:9">
      <c r="A35" s="477"/>
      <c r="B35" s="477"/>
      <c r="C35" s="477"/>
      <c r="D35" s="477"/>
      <c r="E35" s="477"/>
      <c r="F35" s="477"/>
      <c r="G35" s="477"/>
      <c r="H35" s="477"/>
      <c r="I35" s="477"/>
    </row>
    <row r="36" spans="1:9">
      <c r="A36" s="477"/>
      <c r="B36" s="477"/>
      <c r="C36" s="477"/>
      <c r="D36" s="477"/>
      <c r="E36" s="477"/>
      <c r="F36" s="477"/>
      <c r="G36" s="477"/>
      <c r="H36" s="477"/>
      <c r="I36" s="477"/>
    </row>
    <row r="37" spans="1:9">
      <c r="A37" s="477"/>
      <c r="B37" s="477"/>
      <c r="C37" s="477"/>
      <c r="D37" s="477"/>
      <c r="E37" s="477"/>
      <c r="F37" s="477"/>
      <c r="G37" s="477"/>
      <c r="H37" s="477"/>
      <c r="I37" s="477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63"/>
  <sheetViews>
    <sheetView view="pageBreakPreview" zoomScale="60" zoomScaleNormal="80" workbookViewId="0">
      <selection activeCell="L10" sqref="L10"/>
    </sheetView>
  </sheetViews>
  <sheetFormatPr defaultRowHeight="15"/>
  <cols>
    <col min="1" max="1" width="43.140625" customWidth="1"/>
    <col min="2" max="2" width="10.85546875" bestFit="1" customWidth="1"/>
    <col min="3" max="3" width="28.85546875" customWidth="1"/>
    <col min="4" max="4" width="18.5703125" customWidth="1"/>
    <col min="5" max="5" width="21.85546875" customWidth="1"/>
    <col min="6" max="6" width="18" customWidth="1"/>
    <col min="7" max="7" width="12.28515625" customWidth="1"/>
    <col min="8" max="8" width="20.5703125" customWidth="1"/>
    <col min="9" max="9" width="12.42578125" customWidth="1"/>
    <col min="10" max="11" width="20.5703125" customWidth="1"/>
    <col min="12" max="12" width="26.5703125" customWidth="1"/>
    <col min="13" max="13" width="12" customWidth="1"/>
  </cols>
  <sheetData>
    <row r="1" spans="1:13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6.5">
      <c r="A3" s="27" t="s">
        <v>444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>
      <c r="A4" s="2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7.25" thickBot="1">
      <c r="A5" s="13"/>
      <c r="B5" s="13"/>
      <c r="C5" s="13"/>
      <c r="D5" s="13"/>
      <c r="E5" s="13"/>
      <c r="F5" s="13"/>
      <c r="G5" s="28"/>
      <c r="H5" s="28"/>
      <c r="I5" s="13"/>
      <c r="J5" s="13"/>
      <c r="K5" s="13"/>
      <c r="L5" s="13"/>
      <c r="M5" s="13"/>
    </row>
    <row r="6" spans="1:13" ht="21" thickBot="1">
      <c r="A6" s="241" t="str">
        <f>+'S&amp;D'!A12</f>
        <v>Natural Gas Utility Distribution</v>
      </c>
      <c r="B6" s="179"/>
      <c r="C6" s="13"/>
      <c r="D6" s="30"/>
      <c r="E6" s="30"/>
      <c r="F6" s="31" t="s">
        <v>0</v>
      </c>
      <c r="G6" s="13"/>
      <c r="H6" s="13"/>
      <c r="I6" s="13"/>
      <c r="J6" s="13"/>
      <c r="K6" s="13"/>
      <c r="L6" s="13"/>
      <c r="M6" s="13"/>
    </row>
    <row r="7" spans="1:13" ht="26.25">
      <c r="A7" s="32"/>
      <c r="B7" s="13"/>
      <c r="C7" s="13"/>
      <c r="D7" s="13"/>
      <c r="E7" s="33" t="s">
        <v>516</v>
      </c>
      <c r="F7" s="13"/>
      <c r="G7" s="13"/>
      <c r="H7" s="13"/>
      <c r="I7" s="13"/>
      <c r="J7" s="13"/>
      <c r="K7" s="13"/>
      <c r="L7" s="13"/>
      <c r="M7" s="13"/>
    </row>
    <row r="8" spans="1:13" ht="21" thickBot="1">
      <c r="A8" s="32"/>
      <c r="B8" s="13"/>
      <c r="C8" s="13"/>
      <c r="D8" s="30"/>
      <c r="E8" s="38" t="s">
        <v>445</v>
      </c>
      <c r="F8" s="30"/>
      <c r="G8" s="13"/>
      <c r="H8" s="13"/>
      <c r="I8" s="13"/>
      <c r="J8" s="13"/>
      <c r="K8" s="13"/>
      <c r="L8" s="13"/>
      <c r="M8" s="13"/>
    </row>
    <row r="9" spans="1:13" ht="17.25" thickBot="1">
      <c r="A9" s="35" t="s">
        <v>0</v>
      </c>
      <c r="B9" s="35" t="s">
        <v>0</v>
      </c>
      <c r="C9" s="35" t="s">
        <v>0</v>
      </c>
      <c r="D9" s="35" t="s">
        <v>0</v>
      </c>
      <c r="E9" s="35" t="s">
        <v>0</v>
      </c>
      <c r="F9" s="35" t="s">
        <v>0</v>
      </c>
      <c r="G9" s="35"/>
      <c r="H9" s="35"/>
      <c r="I9" s="35" t="s">
        <v>0</v>
      </c>
      <c r="J9" s="30"/>
      <c r="K9" s="13"/>
      <c r="L9" s="13"/>
      <c r="M9" s="13"/>
    </row>
    <row r="10" spans="1:13" ht="16.5">
      <c r="A10" s="36" t="s">
        <v>0</v>
      </c>
      <c r="B10" s="36" t="s">
        <v>3</v>
      </c>
      <c r="C10" s="36" t="s">
        <v>5</v>
      </c>
      <c r="D10" s="36" t="s">
        <v>21</v>
      </c>
      <c r="E10" s="36" t="s">
        <v>20</v>
      </c>
      <c r="F10" s="36" t="s">
        <v>65</v>
      </c>
      <c r="G10" s="36" t="s">
        <v>143</v>
      </c>
      <c r="H10" s="36" t="s">
        <v>508</v>
      </c>
      <c r="I10" s="36" t="s">
        <v>143</v>
      </c>
      <c r="J10" s="36" t="s">
        <v>60</v>
      </c>
      <c r="K10" s="13"/>
      <c r="L10" s="13"/>
      <c r="M10" s="13"/>
    </row>
    <row r="11" spans="1:13" ht="17.25" thickBot="1">
      <c r="A11" s="38" t="s">
        <v>2</v>
      </c>
      <c r="B11" s="38" t="s">
        <v>4</v>
      </c>
      <c r="C11" s="38" t="s">
        <v>6</v>
      </c>
      <c r="D11" s="38" t="s">
        <v>23</v>
      </c>
      <c r="E11" s="38" t="s">
        <v>22</v>
      </c>
      <c r="F11" s="38" t="s">
        <v>61</v>
      </c>
      <c r="G11" s="38" t="s">
        <v>61</v>
      </c>
      <c r="H11" s="38" t="s">
        <v>61</v>
      </c>
      <c r="I11" s="38" t="s">
        <v>61</v>
      </c>
      <c r="J11" s="38" t="s">
        <v>63</v>
      </c>
      <c r="K11" s="13"/>
      <c r="L11" s="13"/>
      <c r="M11" s="13"/>
    </row>
    <row r="12" spans="1:13" ht="16.5">
      <c r="A12" s="40" t="s">
        <v>7</v>
      </c>
      <c r="B12" s="40" t="s">
        <v>7</v>
      </c>
      <c r="C12" s="40" t="s">
        <v>7</v>
      </c>
      <c r="D12" s="40" t="s">
        <v>7</v>
      </c>
      <c r="E12" s="40" t="s">
        <v>7</v>
      </c>
      <c r="F12" s="40" t="s">
        <v>64</v>
      </c>
      <c r="G12" s="40"/>
      <c r="H12" s="40" t="s">
        <v>509</v>
      </c>
      <c r="I12" s="40"/>
      <c r="J12" s="40" t="s">
        <v>60</v>
      </c>
      <c r="K12" s="13"/>
      <c r="L12" s="13"/>
      <c r="M12" s="13"/>
    </row>
    <row r="13" spans="1:13" ht="16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13"/>
      <c r="L13" s="13"/>
      <c r="M13" s="13"/>
    </row>
    <row r="14" spans="1:13" ht="16.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7.25">
      <c r="A15" s="64" t="str">
        <f>+'S&amp;D'!A22</f>
        <v>Atmos Energy Corp</v>
      </c>
      <c r="B15" s="91" t="str">
        <f>+'S&amp;D'!B22</f>
        <v>ATO</v>
      </c>
      <c r="C15" s="91" t="str">
        <f>+'S&amp;D'!C22</f>
        <v>Gas Utility</v>
      </c>
      <c r="D15" s="55">
        <f>+'Beta for CAPM'!D18</f>
        <v>0.185</v>
      </c>
      <c r="E15" s="36" t="str">
        <f>+'Beta for CAPM'!G18</f>
        <v>A</v>
      </c>
      <c r="F15" s="36" t="s">
        <v>54</v>
      </c>
      <c r="G15" s="268">
        <v>7</v>
      </c>
      <c r="H15" s="63" t="s">
        <v>73</v>
      </c>
      <c r="I15" s="471">
        <f>VLOOKUP(H15,$A$39:$E$62,2,0)</f>
        <v>7</v>
      </c>
      <c r="J15" s="346">
        <f>VLOOKUP(I15,$B$39:$E$62,4,0)</f>
        <v>5.5800000000000002E-2</v>
      </c>
      <c r="K15" s="13" t="s">
        <v>0</v>
      </c>
      <c r="L15" s="13"/>
      <c r="M15" s="13"/>
    </row>
    <row r="16" spans="1:13" ht="17.25">
      <c r="A16" s="64" t="str">
        <f>+'S&amp;D'!A23</f>
        <v>Black Hills Corporation</v>
      </c>
      <c r="B16" s="91" t="str">
        <f>+'S&amp;D'!B23</f>
        <v>BKH</v>
      </c>
      <c r="C16" s="91" t="str">
        <f>+'S&amp;D'!C23</f>
        <v>Electric Utility - West</v>
      </c>
      <c r="D16" s="55">
        <f>+'Beta for CAPM'!D19</f>
        <v>0.26500000000000001</v>
      </c>
      <c r="E16" s="36" t="str">
        <f>+'Beta for CAPM'!G19</f>
        <v>A</v>
      </c>
      <c r="F16" s="36" t="s">
        <v>69</v>
      </c>
      <c r="G16" s="268">
        <v>10</v>
      </c>
      <c r="H16" s="63" t="s">
        <v>68</v>
      </c>
      <c r="I16" s="471">
        <f t="shared" ref="I16:I25" si="0">VLOOKUP(H16,$A$39:$E$62,2,0)</f>
        <v>11</v>
      </c>
      <c r="J16" s="346">
        <f t="shared" ref="J16:J25" si="1">VLOOKUP(I16,$B$39:$E$62,4,0)</f>
        <v>5.7700000000000001E-2</v>
      </c>
      <c r="K16" s="13" t="s">
        <v>0</v>
      </c>
      <c r="L16" s="13"/>
      <c r="M16" s="13"/>
    </row>
    <row r="17" spans="1:13" ht="17.25">
      <c r="A17" s="64" t="str">
        <f>+'S&amp;D'!A24</f>
        <v>CenterPoint Energy Inc.</v>
      </c>
      <c r="B17" s="91" t="str">
        <f>+'S&amp;D'!B24</f>
        <v>CNP</v>
      </c>
      <c r="C17" s="91" t="str">
        <f>+'S&amp;D'!C24</f>
        <v>Electric Utility - Central</v>
      </c>
      <c r="D17" s="55">
        <f>+'Beta for CAPM'!D20</f>
        <v>0.16</v>
      </c>
      <c r="E17" s="36" t="str">
        <f>+'Beta for CAPM'!G20</f>
        <v>A</v>
      </c>
      <c r="F17" s="36" t="s">
        <v>69</v>
      </c>
      <c r="G17" s="268">
        <v>10</v>
      </c>
      <c r="H17" s="63" t="s">
        <v>68</v>
      </c>
      <c r="I17" s="471">
        <f t="shared" si="0"/>
        <v>11</v>
      </c>
      <c r="J17" s="346">
        <f t="shared" si="1"/>
        <v>5.7700000000000001E-2</v>
      </c>
      <c r="K17" s="13" t="s">
        <v>0</v>
      </c>
      <c r="L17" s="13"/>
      <c r="M17" s="13"/>
    </row>
    <row r="18" spans="1:13" ht="17.25">
      <c r="A18" s="64" t="str">
        <f>+'S&amp;D'!A25</f>
        <v>CMS Energy Corporation</v>
      </c>
      <c r="B18" s="91" t="str">
        <f>+'S&amp;D'!B25</f>
        <v>CMS</v>
      </c>
      <c r="C18" s="91" t="str">
        <f>+'S&amp;D'!C25</f>
        <v>Electric Utility - Central</v>
      </c>
      <c r="D18" s="55">
        <f>+'Beta for CAPM'!D21</f>
        <v>0.155</v>
      </c>
      <c r="E18" s="36" t="str">
        <f>+'Beta for CAPM'!G21</f>
        <v>B++</v>
      </c>
      <c r="F18" s="36" t="s">
        <v>69</v>
      </c>
      <c r="G18" s="268">
        <v>10</v>
      </c>
      <c r="H18" s="63" t="s">
        <v>68</v>
      </c>
      <c r="I18" s="471">
        <f t="shared" si="0"/>
        <v>11</v>
      </c>
      <c r="J18" s="346">
        <f t="shared" si="1"/>
        <v>5.7700000000000001E-2</v>
      </c>
      <c r="K18" s="13" t="s">
        <v>0</v>
      </c>
      <c r="L18" s="13"/>
      <c r="M18" s="13"/>
    </row>
    <row r="19" spans="1:13" ht="17.25">
      <c r="A19" s="64" t="str">
        <f>+'S&amp;D'!A26</f>
        <v>New Jersey Resources Corp</v>
      </c>
      <c r="B19" s="91" t="str">
        <f>+'S&amp;D'!B26</f>
        <v>NJR</v>
      </c>
      <c r="C19" s="91" t="str">
        <f>+'S&amp;D'!C26</f>
        <v>Gas Utility</v>
      </c>
      <c r="D19" s="55">
        <f>+'Beta for CAPM'!D22</f>
        <v>0.215</v>
      </c>
      <c r="E19" s="36" t="str">
        <f>+'Beta for CAPM'!G22</f>
        <v>A</v>
      </c>
      <c r="F19" s="36" t="s">
        <v>54</v>
      </c>
      <c r="G19" s="268">
        <v>7</v>
      </c>
      <c r="H19" s="63" t="s">
        <v>517</v>
      </c>
      <c r="I19" s="471" t="s">
        <v>517</v>
      </c>
      <c r="J19" s="346" t="s">
        <v>517</v>
      </c>
      <c r="K19" s="13" t="s">
        <v>0</v>
      </c>
      <c r="L19" s="13"/>
      <c r="M19" s="13"/>
    </row>
    <row r="20" spans="1:13" ht="17.25">
      <c r="A20" s="64" t="str">
        <f>+'S&amp;D'!A27</f>
        <v>NISOURCE Inc.</v>
      </c>
      <c r="B20" s="91" t="str">
        <f>+'S&amp;D'!B27</f>
        <v>NI</v>
      </c>
      <c r="C20" s="91" t="str">
        <f>+'S&amp;D'!C27</f>
        <v>Gas Utility</v>
      </c>
      <c r="D20" s="55">
        <f>+'Beta for CAPM'!D23</f>
        <v>0.19</v>
      </c>
      <c r="E20" s="36" t="str">
        <f>+'Beta for CAPM'!G23</f>
        <v>A</v>
      </c>
      <c r="F20" s="36" t="s">
        <v>69</v>
      </c>
      <c r="G20" s="268">
        <v>10</v>
      </c>
      <c r="H20" s="63" t="s">
        <v>68</v>
      </c>
      <c r="I20" s="471">
        <f t="shared" si="0"/>
        <v>11</v>
      </c>
      <c r="J20" s="346">
        <f t="shared" si="1"/>
        <v>5.7700000000000001E-2</v>
      </c>
      <c r="K20" s="13" t="s">
        <v>0</v>
      </c>
      <c r="L20" s="13"/>
      <c r="M20" s="13"/>
    </row>
    <row r="21" spans="1:13" ht="17.25">
      <c r="A21" s="64" t="str">
        <f>+'S&amp;D'!A28</f>
        <v xml:space="preserve">Northwest Natural Holding Company </v>
      </c>
      <c r="B21" s="91" t="str">
        <f>+'S&amp;D'!B28</f>
        <v>NWN</v>
      </c>
      <c r="C21" s="91" t="str">
        <f>+'S&amp;D'!C28</f>
        <v>Gas Utility</v>
      </c>
      <c r="D21" s="55">
        <f>+'Beta for CAPM'!D24</f>
        <v>0.25</v>
      </c>
      <c r="E21" s="36" t="str">
        <f>+'Beta for CAPM'!G24</f>
        <v>A</v>
      </c>
      <c r="F21" s="36" t="s">
        <v>181</v>
      </c>
      <c r="G21" s="268">
        <v>6</v>
      </c>
      <c r="H21" s="63" t="s">
        <v>67</v>
      </c>
      <c r="I21" s="471">
        <f t="shared" si="0"/>
        <v>10</v>
      </c>
      <c r="J21" s="346">
        <f t="shared" si="1"/>
        <v>5.7700000000000001E-2</v>
      </c>
      <c r="K21" s="14" t="s">
        <v>0</v>
      </c>
      <c r="L21" s="13"/>
      <c r="M21" s="13"/>
    </row>
    <row r="22" spans="1:13" ht="17.25">
      <c r="A22" s="64" t="str">
        <f>+'S&amp;D'!A29</f>
        <v>One Gas INC</v>
      </c>
      <c r="B22" s="91" t="str">
        <f>+'S&amp;D'!B29</f>
        <v>OGS</v>
      </c>
      <c r="C22" s="91" t="str">
        <f>+'S&amp;D'!C29</f>
        <v>Gas Utility</v>
      </c>
      <c r="D22" s="55">
        <f>+'Beta for CAPM'!D25</f>
        <v>0.17499999999999999</v>
      </c>
      <c r="E22" s="36" t="str">
        <f>+'Beta for CAPM'!G25</f>
        <v>A</v>
      </c>
      <c r="F22" s="36" t="s">
        <v>77</v>
      </c>
      <c r="G22" s="268">
        <v>9</v>
      </c>
      <c r="H22" s="63" t="s">
        <v>75</v>
      </c>
      <c r="I22" s="471">
        <f t="shared" si="0"/>
        <v>9</v>
      </c>
      <c r="J22" s="346">
        <f t="shared" si="1"/>
        <v>5.5800000000000002E-2</v>
      </c>
      <c r="K22" s="13" t="s">
        <v>0</v>
      </c>
      <c r="L22" s="13"/>
      <c r="M22" s="13"/>
    </row>
    <row r="23" spans="1:13" ht="17.25">
      <c r="A23" s="64" t="str">
        <f>+'S&amp;D'!A30</f>
        <v>Southwest Gas Holdings, Inc</v>
      </c>
      <c r="B23" s="91" t="str">
        <f>+'S&amp;D'!B30</f>
        <v>SWX</v>
      </c>
      <c r="C23" s="91" t="str">
        <f>+'S&amp;D'!C30</f>
        <v>Gas Utility</v>
      </c>
      <c r="D23" s="55">
        <f>+'Beta for CAPM'!D26</f>
        <v>0.21</v>
      </c>
      <c r="E23" s="36" t="s">
        <v>26</v>
      </c>
      <c r="F23" s="36" t="s">
        <v>70</v>
      </c>
      <c r="G23" s="268">
        <v>11</v>
      </c>
      <c r="H23" s="63" t="s">
        <v>68</v>
      </c>
      <c r="I23" s="471">
        <f t="shared" si="0"/>
        <v>11</v>
      </c>
      <c r="J23" s="346">
        <f t="shared" si="1"/>
        <v>5.7700000000000001E-2</v>
      </c>
      <c r="K23" s="13"/>
      <c r="L23" s="13"/>
      <c r="M23" s="13"/>
    </row>
    <row r="24" spans="1:13" ht="17.25">
      <c r="A24" s="64" t="str">
        <f>+'S&amp;D'!A31</f>
        <v>Spire Inc / Laclede Group Inc</v>
      </c>
      <c r="B24" s="91" t="str">
        <f>+'S&amp;D'!B31</f>
        <v>SR</v>
      </c>
      <c r="C24" s="91" t="str">
        <f>+'S&amp;D'!C31</f>
        <v>Gas Utility</v>
      </c>
      <c r="D24" s="55">
        <f>+'Beta for CAPM'!D27</f>
        <v>0.19</v>
      </c>
      <c r="E24" s="36" t="str">
        <f>+'Beta for CAPM'!G27</f>
        <v>B++</v>
      </c>
      <c r="F24" s="36" t="s">
        <v>69</v>
      </c>
      <c r="G24" s="268">
        <v>10</v>
      </c>
      <c r="H24" s="63" t="s">
        <v>68</v>
      </c>
      <c r="I24" s="471">
        <f t="shared" si="0"/>
        <v>11</v>
      </c>
      <c r="J24" s="346">
        <f t="shared" si="1"/>
        <v>5.7700000000000001E-2</v>
      </c>
      <c r="K24" s="13" t="s">
        <v>0</v>
      </c>
      <c r="L24" s="13"/>
      <c r="M24" s="13"/>
    </row>
    <row r="25" spans="1:13" ht="17.25">
      <c r="A25" s="64" t="str">
        <f>+'S&amp;D'!A32</f>
        <v>WEC Energy Group</v>
      </c>
      <c r="B25" s="91" t="str">
        <f>+'S&amp;D'!B32</f>
        <v>WEC</v>
      </c>
      <c r="C25" s="91" t="str">
        <f>+'S&amp;D'!C32</f>
        <v>Electric Utility - Central</v>
      </c>
      <c r="D25" s="55">
        <f>+'Beta for CAPM'!D28</f>
        <v>0.19</v>
      </c>
      <c r="E25" s="36" t="str">
        <f>+'Beta for CAPM'!G28</f>
        <v>A+</v>
      </c>
      <c r="F25" s="36" t="s">
        <v>77</v>
      </c>
      <c r="G25" s="268">
        <v>9</v>
      </c>
      <c r="H25" s="63" t="s">
        <v>67</v>
      </c>
      <c r="I25" s="471">
        <f t="shared" si="0"/>
        <v>10</v>
      </c>
      <c r="J25" s="346">
        <f t="shared" si="1"/>
        <v>5.7700000000000001E-2</v>
      </c>
      <c r="K25" s="13" t="s">
        <v>0</v>
      </c>
      <c r="L25" s="13"/>
      <c r="M25" s="13"/>
    </row>
    <row r="26" spans="1:13" ht="17.25" thickBot="1">
      <c r="A26" s="13"/>
      <c r="B26" s="13"/>
      <c r="C26" s="45"/>
      <c r="D26" s="48"/>
      <c r="E26" s="48"/>
      <c r="F26" s="48"/>
      <c r="G26" s="263"/>
      <c r="H26" s="48" t="s">
        <v>55</v>
      </c>
      <c r="I26" s="48"/>
      <c r="J26" s="48"/>
      <c r="K26" s="13"/>
      <c r="L26" s="13"/>
      <c r="M26" s="13"/>
    </row>
    <row r="27" spans="1:13" ht="17.25" thickTop="1">
      <c r="A27" s="13"/>
      <c r="B27" s="13"/>
      <c r="E27" s="15" t="s">
        <v>56</v>
      </c>
      <c r="F27" s="36"/>
      <c r="G27" s="262">
        <f t="shared" ref="G27:J27" si="2">MAX(G15:G25)</f>
        <v>11</v>
      </c>
      <c r="I27" s="262">
        <f t="shared" si="2"/>
        <v>11</v>
      </c>
      <c r="J27" s="54">
        <f t="shared" si="2"/>
        <v>5.7700000000000001E-2</v>
      </c>
      <c r="K27" s="13"/>
      <c r="L27" s="13"/>
      <c r="M27" s="13"/>
    </row>
    <row r="28" spans="1:13" ht="16.5">
      <c r="A28" s="13"/>
      <c r="B28" s="13"/>
      <c r="E28" s="265" t="s">
        <v>57</v>
      </c>
      <c r="F28" s="128"/>
      <c r="G28" s="266">
        <f t="shared" ref="G28:J28" si="3">MIN(G15:G25)</f>
        <v>6</v>
      </c>
      <c r="H28" s="223"/>
      <c r="I28" s="266">
        <f t="shared" si="3"/>
        <v>7</v>
      </c>
      <c r="J28" s="267">
        <f t="shared" si="3"/>
        <v>5.5800000000000002E-2</v>
      </c>
      <c r="K28" s="13"/>
      <c r="L28" s="13"/>
      <c r="M28" s="13"/>
    </row>
    <row r="29" spans="1:13" ht="16.5">
      <c r="A29" s="13"/>
      <c r="B29" s="13"/>
      <c r="E29" s="15" t="s">
        <v>18</v>
      </c>
      <c r="F29" s="57" t="s">
        <v>0</v>
      </c>
      <c r="G29" s="200">
        <f>MEDIAN(G15:G25)</f>
        <v>10</v>
      </c>
      <c r="I29" s="200">
        <f>MEDIAN(I15:I25)</f>
        <v>11</v>
      </c>
      <c r="J29" s="57">
        <f>MEDIAN(J15:J25)</f>
        <v>5.7700000000000001E-2</v>
      </c>
      <c r="K29" s="13"/>
      <c r="L29" s="13"/>
      <c r="M29" s="13"/>
    </row>
    <row r="30" spans="1:13" ht="16.5">
      <c r="A30" s="13"/>
      <c r="B30" s="13"/>
      <c r="D30" s="15" t="s">
        <v>0</v>
      </c>
      <c r="E30" s="15" t="s">
        <v>413</v>
      </c>
      <c r="F30" s="15"/>
      <c r="G30" s="201">
        <f>AVERAGE(G15:G25)</f>
        <v>9</v>
      </c>
      <c r="I30" s="201">
        <f>AVERAGE(I15:I25)</f>
        <v>10.199999999999999</v>
      </c>
      <c r="J30" s="57">
        <f>AVERAGE(J15:J25)</f>
        <v>5.7320000000000003E-2</v>
      </c>
      <c r="K30" s="13"/>
      <c r="L30" s="13"/>
      <c r="M30" s="13"/>
    </row>
    <row r="31" spans="1:13" ht="16.5">
      <c r="A31" s="13"/>
      <c r="B31" s="13"/>
      <c r="D31" s="58" t="s">
        <v>0</v>
      </c>
      <c r="E31" s="15"/>
      <c r="F31" s="15"/>
      <c r="G31" s="201"/>
      <c r="I31" s="201"/>
      <c r="J31" s="57"/>
      <c r="K31" s="13"/>
      <c r="L31" s="13"/>
      <c r="M31" s="13"/>
    </row>
    <row r="32" spans="1:13" ht="17.25" thickBot="1">
      <c r="A32" s="13"/>
      <c r="B32" s="13"/>
      <c r="C32" s="13"/>
      <c r="D32" s="13"/>
      <c r="E32" s="15"/>
      <c r="F32" s="58"/>
      <c r="G32" s="13"/>
      <c r="H32" s="13"/>
      <c r="I32" s="13"/>
      <c r="J32" s="13"/>
      <c r="K32" s="13"/>
      <c r="L32" s="13"/>
      <c r="M32" s="13"/>
    </row>
    <row r="33" spans="1:13" ht="27" thickBot="1">
      <c r="A33" s="13"/>
      <c r="B33" s="13"/>
      <c r="C33" s="13"/>
      <c r="D33" s="13"/>
      <c r="E33" s="13"/>
      <c r="F33" s="174"/>
      <c r="G33" s="264"/>
      <c r="H33" s="175" t="s">
        <v>250</v>
      </c>
      <c r="I33" s="327"/>
      <c r="J33" s="328">
        <v>5.7299999999999997E-2</v>
      </c>
      <c r="K33" s="13"/>
      <c r="L33" s="13"/>
      <c r="M33" s="13"/>
    </row>
    <row r="34" spans="1:13" ht="16.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6.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6.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21" thickBot="1">
      <c r="A37" s="252" t="s">
        <v>156</v>
      </c>
      <c r="B37" s="13"/>
      <c r="G37" s="13"/>
      <c r="H37" s="13"/>
      <c r="I37" s="13"/>
      <c r="J37" s="13"/>
      <c r="K37" s="13"/>
      <c r="L37" s="13"/>
      <c r="M37" s="13"/>
    </row>
    <row r="38" spans="1:13" ht="24">
      <c r="A38" s="383" t="s">
        <v>507</v>
      </c>
      <c r="B38" s="383" t="s">
        <v>326</v>
      </c>
      <c r="C38" s="383" t="s">
        <v>414</v>
      </c>
      <c r="D38" s="400" t="s">
        <v>442</v>
      </c>
      <c r="E38" s="400" t="s">
        <v>443</v>
      </c>
      <c r="F38" s="13"/>
      <c r="G38" s="13"/>
      <c r="H38" s="13"/>
      <c r="I38" s="13"/>
      <c r="M38" s="13"/>
    </row>
    <row r="39" spans="1:13" ht="17.25">
      <c r="A39" s="257" t="s">
        <v>331</v>
      </c>
      <c r="B39" s="258">
        <v>1</v>
      </c>
      <c r="C39" s="259" t="s">
        <v>332</v>
      </c>
      <c r="D39" s="384">
        <v>5.1999999999999998E-2</v>
      </c>
      <c r="E39" s="384">
        <v>5.1999999999999998E-2</v>
      </c>
      <c r="F39" s="13"/>
      <c r="G39" s="13"/>
      <c r="H39" s="13"/>
      <c r="I39" s="13"/>
      <c r="M39" s="13"/>
    </row>
    <row r="40" spans="1:13" ht="17.25">
      <c r="A40" s="59" t="s">
        <v>333</v>
      </c>
      <c r="B40" s="253">
        <v>2</v>
      </c>
      <c r="C40" s="260" t="s">
        <v>314</v>
      </c>
      <c r="D40" s="384">
        <v>5.1999999999999998E-2</v>
      </c>
      <c r="E40" s="384">
        <v>5.1999999999999998E-2</v>
      </c>
      <c r="F40" s="13" t="s">
        <v>207</v>
      </c>
      <c r="H40" s="13"/>
      <c r="I40" s="13"/>
      <c r="J40" s="13"/>
      <c r="M40" s="13"/>
    </row>
    <row r="41" spans="1:13" ht="18" thickBot="1">
      <c r="A41" s="60" t="s">
        <v>334</v>
      </c>
      <c r="B41" s="255">
        <v>3</v>
      </c>
      <c r="C41" s="261" t="s">
        <v>335</v>
      </c>
      <c r="D41" s="385">
        <v>5.1999999999999998E-2</v>
      </c>
      <c r="E41" s="384">
        <v>5.1999999999999998E-2</v>
      </c>
      <c r="F41" s="13"/>
      <c r="H41" s="13"/>
      <c r="I41" s="13"/>
      <c r="J41" s="13"/>
      <c r="M41" s="13"/>
    </row>
    <row r="42" spans="1:13" ht="17.25">
      <c r="A42" s="59" t="s">
        <v>155</v>
      </c>
      <c r="B42" s="253">
        <v>4</v>
      </c>
      <c r="C42" s="254" t="s">
        <v>315</v>
      </c>
      <c r="D42" s="384">
        <v>5.3699999999999998E-2</v>
      </c>
      <c r="E42" s="384">
        <v>5.45E-2</v>
      </c>
      <c r="F42" s="13"/>
      <c r="H42" s="13"/>
      <c r="I42" s="13"/>
      <c r="J42" s="13"/>
      <c r="M42" s="13"/>
    </row>
    <row r="43" spans="1:13" ht="17.25">
      <c r="A43" s="59" t="s">
        <v>154</v>
      </c>
      <c r="B43" s="253">
        <v>5</v>
      </c>
      <c r="C43" s="254" t="s">
        <v>316</v>
      </c>
      <c r="D43" s="384">
        <v>5.3699999999999998E-2</v>
      </c>
      <c r="E43" s="384">
        <v>5.45E-2</v>
      </c>
      <c r="F43" s="13" t="s">
        <v>317</v>
      </c>
      <c r="H43" s="13"/>
      <c r="I43" s="13"/>
      <c r="J43" s="13"/>
      <c r="M43" s="13"/>
    </row>
    <row r="44" spans="1:13" ht="18" thickBot="1">
      <c r="A44" s="60" t="s">
        <v>153</v>
      </c>
      <c r="B44" s="255">
        <v>6</v>
      </c>
      <c r="C44" s="256" t="s">
        <v>181</v>
      </c>
      <c r="D44" s="386">
        <v>5.3699999999999998E-2</v>
      </c>
      <c r="E44" s="384">
        <v>5.45E-2</v>
      </c>
      <c r="F44" s="13"/>
      <c r="H44" s="13"/>
      <c r="I44" s="13"/>
      <c r="J44" s="13"/>
      <c r="M44" s="13"/>
    </row>
    <row r="45" spans="1:13" ht="17.25">
      <c r="A45" s="59" t="s">
        <v>73</v>
      </c>
      <c r="B45" s="253">
        <v>7</v>
      </c>
      <c r="C45" s="254" t="s">
        <v>54</v>
      </c>
      <c r="D45" s="387">
        <v>5.5300000000000002E-2</v>
      </c>
      <c r="E45" s="388">
        <v>5.5800000000000002E-2</v>
      </c>
      <c r="H45" s="13"/>
      <c r="I45" s="13"/>
      <c r="J45" s="13"/>
      <c r="M45" s="13"/>
    </row>
    <row r="46" spans="1:13" ht="17.25">
      <c r="A46" s="59" t="s">
        <v>152</v>
      </c>
      <c r="B46" s="253">
        <v>8</v>
      </c>
      <c r="C46" s="254" t="s">
        <v>24</v>
      </c>
      <c r="D46" s="388">
        <v>5.5300000000000002E-2</v>
      </c>
      <c r="E46" s="388">
        <v>5.5800000000000002E-2</v>
      </c>
      <c r="F46" s="13" t="s">
        <v>208</v>
      </c>
      <c r="H46" s="13"/>
      <c r="I46" s="13"/>
      <c r="J46" s="13"/>
      <c r="K46" s="13"/>
      <c r="L46" s="13"/>
      <c r="M46" s="13"/>
    </row>
    <row r="47" spans="1:13" ht="18" thickBot="1">
      <c r="A47" s="60" t="s">
        <v>75</v>
      </c>
      <c r="B47" s="255">
        <v>9</v>
      </c>
      <c r="C47" s="256" t="s">
        <v>77</v>
      </c>
      <c r="D47" s="386">
        <v>5.5300000000000002E-2</v>
      </c>
      <c r="E47" s="388">
        <v>5.5800000000000002E-2</v>
      </c>
      <c r="F47" s="13"/>
      <c r="H47" s="13"/>
      <c r="I47" s="13"/>
      <c r="J47" s="13"/>
      <c r="K47" s="13"/>
      <c r="L47" s="13"/>
      <c r="M47" s="13"/>
    </row>
    <row r="48" spans="1:13" ht="17.25">
      <c r="A48" s="59" t="s">
        <v>67</v>
      </c>
      <c r="B48" s="253">
        <v>10</v>
      </c>
      <c r="C48" s="254" t="s">
        <v>69</v>
      </c>
      <c r="D48" s="388">
        <v>5.8000000000000003E-2</v>
      </c>
      <c r="E48" s="388">
        <v>5.7700000000000001E-2</v>
      </c>
      <c r="H48" s="13"/>
      <c r="I48" s="13"/>
      <c r="J48" s="13"/>
      <c r="K48" s="13"/>
      <c r="L48" s="13"/>
      <c r="M48" s="13"/>
    </row>
    <row r="49" spans="1:13" ht="17.25">
      <c r="A49" s="59" t="s">
        <v>68</v>
      </c>
      <c r="B49" s="253">
        <v>11</v>
      </c>
      <c r="C49" s="254" t="s">
        <v>70</v>
      </c>
      <c r="D49" s="388">
        <v>5.8000000000000003E-2</v>
      </c>
      <c r="E49" s="388">
        <v>5.7700000000000001E-2</v>
      </c>
      <c r="F49" s="13" t="s">
        <v>211</v>
      </c>
      <c r="H49" s="13"/>
      <c r="I49" s="13"/>
      <c r="J49" s="13"/>
      <c r="K49" s="13"/>
      <c r="L49" s="13"/>
      <c r="M49" s="13"/>
    </row>
    <row r="50" spans="1:13" ht="18" thickBot="1">
      <c r="A50" s="60" t="s">
        <v>76</v>
      </c>
      <c r="B50" s="255">
        <v>12</v>
      </c>
      <c r="C50" s="256" t="s">
        <v>78</v>
      </c>
      <c r="D50" s="388">
        <v>5.8000000000000003E-2</v>
      </c>
      <c r="E50" s="388">
        <v>5.7700000000000001E-2</v>
      </c>
      <c r="F50" s="13"/>
      <c r="H50" s="13"/>
      <c r="I50" s="13"/>
      <c r="J50" s="13"/>
      <c r="K50" s="13"/>
      <c r="L50" s="13"/>
      <c r="M50" s="13"/>
    </row>
    <row r="51" spans="1:13" ht="17.25">
      <c r="A51" s="59" t="s">
        <v>74</v>
      </c>
      <c r="B51" s="253">
        <v>13</v>
      </c>
      <c r="C51" s="254" t="s">
        <v>318</v>
      </c>
      <c r="D51" s="387">
        <v>6.8400000000000002E-2</v>
      </c>
      <c r="E51" s="384">
        <v>6.8099999999999994E-2</v>
      </c>
      <c r="H51" s="13"/>
      <c r="I51" s="13"/>
      <c r="J51" s="13"/>
      <c r="K51" s="13"/>
      <c r="L51" s="13"/>
      <c r="M51" s="13"/>
    </row>
    <row r="52" spans="1:13" ht="17.25">
      <c r="A52" s="59" t="s">
        <v>151</v>
      </c>
      <c r="B52" s="253">
        <v>14</v>
      </c>
      <c r="C52" s="254" t="s">
        <v>319</v>
      </c>
      <c r="D52" s="384">
        <v>6.8400000000000002E-2</v>
      </c>
      <c r="E52" s="384">
        <v>6.8099999999999994E-2</v>
      </c>
      <c r="F52" s="13" t="s">
        <v>210</v>
      </c>
      <c r="H52" s="13"/>
      <c r="I52" s="13"/>
      <c r="J52" s="13"/>
      <c r="K52" s="13"/>
      <c r="L52" s="13"/>
      <c r="M52" s="13"/>
    </row>
    <row r="53" spans="1:13" ht="18" thickBot="1">
      <c r="A53" s="60" t="s">
        <v>150</v>
      </c>
      <c r="B53" s="255">
        <v>15</v>
      </c>
      <c r="C53" s="256" t="s">
        <v>320</v>
      </c>
      <c r="D53" s="385">
        <v>6.8400000000000002E-2</v>
      </c>
      <c r="E53" s="384">
        <v>6.8099999999999994E-2</v>
      </c>
      <c r="F53" s="13"/>
      <c r="H53" s="13"/>
      <c r="I53" s="13"/>
      <c r="J53" s="13"/>
      <c r="K53" s="13"/>
      <c r="L53" s="13"/>
      <c r="M53" s="13"/>
    </row>
    <row r="54" spans="1:13" ht="17.25">
      <c r="A54" s="59" t="s">
        <v>149</v>
      </c>
      <c r="B54" s="253">
        <v>16</v>
      </c>
      <c r="C54" s="254" t="s">
        <v>25</v>
      </c>
      <c r="D54" s="387">
        <v>7.3300000000000004E-2</v>
      </c>
      <c r="E54" s="388">
        <v>7.2999999999999995E-2</v>
      </c>
      <c r="H54" s="13"/>
      <c r="I54" s="13"/>
      <c r="J54" s="13"/>
      <c r="K54" s="13"/>
      <c r="L54" s="13"/>
      <c r="M54" s="13"/>
    </row>
    <row r="55" spans="1:13" ht="17.25">
      <c r="A55" s="59" t="s">
        <v>148</v>
      </c>
      <c r="B55" s="253">
        <v>17</v>
      </c>
      <c r="C55" s="254" t="s">
        <v>107</v>
      </c>
      <c r="D55" s="388">
        <v>7.3300000000000004E-2</v>
      </c>
      <c r="E55" s="388">
        <v>7.2999999999999995E-2</v>
      </c>
      <c r="F55" s="13" t="s">
        <v>209</v>
      </c>
      <c r="H55" s="13"/>
      <c r="I55" s="13"/>
      <c r="J55" s="13"/>
      <c r="K55" s="13"/>
      <c r="L55" s="13"/>
      <c r="M55" s="13"/>
    </row>
    <row r="56" spans="1:13" ht="18" thickBot="1">
      <c r="A56" s="60" t="s">
        <v>147</v>
      </c>
      <c r="B56" s="255">
        <v>18</v>
      </c>
      <c r="C56" s="256" t="s">
        <v>321</v>
      </c>
      <c r="D56" s="385">
        <v>7.3300000000000004E-2</v>
      </c>
      <c r="E56" s="388">
        <v>7.2999999999999995E-2</v>
      </c>
      <c r="F56" s="13"/>
      <c r="H56" s="13"/>
      <c r="I56" s="13"/>
      <c r="J56" s="13"/>
      <c r="K56" s="13"/>
      <c r="L56" s="13"/>
      <c r="M56" s="13"/>
    </row>
    <row r="57" spans="1:13" ht="17.25">
      <c r="A57" s="59" t="s">
        <v>146</v>
      </c>
      <c r="B57" s="253">
        <v>19</v>
      </c>
      <c r="C57" s="254" t="s">
        <v>322</v>
      </c>
      <c r="D57" s="388">
        <v>7.8200000000000006E-2</v>
      </c>
      <c r="E57" s="388">
        <v>7.7899999999999997E-2</v>
      </c>
      <c r="H57" s="13"/>
      <c r="I57" s="13"/>
      <c r="J57" s="13"/>
      <c r="K57" s="13"/>
      <c r="L57" s="13"/>
      <c r="M57" s="13"/>
    </row>
    <row r="58" spans="1:13" ht="17.25">
      <c r="A58" s="59" t="s">
        <v>145</v>
      </c>
      <c r="B58" s="253">
        <v>20</v>
      </c>
      <c r="C58" s="254" t="s">
        <v>323</v>
      </c>
      <c r="D58" s="388">
        <v>7.8200000000000006E-2</v>
      </c>
      <c r="E58" s="388">
        <v>7.7899999999999997E-2</v>
      </c>
      <c r="F58" s="13" t="s">
        <v>206</v>
      </c>
      <c r="H58" s="13"/>
      <c r="I58" s="13"/>
      <c r="J58" s="13"/>
      <c r="K58" s="13"/>
      <c r="L58" s="13"/>
      <c r="M58" s="13"/>
    </row>
    <row r="59" spans="1:13" ht="18" thickBot="1">
      <c r="A59" s="60" t="s">
        <v>144</v>
      </c>
      <c r="B59" s="255">
        <v>21</v>
      </c>
      <c r="C59" s="389" t="s">
        <v>324</v>
      </c>
      <c r="D59" s="386">
        <v>7.8200000000000006E-2</v>
      </c>
      <c r="E59" s="388">
        <v>7.7899999999999997E-2</v>
      </c>
      <c r="F59" s="13"/>
      <c r="H59" s="13"/>
      <c r="I59" s="13"/>
      <c r="J59" s="13"/>
      <c r="K59" s="13"/>
      <c r="L59" s="13"/>
    </row>
    <row r="60" spans="1:13" ht="17.25">
      <c r="A60" s="390" t="s">
        <v>336</v>
      </c>
      <c r="B60" s="391">
        <v>22</v>
      </c>
      <c r="C60" s="392" t="s">
        <v>337</v>
      </c>
      <c r="D60" s="388">
        <v>8.3099999999999993E-2</v>
      </c>
      <c r="E60" s="388">
        <v>8.2799999999999999E-2</v>
      </c>
      <c r="H60" s="13"/>
      <c r="I60" s="13"/>
      <c r="J60" s="13"/>
    </row>
    <row r="61" spans="1:13" ht="17.25">
      <c r="A61" s="390" t="s">
        <v>338</v>
      </c>
      <c r="B61" s="393">
        <v>23</v>
      </c>
      <c r="C61" s="394" t="s">
        <v>325</v>
      </c>
      <c r="D61" s="388">
        <v>8.3099999999999993E-2</v>
      </c>
      <c r="E61" s="388">
        <v>8.2799999999999999E-2</v>
      </c>
      <c r="F61" s="13" t="s">
        <v>204</v>
      </c>
      <c r="H61" s="13"/>
      <c r="I61" s="13"/>
      <c r="J61" s="13"/>
    </row>
    <row r="62" spans="1:13" ht="18" thickBot="1">
      <c r="A62" s="395" t="s">
        <v>339</v>
      </c>
      <c r="B62" s="396">
        <v>24</v>
      </c>
      <c r="C62" s="389" t="s">
        <v>340</v>
      </c>
      <c r="D62" s="388">
        <v>8.3099999999999993E-2</v>
      </c>
      <c r="E62" s="388">
        <v>8.2799999999999999E-2</v>
      </c>
      <c r="F62" s="13"/>
      <c r="H62" s="13"/>
      <c r="I62" s="13"/>
      <c r="J62" s="13"/>
    </row>
    <row r="63" spans="1:13" ht="18" thickBot="1">
      <c r="A63" s="60" t="s">
        <v>267</v>
      </c>
      <c r="B63" s="255">
        <v>25</v>
      </c>
      <c r="C63" s="60" t="s">
        <v>108</v>
      </c>
      <c r="D63" s="397"/>
      <c r="E63" s="397"/>
      <c r="F63" s="13" t="s">
        <v>205</v>
      </c>
      <c r="H63" s="13"/>
      <c r="I63" s="13"/>
      <c r="J63" s="13"/>
    </row>
  </sheetData>
  <pageMargins left="0.25" right="0.25" top="0.75" bottom="0.75" header="0.3" footer="0.3"/>
  <pageSetup scale="4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40"/>
  <sheetViews>
    <sheetView view="pageBreakPreview" zoomScale="60" zoomScaleNormal="80" workbookViewId="0">
      <selection activeCell="M35" sqref="M35"/>
    </sheetView>
  </sheetViews>
  <sheetFormatPr defaultRowHeight="15"/>
  <cols>
    <col min="1" max="1" width="48.85546875" customWidth="1"/>
    <col min="2" max="2" width="11.5703125" customWidth="1"/>
    <col min="3" max="3" width="19.85546875" customWidth="1"/>
    <col min="4" max="4" width="24.7109375" customWidth="1"/>
    <col min="5" max="5" width="22.7109375" customWidth="1"/>
    <col min="6" max="7" width="21.28515625" customWidth="1"/>
    <col min="8" max="8" width="14.85546875" customWidth="1"/>
    <col min="9" max="9" width="18.42578125" customWidth="1"/>
    <col min="10" max="10" width="21.28515625" customWidth="1"/>
    <col min="11" max="11" width="2.28515625" customWidth="1"/>
    <col min="12" max="12" width="22.7109375" customWidth="1"/>
    <col min="13" max="13" width="17.28515625" customWidth="1"/>
  </cols>
  <sheetData>
    <row r="1" spans="1:14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7.25">
      <c r="A2" s="64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6.5">
      <c r="A3" s="27" t="s">
        <v>444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6.5">
      <c r="A4" s="13"/>
      <c r="B4" s="13"/>
      <c r="C4" s="13"/>
      <c r="D4" s="28" t="s">
        <v>0</v>
      </c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" thickBot="1">
      <c r="A5" s="6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" thickBot="1">
      <c r="A6" s="243" t="str">
        <f>+'S&amp;D'!A12</f>
        <v>Natural Gas Utility Distribution</v>
      </c>
      <c r="B6" s="17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7.25">
      <c r="A7" s="6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8" thickBot="1">
      <c r="A8" s="64"/>
      <c r="B8" s="30"/>
      <c r="C8" s="30"/>
      <c r="D8" s="30"/>
      <c r="E8" s="30"/>
      <c r="F8" s="13"/>
      <c r="G8" s="13"/>
      <c r="H8" s="30"/>
      <c r="I8" s="30"/>
      <c r="J8" s="30"/>
      <c r="K8" s="30"/>
      <c r="L8" s="30"/>
      <c r="M8" s="30"/>
      <c r="N8" s="13"/>
    </row>
    <row r="9" spans="1:14" ht="26.25">
      <c r="B9" s="13"/>
      <c r="C9" s="13"/>
      <c r="D9" s="33" t="s">
        <v>303</v>
      </c>
      <c r="E9" s="13"/>
      <c r="F9" s="13"/>
      <c r="G9" s="13"/>
      <c r="H9" s="13"/>
      <c r="I9" s="13"/>
      <c r="J9" s="13"/>
      <c r="K9" s="70" t="s">
        <v>304</v>
      </c>
      <c r="L9" s="13"/>
      <c r="M9" s="13"/>
      <c r="N9" s="13"/>
    </row>
    <row r="10" spans="1:14" ht="21" thickBot="1">
      <c r="A10" s="32"/>
      <c r="B10" s="30"/>
      <c r="C10" s="30"/>
      <c r="D10" s="38" t="s">
        <v>445</v>
      </c>
      <c r="E10" s="30"/>
      <c r="F10" s="13"/>
      <c r="G10" s="13"/>
      <c r="H10" s="30"/>
      <c r="I10" s="30"/>
      <c r="J10" s="30"/>
      <c r="K10" s="38" t="s">
        <v>445</v>
      </c>
      <c r="L10" s="30"/>
      <c r="M10" s="30"/>
      <c r="N10" s="13"/>
    </row>
    <row r="11" spans="1:14" ht="17.25" thickBot="1">
      <c r="A11" s="35" t="s">
        <v>0</v>
      </c>
      <c r="B11" s="35" t="s">
        <v>0</v>
      </c>
      <c r="C11" s="35" t="s">
        <v>0</v>
      </c>
      <c r="D11" s="35" t="s">
        <v>0</v>
      </c>
      <c r="E11" s="35" t="s">
        <v>0</v>
      </c>
      <c r="F11" s="35" t="s">
        <v>0</v>
      </c>
      <c r="G11" s="42"/>
      <c r="H11" s="242"/>
      <c r="I11" s="35" t="s">
        <v>0</v>
      </c>
      <c r="J11" s="30"/>
      <c r="K11" s="30"/>
      <c r="L11" s="30"/>
      <c r="M11" s="30"/>
      <c r="N11" s="13"/>
    </row>
    <row r="12" spans="1:14" ht="16.5">
      <c r="A12" s="36" t="s">
        <v>0</v>
      </c>
      <c r="B12" s="36" t="s">
        <v>3</v>
      </c>
      <c r="C12" s="36" t="s">
        <v>350</v>
      </c>
      <c r="D12" s="36" t="s">
        <v>128</v>
      </c>
      <c r="E12" s="36" t="s">
        <v>128</v>
      </c>
      <c r="F12" s="36" t="s">
        <v>27</v>
      </c>
      <c r="G12" s="36"/>
      <c r="H12" s="36" t="s">
        <v>3</v>
      </c>
      <c r="I12" s="36" t="s">
        <v>350</v>
      </c>
      <c r="J12" s="36" t="s">
        <v>128</v>
      </c>
      <c r="K12" s="36"/>
      <c r="L12" s="36" t="s">
        <v>128</v>
      </c>
      <c r="M12" s="36" t="s">
        <v>27</v>
      </c>
      <c r="N12" s="13"/>
    </row>
    <row r="13" spans="1:14" ht="17.25" thickBot="1">
      <c r="A13" s="38" t="s">
        <v>2</v>
      </c>
      <c r="B13" s="38" t="s">
        <v>4</v>
      </c>
      <c r="C13" s="38" t="s">
        <v>28</v>
      </c>
      <c r="D13" s="38" t="s">
        <v>177</v>
      </c>
      <c r="E13" s="38" t="s">
        <v>29</v>
      </c>
      <c r="F13" s="38" t="s">
        <v>30</v>
      </c>
      <c r="G13" s="36"/>
      <c r="H13" s="38" t="s">
        <v>4</v>
      </c>
      <c r="I13" s="38" t="s">
        <v>28</v>
      </c>
      <c r="J13" s="38" t="s">
        <v>177</v>
      </c>
      <c r="K13" s="38"/>
      <c r="L13" s="38" t="s">
        <v>29</v>
      </c>
      <c r="M13" s="38" t="s">
        <v>30</v>
      </c>
      <c r="N13" s="13"/>
    </row>
    <row r="14" spans="1:14" ht="16.5">
      <c r="A14" s="40" t="s">
        <v>0</v>
      </c>
      <c r="B14" s="40" t="s">
        <v>0</v>
      </c>
      <c r="C14" s="41" t="s">
        <v>131</v>
      </c>
      <c r="D14" s="40" t="s">
        <v>132</v>
      </c>
      <c r="E14" s="40" t="s">
        <v>0</v>
      </c>
      <c r="F14" s="40" t="s">
        <v>0</v>
      </c>
      <c r="G14" s="42"/>
      <c r="H14" s="40" t="s">
        <v>0</v>
      </c>
      <c r="I14" s="41" t="s">
        <v>131</v>
      </c>
      <c r="J14" s="40" t="s">
        <v>133</v>
      </c>
      <c r="K14" s="40"/>
      <c r="L14" s="40" t="s">
        <v>0</v>
      </c>
      <c r="M14" s="40" t="s">
        <v>0</v>
      </c>
      <c r="N14" s="13"/>
    </row>
    <row r="15" spans="1:14" ht="16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13"/>
    </row>
    <row r="16" spans="1:14" ht="16.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7.25">
      <c r="A17" s="45" t="str">
        <f>+'S&amp;D'!A22</f>
        <v>Atmos Energy Corp</v>
      </c>
      <c r="B17" s="45" t="str">
        <f>+'S&amp;D'!B22</f>
        <v>ATO</v>
      </c>
      <c r="C17" s="61">
        <f>+'S&amp;D'!G22</f>
        <v>139.27000000000001</v>
      </c>
      <c r="D17" s="63">
        <v>11.55</v>
      </c>
      <c r="E17" s="71">
        <f t="shared" ref="E17:E27" si="0">C17/D17</f>
        <v>12.058008658008658</v>
      </c>
      <c r="F17" s="58">
        <f t="shared" ref="F17:F27" si="1">1/E17</f>
        <v>8.2932433402742867E-2</v>
      </c>
      <c r="G17" s="58"/>
      <c r="H17" s="36" t="str">
        <f>+B17</f>
        <v>ATO</v>
      </c>
      <c r="I17" s="61">
        <f>+C17</f>
        <v>139.27000000000001</v>
      </c>
      <c r="J17" s="63">
        <v>12.25</v>
      </c>
      <c r="K17" s="63"/>
      <c r="L17" s="71">
        <f t="shared" ref="L17:L27" si="2">I17/J17</f>
        <v>11.368979591836736</v>
      </c>
      <c r="M17" s="58">
        <f t="shared" ref="M17:M27" si="3">1/L17</f>
        <v>8.7958641487757588E-2</v>
      </c>
      <c r="N17" s="13"/>
    </row>
    <row r="18" spans="1:14" ht="17.25">
      <c r="A18" s="45" t="str">
        <f>+'S&amp;D'!A23</f>
        <v>Black Hills Corporation</v>
      </c>
      <c r="B18" s="45" t="str">
        <f>+'S&amp;D'!B23</f>
        <v>BKH</v>
      </c>
      <c r="C18" s="61">
        <f>+'S&amp;D'!G23</f>
        <v>58.52</v>
      </c>
      <c r="D18" s="63">
        <v>9.4</v>
      </c>
      <c r="E18" s="71">
        <f t="shared" si="0"/>
        <v>6.225531914893617</v>
      </c>
      <c r="F18" s="58">
        <f t="shared" si="1"/>
        <v>0.16062884483937115</v>
      </c>
      <c r="G18" s="58"/>
      <c r="H18" s="36" t="str">
        <f t="shared" ref="H18:H27" si="4">+B18</f>
        <v>BKH</v>
      </c>
      <c r="I18" s="61">
        <f>+C18</f>
        <v>58.52</v>
      </c>
      <c r="J18" s="63">
        <v>10.199999999999999</v>
      </c>
      <c r="K18" s="63"/>
      <c r="L18" s="71">
        <f t="shared" si="2"/>
        <v>5.7372549019607852</v>
      </c>
      <c r="M18" s="58">
        <f t="shared" si="3"/>
        <v>0.17429938482570059</v>
      </c>
      <c r="N18" s="13"/>
    </row>
    <row r="19" spans="1:14" ht="17.25">
      <c r="A19" s="45" t="str">
        <f>+'S&amp;D'!A24</f>
        <v>CenterPoint Energy Inc.</v>
      </c>
      <c r="B19" s="45" t="str">
        <f>+'S&amp;D'!B24</f>
        <v>CNP</v>
      </c>
      <c r="C19" s="61">
        <f>+'S&amp;D'!G24</f>
        <v>31.73</v>
      </c>
      <c r="D19" s="63">
        <v>4</v>
      </c>
      <c r="E19" s="71">
        <f t="shared" si="0"/>
        <v>7.9325000000000001</v>
      </c>
      <c r="F19" s="58">
        <f t="shared" si="1"/>
        <v>0.12606366214938544</v>
      </c>
      <c r="G19" s="58"/>
      <c r="H19" s="36" t="str">
        <f t="shared" si="4"/>
        <v>CNP</v>
      </c>
      <c r="I19" s="61">
        <f>+C19</f>
        <v>31.73</v>
      </c>
      <c r="J19" s="63">
        <v>4.25</v>
      </c>
      <c r="K19" s="63"/>
      <c r="L19" s="71">
        <f t="shared" si="2"/>
        <v>7.4658823529411764</v>
      </c>
      <c r="M19" s="58">
        <f t="shared" si="3"/>
        <v>0.13394264103372203</v>
      </c>
      <c r="N19" s="13"/>
    </row>
    <row r="20" spans="1:14" ht="17.25">
      <c r="A20" s="45" t="str">
        <f>+'S&amp;D'!A25</f>
        <v>CMS Energy Corporation</v>
      </c>
      <c r="B20" s="45" t="str">
        <f>+'S&amp;D'!B25</f>
        <v>CMS</v>
      </c>
      <c r="C20" s="61">
        <f>+'S&amp;D'!G25</f>
        <v>66.650000000000006</v>
      </c>
      <c r="D20" s="63">
        <v>7.75</v>
      </c>
      <c r="E20" s="71">
        <f t="shared" si="0"/>
        <v>8.6000000000000014</v>
      </c>
      <c r="F20" s="58">
        <f t="shared" si="1"/>
        <v>0.11627906976744184</v>
      </c>
      <c r="G20" s="58"/>
      <c r="H20" s="36" t="str">
        <f t="shared" si="4"/>
        <v>CMS</v>
      </c>
      <c r="I20" s="61">
        <f>+C20</f>
        <v>66.650000000000006</v>
      </c>
      <c r="J20" s="63">
        <v>8</v>
      </c>
      <c r="K20" s="63"/>
      <c r="L20" s="71">
        <f t="shared" si="2"/>
        <v>8.3312500000000007</v>
      </c>
      <c r="M20" s="58">
        <f t="shared" si="3"/>
        <v>0.12003000750187545</v>
      </c>
      <c r="N20" s="13"/>
    </row>
    <row r="21" spans="1:14" ht="17.25">
      <c r="A21" s="45" t="str">
        <f>+'S&amp;D'!A26</f>
        <v>New Jersey Resources Corp</v>
      </c>
      <c r="B21" s="45" t="str">
        <f>+'S&amp;D'!B26</f>
        <v>NJR</v>
      </c>
      <c r="C21" s="61">
        <f>+'S&amp;D'!G26</f>
        <v>46.65</v>
      </c>
      <c r="D21" s="63">
        <v>4.9000000000000004</v>
      </c>
      <c r="E21" s="71">
        <f t="shared" si="0"/>
        <v>9.520408163265305</v>
      </c>
      <c r="F21" s="58">
        <f t="shared" si="1"/>
        <v>0.10503751339764203</v>
      </c>
      <c r="G21" s="58"/>
      <c r="H21" s="36" t="str">
        <f t="shared" si="4"/>
        <v>NJR</v>
      </c>
      <c r="I21" s="61">
        <f t="shared" ref="I21:I27" si="5">+C21</f>
        <v>46.65</v>
      </c>
      <c r="J21" s="63">
        <v>5.0999999999999996</v>
      </c>
      <c r="K21" s="63"/>
      <c r="L21" s="71">
        <f t="shared" si="2"/>
        <v>9.1470588235294112</v>
      </c>
      <c r="M21" s="58">
        <f t="shared" si="3"/>
        <v>0.10932475884244373</v>
      </c>
      <c r="N21" s="13"/>
    </row>
    <row r="22" spans="1:14" ht="17.25">
      <c r="A22" s="45" t="str">
        <f>+'S&amp;D'!A27</f>
        <v>NISOURCE Inc.</v>
      </c>
      <c r="B22" s="45" t="str">
        <f>+'S&amp;D'!B27</f>
        <v>NI</v>
      </c>
      <c r="C22" s="61">
        <f>+'S&amp;D'!G27</f>
        <v>36.76</v>
      </c>
      <c r="D22" s="63">
        <v>4.0999999999999996</v>
      </c>
      <c r="E22" s="71">
        <f t="shared" si="0"/>
        <v>8.9658536585365862</v>
      </c>
      <c r="F22" s="58">
        <f t="shared" si="1"/>
        <v>0.11153427638737758</v>
      </c>
      <c r="G22" s="58"/>
      <c r="H22" s="36" t="str">
        <f t="shared" si="4"/>
        <v>NI</v>
      </c>
      <c r="I22" s="61">
        <f t="shared" si="5"/>
        <v>36.76</v>
      </c>
      <c r="J22" s="63">
        <v>4.1500000000000004</v>
      </c>
      <c r="K22" s="63"/>
      <c r="L22" s="71">
        <f t="shared" si="2"/>
        <v>8.8578313253012038</v>
      </c>
      <c r="M22" s="58">
        <f t="shared" si="3"/>
        <v>0.11289445048966269</v>
      </c>
      <c r="N22" s="13"/>
    </row>
    <row r="23" spans="1:14" ht="17.25">
      <c r="A23" s="45" t="str">
        <f>+'S&amp;D'!A28</f>
        <v xml:space="preserve">Northwest Natural Holding Company </v>
      </c>
      <c r="B23" s="45" t="str">
        <f>+'S&amp;D'!B28</f>
        <v>NWN</v>
      </c>
      <c r="C23" s="61">
        <f>+'S&amp;D'!G28</f>
        <v>39.56</v>
      </c>
      <c r="D23" s="63">
        <v>6.5</v>
      </c>
      <c r="E23" s="71">
        <f t="shared" si="0"/>
        <v>6.0861538461538469</v>
      </c>
      <c r="F23" s="58">
        <f t="shared" si="1"/>
        <v>0.16430738119312435</v>
      </c>
      <c r="G23" s="58"/>
      <c r="H23" s="36" t="str">
        <f t="shared" si="4"/>
        <v>NWN</v>
      </c>
      <c r="I23" s="61">
        <f t="shared" si="5"/>
        <v>39.56</v>
      </c>
      <c r="J23" s="63">
        <v>6.65</v>
      </c>
      <c r="K23" s="63"/>
      <c r="L23" s="71">
        <f t="shared" si="2"/>
        <v>5.9488721804511275</v>
      </c>
      <c r="M23" s="58">
        <f t="shared" si="3"/>
        <v>0.16809908998988879</v>
      </c>
      <c r="N23" s="13"/>
    </row>
    <row r="24" spans="1:14" ht="17.25">
      <c r="A24" s="45" t="str">
        <f>+'S&amp;D'!A29</f>
        <v>One Gas INC</v>
      </c>
      <c r="B24" s="45" t="str">
        <f>+'S&amp;D'!B29</f>
        <v>OGS</v>
      </c>
      <c r="C24" s="61">
        <f>+'S&amp;D'!G29</f>
        <v>69.25</v>
      </c>
      <c r="D24" s="63">
        <v>9.4499999999999993</v>
      </c>
      <c r="E24" s="71">
        <f t="shared" si="0"/>
        <v>7.3280423280423284</v>
      </c>
      <c r="F24" s="58">
        <f t="shared" si="1"/>
        <v>0.13646209386281588</v>
      </c>
      <c r="G24" s="58"/>
      <c r="H24" s="36" t="str">
        <f t="shared" si="4"/>
        <v>OGS</v>
      </c>
      <c r="I24" s="61">
        <f t="shared" si="5"/>
        <v>69.25</v>
      </c>
      <c r="J24" s="63">
        <v>9.85</v>
      </c>
      <c r="K24" s="63"/>
      <c r="L24" s="71">
        <f t="shared" si="2"/>
        <v>7.030456852791878</v>
      </c>
      <c r="M24" s="58">
        <f t="shared" si="3"/>
        <v>0.14223826714801444</v>
      </c>
      <c r="N24" s="13"/>
    </row>
    <row r="25" spans="1:14" ht="17.25">
      <c r="A25" s="45" t="str">
        <f>+'S&amp;D'!A30</f>
        <v>Southwest Gas Holdings, Inc</v>
      </c>
      <c r="B25" s="45" t="str">
        <f>+'S&amp;D'!B30</f>
        <v>SWX</v>
      </c>
      <c r="C25" s="61">
        <f>+'S&amp;D'!G30</f>
        <v>70.709999999999994</v>
      </c>
      <c r="D25" s="63">
        <v>10.1</v>
      </c>
      <c r="E25" s="71">
        <f t="shared" si="0"/>
        <v>7.0009900990099005</v>
      </c>
      <c r="F25" s="58">
        <f t="shared" si="1"/>
        <v>0.14283693961250177</v>
      </c>
      <c r="G25" s="58"/>
      <c r="H25" s="36" t="str">
        <f t="shared" si="4"/>
        <v>SWX</v>
      </c>
      <c r="I25" s="61">
        <f t="shared" si="5"/>
        <v>70.709999999999994</v>
      </c>
      <c r="J25" s="63">
        <v>11.2</v>
      </c>
      <c r="K25" s="63"/>
      <c r="L25" s="71">
        <f t="shared" si="2"/>
        <v>6.3133928571428566</v>
      </c>
      <c r="M25" s="58">
        <f t="shared" si="3"/>
        <v>0.15839343798614058</v>
      </c>
      <c r="N25" s="13"/>
    </row>
    <row r="26" spans="1:14" ht="17.25">
      <c r="A26" s="45" t="str">
        <f>+'S&amp;D'!A31</f>
        <v>Spire Inc / Laclede Group Inc</v>
      </c>
      <c r="B26" s="45" t="str">
        <f>+'S&amp;D'!B31</f>
        <v>SR</v>
      </c>
      <c r="C26" s="61">
        <f>+'S&amp;D'!G31</f>
        <v>67.83</v>
      </c>
      <c r="D26" s="63">
        <v>8.9</v>
      </c>
      <c r="E26" s="71">
        <f t="shared" si="0"/>
        <v>7.6213483146067409</v>
      </c>
      <c r="F26" s="58">
        <f t="shared" si="1"/>
        <v>0.13121037888839748</v>
      </c>
      <c r="G26" s="58"/>
      <c r="H26" s="36" t="str">
        <f t="shared" si="4"/>
        <v>SR</v>
      </c>
      <c r="I26" s="61">
        <f t="shared" si="5"/>
        <v>67.83</v>
      </c>
      <c r="J26" s="63">
        <v>9.35</v>
      </c>
      <c r="K26" s="63"/>
      <c r="L26" s="71">
        <f t="shared" si="2"/>
        <v>7.2545454545454549</v>
      </c>
      <c r="M26" s="58">
        <f t="shared" si="3"/>
        <v>0.13784461152882205</v>
      </c>
      <c r="N26" s="13"/>
    </row>
    <row r="27" spans="1:14" ht="17.25">
      <c r="A27" s="45" t="str">
        <f>+'S&amp;D'!A32</f>
        <v>WEC Energy Group</v>
      </c>
      <c r="B27" s="45" t="str">
        <f>+'S&amp;D'!B32</f>
        <v>WEC</v>
      </c>
      <c r="C27" s="61">
        <f>+'S&amp;D'!G32</f>
        <v>94.04</v>
      </c>
      <c r="D27" s="63">
        <v>10.15</v>
      </c>
      <c r="E27" s="71">
        <f t="shared" si="0"/>
        <v>9.2650246305418715</v>
      </c>
      <c r="F27" s="58">
        <f t="shared" si="1"/>
        <v>0.1079327945555083</v>
      </c>
      <c r="G27" s="58"/>
      <c r="H27" s="36" t="str">
        <f t="shared" si="4"/>
        <v>WEC</v>
      </c>
      <c r="I27" s="61">
        <f t="shared" si="5"/>
        <v>94.04</v>
      </c>
      <c r="J27" s="63">
        <v>10.65</v>
      </c>
      <c r="K27" s="63"/>
      <c r="L27" s="71">
        <f t="shared" si="2"/>
        <v>8.8300469483568076</v>
      </c>
      <c r="M27" s="58">
        <f t="shared" si="3"/>
        <v>0.11324968098681412</v>
      </c>
      <c r="N27" s="13"/>
    </row>
    <row r="28" spans="1:14" ht="17.25" thickBot="1">
      <c r="A28" s="13"/>
      <c r="B28" s="72"/>
      <c r="C28" s="72"/>
      <c r="D28" s="72"/>
      <c r="E28" s="72"/>
      <c r="F28" s="72"/>
      <c r="G28" s="13"/>
      <c r="H28" s="72"/>
      <c r="I28" s="72"/>
      <c r="J28" s="72"/>
      <c r="K28" s="72"/>
      <c r="L28" s="72"/>
      <c r="M28" s="72"/>
      <c r="N28" s="13"/>
    </row>
    <row r="29" spans="1:14" ht="17.25" thickTop="1">
      <c r="A29" s="13"/>
      <c r="C29" s="15" t="s">
        <v>56</v>
      </c>
      <c r="D29" s="281">
        <f>MAX(D17:D27)</f>
        <v>11.55</v>
      </c>
      <c r="E29" s="281">
        <f t="shared" ref="E29:F29" si="6">MAX(E17:E27)</f>
        <v>12.058008658008658</v>
      </c>
      <c r="F29" s="270">
        <f t="shared" si="6"/>
        <v>0.16430738119312435</v>
      </c>
      <c r="I29" s="15" t="s">
        <v>56</v>
      </c>
      <c r="J29" s="281">
        <f t="shared" ref="J29:M29" si="7">MAX(J17:J27)</f>
        <v>12.25</v>
      </c>
      <c r="K29" s="281"/>
      <c r="L29" s="281">
        <f t="shared" si="7"/>
        <v>11.368979591836736</v>
      </c>
      <c r="M29" s="270">
        <f t="shared" si="7"/>
        <v>0.17429938482570059</v>
      </c>
      <c r="N29" s="13"/>
    </row>
    <row r="30" spans="1:14" ht="16.5">
      <c r="A30" s="13"/>
      <c r="C30" s="15" t="s">
        <v>57</v>
      </c>
      <c r="D30" s="285">
        <f>MIN(D17:D27)</f>
        <v>4</v>
      </c>
      <c r="E30" s="285">
        <f t="shared" ref="E30:F30" si="8">MIN(E17:E27)</f>
        <v>6.0861538461538469</v>
      </c>
      <c r="F30" s="271">
        <f t="shared" si="8"/>
        <v>8.2932433402742867E-2</v>
      </c>
      <c r="I30" s="15" t="s">
        <v>57</v>
      </c>
      <c r="J30" s="285">
        <f t="shared" ref="J30:M30" si="9">MIN(J17:J27)</f>
        <v>4.1500000000000004</v>
      </c>
      <c r="K30" s="285"/>
      <c r="L30" s="285">
        <f t="shared" si="9"/>
        <v>5.7372549019607852</v>
      </c>
      <c r="M30" s="271">
        <f t="shared" si="9"/>
        <v>8.7958641487757588E-2</v>
      </c>
      <c r="N30" s="13"/>
    </row>
    <row r="31" spans="1:14" ht="16.5">
      <c r="A31" s="13"/>
      <c r="C31" s="15" t="s">
        <v>18</v>
      </c>
      <c r="D31" s="73">
        <f>MEDIAN(D17:D27)</f>
        <v>8.9</v>
      </c>
      <c r="E31" s="22">
        <f>MEDIAN(E17:E27)</f>
        <v>7.9325000000000001</v>
      </c>
      <c r="F31" s="58">
        <f>MEDIAN(F17:F27)</f>
        <v>0.12606366214938544</v>
      </c>
      <c r="I31" s="15" t="s">
        <v>18</v>
      </c>
      <c r="J31" s="73">
        <f>MEDIAN(J17:J27)</f>
        <v>9.35</v>
      </c>
      <c r="K31" s="73"/>
      <c r="L31" s="22">
        <f>MEDIAN(L17:L27)</f>
        <v>7.4658823529411764</v>
      </c>
      <c r="M31" s="58">
        <f>MEDIAN(M17:M27)</f>
        <v>0.13394264103372203</v>
      </c>
      <c r="N31" s="13"/>
    </row>
    <row r="32" spans="1:14" ht="16.5">
      <c r="A32" s="13"/>
      <c r="C32" s="15" t="s">
        <v>413</v>
      </c>
      <c r="D32" s="18">
        <f>AVERAGE(D17:D27)</f>
        <v>7.8909090909090915</v>
      </c>
      <c r="E32" s="22">
        <f>AVERAGE(E17:E27)</f>
        <v>8.2367146920962586</v>
      </c>
      <c r="F32" s="74">
        <f>AVERAGE(F17:F27)</f>
        <v>0.12592958073239172</v>
      </c>
      <c r="I32" s="15" t="s">
        <v>413</v>
      </c>
      <c r="J32" s="18">
        <f>AVERAGE(J17:J27)</f>
        <v>8.331818181818182</v>
      </c>
      <c r="K32" s="18"/>
      <c r="L32" s="22">
        <f>AVERAGE(L17:L27)</f>
        <v>7.8441428444415857</v>
      </c>
      <c r="M32" s="74">
        <f>AVERAGE(M17:M27)</f>
        <v>0.13257045198371295</v>
      </c>
      <c r="N32" s="13"/>
    </row>
    <row r="33" spans="1:14" ht="16.5">
      <c r="A33" s="13"/>
      <c r="B33" s="13"/>
      <c r="C33" s="13"/>
      <c r="D33" s="13"/>
      <c r="E33" s="13"/>
      <c r="F33" s="13"/>
      <c r="H33" s="13"/>
      <c r="I33" s="13"/>
      <c r="J33" s="13"/>
      <c r="K33" s="13"/>
      <c r="L33" s="13"/>
      <c r="M33" s="13"/>
      <c r="N33" s="13"/>
    </row>
    <row r="34" spans="1:14" ht="26.25">
      <c r="A34" s="13"/>
      <c r="B34" s="13"/>
      <c r="C34" s="13"/>
      <c r="D34" s="78" t="s">
        <v>92</v>
      </c>
      <c r="E34" s="337">
        <v>8.24</v>
      </c>
      <c r="F34" s="291">
        <v>0.12590000000000001</v>
      </c>
      <c r="H34" s="13"/>
      <c r="I34" s="13"/>
      <c r="J34" s="78" t="s">
        <v>92</v>
      </c>
      <c r="K34" s="50"/>
      <c r="L34" s="338">
        <v>7.84</v>
      </c>
      <c r="M34" s="291">
        <v>0.1326</v>
      </c>
      <c r="N34" s="13"/>
    </row>
    <row r="35" spans="1:14" ht="17.25" thickBot="1">
      <c r="A35" s="13"/>
      <c r="B35" s="13"/>
      <c r="C35" s="13"/>
      <c r="D35" s="13"/>
      <c r="E35" s="13"/>
      <c r="F35" s="75" t="s">
        <v>0</v>
      </c>
      <c r="G35" s="75"/>
      <c r="H35" s="13"/>
      <c r="I35" s="13"/>
      <c r="J35" s="13"/>
      <c r="K35" s="13"/>
      <c r="L35" s="13"/>
      <c r="M35" s="13"/>
      <c r="N35" s="13"/>
    </row>
    <row r="36" spans="1:14" ht="27" thickBot="1">
      <c r="A36" s="76" t="s">
        <v>0</v>
      </c>
      <c r="B36" s="13"/>
      <c r="C36" s="13"/>
      <c r="D36" s="13"/>
      <c r="E36" s="25" t="s">
        <v>137</v>
      </c>
      <c r="F36" s="25"/>
      <c r="G36" s="339">
        <f>(+E34+L34)/2</f>
        <v>8.0399999999999991</v>
      </c>
      <c r="H36" s="328">
        <f>(+F34+M34)/2</f>
        <v>0.12925</v>
      </c>
      <c r="N36" s="13"/>
    </row>
    <row r="37" spans="1:14" ht="26.25">
      <c r="A37" s="76"/>
      <c r="B37" s="13"/>
      <c r="C37" s="13"/>
      <c r="D37" s="13"/>
      <c r="E37" s="25"/>
      <c r="F37" s="25"/>
      <c r="G37" s="293"/>
      <c r="H37" s="294"/>
      <c r="N37" s="13"/>
    </row>
    <row r="38" spans="1:14" ht="16.5">
      <c r="A38" s="76" t="s">
        <v>71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6.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6.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</sheetData>
  <pageMargins left="0.25" right="0.25" top="0.75" bottom="0.75" header="0.3" footer="0.3"/>
  <pageSetup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>
    <tabColor rgb="FF92D050"/>
  </sheetPr>
  <dimension ref="A1:O67"/>
  <sheetViews>
    <sheetView view="pageBreakPreview" topLeftCell="A20" zoomScale="60" zoomScaleNormal="80" workbookViewId="0">
      <selection activeCell="I37" sqref="I37"/>
    </sheetView>
  </sheetViews>
  <sheetFormatPr defaultRowHeight="15"/>
  <cols>
    <col min="1" max="1" width="44.140625" customWidth="1"/>
    <col min="2" max="2" width="14.42578125" customWidth="1"/>
    <col min="3" max="3" width="12.28515625" bestFit="1" customWidth="1"/>
    <col min="4" max="4" width="23.7109375" customWidth="1"/>
    <col min="5" max="5" width="21.28515625" customWidth="1"/>
    <col min="6" max="6" width="19" customWidth="1"/>
    <col min="7" max="7" width="16.42578125" customWidth="1"/>
    <col min="8" max="10" width="19.28515625" customWidth="1"/>
    <col min="11" max="12" width="21.5703125" customWidth="1"/>
    <col min="13" max="13" width="18.28515625" customWidth="1"/>
  </cols>
  <sheetData>
    <row r="1" spans="1:15" ht="26.25">
      <c r="A1" s="25" t="s">
        <v>1</v>
      </c>
      <c r="B1" s="25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7.25">
      <c r="A2" s="64" t="s">
        <v>9</v>
      </c>
      <c r="B2" s="6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6.5">
      <c r="A3" s="27" t="s">
        <v>444</v>
      </c>
      <c r="B3" s="45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6.5">
      <c r="A4" s="13"/>
      <c r="B4" s="13"/>
      <c r="C4" s="13"/>
      <c r="D4" s="13"/>
      <c r="E4" s="28" t="s">
        <v>0</v>
      </c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18" thickBot="1">
      <c r="A5" s="64"/>
      <c r="B5" s="6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21" thickBot="1">
      <c r="A6" s="241" t="str">
        <f>+'S&amp;D'!A12</f>
        <v>Natural Gas Utility Distribution</v>
      </c>
      <c r="B6" s="24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8" thickBot="1">
      <c r="A7" s="64"/>
      <c r="B7" s="64"/>
      <c r="C7" s="30"/>
      <c r="D7" s="30"/>
      <c r="E7" s="30"/>
      <c r="F7" s="30"/>
      <c r="G7" s="30"/>
      <c r="H7" s="13"/>
      <c r="I7" s="30"/>
      <c r="J7" s="30"/>
      <c r="K7" s="30"/>
      <c r="L7" s="30"/>
      <c r="M7" s="30"/>
      <c r="N7" s="13"/>
      <c r="O7" s="13"/>
    </row>
    <row r="8" spans="1:15" ht="26.25">
      <c r="B8" s="32"/>
      <c r="C8" s="13"/>
      <c r="D8" s="13"/>
      <c r="E8" s="33" t="s">
        <v>243</v>
      </c>
      <c r="F8" s="13"/>
      <c r="G8" s="13"/>
      <c r="H8" s="13"/>
      <c r="I8" s="13"/>
      <c r="J8" s="13"/>
      <c r="K8" s="33" t="s">
        <v>244</v>
      </c>
      <c r="L8" s="13"/>
      <c r="M8" s="13"/>
      <c r="N8" s="13"/>
      <c r="O8" s="13"/>
    </row>
    <row r="9" spans="1:15" ht="21" thickBot="1">
      <c r="A9" s="32"/>
      <c r="B9" s="32"/>
      <c r="C9" s="30"/>
      <c r="D9" s="30"/>
      <c r="E9" s="38" t="s">
        <v>445</v>
      </c>
      <c r="F9" s="30"/>
      <c r="G9" s="30"/>
      <c r="H9" s="13"/>
      <c r="I9" s="30"/>
      <c r="J9" s="30"/>
      <c r="K9" s="38" t="s">
        <v>445</v>
      </c>
      <c r="L9" s="30"/>
      <c r="M9" s="30"/>
      <c r="N9" s="13"/>
      <c r="O9" s="13"/>
    </row>
    <row r="10" spans="1:15" ht="17.25" thickBot="1">
      <c r="A10" s="35" t="s">
        <v>0</v>
      </c>
      <c r="B10" s="35"/>
      <c r="C10" s="35" t="s">
        <v>0</v>
      </c>
      <c r="D10" s="35" t="s">
        <v>0</v>
      </c>
      <c r="E10" s="35" t="s">
        <v>0</v>
      </c>
      <c r="F10" s="35" t="s">
        <v>0</v>
      </c>
      <c r="G10" s="35" t="s">
        <v>0</v>
      </c>
      <c r="H10" s="13"/>
      <c r="I10" s="30"/>
      <c r="J10" s="30"/>
      <c r="K10" s="30"/>
      <c r="L10" s="30"/>
      <c r="M10" s="30"/>
      <c r="N10" s="13"/>
      <c r="O10" s="13"/>
    </row>
    <row r="11" spans="1:15" ht="16.5">
      <c r="A11" s="36" t="s">
        <v>0</v>
      </c>
      <c r="B11" s="36"/>
      <c r="C11" s="36" t="s">
        <v>3</v>
      </c>
      <c r="D11" s="36" t="s">
        <v>0</v>
      </c>
      <c r="E11" s="36" t="s">
        <v>129</v>
      </c>
      <c r="F11" s="36" t="s">
        <v>129</v>
      </c>
      <c r="G11" s="36" t="s">
        <v>27</v>
      </c>
      <c r="H11" s="13"/>
      <c r="I11" s="36" t="s">
        <v>3</v>
      </c>
      <c r="J11" s="36" t="s">
        <v>0</v>
      </c>
      <c r="K11" s="36" t="s">
        <v>129</v>
      </c>
      <c r="L11" s="36" t="s">
        <v>129</v>
      </c>
      <c r="M11" s="36" t="s">
        <v>27</v>
      </c>
      <c r="N11" s="13"/>
      <c r="O11" s="13"/>
    </row>
    <row r="12" spans="1:15" ht="17.25" thickBot="1">
      <c r="A12" s="38" t="s">
        <v>2</v>
      </c>
      <c r="B12" s="38"/>
      <c r="C12" s="38" t="s">
        <v>4</v>
      </c>
      <c r="D12" s="38" t="s">
        <v>28</v>
      </c>
      <c r="E12" s="38" t="s">
        <v>182</v>
      </c>
      <c r="F12" s="38" t="s">
        <v>29</v>
      </c>
      <c r="G12" s="38" t="s">
        <v>30</v>
      </c>
      <c r="H12" s="13"/>
      <c r="I12" s="38" t="s">
        <v>4</v>
      </c>
      <c r="J12" s="38" t="s">
        <v>28</v>
      </c>
      <c r="K12" s="38" t="s">
        <v>182</v>
      </c>
      <c r="L12" s="38" t="s">
        <v>29</v>
      </c>
      <c r="M12" s="38" t="s">
        <v>30</v>
      </c>
      <c r="N12" s="13"/>
      <c r="O12" s="13"/>
    </row>
    <row r="13" spans="1:15" ht="16.5">
      <c r="A13" s="40" t="s">
        <v>0</v>
      </c>
      <c r="B13" s="40"/>
      <c r="C13" s="40" t="s">
        <v>0</v>
      </c>
      <c r="D13" s="41" t="s">
        <v>131</v>
      </c>
      <c r="E13" s="77" t="s">
        <v>132</v>
      </c>
      <c r="F13" s="40" t="s">
        <v>0</v>
      </c>
      <c r="G13" s="40" t="s">
        <v>0</v>
      </c>
      <c r="H13" s="13"/>
      <c r="I13" s="40" t="s">
        <v>0</v>
      </c>
      <c r="J13" s="41" t="s">
        <v>131</v>
      </c>
      <c r="K13" s="77" t="s">
        <v>130</v>
      </c>
      <c r="L13" s="40" t="s">
        <v>0</v>
      </c>
      <c r="M13" s="40" t="s">
        <v>0</v>
      </c>
      <c r="N13" s="13"/>
      <c r="O13" s="13"/>
    </row>
    <row r="14" spans="1:15" ht="16.5">
      <c r="A14" s="36"/>
      <c r="B14" s="36"/>
      <c r="C14" s="36"/>
      <c r="D14" s="36"/>
      <c r="E14" s="36"/>
      <c r="F14" s="36"/>
      <c r="G14" s="36"/>
      <c r="H14" s="13"/>
      <c r="I14" s="36"/>
      <c r="J14" s="36"/>
      <c r="K14" s="36"/>
      <c r="L14" s="36"/>
      <c r="M14" s="36"/>
      <c r="N14" s="13"/>
      <c r="O14" s="13"/>
    </row>
    <row r="15" spans="1:15" ht="16.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7.25">
      <c r="A16" s="45" t="str">
        <f>+'S&amp;D'!A22</f>
        <v>Atmos Energy Corp</v>
      </c>
      <c r="B16" s="45"/>
      <c r="C16" s="36" t="str">
        <f>+'S&amp;D'!B22</f>
        <v>ATO</v>
      </c>
      <c r="D16" s="61">
        <f>'S&amp;D'!G22</f>
        <v>139.27000000000001</v>
      </c>
      <c r="E16" s="63">
        <f>+Earnings!E16</f>
        <v>7.2</v>
      </c>
      <c r="F16" s="71">
        <f>D16/E16</f>
        <v>19.343055555555555</v>
      </c>
      <c r="G16" s="58">
        <f t="shared" ref="G16:G25" si="0">1/F16</f>
        <v>5.1698140303008545E-2</v>
      </c>
      <c r="H16" s="13"/>
      <c r="I16" s="36" t="s">
        <v>45</v>
      </c>
      <c r="J16" s="61">
        <f>+D16</f>
        <v>139.27000000000001</v>
      </c>
      <c r="K16" s="63">
        <f>+Earnings!G16</f>
        <v>7.6</v>
      </c>
      <c r="L16" s="71">
        <f>J16/K16</f>
        <v>18.325000000000003</v>
      </c>
      <c r="M16" s="58">
        <f t="shared" ref="M16:M25" si="1">1/L16</f>
        <v>5.457025920873123E-2</v>
      </c>
      <c r="N16" s="13"/>
      <c r="O16" s="13"/>
    </row>
    <row r="17" spans="1:15" ht="17.25">
      <c r="A17" s="45" t="str">
        <f>+'S&amp;D'!A23</f>
        <v>Black Hills Corporation</v>
      </c>
      <c r="B17" s="45"/>
      <c r="C17" s="36" t="str">
        <f>+'S&amp;D'!B23</f>
        <v>BKH</v>
      </c>
      <c r="D17" s="61">
        <f>'S&amp;D'!G23</f>
        <v>58.52</v>
      </c>
      <c r="E17" s="63">
        <f>+Earnings!E17</f>
        <v>5.7</v>
      </c>
      <c r="F17" s="71">
        <f t="shared" ref="F17:F25" si="2">D17/E17</f>
        <v>10.266666666666667</v>
      </c>
      <c r="G17" s="58">
        <f t="shared" si="0"/>
        <v>9.7402597402597393E-2</v>
      </c>
      <c r="H17" s="13"/>
      <c r="I17" s="36" t="s">
        <v>46</v>
      </c>
      <c r="J17" s="61">
        <f t="shared" ref="J17:J25" si="3">+D17</f>
        <v>58.52</v>
      </c>
      <c r="K17" s="63">
        <f>+Earnings!G17</f>
        <v>6.1</v>
      </c>
      <c r="L17" s="71">
        <f t="shared" ref="L17:L25" si="4">J17/K17</f>
        <v>9.5934426229508212</v>
      </c>
      <c r="M17" s="58">
        <f t="shared" si="1"/>
        <v>0.10423786739576212</v>
      </c>
      <c r="N17" s="13"/>
      <c r="O17" s="13"/>
    </row>
    <row r="18" spans="1:15" ht="17.25">
      <c r="A18" s="45" t="str">
        <f>+'S&amp;D'!A24</f>
        <v>CenterPoint Energy Inc.</v>
      </c>
      <c r="B18" s="45"/>
      <c r="C18" s="36" t="str">
        <f>+'S&amp;D'!B24</f>
        <v>CNP</v>
      </c>
      <c r="D18" s="61">
        <f>'S&amp;D'!G24</f>
        <v>31.73</v>
      </c>
      <c r="E18" s="63">
        <f>+Earnings!E18</f>
        <v>1.7</v>
      </c>
      <c r="F18" s="71">
        <f t="shared" si="2"/>
        <v>18.664705882352941</v>
      </c>
      <c r="G18" s="58">
        <f t="shared" si="0"/>
        <v>5.3577056413488811E-2</v>
      </c>
      <c r="H18" s="13"/>
      <c r="I18" s="36" t="s">
        <v>50</v>
      </c>
      <c r="J18" s="61">
        <f t="shared" si="3"/>
        <v>31.73</v>
      </c>
      <c r="K18" s="63">
        <f>+Earnings!G18</f>
        <v>1.8</v>
      </c>
      <c r="L18" s="71">
        <f t="shared" si="4"/>
        <v>17.627777777777776</v>
      </c>
      <c r="M18" s="58">
        <f t="shared" si="1"/>
        <v>5.6728647967223454E-2</v>
      </c>
      <c r="N18" s="13"/>
      <c r="O18" s="13"/>
    </row>
    <row r="19" spans="1:15" ht="17.25">
      <c r="A19" s="45" t="str">
        <f>+'S&amp;D'!A25</f>
        <v>CMS Energy Corporation</v>
      </c>
      <c r="B19" s="45"/>
      <c r="C19" s="36" t="str">
        <f>+'S&amp;D'!B25</f>
        <v>CMS</v>
      </c>
      <c r="D19" s="61">
        <f>'S&amp;D'!G25</f>
        <v>66.650000000000006</v>
      </c>
      <c r="E19" s="63">
        <f>+Earnings!E19</f>
        <v>3.6</v>
      </c>
      <c r="F19" s="71">
        <f>D19/E19</f>
        <v>18.513888888888889</v>
      </c>
      <c r="G19" s="58">
        <f t="shared" si="0"/>
        <v>5.4013503375843958E-2</v>
      </c>
      <c r="H19" s="13"/>
      <c r="I19" s="36" t="s">
        <v>51</v>
      </c>
      <c r="J19" s="61">
        <f t="shared" si="3"/>
        <v>66.650000000000006</v>
      </c>
      <c r="K19" s="63">
        <f>+Earnings!G19</f>
        <v>3.8</v>
      </c>
      <c r="L19" s="71">
        <f t="shared" si="4"/>
        <v>17.539473684210527</v>
      </c>
      <c r="M19" s="58">
        <f t="shared" si="1"/>
        <v>5.7014253563390842E-2</v>
      </c>
      <c r="N19" s="13"/>
      <c r="O19" s="13"/>
    </row>
    <row r="20" spans="1:15" ht="17.25">
      <c r="A20" s="45" t="str">
        <f>+'S&amp;D'!A26</f>
        <v>New Jersey Resources Corp</v>
      </c>
      <c r="B20" s="45"/>
      <c r="C20" s="36" t="str">
        <f>+'S&amp;D'!B26</f>
        <v>NJR</v>
      </c>
      <c r="D20" s="61">
        <f>'S&amp;D'!G26</f>
        <v>46.65</v>
      </c>
      <c r="E20" s="63">
        <f>+Earnings!E20</f>
        <v>3.1</v>
      </c>
      <c r="F20" s="71">
        <f t="shared" si="2"/>
        <v>15.048387096774192</v>
      </c>
      <c r="G20" s="58">
        <f t="shared" si="0"/>
        <v>6.6452304394426592E-2</v>
      </c>
      <c r="H20" s="13"/>
      <c r="I20" s="36" t="s">
        <v>47</v>
      </c>
      <c r="J20" s="61">
        <f t="shared" si="3"/>
        <v>46.65</v>
      </c>
      <c r="K20" s="63">
        <f>+Earnings!G20</f>
        <v>3.2</v>
      </c>
      <c r="L20" s="71">
        <f t="shared" si="4"/>
        <v>14.578124999999998</v>
      </c>
      <c r="M20" s="58">
        <f t="shared" si="1"/>
        <v>6.8595927116827451E-2</v>
      </c>
      <c r="N20" s="13"/>
      <c r="O20" s="13"/>
    </row>
    <row r="21" spans="1:15" ht="17.25">
      <c r="A21" s="45" t="str">
        <f>+'S&amp;D'!A27</f>
        <v>NISOURCE Inc.</v>
      </c>
      <c r="B21" s="45"/>
      <c r="C21" s="36" t="str">
        <f>+'S&amp;D'!B27</f>
        <v>NI</v>
      </c>
      <c r="D21" s="61">
        <f>'S&amp;D'!G27</f>
        <v>36.76</v>
      </c>
      <c r="E21" s="63">
        <f>+Earnings!E21</f>
        <v>1.9</v>
      </c>
      <c r="F21" s="71">
        <f t="shared" si="2"/>
        <v>19.347368421052632</v>
      </c>
      <c r="G21" s="58">
        <f t="shared" si="0"/>
        <v>5.1686615886833515E-2</v>
      </c>
      <c r="H21" s="13"/>
      <c r="I21" s="36" t="s">
        <v>48</v>
      </c>
      <c r="J21" s="61">
        <f t="shared" si="3"/>
        <v>36.76</v>
      </c>
      <c r="K21" s="63">
        <f>+Earnings!G21</f>
        <v>2</v>
      </c>
      <c r="L21" s="71">
        <f t="shared" si="4"/>
        <v>18.38</v>
      </c>
      <c r="M21" s="58">
        <f t="shared" si="1"/>
        <v>5.4406964091403699E-2</v>
      </c>
      <c r="N21" s="13"/>
      <c r="O21" s="13"/>
    </row>
    <row r="22" spans="1:15" ht="17.25">
      <c r="A22" s="45" t="str">
        <f>+'S&amp;D'!A28</f>
        <v xml:space="preserve">Northwest Natural Holding Company </v>
      </c>
      <c r="B22" s="45"/>
      <c r="C22" s="36" t="str">
        <f>+'S&amp;D'!B28</f>
        <v>NWN</v>
      </c>
      <c r="D22" s="61">
        <f>'S&amp;D'!G28</f>
        <v>39.56</v>
      </c>
      <c r="E22" s="63">
        <f>+Earnings!E22</f>
        <v>3</v>
      </c>
      <c r="F22" s="71">
        <f t="shared" si="2"/>
        <v>13.186666666666667</v>
      </c>
      <c r="G22" s="58">
        <f t="shared" si="0"/>
        <v>7.583417593528817E-2</v>
      </c>
      <c r="H22" s="13"/>
      <c r="I22" s="36" t="s">
        <v>58</v>
      </c>
      <c r="J22" s="61">
        <f t="shared" si="3"/>
        <v>39.56</v>
      </c>
      <c r="K22" s="63">
        <f>+Earnings!G22</f>
        <v>3.1</v>
      </c>
      <c r="L22" s="71">
        <f t="shared" si="4"/>
        <v>12.761290322580646</v>
      </c>
      <c r="M22" s="58">
        <f t="shared" si="1"/>
        <v>7.8361981799797767E-2</v>
      </c>
      <c r="N22" s="13"/>
      <c r="O22" s="13"/>
    </row>
    <row r="23" spans="1:15" ht="17.25">
      <c r="A23" s="45" t="str">
        <f>+'S&amp;D'!A29</f>
        <v>One Gas INC</v>
      </c>
      <c r="B23" s="45"/>
      <c r="C23" s="36" t="str">
        <f>+'S&amp;D'!B29</f>
        <v>OGS</v>
      </c>
      <c r="D23" s="61">
        <f>'S&amp;D'!G29</f>
        <v>69.25</v>
      </c>
      <c r="E23" s="63">
        <f>+Earnings!E23</f>
        <v>4.3</v>
      </c>
      <c r="F23" s="71">
        <f t="shared" si="2"/>
        <v>16.104651162790699</v>
      </c>
      <c r="G23" s="58">
        <f t="shared" si="0"/>
        <v>6.2093862815884471E-2</v>
      </c>
      <c r="H23" s="13"/>
      <c r="I23" s="36" t="s">
        <v>59</v>
      </c>
      <c r="J23" s="61">
        <f>+D23</f>
        <v>69.25</v>
      </c>
      <c r="K23" s="63">
        <f>+Earnings!G23</f>
        <v>4.5</v>
      </c>
      <c r="L23" s="71">
        <f>J23/K23</f>
        <v>15.388888888888889</v>
      </c>
      <c r="M23" s="58">
        <f t="shared" si="1"/>
        <v>6.4981949458483748E-2</v>
      </c>
      <c r="N23" s="13"/>
      <c r="O23" s="13"/>
    </row>
    <row r="24" spans="1:15" ht="17.25">
      <c r="A24" s="45" t="str">
        <f>+'S&amp;D'!A30</f>
        <v>Southwest Gas Holdings, Inc</v>
      </c>
      <c r="B24" s="45"/>
      <c r="C24" s="36" t="str">
        <f>+'S&amp;D'!B30</f>
        <v>SWX</v>
      </c>
      <c r="D24" s="61">
        <f>'S&amp;D'!G30</f>
        <v>70.709999999999994</v>
      </c>
      <c r="E24" s="63">
        <f>+Earnings!E24</f>
        <v>3.5</v>
      </c>
      <c r="F24" s="71">
        <f t="shared" si="2"/>
        <v>20.202857142857141</v>
      </c>
      <c r="G24" s="58">
        <f t="shared" si="0"/>
        <v>4.9497949370668932E-2</v>
      </c>
      <c r="H24" s="13"/>
      <c r="I24" s="36" t="str">
        <f>+C24</f>
        <v>SWX</v>
      </c>
      <c r="J24" s="61">
        <f>+D24</f>
        <v>70.709999999999994</v>
      </c>
      <c r="K24" s="63">
        <f>+Earnings!G24</f>
        <v>4</v>
      </c>
      <c r="L24" s="71">
        <f>J24/K24</f>
        <v>17.677499999999998</v>
      </c>
      <c r="M24" s="58">
        <f>1/L24</f>
        <v>5.6569084995050208E-2</v>
      </c>
      <c r="N24" s="13"/>
      <c r="O24" s="13"/>
    </row>
    <row r="25" spans="1:15" ht="17.25">
      <c r="A25" s="45" t="str">
        <f>+'S&amp;D'!A31</f>
        <v>Spire Inc / Laclede Group Inc</v>
      </c>
      <c r="B25" s="45"/>
      <c r="C25" s="36" t="str">
        <f>+'S&amp;D'!B31</f>
        <v>SR</v>
      </c>
      <c r="D25" s="61">
        <f>'S&amp;D'!G31</f>
        <v>67.83</v>
      </c>
      <c r="E25" s="63">
        <f>+Earnings!E25</f>
        <v>3.95</v>
      </c>
      <c r="F25" s="71">
        <f t="shared" si="2"/>
        <v>17.172151898734175</v>
      </c>
      <c r="G25" s="58">
        <f t="shared" si="0"/>
        <v>5.8233819843726976E-2</v>
      </c>
      <c r="H25" s="13"/>
      <c r="I25" s="36" t="s">
        <v>62</v>
      </c>
      <c r="J25" s="61">
        <f t="shared" si="3"/>
        <v>67.83</v>
      </c>
      <c r="K25" s="63">
        <f>+Earnings!G25</f>
        <v>4.1500000000000004</v>
      </c>
      <c r="L25" s="71">
        <f t="shared" si="4"/>
        <v>16.34457831325301</v>
      </c>
      <c r="M25" s="58">
        <f t="shared" si="1"/>
        <v>6.1182367683915682E-2</v>
      </c>
      <c r="N25" s="13"/>
      <c r="O25" s="13"/>
    </row>
    <row r="26" spans="1:15" ht="17.25">
      <c r="A26" s="45" t="str">
        <f>+'S&amp;D'!A32</f>
        <v>WEC Energy Group</v>
      </c>
      <c r="B26" s="45"/>
      <c r="C26" s="36" t="str">
        <f>+'S&amp;D'!B32</f>
        <v>WEC</v>
      </c>
      <c r="D26" s="61">
        <f>'S&amp;D'!G32</f>
        <v>94.04</v>
      </c>
      <c r="E26" s="63">
        <f>+Earnings!E26</f>
        <v>5.25</v>
      </c>
      <c r="F26" s="71">
        <f>D26/E26</f>
        <v>17.912380952380953</v>
      </c>
      <c r="G26" s="58">
        <f>1/F26</f>
        <v>5.5827307528711186E-2</v>
      </c>
      <c r="I26" s="36" t="s">
        <v>49</v>
      </c>
      <c r="J26" s="61">
        <f>+D26</f>
        <v>94.04</v>
      </c>
      <c r="K26" s="63">
        <f>+Earnings!G26</f>
        <v>5.6</v>
      </c>
      <c r="L26" s="71">
        <f>J26/K26</f>
        <v>16.792857142857144</v>
      </c>
      <c r="M26" s="58">
        <f>1/L26</f>
        <v>5.9549128030625259E-2</v>
      </c>
      <c r="N26" s="13"/>
      <c r="O26" s="13"/>
    </row>
    <row r="27" spans="1:15" ht="18" thickBot="1">
      <c r="A27" s="13"/>
      <c r="B27" s="13"/>
      <c r="C27" s="72"/>
      <c r="D27" s="72"/>
      <c r="E27" s="72"/>
      <c r="F27" s="72"/>
      <c r="G27" s="72"/>
      <c r="H27" s="13"/>
      <c r="I27" s="72"/>
      <c r="J27" s="66" t="s">
        <v>0</v>
      </c>
      <c r="K27" s="72"/>
      <c r="L27" s="72"/>
      <c r="M27" s="72"/>
      <c r="N27" s="13"/>
      <c r="O27" s="13"/>
    </row>
    <row r="28" spans="1:15" ht="17.25" thickTop="1">
      <c r="A28" s="13"/>
      <c r="B28" s="13"/>
      <c r="D28" s="15" t="s">
        <v>56</v>
      </c>
      <c r="E28" s="281">
        <f>MAX(E16:E26)</f>
        <v>7.2</v>
      </c>
      <c r="F28" s="281">
        <f t="shared" ref="F28:G28" si="5">MAX(F16:F26)</f>
        <v>20.202857142857141</v>
      </c>
      <c r="G28" s="270">
        <f t="shared" si="5"/>
        <v>9.7402597402597393E-2</v>
      </c>
      <c r="H28" s="13"/>
      <c r="J28" s="15" t="s">
        <v>56</v>
      </c>
      <c r="K28" s="281">
        <f t="shared" ref="K28:M28" si="6">MAX(K16:K26)</f>
        <v>7.6</v>
      </c>
      <c r="L28" s="281">
        <f t="shared" si="6"/>
        <v>18.38</v>
      </c>
      <c r="M28" s="270">
        <f t="shared" si="6"/>
        <v>0.10423786739576212</v>
      </c>
      <c r="N28" s="13"/>
      <c r="O28" s="13"/>
    </row>
    <row r="29" spans="1:15" ht="16.5">
      <c r="A29" s="13"/>
      <c r="B29" s="13"/>
      <c r="D29" s="265" t="s">
        <v>57</v>
      </c>
      <c r="E29" s="285">
        <f>MIN(E16:E26)</f>
        <v>1.7</v>
      </c>
      <c r="F29" s="285">
        <f t="shared" ref="F29:G29" si="7">MIN(F16:F26)</f>
        <v>10.266666666666667</v>
      </c>
      <c r="G29" s="271">
        <f t="shared" si="7"/>
        <v>4.9497949370668932E-2</v>
      </c>
      <c r="H29" s="13"/>
      <c r="J29" s="265" t="s">
        <v>57</v>
      </c>
      <c r="K29" s="285">
        <f t="shared" ref="K29:M29" si="8">MIN(K16:K26)</f>
        <v>1.8</v>
      </c>
      <c r="L29" s="285">
        <f t="shared" si="8"/>
        <v>9.5934426229508212</v>
      </c>
      <c r="M29" s="271">
        <f t="shared" si="8"/>
        <v>5.4406964091403699E-2</v>
      </c>
      <c r="N29" s="13"/>
      <c r="O29" s="13"/>
    </row>
    <row r="30" spans="1:15" ht="16.5">
      <c r="A30" s="13"/>
      <c r="B30" s="13"/>
      <c r="D30" s="15" t="s">
        <v>18</v>
      </c>
      <c r="E30" s="73">
        <f>MEDIAN(E16:E26)</f>
        <v>3.6</v>
      </c>
      <c r="F30" s="22">
        <f>MEDIAN(F16:F26)</f>
        <v>17.912380952380953</v>
      </c>
      <c r="G30" s="58">
        <f>MEDIAN(G16:G26)</f>
        <v>5.5827307528711186E-2</v>
      </c>
      <c r="H30" s="13"/>
      <c r="J30" s="15" t="s">
        <v>18</v>
      </c>
      <c r="K30" s="73">
        <f>MEDIAN(K16:K26)</f>
        <v>4</v>
      </c>
      <c r="L30" s="22">
        <f>MEDIAN(L16:L26)</f>
        <v>16.792857142857144</v>
      </c>
      <c r="M30" s="58">
        <f>MEDIAN(M16:M26)</f>
        <v>5.9549128030625259E-2</v>
      </c>
      <c r="N30" s="13"/>
      <c r="O30" s="13"/>
    </row>
    <row r="31" spans="1:15" ht="16.5">
      <c r="A31" s="13"/>
      <c r="B31" s="13"/>
      <c r="D31" s="15" t="s">
        <v>413</v>
      </c>
      <c r="E31" s="18">
        <f>AVERAGE(E16:E26)</f>
        <v>3.9272727272727277</v>
      </c>
      <c r="F31" s="22">
        <f>AVERAGE(F16:F26)</f>
        <v>16.887525484974592</v>
      </c>
      <c r="G31" s="74">
        <f>AVERAGE(G16:G26)</f>
        <v>6.1483393933679881E-2</v>
      </c>
      <c r="H31" s="13"/>
      <c r="J31" s="15" t="s">
        <v>413</v>
      </c>
      <c r="K31" s="18">
        <f>AVERAGE(K16:K26)</f>
        <v>4.168181818181818</v>
      </c>
      <c r="L31" s="22">
        <f>AVERAGE(L16:L26)</f>
        <v>15.9099030684108</v>
      </c>
      <c r="M31" s="74">
        <f>AVERAGE(M16:M26)</f>
        <v>6.5108948301019223E-2</v>
      </c>
      <c r="N31" s="13"/>
      <c r="O31" s="13"/>
    </row>
    <row r="32" spans="1:15" ht="16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ht="26.25">
      <c r="A33" s="13"/>
      <c r="B33" s="13"/>
      <c r="C33" s="13"/>
      <c r="D33" s="13"/>
      <c r="E33" s="78" t="s">
        <v>92</v>
      </c>
      <c r="F33" s="290">
        <v>16.89</v>
      </c>
      <c r="G33" s="291">
        <v>6.1499999999999999E-2</v>
      </c>
      <c r="H33" s="13"/>
      <c r="I33" s="13"/>
      <c r="J33" s="13"/>
      <c r="K33" s="78" t="s">
        <v>92</v>
      </c>
      <c r="L33" s="292">
        <v>15.91</v>
      </c>
      <c r="M33" s="291">
        <v>6.5100000000000005E-2</v>
      </c>
      <c r="N33" s="13"/>
      <c r="O33" s="13"/>
    </row>
    <row r="34" spans="1:15" ht="16.5">
      <c r="A34" s="13"/>
      <c r="B34" s="13"/>
      <c r="C34" s="13"/>
      <c r="D34" s="13"/>
      <c r="E34" s="13"/>
      <c r="F34" s="13"/>
      <c r="K34" s="13"/>
      <c r="L34" s="13"/>
      <c r="M34" s="13"/>
      <c r="N34" s="13"/>
      <c r="O34" s="13"/>
    </row>
    <row r="35" spans="1:15" ht="16.5">
      <c r="A35" s="13"/>
      <c r="B35" s="13"/>
      <c r="C35" s="13"/>
      <c r="D35" s="13"/>
      <c r="E35" s="13"/>
      <c r="F35" s="13"/>
      <c r="K35" s="13"/>
      <c r="L35" s="13"/>
      <c r="M35" s="13"/>
      <c r="N35" s="13"/>
      <c r="O35" s="13"/>
    </row>
    <row r="36" spans="1:15" ht="17.25" thickBot="1">
      <c r="A36" s="13"/>
      <c r="B36" s="13"/>
      <c r="C36" s="13"/>
      <c r="D36" s="13"/>
      <c r="E36" s="13"/>
      <c r="F36" s="13"/>
      <c r="K36" s="13"/>
      <c r="L36" s="13"/>
      <c r="M36" s="13"/>
      <c r="N36" s="13"/>
      <c r="O36" s="13"/>
    </row>
    <row r="37" spans="1:15" ht="30.75" customHeight="1" thickBot="1">
      <c r="A37" s="76" t="s">
        <v>0</v>
      </c>
      <c r="B37" s="76"/>
      <c r="C37" s="13"/>
      <c r="D37" s="13"/>
      <c r="E37" s="13"/>
      <c r="F37" s="13"/>
      <c r="G37" s="25" t="s">
        <v>137</v>
      </c>
      <c r="H37" s="13"/>
      <c r="I37" s="202">
        <f>(+F33+L33)/2</f>
        <v>16.399999999999999</v>
      </c>
      <c r="J37" s="203">
        <f>(+G33+M33)/2</f>
        <v>6.3299999999999995E-2</v>
      </c>
      <c r="N37" s="13"/>
      <c r="O37" s="13"/>
    </row>
    <row r="38" spans="1:15" ht="16.5">
      <c r="A38" s="76" t="s">
        <v>0</v>
      </c>
      <c r="B38" s="76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16.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16.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15.75" thickBot="1">
      <c r="B41" s="150"/>
      <c r="C41" s="150"/>
      <c r="D41" s="150"/>
      <c r="E41" s="150"/>
      <c r="F41" s="150"/>
      <c r="G41" s="150"/>
      <c r="H41" s="150"/>
    </row>
    <row r="42" spans="1:15" ht="26.25">
      <c r="B42" s="32"/>
      <c r="C42" s="13"/>
      <c r="D42" s="13"/>
      <c r="E42" s="33" t="s">
        <v>412</v>
      </c>
      <c r="F42" s="13"/>
      <c r="G42" s="13"/>
    </row>
    <row r="43" spans="1:15" ht="21" thickBot="1">
      <c r="A43" s="32"/>
      <c r="B43" s="151"/>
      <c r="C43" s="30"/>
      <c r="D43" s="30"/>
      <c r="E43" s="38" t="s">
        <v>445</v>
      </c>
      <c r="F43" s="30"/>
      <c r="G43" s="30"/>
      <c r="H43" s="150"/>
    </row>
    <row r="44" spans="1:15" ht="15.75" thickBot="1">
      <c r="A44" s="35" t="s">
        <v>0</v>
      </c>
      <c r="B44" s="35"/>
      <c r="C44" s="35" t="s">
        <v>0</v>
      </c>
      <c r="D44" s="35" t="s">
        <v>0</v>
      </c>
      <c r="E44" s="35" t="s">
        <v>0</v>
      </c>
      <c r="F44" s="35" t="s">
        <v>0</v>
      </c>
      <c r="G44" s="35" t="s">
        <v>0</v>
      </c>
    </row>
    <row r="45" spans="1:15" ht="16.5">
      <c r="A45" s="36" t="s">
        <v>0</v>
      </c>
      <c r="B45" s="36"/>
      <c r="C45" s="36" t="s">
        <v>3</v>
      </c>
      <c r="D45" s="36" t="s">
        <v>350</v>
      </c>
      <c r="E45" s="36" t="s">
        <v>351</v>
      </c>
      <c r="F45" s="36" t="s">
        <v>129</v>
      </c>
      <c r="G45" s="36" t="s">
        <v>27</v>
      </c>
    </row>
    <row r="46" spans="1:15" ht="17.25" thickBot="1">
      <c r="A46" s="38" t="s">
        <v>2</v>
      </c>
      <c r="B46" s="38"/>
      <c r="C46" s="38" t="s">
        <v>4</v>
      </c>
      <c r="D46" s="38" t="s">
        <v>28</v>
      </c>
      <c r="E46" s="38" t="s">
        <v>177</v>
      </c>
      <c r="F46" s="38" t="s">
        <v>29</v>
      </c>
      <c r="G46" s="38" t="s">
        <v>30</v>
      </c>
    </row>
    <row r="47" spans="1:15">
      <c r="A47" s="40" t="s">
        <v>0</v>
      </c>
      <c r="B47" s="40"/>
      <c r="C47" s="40" t="s">
        <v>0</v>
      </c>
      <c r="D47" s="41" t="s">
        <v>131</v>
      </c>
      <c r="E47" s="77" t="s">
        <v>249</v>
      </c>
      <c r="F47" s="40" t="s">
        <v>0</v>
      </c>
      <c r="G47" s="40" t="s">
        <v>0</v>
      </c>
    </row>
    <row r="48" spans="1:15" ht="16.5">
      <c r="A48" s="36"/>
      <c r="B48" s="36"/>
      <c r="C48" s="36"/>
      <c r="D48" s="36"/>
      <c r="E48" s="36"/>
      <c r="F48" s="36"/>
      <c r="G48" s="36"/>
    </row>
    <row r="49" spans="1:7" ht="16.5">
      <c r="A49" s="13"/>
      <c r="B49" s="13"/>
      <c r="C49" s="13"/>
      <c r="D49" s="13"/>
      <c r="E49" s="13"/>
      <c r="F49" s="13"/>
      <c r="G49" s="13"/>
    </row>
    <row r="50" spans="1:7" ht="17.25">
      <c r="A50" s="45" t="str">
        <f>+'S&amp;D'!A22</f>
        <v>Atmos Energy Corp</v>
      </c>
      <c r="B50" s="45"/>
      <c r="C50" s="36" t="str">
        <f>+'S&amp;D'!B22</f>
        <v>ATO</v>
      </c>
      <c r="D50" s="61">
        <f>'S&amp;D'!G22</f>
        <v>139.27000000000001</v>
      </c>
      <c r="E50" s="63">
        <f>+Earnings!I16</f>
        <v>8.65</v>
      </c>
      <c r="F50" s="71">
        <f>D50/E50</f>
        <v>16.10057803468208</v>
      </c>
      <c r="G50" s="58">
        <f t="shared" ref="G50:G60" si="9">1/F50</f>
        <v>6.2109571336253326E-2</v>
      </c>
    </row>
    <row r="51" spans="1:7" ht="17.25">
      <c r="A51" s="45" t="str">
        <f>+'S&amp;D'!A23</f>
        <v>Black Hills Corporation</v>
      </c>
      <c r="B51" s="45"/>
      <c r="C51" s="36" t="str">
        <f>+'S&amp;D'!B23</f>
        <v>BKH</v>
      </c>
      <c r="D51" s="61">
        <f>'S&amp;D'!G23</f>
        <v>58.52</v>
      </c>
      <c r="E51" s="63">
        <f>+Earnings!I17</f>
        <v>8</v>
      </c>
      <c r="F51" s="71">
        <f>D51/E51</f>
        <v>7.3150000000000004</v>
      </c>
      <c r="G51" s="58">
        <f t="shared" si="9"/>
        <v>0.13670539986329458</v>
      </c>
    </row>
    <row r="52" spans="1:7" ht="17.25">
      <c r="A52" s="45" t="str">
        <f>+'S&amp;D'!A24</f>
        <v>CenterPoint Energy Inc.</v>
      </c>
      <c r="B52" s="45"/>
      <c r="C52" s="36" t="str">
        <f>+'S&amp;D'!B24</f>
        <v>CNP</v>
      </c>
      <c r="D52" s="61">
        <f>'S&amp;D'!G24</f>
        <v>31.73</v>
      </c>
      <c r="E52" s="63">
        <f>+Earnings!I18</f>
        <v>2</v>
      </c>
      <c r="F52" s="71">
        <f>D52/E52</f>
        <v>15.865</v>
      </c>
      <c r="G52" s="58">
        <f t="shared" si="9"/>
        <v>6.3031831074692721E-2</v>
      </c>
    </row>
    <row r="53" spans="1:7" ht="17.25">
      <c r="A53" s="45" t="str">
        <f>+'S&amp;D'!A25</f>
        <v>CMS Energy Corporation</v>
      </c>
      <c r="B53" s="45"/>
      <c r="C53" s="36" t="str">
        <f>+'S&amp;D'!B25</f>
        <v>CMS</v>
      </c>
      <c r="D53" s="61">
        <f>'S&amp;D'!G25</f>
        <v>66.650000000000006</v>
      </c>
      <c r="E53" s="63">
        <f>+Earnings!I19</f>
        <v>4.2</v>
      </c>
      <c r="F53" s="71">
        <f>D53/E53</f>
        <v>15.86904761904762</v>
      </c>
      <c r="G53" s="58">
        <f t="shared" si="9"/>
        <v>6.3015753938484617E-2</v>
      </c>
    </row>
    <row r="54" spans="1:7" ht="17.25">
      <c r="A54" s="45" t="str">
        <f>+'S&amp;D'!A26</f>
        <v>New Jersey Resources Corp</v>
      </c>
      <c r="B54" s="45"/>
      <c r="C54" s="36" t="str">
        <f>+'S&amp;D'!B26</f>
        <v>NJR</v>
      </c>
      <c r="D54" s="61">
        <f>'S&amp;D'!G26</f>
        <v>46.65</v>
      </c>
      <c r="E54" s="63">
        <f>+Earnings!I20</f>
        <v>3.9</v>
      </c>
      <c r="F54" s="71">
        <f t="shared" ref="F54:F60" si="10">D54/E54</f>
        <v>11.961538461538462</v>
      </c>
      <c r="G54" s="58">
        <f t="shared" si="9"/>
        <v>8.3601286173633438E-2</v>
      </c>
    </row>
    <row r="55" spans="1:7" ht="17.25">
      <c r="A55" s="45" t="str">
        <f>+'S&amp;D'!A27</f>
        <v>NISOURCE Inc.</v>
      </c>
      <c r="B55" s="45"/>
      <c r="C55" s="36" t="str">
        <f>+'S&amp;D'!B27</f>
        <v>NI</v>
      </c>
      <c r="D55" s="61">
        <f>'S&amp;D'!G27</f>
        <v>36.76</v>
      </c>
      <c r="E55" s="63">
        <f>+Earnings!I21</f>
        <v>2.5499999999999998</v>
      </c>
      <c r="F55" s="71">
        <f t="shared" si="10"/>
        <v>14.415686274509804</v>
      </c>
      <c r="G55" s="58">
        <f t="shared" si="9"/>
        <v>6.9368879216539711E-2</v>
      </c>
    </row>
    <row r="56" spans="1:7" ht="17.25">
      <c r="A56" s="45" t="str">
        <f>+'S&amp;D'!A28</f>
        <v xml:space="preserve">Northwest Natural Holding Company </v>
      </c>
      <c r="B56" s="45"/>
      <c r="C56" s="36" t="str">
        <f>+'S&amp;D'!B28</f>
        <v>NWN</v>
      </c>
      <c r="D56" s="61">
        <f>'S&amp;D'!G28</f>
        <v>39.56</v>
      </c>
      <c r="E56" s="63">
        <f>+Earnings!I22</f>
        <v>3.45</v>
      </c>
      <c r="F56" s="71">
        <f t="shared" si="10"/>
        <v>11.466666666666667</v>
      </c>
      <c r="G56" s="58">
        <f t="shared" si="9"/>
        <v>8.7209302325581398E-2</v>
      </c>
    </row>
    <row r="57" spans="1:7" ht="17.25">
      <c r="A57" s="45" t="str">
        <f>+'S&amp;D'!A29</f>
        <v>One Gas INC</v>
      </c>
      <c r="B57" s="45"/>
      <c r="C57" s="36" t="str">
        <f>+'S&amp;D'!B29</f>
        <v>OGS</v>
      </c>
      <c r="D57" s="61">
        <f>'S&amp;D'!G29</f>
        <v>69.25</v>
      </c>
      <c r="E57" s="63">
        <f>+Earnings!I23</f>
        <v>5.25</v>
      </c>
      <c r="F57" s="71">
        <f t="shared" si="10"/>
        <v>13.19047619047619</v>
      </c>
      <c r="G57" s="58">
        <f t="shared" si="9"/>
        <v>7.5812274368231056E-2</v>
      </c>
    </row>
    <row r="58" spans="1:7" ht="17.25">
      <c r="A58" s="45" t="str">
        <f>+'S&amp;D'!A30</f>
        <v>Southwest Gas Holdings, Inc</v>
      </c>
      <c r="B58" s="45"/>
      <c r="C58" s="36" t="str">
        <f>+'S&amp;D'!B30</f>
        <v>SWX</v>
      </c>
      <c r="D58" s="61">
        <f>'S&amp;D'!G30</f>
        <v>70.709999999999994</v>
      </c>
      <c r="E58" s="63">
        <f>+Earnings!I24</f>
        <v>5</v>
      </c>
      <c r="F58" s="71">
        <f t="shared" si="10"/>
        <v>14.141999999999999</v>
      </c>
      <c r="G58" s="58">
        <f t="shared" si="9"/>
        <v>7.0711356243812765E-2</v>
      </c>
    </row>
    <row r="59" spans="1:7" ht="17.25">
      <c r="A59" s="45" t="str">
        <f>+'S&amp;D'!A31</f>
        <v>Spire Inc / Laclede Group Inc</v>
      </c>
      <c r="B59" s="45"/>
      <c r="C59" s="36" t="str">
        <f>+'S&amp;D'!B31</f>
        <v>SR</v>
      </c>
      <c r="D59" s="61">
        <f>'S&amp;D'!G31</f>
        <v>67.83</v>
      </c>
      <c r="E59" s="63">
        <f>+Earnings!I25</f>
        <v>5.25</v>
      </c>
      <c r="F59" s="71">
        <f t="shared" si="10"/>
        <v>12.92</v>
      </c>
      <c r="G59" s="58">
        <f t="shared" si="9"/>
        <v>7.7399380804953566E-2</v>
      </c>
    </row>
    <row r="60" spans="1:7" ht="17.25">
      <c r="A60" s="45" t="str">
        <f>+'S&amp;D'!A32</f>
        <v>WEC Energy Group</v>
      </c>
      <c r="B60" s="45"/>
      <c r="C60" s="36" t="str">
        <f>+'S&amp;D'!B32</f>
        <v>WEC</v>
      </c>
      <c r="D60" s="61">
        <f>'S&amp;D'!G32</f>
        <v>94.04</v>
      </c>
      <c r="E60" s="63">
        <f>+Earnings!I26</f>
        <v>6.9</v>
      </c>
      <c r="F60" s="71">
        <f t="shared" si="10"/>
        <v>13.628985507246377</v>
      </c>
      <c r="G60" s="58">
        <f t="shared" si="9"/>
        <v>7.3373032752020423E-2</v>
      </c>
    </row>
    <row r="61" spans="1:7" ht="17.25" thickBot="1">
      <c r="A61" s="13"/>
      <c r="B61" s="13"/>
      <c r="C61" s="72"/>
      <c r="D61" s="72"/>
      <c r="E61" s="72"/>
      <c r="F61" s="72"/>
      <c r="G61" s="72"/>
    </row>
    <row r="62" spans="1:7" ht="17.25" thickTop="1">
      <c r="A62" s="13"/>
      <c r="B62" s="13"/>
      <c r="D62" s="15" t="s">
        <v>56</v>
      </c>
      <c r="E62" s="281">
        <f t="shared" ref="E62:G62" si="11">MAX(E50:E60)</f>
        <v>8.65</v>
      </c>
      <c r="F62" s="281">
        <f t="shared" si="11"/>
        <v>16.10057803468208</v>
      </c>
      <c r="G62" s="270">
        <f t="shared" si="11"/>
        <v>0.13670539986329458</v>
      </c>
    </row>
    <row r="63" spans="1:7" ht="16.5">
      <c r="A63" s="13"/>
      <c r="B63" s="13"/>
      <c r="D63" s="15" t="s">
        <v>57</v>
      </c>
      <c r="E63" s="285">
        <f t="shared" ref="E63:G63" si="12">MIN(E50:E60)</f>
        <v>2</v>
      </c>
      <c r="F63" s="285">
        <f t="shared" si="12"/>
        <v>7.3150000000000004</v>
      </c>
      <c r="G63" s="271">
        <f t="shared" si="12"/>
        <v>6.2109571336253326E-2</v>
      </c>
    </row>
    <row r="64" spans="1:7" ht="16.5">
      <c r="A64" s="13"/>
      <c r="B64" s="13"/>
      <c r="D64" s="15" t="s">
        <v>18</v>
      </c>
      <c r="E64" s="73">
        <f>MEDIAN(E50:E60)</f>
        <v>5</v>
      </c>
      <c r="F64" s="22">
        <f>MEDIAN(F50:F60)</f>
        <v>13.628985507246377</v>
      </c>
      <c r="G64" s="58">
        <f>MEDIAN(G50:G60)</f>
        <v>7.3373032752020423E-2</v>
      </c>
    </row>
    <row r="65" spans="1:7" ht="16.5">
      <c r="A65" s="13"/>
      <c r="B65" s="13"/>
      <c r="D65" s="15" t="s">
        <v>413</v>
      </c>
      <c r="E65" s="18">
        <f>AVERAGE(E50:E60)</f>
        <v>5.0136363636363637</v>
      </c>
      <c r="F65" s="22">
        <f>AVERAGE(F50:F60)</f>
        <v>13.35227079583338</v>
      </c>
      <c r="G65" s="74">
        <f>AVERAGE(G50:G60)</f>
        <v>7.8394369827045229E-2</v>
      </c>
    </row>
    <row r="66" spans="1:7" ht="16.5">
      <c r="A66" s="13"/>
      <c r="B66" s="13"/>
      <c r="C66" s="13"/>
      <c r="D66" s="13"/>
      <c r="E66" s="13"/>
      <c r="F66" s="13"/>
      <c r="G66" s="13"/>
    </row>
    <row r="67" spans="1:7" ht="26.25">
      <c r="A67" s="13"/>
      <c r="B67" s="13"/>
      <c r="C67" s="13"/>
      <c r="D67" s="13"/>
      <c r="E67" s="78" t="s">
        <v>92</v>
      </c>
      <c r="F67" s="290">
        <v>13.35</v>
      </c>
      <c r="G67" s="291">
        <v>7.8399999999999997E-2</v>
      </c>
    </row>
  </sheetData>
  <pageMargins left="0.25" right="0.25" top="0.75" bottom="0.75" header="0.3" footer="0.3"/>
  <pageSetup scale="3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7DB25-4105-4ECC-8655-31692C149FA3}">
  <sheetPr>
    <tabColor rgb="FF92D050"/>
    <pageSetUpPr fitToPage="1"/>
  </sheetPr>
  <dimension ref="A1:J85"/>
  <sheetViews>
    <sheetView view="pageBreakPreview" zoomScale="60" zoomScaleNormal="80" workbookViewId="0">
      <selection activeCell="D82" sqref="D82"/>
    </sheetView>
  </sheetViews>
  <sheetFormatPr defaultRowHeight="15"/>
  <cols>
    <col min="1" max="1" width="78.140625" customWidth="1"/>
    <col min="2" max="2" width="21.710937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8" width="13.7109375" customWidth="1"/>
    <col min="9" max="9" width="13.85546875" customWidth="1"/>
    <col min="10" max="11" width="14.140625" bestFit="1" customWidth="1"/>
  </cols>
  <sheetData>
    <row r="1" spans="1:10" ht="26.25">
      <c r="A1" s="25" t="s">
        <v>1</v>
      </c>
      <c r="B1" s="25"/>
      <c r="C1" s="25"/>
      <c r="D1" s="13"/>
      <c r="E1" s="13"/>
      <c r="F1" s="13"/>
      <c r="G1" s="13"/>
      <c r="H1" s="13"/>
      <c r="I1" s="13"/>
      <c r="J1" s="13"/>
    </row>
    <row r="2" spans="1:10" ht="17.25">
      <c r="A2" s="26" t="s">
        <v>9</v>
      </c>
      <c r="B2" s="26"/>
      <c r="C2" s="26"/>
      <c r="D2" s="13"/>
      <c r="E2" s="13"/>
      <c r="F2" s="13"/>
      <c r="G2" s="13"/>
      <c r="H2" s="13"/>
      <c r="I2" s="13"/>
      <c r="J2" s="13"/>
    </row>
    <row r="3" spans="1:10" ht="16.5">
      <c r="A3" s="27" t="s">
        <v>444</v>
      </c>
      <c r="B3" s="27"/>
      <c r="C3" s="27"/>
      <c r="D3" s="13"/>
      <c r="E3" s="13"/>
      <c r="F3" s="13"/>
      <c r="G3" s="13"/>
      <c r="H3" s="13"/>
      <c r="I3" s="13"/>
      <c r="J3" s="13"/>
    </row>
    <row r="4" spans="1:10" ht="16.5">
      <c r="A4" s="27"/>
      <c r="B4" s="27"/>
      <c r="C4" s="27"/>
      <c r="D4" s="13"/>
      <c r="E4" s="13"/>
      <c r="F4" s="13"/>
      <c r="G4" s="13"/>
      <c r="H4" s="13"/>
      <c r="I4" s="13"/>
      <c r="J4" s="13"/>
    </row>
    <row r="5" spans="1:10" ht="17.25" thickBot="1">
      <c r="A5" s="13"/>
      <c r="B5" s="13"/>
      <c r="C5" s="13"/>
      <c r="D5" s="13"/>
      <c r="E5" s="13"/>
      <c r="F5" s="13"/>
      <c r="G5" s="13"/>
      <c r="H5" s="28" t="s">
        <v>0</v>
      </c>
      <c r="I5" s="28"/>
      <c r="J5" s="13"/>
    </row>
    <row r="6" spans="1:10" ht="21" thickBot="1">
      <c r="A6" s="29" t="str">
        <f>+'S&amp;D'!A12</f>
        <v>Natural Gas Utility Distribution</v>
      </c>
      <c r="B6" s="13"/>
      <c r="C6" s="13"/>
      <c r="D6" s="30"/>
      <c r="E6" s="30"/>
      <c r="F6" s="30"/>
      <c r="G6" s="13"/>
      <c r="H6" s="13"/>
      <c r="I6" s="13"/>
      <c r="J6" s="13"/>
    </row>
    <row r="7" spans="1:10" ht="26.25">
      <c r="B7" s="32"/>
      <c r="C7" s="32"/>
      <c r="D7" s="13"/>
      <c r="E7" s="33" t="s">
        <v>220</v>
      </c>
      <c r="F7" s="13"/>
      <c r="G7" s="13"/>
      <c r="H7" s="13"/>
      <c r="I7" s="13"/>
      <c r="J7" s="13"/>
    </row>
    <row r="8" spans="1:10" ht="21" thickBot="1">
      <c r="A8" s="32"/>
      <c r="B8" s="32"/>
      <c r="C8" s="32"/>
      <c r="D8" s="30"/>
      <c r="E8" s="38" t="s">
        <v>445</v>
      </c>
      <c r="F8" s="30"/>
      <c r="G8" s="13"/>
      <c r="H8" s="13"/>
      <c r="I8" s="13"/>
      <c r="J8" s="13"/>
    </row>
    <row r="9" spans="1:10" ht="20.25">
      <c r="A9" s="32"/>
      <c r="B9" s="32"/>
      <c r="C9" s="32"/>
      <c r="D9" s="13"/>
      <c r="E9" s="36"/>
      <c r="F9" s="13"/>
      <c r="G9" s="13"/>
      <c r="H9" s="13"/>
      <c r="I9" s="13"/>
      <c r="J9" s="13"/>
    </row>
    <row r="10" spans="1:10" ht="20.25">
      <c r="A10" s="32"/>
      <c r="B10" s="32"/>
      <c r="H10" s="13"/>
      <c r="I10" s="13"/>
      <c r="J10" s="13"/>
    </row>
    <row r="11" spans="1:10" ht="20.25">
      <c r="A11" s="32"/>
      <c r="B11" s="32"/>
      <c r="H11" s="13"/>
      <c r="I11" s="13"/>
      <c r="J11" s="13"/>
    </row>
    <row r="12" spans="1:10" ht="30" customHeight="1" thickBot="1">
      <c r="A12" s="32"/>
      <c r="B12" s="32"/>
      <c r="C12" t="s">
        <v>0</v>
      </c>
      <c r="H12" s="13"/>
      <c r="I12" s="13"/>
      <c r="J12" s="13"/>
    </row>
    <row r="13" spans="1:10" ht="26.25" customHeight="1" thickBot="1">
      <c r="A13" s="159" t="s">
        <v>235</v>
      </c>
      <c r="B13" s="13" t="s">
        <v>0</v>
      </c>
      <c r="C13" s="13"/>
      <c r="D13" s="13"/>
      <c r="E13" s="13"/>
      <c r="F13" s="13"/>
      <c r="G13" s="13"/>
      <c r="H13" s="13"/>
      <c r="I13" s="13"/>
      <c r="J13" s="13"/>
    </row>
    <row r="14" spans="1:10" ht="42" customHeight="1" thickBot="1">
      <c r="A14" s="158" t="s">
        <v>233</v>
      </c>
      <c r="B14" s="157" t="s">
        <v>224</v>
      </c>
      <c r="C14" s="156" t="s">
        <v>236</v>
      </c>
      <c r="D14" s="157" t="s">
        <v>226</v>
      </c>
      <c r="E14" s="157" t="s">
        <v>403</v>
      </c>
      <c r="F14" s="155" t="s">
        <v>225</v>
      </c>
      <c r="G14" s="13"/>
      <c r="H14" s="13"/>
      <c r="I14" s="13"/>
      <c r="J14" s="13"/>
    </row>
    <row r="15" spans="1:10" ht="16.5">
      <c r="A15" s="152"/>
      <c r="B15" s="118"/>
      <c r="C15" s="118"/>
      <c r="D15" s="118"/>
      <c r="E15" s="118"/>
      <c r="F15" s="153"/>
      <c r="G15" s="13"/>
      <c r="H15" s="13"/>
      <c r="I15" s="13"/>
      <c r="J15" s="13"/>
    </row>
    <row r="16" spans="1:10" ht="17.25">
      <c r="A16" s="180" t="s">
        <v>406</v>
      </c>
      <c r="B16" s="194">
        <v>2.3300000000000001E-2</v>
      </c>
      <c r="C16" s="191">
        <f>+'Beta for CAPM'!$H$34</f>
        <v>0.88</v>
      </c>
      <c r="D16" s="181">
        <f>+B16*C16</f>
        <v>2.0504000000000001E-2</v>
      </c>
      <c r="E16" s="181">
        <f>+'Growth &amp; Inflation Rates'!$G$25</f>
        <v>4.8599999999999997E-2</v>
      </c>
      <c r="F16" s="182">
        <f>+D16+E16</f>
        <v>6.9103999999999999E-2</v>
      </c>
      <c r="G16" s="13"/>
      <c r="H16" s="13"/>
      <c r="I16" s="13"/>
      <c r="J16" s="13"/>
    </row>
    <row r="17" spans="1:10" ht="17.25">
      <c r="A17" s="180" t="s">
        <v>407</v>
      </c>
      <c r="B17" s="194">
        <v>3.04E-2</v>
      </c>
      <c r="C17" s="191">
        <f>+'Beta for CAPM'!$H$34</f>
        <v>0.88</v>
      </c>
      <c r="D17" s="181">
        <f>+B17*C17</f>
        <v>2.6752000000000001E-2</v>
      </c>
      <c r="E17" s="181">
        <f>+'Growth &amp; Inflation Rates'!$G$25</f>
        <v>4.8599999999999997E-2</v>
      </c>
      <c r="F17" s="182">
        <f>+D17+E17</f>
        <v>7.5352000000000002E-2</v>
      </c>
      <c r="G17" s="13"/>
      <c r="H17" s="13"/>
      <c r="I17" s="13"/>
      <c r="J17" s="13"/>
    </row>
    <row r="18" spans="1:10" ht="17.25">
      <c r="A18" s="183"/>
      <c r="B18" s="112"/>
      <c r="C18" s="112"/>
      <c r="D18" s="112"/>
      <c r="E18" s="181"/>
      <c r="F18" s="184"/>
      <c r="G18" s="13"/>
      <c r="H18" s="13"/>
      <c r="I18" s="13"/>
      <c r="J18" s="13"/>
    </row>
    <row r="19" spans="1:10" ht="17.25">
      <c r="A19" s="180" t="s">
        <v>419</v>
      </c>
      <c r="B19" s="194">
        <v>4.3299999999999998E-2</v>
      </c>
      <c r="C19" s="191">
        <f>+'Beta for CAPM'!$H$34</f>
        <v>0.88</v>
      </c>
      <c r="D19" s="181">
        <f>+B19*C19</f>
        <v>3.8103999999999999E-2</v>
      </c>
      <c r="E19" s="181">
        <f>+'Growth &amp; Inflation Rates'!$G$25</f>
        <v>4.8599999999999997E-2</v>
      </c>
      <c r="F19" s="182">
        <f>+D19+E19</f>
        <v>8.6704000000000003E-2</v>
      </c>
      <c r="G19" s="13"/>
      <c r="H19" s="13"/>
      <c r="I19" s="13"/>
      <c r="J19" s="13"/>
    </row>
    <row r="20" spans="1:10" ht="17.25">
      <c r="A20" s="180" t="s">
        <v>437</v>
      </c>
      <c r="B20" s="194">
        <v>6.1499999999999999E-2</v>
      </c>
      <c r="C20" s="191">
        <f>+'Beta for CAPM'!$H$34</f>
        <v>0.88</v>
      </c>
      <c r="D20" s="181">
        <f>+B20*C20</f>
        <v>5.4120000000000001E-2</v>
      </c>
      <c r="E20" s="181">
        <f>+'Growth &amp; Inflation Rates'!$G$25</f>
        <v>4.8599999999999997E-2</v>
      </c>
      <c r="F20" s="182">
        <f>+D20+E20</f>
        <v>0.10272000000000001</v>
      </c>
      <c r="G20" s="13"/>
      <c r="H20" s="13"/>
      <c r="I20" s="13"/>
      <c r="J20" s="13"/>
    </row>
    <row r="21" spans="1:10" ht="17.25">
      <c r="A21" s="180" t="s">
        <v>420</v>
      </c>
      <c r="B21" s="194">
        <v>4.1500000000000002E-2</v>
      </c>
      <c r="C21" s="191">
        <f>+'Beta for CAPM'!$H$34</f>
        <v>0.88</v>
      </c>
      <c r="D21" s="181">
        <f>+B21*C21</f>
        <v>3.6520000000000004E-2</v>
      </c>
      <c r="E21" s="181">
        <f>+'Growth &amp; Inflation Rates'!$G$25</f>
        <v>4.8599999999999997E-2</v>
      </c>
      <c r="F21" s="182">
        <f>+D21+E21</f>
        <v>8.5120000000000001E-2</v>
      </c>
      <c r="G21" s="13"/>
      <c r="H21" s="13"/>
      <c r="I21" s="13"/>
      <c r="J21" s="13"/>
    </row>
    <row r="22" spans="1:10" ht="17.25">
      <c r="A22" s="180" t="s">
        <v>421</v>
      </c>
      <c r="B22" s="194">
        <v>3.8100000000000002E-2</v>
      </c>
      <c r="C22" s="191">
        <f>+'Beta for CAPM'!$H$34</f>
        <v>0.88</v>
      </c>
      <c r="D22" s="181">
        <f>+B22*C22</f>
        <v>3.3528000000000002E-2</v>
      </c>
      <c r="E22" s="181">
        <f>+'Growth &amp; Inflation Rates'!$G$25</f>
        <v>4.8599999999999997E-2</v>
      </c>
      <c r="F22" s="182">
        <f>+D22+E22</f>
        <v>8.2128000000000007E-2</v>
      </c>
      <c r="G22" s="13"/>
      <c r="H22" s="13"/>
      <c r="I22" s="13"/>
      <c r="J22" s="13"/>
    </row>
    <row r="23" spans="1:10" ht="17.25">
      <c r="A23" s="180" t="s">
        <v>0</v>
      </c>
      <c r="B23" s="194"/>
      <c r="C23" s="192" t="s">
        <v>0</v>
      </c>
      <c r="D23" s="181" t="s">
        <v>0</v>
      </c>
      <c r="E23" s="181"/>
      <c r="F23" s="182" t="s">
        <v>0</v>
      </c>
      <c r="G23" s="13"/>
      <c r="H23" s="13"/>
      <c r="I23" s="13"/>
      <c r="J23" s="13"/>
    </row>
    <row r="24" spans="1:10" ht="17.25">
      <c r="A24" s="180" t="s">
        <v>229</v>
      </c>
      <c r="B24" s="194">
        <v>5.3900000000000003E-2</v>
      </c>
      <c r="C24" s="191">
        <f>+'Beta for CAPM'!$H$34</f>
        <v>0.88</v>
      </c>
      <c r="D24" s="181">
        <f>+B24*C24</f>
        <v>4.7432000000000002E-2</v>
      </c>
      <c r="E24" s="181">
        <f>+'Growth &amp; Inflation Rates'!$G$25</f>
        <v>4.8599999999999997E-2</v>
      </c>
      <c r="F24" s="182">
        <f>+D24+E24</f>
        <v>9.6032000000000006E-2</v>
      </c>
      <c r="G24" s="13"/>
      <c r="H24" s="13"/>
      <c r="I24" s="13"/>
      <c r="J24" s="13"/>
    </row>
    <row r="25" spans="1:10" ht="17.25">
      <c r="A25" s="180" t="s">
        <v>0</v>
      </c>
      <c r="B25" s="194"/>
      <c r="C25" s="192" t="s">
        <v>0</v>
      </c>
      <c r="D25" s="181" t="s">
        <v>0</v>
      </c>
      <c r="E25" s="181"/>
      <c r="F25" s="182" t="s">
        <v>0</v>
      </c>
      <c r="G25" s="13"/>
      <c r="H25" s="13"/>
      <c r="I25" s="13"/>
      <c r="J25" s="13"/>
    </row>
    <row r="26" spans="1:10" ht="17.25">
      <c r="A26" s="180" t="s">
        <v>438</v>
      </c>
      <c r="B26" s="194">
        <v>5.5E-2</v>
      </c>
      <c r="C26" s="191">
        <f>+'Beta for CAPM'!$H$34</f>
        <v>0.88</v>
      </c>
      <c r="D26" s="181">
        <f>+B26*C26</f>
        <v>4.8399999999999999E-2</v>
      </c>
      <c r="E26" s="181">
        <f>+'Growth &amp; Inflation Rates'!$G$25</f>
        <v>4.8599999999999997E-2</v>
      </c>
      <c r="F26" s="182">
        <f>+D26+E26</f>
        <v>9.7000000000000003E-2</v>
      </c>
      <c r="G26" s="13"/>
      <c r="H26" s="13"/>
      <c r="I26" s="13"/>
      <c r="J26" s="13"/>
    </row>
    <row r="27" spans="1:10" ht="17.25">
      <c r="A27" s="180" t="s">
        <v>0</v>
      </c>
      <c r="B27" s="194"/>
      <c r="C27" s="192" t="s">
        <v>0</v>
      </c>
      <c r="D27" s="181" t="s">
        <v>0</v>
      </c>
      <c r="E27" s="181"/>
      <c r="F27" s="182" t="s">
        <v>0</v>
      </c>
      <c r="G27" s="13"/>
      <c r="H27" s="13"/>
      <c r="I27" s="13"/>
      <c r="J27" s="13"/>
    </row>
    <row r="28" spans="1:10" ht="17.25">
      <c r="A28" s="180" t="s">
        <v>230</v>
      </c>
      <c r="B28" s="194">
        <v>6.7100000000000007E-2</v>
      </c>
      <c r="C28" s="191">
        <f>+'Beta for CAPM'!$H$34</f>
        <v>0.88</v>
      </c>
      <c r="D28" s="181">
        <f>+B28*C28</f>
        <v>5.9048000000000003E-2</v>
      </c>
      <c r="E28" s="181">
        <f>+'Growth &amp; Inflation Rates'!$G$25</f>
        <v>4.8599999999999997E-2</v>
      </c>
      <c r="F28" s="182">
        <f>+D28+E28</f>
        <v>0.10764799999999999</v>
      </c>
      <c r="G28" s="13"/>
      <c r="H28" s="13"/>
      <c r="I28" s="13"/>
      <c r="J28" s="13"/>
    </row>
    <row r="29" spans="1:10" ht="17.25">
      <c r="A29" s="180" t="s">
        <v>231</v>
      </c>
      <c r="B29" s="194">
        <v>5.4600000000000003E-2</v>
      </c>
      <c r="C29" s="191">
        <f>+'Beta for CAPM'!$H$34</f>
        <v>0.88</v>
      </c>
      <c r="D29" s="181">
        <f>+B29*C29</f>
        <v>4.8048E-2</v>
      </c>
      <c r="E29" s="181">
        <f>+'Growth &amp; Inflation Rates'!$G$25</f>
        <v>4.8599999999999997E-2</v>
      </c>
      <c r="F29" s="182">
        <f>+D29+E29</f>
        <v>9.6647999999999998E-2</v>
      </c>
      <c r="G29" s="13"/>
      <c r="H29" s="13"/>
      <c r="I29" s="13"/>
      <c r="J29" s="13"/>
    </row>
    <row r="30" spans="1:10" ht="17.25">
      <c r="A30" s="180"/>
      <c r="B30" s="194"/>
      <c r="C30" s="191"/>
      <c r="D30" s="181"/>
      <c r="E30" s="181"/>
      <c r="F30" s="182"/>
      <c r="G30" s="13"/>
      <c r="H30" s="13"/>
      <c r="I30" s="13"/>
      <c r="J30" s="13"/>
    </row>
    <row r="31" spans="1:10" ht="17.25">
      <c r="A31" s="180" t="s">
        <v>422</v>
      </c>
      <c r="B31" s="194">
        <v>7.3099999999999998E-2</v>
      </c>
      <c r="C31" s="191">
        <f>+'Beta for CAPM'!$H$34</f>
        <v>0.88</v>
      </c>
      <c r="D31" s="181">
        <f>+B31*C31</f>
        <v>6.4327999999999996E-2</v>
      </c>
      <c r="E31" s="181">
        <f>+'Growth &amp; Inflation Rates'!$G$25</f>
        <v>4.8599999999999997E-2</v>
      </c>
      <c r="F31" s="182">
        <f>+D31+E31</f>
        <v>0.112928</v>
      </c>
      <c r="G31" s="13"/>
      <c r="H31" s="13"/>
      <c r="I31" s="13"/>
      <c r="J31" s="13"/>
    </row>
    <row r="32" spans="1:10" ht="17.25">
      <c r="A32" s="180" t="s">
        <v>423</v>
      </c>
      <c r="B32" s="194">
        <v>6.2600000000000003E-2</v>
      </c>
      <c r="C32" s="191">
        <f>+'Beta for CAPM'!$H$34</f>
        <v>0.88</v>
      </c>
      <c r="D32" s="181">
        <f>+B32*C32</f>
        <v>5.5088000000000005E-2</v>
      </c>
      <c r="E32" s="181">
        <f>+'Growth &amp; Inflation Rates'!$G$25</f>
        <v>4.8599999999999997E-2</v>
      </c>
      <c r="F32" s="182">
        <f>+D32+E32</f>
        <v>0.103688</v>
      </c>
      <c r="G32" s="13"/>
      <c r="H32" s="13"/>
      <c r="I32" s="13"/>
      <c r="J32" s="13"/>
    </row>
    <row r="33" spans="1:10" ht="17.25">
      <c r="A33" s="180" t="s">
        <v>424</v>
      </c>
      <c r="B33" s="194">
        <v>0.05</v>
      </c>
      <c r="C33" s="191">
        <f>+'Beta for CAPM'!$H$34</f>
        <v>0.88</v>
      </c>
      <c r="D33" s="181">
        <f>+B33*C33</f>
        <v>4.4000000000000004E-2</v>
      </c>
      <c r="E33" s="181">
        <f>+'Growth &amp; Inflation Rates'!$G$25</f>
        <v>4.8599999999999997E-2</v>
      </c>
      <c r="F33" s="182">
        <f>+D33+E33</f>
        <v>9.2600000000000002E-2</v>
      </c>
      <c r="G33" s="13"/>
      <c r="H33" s="13"/>
      <c r="I33" s="13"/>
      <c r="J33" s="13"/>
    </row>
    <row r="34" spans="1:10" ht="17.25">
      <c r="A34" s="180"/>
      <c r="B34" s="194"/>
      <c r="C34" s="191"/>
      <c r="D34" s="181"/>
      <c r="E34" s="181"/>
      <c r="F34" s="182"/>
      <c r="G34" s="13"/>
      <c r="H34" s="13"/>
      <c r="I34" s="13"/>
      <c r="J34" s="13"/>
    </row>
    <row r="35" spans="1:10" ht="17.25">
      <c r="A35" s="180" t="s">
        <v>0</v>
      </c>
      <c r="B35" s="373" t="s">
        <v>0</v>
      </c>
      <c r="C35" s="375" t="s">
        <v>0</v>
      </c>
      <c r="D35" s="373" t="s">
        <v>0</v>
      </c>
      <c r="E35" s="373" t="s">
        <v>0</v>
      </c>
      <c r="F35" s="374" t="s">
        <v>0</v>
      </c>
      <c r="G35" s="13" t="s">
        <v>0</v>
      </c>
      <c r="H35" s="13"/>
      <c r="I35" s="13"/>
      <c r="J35" s="13"/>
    </row>
    <row r="36" spans="1:10" ht="17.25" thickBot="1">
      <c r="A36" s="356"/>
      <c r="B36" s="30"/>
      <c r="C36" s="30"/>
      <c r="D36" s="30"/>
      <c r="E36" s="30"/>
      <c r="F36" s="357"/>
      <c r="G36" s="13"/>
      <c r="H36" s="13"/>
      <c r="I36" s="13"/>
      <c r="J36" s="13"/>
    </row>
    <row r="37" spans="1:10" ht="16.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27" customHeight="1" thickBot="1">
      <c r="A38" s="13"/>
      <c r="B38" s="13"/>
      <c r="C38" s="13"/>
      <c r="D38" s="13"/>
      <c r="E38" s="13"/>
      <c r="F38" s="13"/>
      <c r="G38" s="13" t="s">
        <v>0</v>
      </c>
      <c r="H38" s="13"/>
      <c r="I38" s="13"/>
      <c r="J38" s="13"/>
    </row>
    <row r="39" spans="1:10" ht="18" thickBot="1">
      <c r="A39" s="159" t="s">
        <v>234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41.25" thickBot="1">
      <c r="A40" s="158" t="s">
        <v>232</v>
      </c>
      <c r="B40" s="157" t="s">
        <v>224</v>
      </c>
      <c r="C40" s="156" t="s">
        <v>236</v>
      </c>
      <c r="D40" s="157" t="s">
        <v>227</v>
      </c>
      <c r="E40" s="157" t="s">
        <v>228</v>
      </c>
      <c r="F40" s="157" t="s">
        <v>403</v>
      </c>
      <c r="G40" s="155" t="s">
        <v>225</v>
      </c>
      <c r="H40" s="13"/>
      <c r="I40" s="13"/>
      <c r="J40" s="13"/>
    </row>
    <row r="41" spans="1:10" ht="16.5">
      <c r="A41" s="152"/>
      <c r="B41" s="118"/>
      <c r="C41" s="118"/>
      <c r="D41" s="118"/>
      <c r="E41" s="118"/>
      <c r="F41" s="118"/>
      <c r="G41" s="153"/>
      <c r="H41" s="13"/>
      <c r="I41" s="13"/>
      <c r="J41" s="13"/>
    </row>
    <row r="42" spans="1:10" ht="17.25">
      <c r="A42" s="180" t="s">
        <v>406</v>
      </c>
      <c r="B42" s="194">
        <f>+B16</f>
        <v>2.3300000000000001E-2</v>
      </c>
      <c r="C42" s="191">
        <f>+'Beta for CAPM'!$H$34</f>
        <v>0.88</v>
      </c>
      <c r="D42" s="181">
        <f>+B42*C42*0.75</f>
        <v>1.5378000000000001E-2</v>
      </c>
      <c r="E42" s="194">
        <f>+B42*0.25</f>
        <v>5.8250000000000003E-3</v>
      </c>
      <c r="F42" s="181">
        <f>+E16</f>
        <v>4.8599999999999997E-2</v>
      </c>
      <c r="G42" s="182">
        <f>+D42+E42+F42</f>
        <v>6.9803000000000004E-2</v>
      </c>
      <c r="H42" s="13"/>
      <c r="I42" s="13"/>
      <c r="J42" s="13"/>
    </row>
    <row r="43" spans="1:10" ht="17.25">
      <c r="A43" s="180" t="s">
        <v>407</v>
      </c>
      <c r="B43" s="194">
        <f>+B17</f>
        <v>3.04E-2</v>
      </c>
      <c r="C43" s="191">
        <f>+'Beta for CAPM'!$H$34</f>
        <v>0.88</v>
      </c>
      <c r="D43" s="181">
        <f>+B43*C43*0.75</f>
        <v>2.0064000000000002E-2</v>
      </c>
      <c r="E43" s="194">
        <f>+B43*0.25</f>
        <v>7.6E-3</v>
      </c>
      <c r="F43" s="181">
        <f>+E17</f>
        <v>4.8599999999999997E-2</v>
      </c>
      <c r="G43" s="182">
        <f>+D43+E43+F43</f>
        <v>7.6263999999999998E-2</v>
      </c>
      <c r="H43" s="13"/>
      <c r="I43" s="13"/>
      <c r="J43" s="13"/>
    </row>
    <row r="44" spans="1:10" ht="17.25">
      <c r="A44" s="183"/>
      <c r="B44" s="112"/>
      <c r="C44" s="112"/>
      <c r="D44" s="112"/>
      <c r="E44" s="112"/>
      <c r="F44" s="112"/>
      <c r="G44" s="184"/>
      <c r="H44" s="13"/>
      <c r="I44" s="13"/>
      <c r="J44" s="13"/>
    </row>
    <row r="45" spans="1:10" ht="17.25">
      <c r="A45" s="180" t="s">
        <v>419</v>
      </c>
      <c r="B45" s="194">
        <f>+B19</f>
        <v>4.3299999999999998E-2</v>
      </c>
      <c r="C45" s="191">
        <f>+'Beta for CAPM'!$H$34</f>
        <v>0.88</v>
      </c>
      <c r="D45" s="181">
        <f>+B45*C45*0.75</f>
        <v>2.8577999999999999E-2</v>
      </c>
      <c r="E45" s="194">
        <f>+B45*0.25</f>
        <v>1.0825E-2</v>
      </c>
      <c r="F45" s="181">
        <f>+E19</f>
        <v>4.8599999999999997E-2</v>
      </c>
      <c r="G45" s="182">
        <f>+D45+E45+F45</f>
        <v>8.8002999999999998E-2</v>
      </c>
      <c r="H45" s="13"/>
      <c r="I45" s="13"/>
      <c r="J45" s="13"/>
    </row>
    <row r="46" spans="1:10" ht="17.25">
      <c r="A46" s="180" t="str">
        <f>+A20</f>
        <v>Damodaran Implied ERP Ex Ante   Avg CF Yield Last 10 Yrs (3)</v>
      </c>
      <c r="B46" s="194">
        <f>+B20</f>
        <v>6.1499999999999999E-2</v>
      </c>
      <c r="C46" s="191">
        <f>+'Beta for CAPM'!$H$34</f>
        <v>0.88</v>
      </c>
      <c r="D46" s="181">
        <f>+B46*C46*0.75</f>
        <v>4.0590000000000001E-2</v>
      </c>
      <c r="E46" s="194">
        <f>+B46*0.25</f>
        <v>1.5375E-2</v>
      </c>
      <c r="F46" s="181">
        <f>+E20</f>
        <v>4.8599999999999997E-2</v>
      </c>
      <c r="G46" s="182">
        <f>+D46+E46+F46</f>
        <v>0.10456499999999999</v>
      </c>
      <c r="H46" s="13"/>
      <c r="I46" s="13"/>
      <c r="J46" s="13"/>
    </row>
    <row r="47" spans="1:10" ht="17.25">
      <c r="A47" s="180" t="s">
        <v>420</v>
      </c>
      <c r="B47" s="194">
        <f t="shared" ref="B47:B48" si="0">+B21</f>
        <v>4.1500000000000002E-2</v>
      </c>
      <c r="C47" s="191">
        <f>+'Beta for CAPM'!$H$34</f>
        <v>0.88</v>
      </c>
      <c r="D47" s="181">
        <f>+B47*C47*0.75</f>
        <v>2.7390000000000005E-2</v>
      </c>
      <c r="E47" s="194">
        <f>+B47*0.25</f>
        <v>1.0375000000000001E-2</v>
      </c>
      <c r="F47" s="181">
        <f>+E21</f>
        <v>4.8599999999999997E-2</v>
      </c>
      <c r="G47" s="182">
        <f>+D47+E47+F47</f>
        <v>8.6364999999999997E-2</v>
      </c>
      <c r="H47" s="13"/>
      <c r="I47" s="13"/>
      <c r="J47" s="13"/>
    </row>
    <row r="48" spans="1:10" ht="17.25">
      <c r="A48" s="180" t="s">
        <v>421</v>
      </c>
      <c r="B48" s="194">
        <f t="shared" si="0"/>
        <v>3.8100000000000002E-2</v>
      </c>
      <c r="C48" s="191">
        <f>+'Beta for CAPM'!$H$34</f>
        <v>0.88</v>
      </c>
      <c r="D48" s="181">
        <f>+B48*C48*0.75</f>
        <v>2.5146000000000002E-2</v>
      </c>
      <c r="E48" s="194">
        <f>+B48*0.25</f>
        <v>9.5250000000000005E-3</v>
      </c>
      <c r="F48" s="181">
        <f>+E22</f>
        <v>4.8599999999999997E-2</v>
      </c>
      <c r="G48" s="182">
        <f>+D48+E48+F48</f>
        <v>8.3270999999999998E-2</v>
      </c>
      <c r="H48" s="13"/>
      <c r="I48" s="13"/>
      <c r="J48" s="13"/>
    </row>
    <row r="49" spans="1:10" ht="17.25">
      <c r="A49" s="180" t="s">
        <v>0</v>
      </c>
      <c r="B49" s="194" t="s">
        <v>0</v>
      </c>
      <c r="C49" s="181" t="s">
        <v>0</v>
      </c>
      <c r="D49" s="181" t="s">
        <v>0</v>
      </c>
      <c r="E49" s="194" t="s">
        <v>0</v>
      </c>
      <c r="F49" s="181" t="s">
        <v>0</v>
      </c>
      <c r="G49" s="182" t="s">
        <v>0</v>
      </c>
      <c r="H49" s="13"/>
      <c r="I49" s="13"/>
      <c r="J49" s="13"/>
    </row>
    <row r="50" spans="1:10" ht="17.25">
      <c r="A50" s="180" t="s">
        <v>229</v>
      </c>
      <c r="B50" s="194">
        <f>+B24</f>
        <v>5.3900000000000003E-2</v>
      </c>
      <c r="C50" s="191">
        <f>+'Beta for CAPM'!$H$34</f>
        <v>0.88</v>
      </c>
      <c r="D50" s="181">
        <f>+B50*C50*0.75</f>
        <v>3.5574000000000001E-2</v>
      </c>
      <c r="E50" s="194">
        <f>+B50*0.25</f>
        <v>1.3475000000000001E-2</v>
      </c>
      <c r="F50" s="181">
        <f>+E24</f>
        <v>4.8599999999999997E-2</v>
      </c>
      <c r="G50" s="182">
        <f>+D50+E50+F50</f>
        <v>9.7649E-2</v>
      </c>
    </row>
    <row r="51" spans="1:10" ht="17.25">
      <c r="A51" s="180" t="s">
        <v>0</v>
      </c>
      <c r="B51" s="194" t="s">
        <v>0</v>
      </c>
      <c r="C51" s="181" t="s">
        <v>0</v>
      </c>
      <c r="D51" s="181" t="s">
        <v>0</v>
      </c>
      <c r="E51" s="194" t="s">
        <v>0</v>
      </c>
      <c r="F51" s="181" t="s">
        <v>0</v>
      </c>
      <c r="G51" s="182" t="s">
        <v>0</v>
      </c>
    </row>
    <row r="52" spans="1:10" ht="17.25">
      <c r="A52" s="180" t="s">
        <v>438</v>
      </c>
      <c r="B52" s="194">
        <f>+B26</f>
        <v>5.5E-2</v>
      </c>
      <c r="C52" s="191">
        <f>+'Beta for CAPM'!$H$34</f>
        <v>0.88</v>
      </c>
      <c r="D52" s="181">
        <f>+B52*C52*0.75</f>
        <v>3.6299999999999999E-2</v>
      </c>
      <c r="E52" s="194">
        <f>+B52*0.25</f>
        <v>1.375E-2</v>
      </c>
      <c r="F52" s="181">
        <f>+E26</f>
        <v>4.8599999999999997E-2</v>
      </c>
      <c r="G52" s="182">
        <f>+D52+E52+F52</f>
        <v>9.8649999999999988E-2</v>
      </c>
    </row>
    <row r="53" spans="1:10" ht="17.25">
      <c r="A53" s="180" t="s">
        <v>0</v>
      </c>
      <c r="B53" s="194" t="s">
        <v>0</v>
      </c>
      <c r="C53" s="181" t="s">
        <v>0</v>
      </c>
      <c r="D53" s="181" t="s">
        <v>0</v>
      </c>
      <c r="E53" s="194" t="s">
        <v>0</v>
      </c>
      <c r="F53" s="181" t="s">
        <v>0</v>
      </c>
      <c r="G53" s="182" t="s">
        <v>0</v>
      </c>
    </row>
    <row r="54" spans="1:10" ht="17.25">
      <c r="A54" s="180" t="s">
        <v>230</v>
      </c>
      <c r="B54" s="194">
        <f>+B28</f>
        <v>6.7100000000000007E-2</v>
      </c>
      <c r="C54" s="191">
        <f>+'Beta for CAPM'!$H$34</f>
        <v>0.88</v>
      </c>
      <c r="D54" s="181">
        <f>+B54*C54*0.75</f>
        <v>4.4286000000000006E-2</v>
      </c>
      <c r="E54" s="194">
        <f>+B54*0.25</f>
        <v>1.6775000000000002E-2</v>
      </c>
      <c r="F54" s="181">
        <f>+E28</f>
        <v>4.8599999999999997E-2</v>
      </c>
      <c r="G54" s="182">
        <f>+D54+E54+F54</f>
        <v>0.10966100000000001</v>
      </c>
    </row>
    <row r="55" spans="1:10" ht="17.25">
      <c r="A55" s="180" t="s">
        <v>231</v>
      </c>
      <c r="B55" s="194">
        <f>+B29</f>
        <v>5.4600000000000003E-2</v>
      </c>
      <c r="C55" s="191">
        <f>+'Beta for CAPM'!$H$34</f>
        <v>0.88</v>
      </c>
      <c r="D55" s="181">
        <f>+B55*C55*0.75</f>
        <v>3.6035999999999999E-2</v>
      </c>
      <c r="E55" s="194">
        <f>+B55*0.25</f>
        <v>1.3650000000000001E-2</v>
      </c>
      <c r="F55" s="181">
        <f>+E29</f>
        <v>4.8599999999999997E-2</v>
      </c>
      <c r="G55" s="182">
        <f>+D55+E55+F55</f>
        <v>9.8285999999999998E-2</v>
      </c>
    </row>
    <row r="56" spans="1:10" ht="17.25">
      <c r="A56" s="180"/>
      <c r="B56" s="194"/>
      <c r="C56" s="190"/>
      <c r="D56" s="181"/>
      <c r="E56" s="194"/>
      <c r="F56" s="181"/>
      <c r="G56" s="182"/>
    </row>
    <row r="57" spans="1:10" ht="17.25">
      <c r="A57" s="180" t="s">
        <v>422</v>
      </c>
      <c r="B57" s="194">
        <f>+B31</f>
        <v>7.3099999999999998E-2</v>
      </c>
      <c r="C57" s="191">
        <f>+'Beta for CAPM'!$H$34</f>
        <v>0.88</v>
      </c>
      <c r="D57" s="181">
        <f>+B57*C57*0.75</f>
        <v>4.8245999999999997E-2</v>
      </c>
      <c r="E57" s="194">
        <f>+B57*0.25</f>
        <v>1.8275E-2</v>
      </c>
      <c r="F57" s="181">
        <f>+E31</f>
        <v>4.8599999999999997E-2</v>
      </c>
      <c r="G57" s="182">
        <f>+D57+E57+F57</f>
        <v>0.115121</v>
      </c>
    </row>
    <row r="58" spans="1:10" ht="17.25">
      <c r="A58" s="180" t="s">
        <v>423</v>
      </c>
      <c r="B58" s="194">
        <f>+B32</f>
        <v>6.2600000000000003E-2</v>
      </c>
      <c r="C58" s="191">
        <f>+'Beta for CAPM'!$H$34</f>
        <v>0.88</v>
      </c>
      <c r="D58" s="181">
        <f>+B58*C58*0.75</f>
        <v>4.1316000000000005E-2</v>
      </c>
      <c r="E58" s="194">
        <f>+B58*0.25</f>
        <v>1.5650000000000001E-2</v>
      </c>
      <c r="F58" s="181">
        <f>+E32</f>
        <v>4.8599999999999997E-2</v>
      </c>
      <c r="G58" s="182">
        <f>+D58+E58+F58</f>
        <v>0.10556599999999999</v>
      </c>
    </row>
    <row r="59" spans="1:10" ht="17.25">
      <c r="A59" s="180" t="s">
        <v>424</v>
      </c>
      <c r="B59" s="194">
        <f>+B33</f>
        <v>0.05</v>
      </c>
      <c r="C59" s="191">
        <f>+'Beta for CAPM'!$H$34</f>
        <v>0.88</v>
      </c>
      <c r="D59" s="181">
        <f>+B59*C59*0.75</f>
        <v>3.3000000000000002E-2</v>
      </c>
      <c r="E59" s="194">
        <f>+B59*0.25</f>
        <v>1.2500000000000001E-2</v>
      </c>
      <c r="F59" s="181">
        <f>+E33</f>
        <v>4.8599999999999997E-2</v>
      </c>
      <c r="G59" s="182">
        <f>+D59+E59+F59</f>
        <v>9.4099999999999989E-2</v>
      </c>
    </row>
    <row r="60" spans="1:10" ht="17.25">
      <c r="A60" s="180"/>
      <c r="B60" s="194"/>
      <c r="C60" s="190"/>
      <c r="D60" s="181"/>
      <c r="E60" s="194"/>
      <c r="F60" s="181"/>
      <c r="G60" s="182"/>
    </row>
    <row r="61" spans="1:10" ht="17.25">
      <c r="A61" s="180" t="s">
        <v>0</v>
      </c>
      <c r="B61" s="194" t="s">
        <v>0</v>
      </c>
      <c r="C61" s="375" t="s">
        <v>0</v>
      </c>
      <c r="D61" s="181" t="s">
        <v>0</v>
      </c>
      <c r="E61" s="194" t="s">
        <v>0</v>
      </c>
      <c r="F61" s="181" t="s">
        <v>0</v>
      </c>
      <c r="G61" s="182" t="s">
        <v>0</v>
      </c>
    </row>
    <row r="62" spans="1:10" ht="15.75" thickBot="1">
      <c r="A62" s="358"/>
      <c r="B62" s="150"/>
      <c r="C62" s="150"/>
      <c r="D62" s="150"/>
      <c r="E62" s="150"/>
      <c r="F62" s="150"/>
      <c r="G62" s="359"/>
    </row>
    <row r="64" spans="1:10" ht="17.25">
      <c r="A64" s="64" t="s">
        <v>90</v>
      </c>
      <c r="E64" s="193" t="s">
        <v>0</v>
      </c>
    </row>
    <row r="65" spans="1:7">
      <c r="A65" s="472" t="s">
        <v>0</v>
      </c>
      <c r="E65" s="193" t="s">
        <v>0</v>
      </c>
    </row>
    <row r="66" spans="1:7" ht="16.5">
      <c r="A66" s="470" t="s">
        <v>504</v>
      </c>
      <c r="B66" s="13"/>
      <c r="C66" s="13"/>
      <c r="D66" s="13"/>
      <c r="E66" s="13"/>
      <c r="F66" s="13"/>
      <c r="G66" s="13"/>
    </row>
    <row r="67" spans="1:7" ht="16.5">
      <c r="A67" s="470" t="s">
        <v>505</v>
      </c>
      <c r="B67" s="13"/>
      <c r="C67" s="13"/>
      <c r="D67" s="13"/>
      <c r="E67" s="13"/>
      <c r="F67" s="13"/>
      <c r="G67" s="13"/>
    </row>
    <row r="68" spans="1:7" ht="16.5">
      <c r="A68" s="45" t="s">
        <v>0</v>
      </c>
      <c r="B68" s="13"/>
      <c r="C68" s="13"/>
      <c r="D68" s="13"/>
      <c r="E68" s="13"/>
      <c r="F68" s="13"/>
      <c r="G68" s="13"/>
    </row>
    <row r="69" spans="1:7" ht="16.5">
      <c r="A69" s="45" t="s">
        <v>510</v>
      </c>
      <c r="B69" s="13"/>
      <c r="C69" s="13"/>
      <c r="D69" s="13"/>
      <c r="E69" s="13"/>
      <c r="F69" s="13"/>
      <c r="G69" s="13"/>
    </row>
    <row r="70" spans="1:7" ht="16.5">
      <c r="A70" s="148" t="s">
        <v>416</v>
      </c>
      <c r="C70" s="13"/>
      <c r="D70" s="13"/>
      <c r="E70" s="13"/>
      <c r="F70" s="13"/>
      <c r="G70" s="13"/>
    </row>
    <row r="71" spans="1:7" ht="16.5">
      <c r="A71" s="45" t="s">
        <v>0</v>
      </c>
      <c r="B71" s="13"/>
      <c r="C71" s="13"/>
      <c r="D71" s="13"/>
      <c r="E71" s="13"/>
      <c r="F71" s="13"/>
      <c r="G71" s="13"/>
    </row>
    <row r="72" spans="1:7" ht="16.5">
      <c r="A72" s="45" t="s">
        <v>511</v>
      </c>
      <c r="B72" s="13"/>
      <c r="C72" s="13"/>
      <c r="D72" s="13"/>
      <c r="E72" s="13"/>
      <c r="F72" s="13"/>
      <c r="G72" s="13"/>
    </row>
    <row r="73" spans="1:7" ht="16.5">
      <c r="A73" s="148" t="s">
        <v>417</v>
      </c>
      <c r="B73" s="13"/>
      <c r="C73" s="13"/>
      <c r="D73" s="13"/>
      <c r="E73" s="13"/>
      <c r="F73" s="13" t="s">
        <v>0</v>
      </c>
      <c r="G73" s="13"/>
    </row>
    <row r="74" spans="1:7" ht="16.5">
      <c r="A74" s="45"/>
      <c r="B74" s="13"/>
      <c r="C74" s="13"/>
      <c r="D74" s="13"/>
      <c r="E74" s="13"/>
      <c r="F74" s="13"/>
      <c r="G74" s="13"/>
    </row>
    <row r="75" spans="1:7" ht="16.5">
      <c r="A75" s="45" t="s">
        <v>512</v>
      </c>
      <c r="B75" s="13"/>
      <c r="C75" s="13"/>
      <c r="D75" s="13"/>
      <c r="E75" s="13"/>
      <c r="F75" s="13"/>
      <c r="G75" s="13"/>
    </row>
    <row r="76" spans="1:7" ht="16.5">
      <c r="A76" s="148" t="s">
        <v>513</v>
      </c>
      <c r="B76" s="13"/>
      <c r="C76" s="13"/>
      <c r="D76" s="13"/>
      <c r="E76" s="13"/>
      <c r="F76" s="13"/>
      <c r="G76" s="13"/>
    </row>
    <row r="77" spans="1:7" ht="16.5">
      <c r="A77" s="45"/>
      <c r="B77" s="13"/>
      <c r="C77" s="13"/>
      <c r="D77" s="13"/>
      <c r="E77" s="13"/>
      <c r="F77" s="13"/>
      <c r="G77" s="13"/>
    </row>
    <row r="78" spans="1:7" ht="16.5">
      <c r="A78" s="45" t="s">
        <v>514</v>
      </c>
      <c r="B78" s="13"/>
      <c r="C78" s="13"/>
      <c r="D78" s="13"/>
      <c r="E78" s="13"/>
      <c r="F78" s="13"/>
      <c r="G78" s="13"/>
    </row>
    <row r="79" spans="1:7" ht="16.5">
      <c r="A79" s="148" t="s">
        <v>418</v>
      </c>
      <c r="B79" s="13"/>
      <c r="C79" s="13"/>
      <c r="D79" s="13"/>
      <c r="E79" s="13"/>
      <c r="F79" s="13"/>
      <c r="G79" s="13"/>
    </row>
    <row r="80" spans="1:7">
      <c r="A80" s="472"/>
    </row>
    <row r="81" spans="1:7" ht="16.5">
      <c r="A81" s="45" t="s">
        <v>515</v>
      </c>
    </row>
    <row r="82" spans="1:7" ht="16.5">
      <c r="A82" s="45" t="s">
        <v>0</v>
      </c>
    </row>
    <row r="83" spans="1:7" ht="16.5">
      <c r="A83" s="45" t="s">
        <v>0</v>
      </c>
    </row>
    <row r="84" spans="1:7" ht="16.5">
      <c r="A84" s="372" t="s">
        <v>0</v>
      </c>
    </row>
    <row r="85" spans="1:7" ht="21" thickBot="1">
      <c r="A85" s="151"/>
      <c r="B85" s="151"/>
      <c r="C85" s="151"/>
      <c r="D85" s="30"/>
      <c r="E85" s="38"/>
      <c r="F85" s="30"/>
      <c r="G85" s="150"/>
    </row>
  </sheetData>
  <hyperlinks>
    <hyperlink ref="A84" r:id="rId1" display="https://simplywall.st/stocks/us/transportation" xr:uid="{F81E503F-23D5-4651-8695-1216210CBA3B}"/>
    <hyperlink ref="A79" r:id="rId2" xr:uid="{B1B662B5-C796-4DA4-B562-C406E312601C}"/>
    <hyperlink ref="A70" r:id="rId3" xr:uid="{F7A69D9A-5A17-46E3-8157-D8CCE751962F}"/>
    <hyperlink ref="A73" r:id="rId4" xr:uid="{770A1B65-3734-41A3-AF1F-21BAF150BA5D}"/>
  </hyperlinks>
  <pageMargins left="0.25" right="0.25" top="0.75" bottom="0.75" header="0.3" footer="0.3"/>
  <pageSetup scale="39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8445-1E4A-4BEE-BCFA-A4C884BF51E5}">
  <sheetPr>
    <tabColor rgb="FF92D050"/>
  </sheetPr>
  <dimension ref="A1:R108"/>
  <sheetViews>
    <sheetView view="pageBreakPreview" topLeftCell="A20" zoomScale="50" zoomScaleNormal="80" zoomScaleSheetLayoutView="50" workbookViewId="0">
      <selection activeCell="H29" sqref="H29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25" t="s">
        <v>1</v>
      </c>
      <c r="C1" s="25"/>
      <c r="D1" s="25"/>
      <c r="E1" s="13"/>
      <c r="F1" s="13"/>
      <c r="G1" s="13"/>
      <c r="H1" s="13"/>
      <c r="I1" s="13"/>
      <c r="J1" s="13"/>
      <c r="K1" s="13"/>
    </row>
    <row r="2" spans="1:11" ht="17.25">
      <c r="A2" s="26" t="s">
        <v>9</v>
      </c>
      <c r="C2" s="26"/>
      <c r="D2" s="26"/>
      <c r="E2" s="13"/>
      <c r="F2" s="13"/>
      <c r="G2" s="13"/>
      <c r="H2" s="13"/>
      <c r="I2" s="13"/>
      <c r="J2" s="13"/>
      <c r="K2" s="13"/>
    </row>
    <row r="3" spans="1:11" ht="16.5">
      <c r="A3" s="27" t="s">
        <v>444</v>
      </c>
      <c r="C3" s="27"/>
      <c r="D3" s="27"/>
      <c r="E3" s="13"/>
      <c r="F3" s="13"/>
      <c r="G3" s="13"/>
      <c r="H3" s="13"/>
      <c r="I3" s="13"/>
      <c r="J3" s="13"/>
      <c r="K3" s="13"/>
    </row>
    <row r="4" spans="1:11" ht="16.5">
      <c r="B4" s="27"/>
      <c r="C4" s="27"/>
      <c r="D4" s="27"/>
      <c r="E4" s="13"/>
      <c r="F4" s="13"/>
      <c r="G4" s="13"/>
      <c r="H4" s="13"/>
      <c r="I4" s="13"/>
      <c r="J4" s="13"/>
      <c r="K4" s="13"/>
    </row>
    <row r="5" spans="1:11" ht="16.5">
      <c r="B5" s="13"/>
      <c r="C5" s="13"/>
      <c r="D5" s="13"/>
      <c r="E5" s="13"/>
      <c r="F5" s="13"/>
      <c r="G5" s="13"/>
      <c r="H5" s="13"/>
      <c r="I5" s="28" t="s">
        <v>0</v>
      </c>
      <c r="J5" s="28"/>
      <c r="K5" s="13"/>
    </row>
    <row r="6" spans="1:11" ht="17.25" thickBot="1">
      <c r="B6" s="13"/>
      <c r="C6" s="13"/>
      <c r="D6" s="30"/>
      <c r="E6" s="30"/>
      <c r="F6" s="150"/>
      <c r="H6" s="13"/>
      <c r="I6" s="13"/>
      <c r="J6" s="13"/>
    </row>
    <row r="7" spans="1:11" ht="27" thickBot="1">
      <c r="A7" s="29" t="str">
        <f>+'S&amp;D'!A12</f>
        <v>Natural Gas Utility Distribution</v>
      </c>
      <c r="C7" s="32"/>
      <c r="D7" s="32"/>
      <c r="E7" s="33" t="s">
        <v>258</v>
      </c>
      <c r="H7" s="13"/>
      <c r="I7" s="13"/>
      <c r="J7" s="13"/>
    </row>
    <row r="8" spans="1:11" ht="21" thickBot="1">
      <c r="B8" s="32"/>
      <c r="C8" s="32"/>
      <c r="D8" s="151"/>
      <c r="E8" s="38" t="s">
        <v>445</v>
      </c>
      <c r="F8" s="150"/>
      <c r="H8" s="13"/>
      <c r="I8" s="13"/>
    </row>
    <row r="9" spans="1:11" ht="20.25">
      <c r="B9" s="32"/>
      <c r="C9" s="32"/>
      <c r="D9" s="32"/>
      <c r="E9" s="36"/>
      <c r="H9" s="13"/>
      <c r="I9" s="13"/>
    </row>
    <row r="10" spans="1:11" ht="29.1" customHeight="1" thickBot="1">
      <c r="A10" s="151"/>
      <c r="B10" s="32"/>
      <c r="I10" s="13"/>
    </row>
    <row r="11" spans="1:11" ht="22.5" customHeight="1" thickBot="1">
      <c r="A11" s="163" t="s">
        <v>257</v>
      </c>
      <c r="B11" s="32"/>
      <c r="I11" s="13"/>
    </row>
    <row r="12" spans="1:11" ht="20.100000000000001" customHeight="1" thickBot="1">
      <c r="A12" s="162" t="s">
        <v>0</v>
      </c>
      <c r="B12" s="13"/>
      <c r="C12" s="13"/>
      <c r="D12" s="13"/>
      <c r="E12" s="13"/>
      <c r="F12" s="13"/>
      <c r="G12" s="13"/>
      <c r="H12" s="13"/>
      <c r="I12" s="13"/>
    </row>
    <row r="13" spans="1:11" ht="60.6" customHeight="1" thickBot="1">
      <c r="A13" s="204" t="s">
        <v>0</v>
      </c>
      <c r="B13" s="157" t="s">
        <v>306</v>
      </c>
      <c r="C13" s="157" t="s">
        <v>305</v>
      </c>
      <c r="D13" s="156" t="s">
        <v>237</v>
      </c>
      <c r="E13" s="157" t="s">
        <v>238</v>
      </c>
      <c r="F13" s="157" t="s">
        <v>275</v>
      </c>
      <c r="G13" s="157" t="s">
        <v>274</v>
      </c>
      <c r="H13" s="157" t="s">
        <v>239</v>
      </c>
    </row>
    <row r="14" spans="1:11" ht="16.5">
      <c r="A14" s="152"/>
      <c r="B14" s="198"/>
      <c r="C14" s="198"/>
      <c r="D14" s="118"/>
      <c r="E14" s="198"/>
      <c r="F14" s="198"/>
      <c r="G14" s="198"/>
      <c r="H14" s="198"/>
    </row>
    <row r="15" spans="1:11" ht="20.25">
      <c r="A15" s="160" t="str">
        <f>+A7</f>
        <v>Natural Gas Utility Distribution</v>
      </c>
      <c r="B15" s="215">
        <v>0</v>
      </c>
      <c r="C15" s="215">
        <v>0</v>
      </c>
      <c r="D15" s="286">
        <v>0</v>
      </c>
      <c r="E15" s="215">
        <v>0</v>
      </c>
      <c r="F15" s="215">
        <f>+'Dividends '!K30</f>
        <v>4.3105034072620417E-2</v>
      </c>
      <c r="G15" s="215">
        <f>+Earnings!K30</f>
        <v>6.8164670425139615E-2</v>
      </c>
      <c r="H15" s="215">
        <v>0</v>
      </c>
    </row>
    <row r="16" spans="1:11" ht="21" thickBot="1">
      <c r="A16" s="154" t="s">
        <v>0</v>
      </c>
      <c r="B16" s="199" t="s">
        <v>0</v>
      </c>
      <c r="C16" s="199"/>
      <c r="D16" s="161"/>
      <c r="E16" s="199"/>
      <c r="F16" s="240">
        <f>+'Dividends '!K31</f>
        <v>4.3773518746457081E-2</v>
      </c>
      <c r="G16" s="240">
        <f>+Earnings!K31</f>
        <v>6.1881268964561635E-2</v>
      </c>
      <c r="H16" s="199"/>
    </row>
    <row r="17" spans="1:18" ht="57.95" customHeight="1" thickBot="1">
      <c r="A17" s="13"/>
      <c r="B17" s="13"/>
      <c r="C17" s="13"/>
      <c r="D17" s="13"/>
      <c r="E17" s="13"/>
      <c r="F17" s="13"/>
      <c r="G17" s="13"/>
      <c r="H17" s="13"/>
      <c r="I17" s="13"/>
    </row>
    <row r="18" spans="1:18" ht="24.95" customHeight="1" thickBot="1">
      <c r="A18" s="163" t="s">
        <v>489</v>
      </c>
      <c r="B18" s="13"/>
      <c r="C18" s="13"/>
      <c r="D18" s="420"/>
      <c r="E18" s="13"/>
      <c r="F18" s="13"/>
      <c r="G18" s="13"/>
      <c r="H18" s="13"/>
      <c r="I18" s="13"/>
    </row>
    <row r="19" spans="1:18" ht="20.100000000000001" customHeight="1">
      <c r="A19" s="13"/>
      <c r="B19" s="13"/>
      <c r="C19" s="13"/>
      <c r="D19" s="445" t="s">
        <v>489</v>
      </c>
      <c r="E19" s="13"/>
      <c r="F19" s="13"/>
      <c r="G19" s="13"/>
      <c r="H19" s="13"/>
      <c r="I19" s="13"/>
    </row>
    <row r="20" spans="1:18" ht="27.95" customHeight="1">
      <c r="A20" s="446"/>
      <c r="B20" s="418"/>
      <c r="C20" s="447" t="s">
        <v>490</v>
      </c>
      <c r="D20" s="448"/>
      <c r="E20" s="13"/>
      <c r="F20" s="13"/>
      <c r="G20" s="13"/>
      <c r="H20" s="13"/>
      <c r="I20" s="13"/>
    </row>
    <row r="21" spans="1:18" ht="27.95" customHeight="1">
      <c r="A21" s="368"/>
      <c r="C21" s="449" t="s">
        <v>491</v>
      </c>
      <c r="D21" s="450">
        <v>4.5699999999999998E-2</v>
      </c>
      <c r="E21" s="13"/>
      <c r="F21" s="13"/>
      <c r="G21" s="13"/>
      <c r="H21" s="13"/>
      <c r="I21" s="13"/>
    </row>
    <row r="22" spans="1:18" ht="27.95" customHeight="1">
      <c r="A22" s="368"/>
      <c r="C22" s="449" t="s">
        <v>492</v>
      </c>
      <c r="D22" s="450">
        <v>4.6600000000000003E-2</v>
      </c>
      <c r="E22" s="13"/>
      <c r="F22" s="13"/>
      <c r="G22" s="13"/>
      <c r="H22" s="13"/>
      <c r="I22" s="13"/>
    </row>
    <row r="23" spans="1:18" ht="27" customHeight="1">
      <c r="A23" s="368"/>
      <c r="C23" s="449" t="s">
        <v>493</v>
      </c>
      <c r="D23" s="450">
        <v>4.8599999999999997E-2</v>
      </c>
      <c r="E23" s="13"/>
      <c r="F23" s="13"/>
      <c r="G23" s="13"/>
      <c r="H23" s="13"/>
      <c r="I23" s="13"/>
    </row>
    <row r="24" spans="1:18" ht="27" customHeight="1" thickBot="1">
      <c r="A24" s="368"/>
      <c r="C24" s="449" t="s">
        <v>494</v>
      </c>
      <c r="D24" s="450">
        <v>4.7899999999999998E-2</v>
      </c>
      <c r="E24" s="13"/>
      <c r="F24" s="13"/>
      <c r="G24" s="451" t="s">
        <v>495</v>
      </c>
      <c r="I24" s="13"/>
    </row>
    <row r="25" spans="1:18" ht="27" customHeight="1" thickBot="1">
      <c r="A25" s="368"/>
      <c r="B25" s="13"/>
      <c r="C25" s="452" t="s">
        <v>496</v>
      </c>
      <c r="D25" s="453"/>
      <c r="E25" s="13"/>
      <c r="F25" s="13"/>
      <c r="G25" s="454">
        <v>4.8599999999999997E-2</v>
      </c>
      <c r="H25" s="13"/>
      <c r="I25" s="13"/>
    </row>
    <row r="26" spans="1:18" ht="27" customHeight="1">
      <c r="A26" s="368"/>
      <c r="C26" s="449" t="s">
        <v>491</v>
      </c>
      <c r="D26" s="450">
        <v>4.5499999999999999E-2</v>
      </c>
      <c r="E26" s="13"/>
      <c r="F26" s="13"/>
      <c r="G26" s="13"/>
      <c r="H26" s="13"/>
      <c r="I26" s="13"/>
    </row>
    <row r="27" spans="1:18" ht="27" customHeight="1">
      <c r="A27" s="368"/>
      <c r="C27" s="449" t="s">
        <v>497</v>
      </c>
      <c r="D27" s="450">
        <v>0</v>
      </c>
      <c r="E27" s="13"/>
      <c r="F27" s="13"/>
      <c r="G27" s="13"/>
      <c r="H27" s="13"/>
      <c r="I27" s="13"/>
    </row>
    <row r="28" spans="1:18" ht="27" customHeight="1">
      <c r="A28" s="368"/>
      <c r="C28" s="449" t="s">
        <v>498</v>
      </c>
      <c r="D28" s="450">
        <v>4.7699999999999999E-2</v>
      </c>
      <c r="E28" s="13"/>
      <c r="F28" s="13"/>
      <c r="G28" s="13"/>
      <c r="H28" s="13"/>
      <c r="I28" s="13"/>
    </row>
    <row r="29" spans="1:18" ht="27" customHeight="1">
      <c r="A29" s="368"/>
      <c r="C29" s="455" t="s">
        <v>499</v>
      </c>
      <c r="D29" s="456">
        <v>4.58E-2</v>
      </c>
      <c r="E29" s="13"/>
      <c r="F29" s="13"/>
      <c r="G29" s="13"/>
      <c r="H29" s="13"/>
      <c r="I29" s="13"/>
    </row>
    <row r="30" spans="1:18" ht="20.25">
      <c r="A30" s="457"/>
      <c r="B30" s="223"/>
      <c r="C30" s="458" t="s">
        <v>500</v>
      </c>
      <c r="D30" s="459">
        <v>4.8599999999999997E-2</v>
      </c>
      <c r="L30" s="13"/>
    </row>
    <row r="31" spans="1:18" ht="63.6" customHeight="1" thickBot="1">
      <c r="B31" s="13"/>
      <c r="C31" s="13"/>
      <c r="D31" s="30"/>
      <c r="E31" s="30"/>
      <c r="F31" s="30"/>
      <c r="G31" s="13"/>
      <c r="H31" s="13"/>
      <c r="I31" s="13"/>
      <c r="L31" s="13"/>
    </row>
    <row r="32" spans="1:18" ht="26.25">
      <c r="B32" s="32"/>
      <c r="C32" s="32"/>
      <c r="D32" s="13"/>
      <c r="E32" s="33" t="s">
        <v>222</v>
      </c>
      <c r="F32" s="13"/>
      <c r="G32" s="13"/>
      <c r="H32" s="13"/>
      <c r="I32" s="13"/>
      <c r="J32" s="460" t="s">
        <v>0</v>
      </c>
      <c r="K32" s="87"/>
      <c r="L32" s="87"/>
      <c r="M32" s="87"/>
      <c r="N32" s="87"/>
      <c r="O32" s="13"/>
      <c r="P32" s="13"/>
      <c r="Q32" s="13"/>
      <c r="R32" s="13"/>
    </row>
    <row r="33" spans="1:18" ht="21" thickBot="1">
      <c r="A33" s="150"/>
      <c r="B33" s="32"/>
      <c r="C33" s="32"/>
      <c r="D33" s="30"/>
      <c r="E33" s="38" t="s">
        <v>445</v>
      </c>
      <c r="F33" s="30"/>
      <c r="G33" s="13"/>
      <c r="H33" s="13"/>
      <c r="I33" s="13"/>
      <c r="J33" s="461"/>
      <c r="K33" s="462"/>
      <c r="L33" s="462"/>
      <c r="M33" s="87"/>
      <c r="N33" s="87"/>
      <c r="O33" s="13"/>
      <c r="P33" s="13"/>
      <c r="Q33" s="13"/>
      <c r="R33" s="13"/>
    </row>
    <row r="34" spans="1:18" ht="21" thickBot="1">
      <c r="A34" s="149" t="s">
        <v>449</v>
      </c>
      <c r="B34" s="32"/>
      <c r="C34" s="32"/>
      <c r="D34" s="36"/>
      <c r="E34" s="147"/>
      <c r="F34" s="13"/>
      <c r="G34" s="13"/>
      <c r="H34" s="13"/>
      <c r="I34" s="13"/>
      <c r="J34" s="461"/>
      <c r="K34" s="461"/>
      <c r="L34" s="461"/>
      <c r="M34" s="462"/>
      <c r="N34" s="463" t="s">
        <v>0</v>
      </c>
      <c r="O34" s="13"/>
      <c r="P34" s="13"/>
      <c r="Q34" s="13"/>
      <c r="R34" s="13"/>
    </row>
    <row r="35" spans="1:18" ht="18.75">
      <c r="A35" s="42" t="s">
        <v>0</v>
      </c>
      <c r="B35" s="42"/>
      <c r="C35" s="42"/>
      <c r="D35" s="42" t="s">
        <v>0</v>
      </c>
      <c r="E35" s="42" t="s">
        <v>0</v>
      </c>
      <c r="F35" s="42" t="s">
        <v>0</v>
      </c>
      <c r="G35" s="42"/>
      <c r="H35" s="13"/>
      <c r="I35" s="13"/>
      <c r="J35" s="461"/>
      <c r="K35" s="464"/>
      <c r="L35" s="461"/>
      <c r="M35" s="462"/>
      <c r="N35" s="87"/>
      <c r="O35" s="13"/>
      <c r="P35" s="13"/>
      <c r="Q35" s="13"/>
      <c r="R35" s="13"/>
    </row>
    <row r="36" spans="1:18" ht="20.25">
      <c r="A36" s="36" t="s">
        <v>0</v>
      </c>
      <c r="B36" s="36"/>
      <c r="C36" s="36"/>
      <c r="D36" s="405" t="s">
        <v>96</v>
      </c>
      <c r="E36" s="405" t="s">
        <v>259</v>
      </c>
      <c r="F36" s="405" t="s">
        <v>140</v>
      </c>
      <c r="G36" s="237"/>
      <c r="H36" s="13"/>
      <c r="I36" s="13"/>
      <c r="J36" s="461"/>
      <c r="K36" s="461"/>
      <c r="L36" s="461"/>
      <c r="M36" s="462"/>
      <c r="N36" s="87"/>
      <c r="O36" s="13"/>
      <c r="P36" s="13"/>
      <c r="Q36" s="13"/>
      <c r="R36" s="13"/>
    </row>
    <row r="37" spans="1:18" ht="20.25">
      <c r="A37" s="484" t="s">
        <v>138</v>
      </c>
      <c r="B37" s="485"/>
      <c r="C37" s="486"/>
      <c r="D37" s="406" t="s">
        <v>98</v>
      </c>
      <c r="E37" s="406" t="s">
        <v>139</v>
      </c>
      <c r="F37" s="406" t="s">
        <v>141</v>
      </c>
      <c r="G37" s="237"/>
      <c r="H37" s="13"/>
      <c r="I37" s="13"/>
      <c r="J37" s="462"/>
      <c r="K37" s="462"/>
      <c r="L37" s="465"/>
      <c r="M37" s="462"/>
      <c r="N37" s="87"/>
      <c r="O37" s="13"/>
      <c r="P37" s="13"/>
      <c r="Q37" s="13"/>
      <c r="R37" s="13"/>
    </row>
    <row r="38" spans="1:18" ht="18.75">
      <c r="H38" s="432"/>
      <c r="J38" s="462"/>
      <c r="K38" s="462"/>
      <c r="L38" s="87"/>
      <c r="M38" s="87"/>
      <c r="N38" s="87"/>
      <c r="O38" s="13"/>
      <c r="P38" s="13"/>
      <c r="Q38" s="13"/>
      <c r="R38" s="13"/>
    </row>
    <row r="39" spans="1:18" ht="20.25">
      <c r="A39" s="407" t="s">
        <v>260</v>
      </c>
      <c r="B39" s="164"/>
      <c r="C39" s="195"/>
      <c r="D39" s="408">
        <v>2.3300000000000001E-2</v>
      </c>
      <c r="E39" s="433" t="s">
        <v>487</v>
      </c>
      <c r="F39" s="433" t="s">
        <v>487</v>
      </c>
      <c r="H39" s="432" t="s">
        <v>0</v>
      </c>
      <c r="J39" s="466"/>
      <c r="K39" s="462"/>
      <c r="L39" s="462"/>
      <c r="M39" s="87"/>
      <c r="N39" s="87"/>
      <c r="O39" s="13"/>
      <c r="P39" s="13"/>
      <c r="Q39" s="13"/>
      <c r="R39" s="13"/>
    </row>
    <row r="40" spans="1:18" ht="20.25">
      <c r="A40" s="409" t="s">
        <v>261</v>
      </c>
      <c r="B40" s="64"/>
      <c r="C40" s="196"/>
      <c r="D40" s="410">
        <v>2.46E-2</v>
      </c>
      <c r="E40" s="434" t="s">
        <v>487</v>
      </c>
      <c r="F40" s="434" t="s">
        <v>487</v>
      </c>
      <c r="H40" s="32" t="s">
        <v>0</v>
      </c>
      <c r="I40" s="13"/>
      <c r="J40" s="466"/>
      <c r="K40" s="462"/>
      <c r="L40" s="462"/>
      <c r="M40" s="87"/>
      <c r="N40" s="87"/>
      <c r="O40" s="13"/>
      <c r="P40" s="13"/>
      <c r="Q40" s="13"/>
      <c r="R40" s="13"/>
    </row>
    <row r="41" spans="1:18" ht="20.25">
      <c r="A41" s="411" t="s">
        <v>262</v>
      </c>
      <c r="B41" s="165"/>
      <c r="C41" s="197"/>
      <c r="D41" s="412">
        <v>2.3099999999999999E-2</v>
      </c>
      <c r="E41" s="435" t="s">
        <v>487</v>
      </c>
      <c r="F41" s="435" t="s">
        <v>487</v>
      </c>
      <c r="H41" s="129" t="s">
        <v>0</v>
      </c>
      <c r="I41" s="13"/>
      <c r="J41" s="466"/>
      <c r="K41" s="462"/>
      <c r="L41" s="462"/>
      <c r="M41" s="87"/>
      <c r="N41" s="87"/>
      <c r="O41" s="13"/>
      <c r="P41" s="13"/>
      <c r="Q41" s="13"/>
      <c r="R41" s="13"/>
    </row>
    <row r="42" spans="1:18" ht="20.25">
      <c r="A42" s="409" t="s">
        <v>263</v>
      </c>
      <c r="B42" s="64"/>
      <c r="C42" s="196"/>
      <c r="D42" s="413">
        <v>2.29E-2</v>
      </c>
      <c r="E42" s="413">
        <v>2.1100000000000001E-2</v>
      </c>
      <c r="F42" s="410">
        <f t="shared" ref="F42:F50" si="0">+D42+E42</f>
        <v>4.3999999999999997E-2</v>
      </c>
      <c r="H42" s="13" t="s">
        <v>0</v>
      </c>
      <c r="I42" s="13"/>
      <c r="J42" s="466"/>
      <c r="K42" s="462"/>
      <c r="L42" s="462"/>
      <c r="M42" s="87"/>
      <c r="N42" s="87"/>
      <c r="O42" s="13"/>
      <c r="P42" s="13"/>
      <c r="Q42" s="13"/>
      <c r="R42" s="13"/>
    </row>
    <row r="43" spans="1:18" ht="20.25">
      <c r="A43" s="409" t="s">
        <v>450</v>
      </c>
      <c r="B43" s="64"/>
      <c r="C43" s="196"/>
      <c r="D43" s="413">
        <v>2.2800000000000001E-2</v>
      </c>
      <c r="E43" s="413">
        <v>2.0500000000000001E-2</v>
      </c>
      <c r="F43" s="410">
        <f t="shared" si="0"/>
        <v>4.3300000000000005E-2</v>
      </c>
      <c r="H43" s="13"/>
      <c r="I43" s="13"/>
      <c r="J43" s="466"/>
      <c r="K43" s="462"/>
      <c r="L43" s="87"/>
      <c r="M43" s="87"/>
      <c r="N43" s="87"/>
      <c r="O43" s="13"/>
      <c r="P43" s="13"/>
      <c r="Q43" s="13"/>
      <c r="R43" s="13"/>
    </row>
    <row r="44" spans="1:18" ht="20.25">
      <c r="A44" s="411" t="s">
        <v>451</v>
      </c>
      <c r="B44" s="165"/>
      <c r="C44" s="197"/>
      <c r="D44" s="414">
        <v>2.3800000000000002E-2</v>
      </c>
      <c r="E44" s="414">
        <v>2.1000000000000001E-2</v>
      </c>
      <c r="F44" s="412">
        <f t="shared" si="0"/>
        <v>4.4800000000000006E-2</v>
      </c>
      <c r="H44" s="13"/>
      <c r="I44" s="13"/>
      <c r="J44" s="466"/>
      <c r="K44" s="462"/>
      <c r="L44" s="87"/>
      <c r="M44" s="87"/>
      <c r="N44" s="87"/>
      <c r="O44" s="13"/>
      <c r="P44" s="13"/>
      <c r="Q44" s="13"/>
      <c r="R44" s="13"/>
    </row>
    <row r="45" spans="1:18" ht="20.25">
      <c r="A45" s="409" t="s">
        <v>452</v>
      </c>
      <c r="B45" s="64"/>
      <c r="C45" s="196"/>
      <c r="D45" s="410">
        <v>2.3E-2</v>
      </c>
      <c r="E45" s="413">
        <v>1.7999999999999999E-2</v>
      </c>
      <c r="F45" s="410">
        <f t="shared" si="0"/>
        <v>4.0999999999999995E-2</v>
      </c>
      <c r="H45" s="127" t="s">
        <v>0</v>
      </c>
      <c r="I45" s="13"/>
      <c r="J45" s="466"/>
      <c r="K45" s="462"/>
      <c r="L45" s="87"/>
      <c r="M45" s="87"/>
      <c r="N45" s="87"/>
      <c r="O45" s="13"/>
      <c r="P45" s="13"/>
      <c r="Q45" s="13"/>
      <c r="R45" s="13"/>
    </row>
    <row r="46" spans="1:18" ht="20.25">
      <c r="A46" s="409" t="s">
        <v>453</v>
      </c>
      <c r="B46" s="64"/>
      <c r="C46" s="196"/>
      <c r="D46" s="410">
        <v>2.3E-2</v>
      </c>
      <c r="E46" s="413">
        <v>2.1999999999999999E-2</v>
      </c>
      <c r="F46" s="410">
        <f t="shared" si="0"/>
        <v>4.4999999999999998E-2</v>
      </c>
      <c r="H46" s="127" t="s">
        <v>0</v>
      </c>
      <c r="I46" s="13"/>
      <c r="J46" s="466"/>
      <c r="K46" s="462"/>
      <c r="L46" s="87"/>
      <c r="M46" s="87"/>
      <c r="N46" s="87"/>
      <c r="O46" s="13"/>
      <c r="P46" s="13"/>
      <c r="Q46" s="13"/>
      <c r="R46" s="13"/>
    </row>
    <row r="47" spans="1:18" ht="20.25">
      <c r="A47" s="411" t="s">
        <v>454</v>
      </c>
      <c r="B47" s="165"/>
      <c r="C47" s="197"/>
      <c r="D47" s="412">
        <v>2.3E-2</v>
      </c>
      <c r="E47" s="414">
        <v>1.9E-2</v>
      </c>
      <c r="F47" s="412">
        <f t="shared" si="0"/>
        <v>4.1999999999999996E-2</v>
      </c>
      <c r="H47" s="13"/>
      <c r="I47" s="13"/>
      <c r="J47" s="466"/>
      <c r="K47" s="462"/>
      <c r="L47" s="87"/>
      <c r="M47" s="87"/>
      <c r="N47" s="87"/>
      <c r="O47" s="13"/>
      <c r="P47" s="13"/>
      <c r="Q47" s="13"/>
      <c r="R47" s="13"/>
    </row>
    <row r="48" spans="1:18" ht="20.25">
      <c r="A48" s="409" t="s">
        <v>455</v>
      </c>
      <c r="B48" s="64"/>
      <c r="C48" s="196"/>
      <c r="D48" s="410">
        <v>2.3E-2</v>
      </c>
      <c r="E48" s="413">
        <v>2.1000000000000001E-2</v>
      </c>
      <c r="F48" s="410">
        <f t="shared" si="0"/>
        <v>4.3999999999999997E-2</v>
      </c>
      <c r="H48" s="13"/>
      <c r="I48" s="13"/>
      <c r="J48" s="466"/>
      <c r="K48" s="462"/>
      <c r="L48" s="87"/>
      <c r="M48" s="87"/>
      <c r="N48" s="87"/>
      <c r="O48" s="13"/>
      <c r="P48" s="13"/>
      <c r="Q48" s="13"/>
      <c r="R48" s="13"/>
    </row>
    <row r="49" spans="1:18" ht="20.25">
      <c r="A49" s="409" t="s">
        <v>456</v>
      </c>
      <c r="B49" s="64"/>
      <c r="C49" s="196"/>
      <c r="D49" s="434" t="s">
        <v>487</v>
      </c>
      <c r="E49" s="413">
        <v>2.3E-2</v>
      </c>
      <c r="F49" s="434" t="s">
        <v>487</v>
      </c>
      <c r="H49" s="13"/>
      <c r="I49" s="13"/>
      <c r="J49" s="466"/>
      <c r="K49" s="462"/>
      <c r="L49" s="87"/>
      <c r="M49" s="87"/>
      <c r="N49" s="87"/>
      <c r="O49" s="13"/>
      <c r="P49" s="13"/>
      <c r="Q49" s="13"/>
      <c r="R49" s="13"/>
    </row>
    <row r="50" spans="1:18" ht="20.25">
      <c r="A50" s="411" t="s">
        <v>457</v>
      </c>
      <c r="B50" s="165"/>
      <c r="C50" s="197"/>
      <c r="D50" s="412">
        <v>0.02</v>
      </c>
      <c r="E50" s="412">
        <v>1.7999999999999999E-2</v>
      </c>
      <c r="F50" s="412">
        <f t="shared" si="0"/>
        <v>3.7999999999999999E-2</v>
      </c>
      <c r="H50" s="13"/>
      <c r="I50" s="13"/>
      <c r="J50" s="466"/>
      <c r="K50" s="467"/>
      <c r="L50" s="87"/>
      <c r="M50" s="87"/>
      <c r="N50" s="87"/>
      <c r="O50" s="13"/>
      <c r="P50" s="13"/>
      <c r="Q50" s="13"/>
      <c r="R50" s="13"/>
    </row>
    <row r="51" spans="1:18" ht="20.25">
      <c r="A51" s="112"/>
      <c r="B51" s="122"/>
      <c r="C51" s="122" t="s">
        <v>56</v>
      </c>
      <c r="D51" s="415">
        <f>MAX(D39:D50)</f>
        <v>2.46E-2</v>
      </c>
      <c r="E51" s="415">
        <f>MAX(E39:E50)</f>
        <v>2.3E-2</v>
      </c>
      <c r="F51" s="415">
        <f>MAX(F39:F50)</f>
        <v>4.4999999999999998E-2</v>
      </c>
      <c r="G51" s="238"/>
      <c r="H51" s="13"/>
      <c r="I51" s="13"/>
      <c r="L51" s="13"/>
      <c r="M51" s="13"/>
      <c r="N51" s="13"/>
      <c r="Q51" s="13"/>
      <c r="R51" s="13"/>
    </row>
    <row r="52" spans="1:18" ht="18.75" customHeight="1">
      <c r="A52" s="112"/>
      <c r="B52" s="122"/>
      <c r="C52" s="122" t="s">
        <v>57</v>
      </c>
      <c r="D52" s="415">
        <f>MIN(D39:D50)</f>
        <v>0.02</v>
      </c>
      <c r="E52" s="415">
        <f>MIN(E39:E50)</f>
        <v>1.7999999999999999E-2</v>
      </c>
      <c r="F52" s="416">
        <f>MIN(F39:F50)</f>
        <v>3.7999999999999999E-2</v>
      </c>
      <c r="G52" s="239"/>
      <c r="H52" s="13"/>
      <c r="I52" s="13"/>
      <c r="L52" s="13"/>
      <c r="M52" s="13"/>
      <c r="N52" s="13"/>
      <c r="O52" s="13"/>
      <c r="R52" s="13"/>
    </row>
    <row r="53" spans="1:18" ht="20.25">
      <c r="A53" s="112"/>
      <c r="B53" s="122"/>
      <c r="C53" s="122" t="s">
        <v>18</v>
      </c>
      <c r="D53" s="417">
        <f>MEDIAN(D39:D50)</f>
        <v>2.3E-2</v>
      </c>
      <c r="E53" s="417">
        <f>MEDIAN(E39:E50)</f>
        <v>2.1000000000000001E-2</v>
      </c>
      <c r="F53" s="410">
        <f t="shared" ref="F53:F54" si="1">+D53+E53</f>
        <v>4.3999999999999997E-2</v>
      </c>
      <c r="G53" s="239"/>
      <c r="H53" s="13"/>
      <c r="I53" s="13"/>
      <c r="L53" s="13"/>
      <c r="M53" s="13"/>
      <c r="N53" s="13"/>
      <c r="O53" s="13"/>
      <c r="R53" s="13"/>
    </row>
    <row r="54" spans="1:18" ht="20.25">
      <c r="A54" s="112"/>
      <c r="B54" s="122"/>
      <c r="C54" s="122" t="s">
        <v>19</v>
      </c>
      <c r="D54" s="414">
        <f>AVERAGE(D39:D50)</f>
        <v>2.2954545454545453E-2</v>
      </c>
      <c r="E54" s="414">
        <f>AVERAGE(E39:E50)</f>
        <v>2.0399999999999998E-2</v>
      </c>
      <c r="F54" s="412">
        <f t="shared" si="1"/>
        <v>4.3354545454545451E-2</v>
      </c>
      <c r="G54" s="238"/>
      <c r="H54" s="13"/>
      <c r="I54" s="13"/>
      <c r="L54" s="13"/>
      <c r="M54" s="13"/>
      <c r="N54" s="13"/>
      <c r="O54" s="13"/>
      <c r="R54" s="13"/>
    </row>
    <row r="55" spans="1:18" ht="18.75">
      <c r="A55" s="13"/>
      <c r="B55" s="15"/>
      <c r="D55" s="207"/>
      <c r="E55" s="207"/>
      <c r="F55" s="207"/>
      <c r="G55" s="238"/>
      <c r="H55" s="13"/>
      <c r="I55" s="13"/>
      <c r="L55" s="13"/>
      <c r="M55" s="13"/>
      <c r="N55" s="13"/>
      <c r="O55" s="13"/>
    </row>
    <row r="56" spans="1:18" ht="16.5" customHeight="1" thickBot="1">
      <c r="A56" s="13"/>
      <c r="B56" s="15"/>
      <c r="D56" s="207"/>
      <c r="E56" s="207"/>
      <c r="F56" s="207"/>
      <c r="L56" s="13"/>
      <c r="M56" s="13"/>
      <c r="N56" s="13"/>
      <c r="O56" s="13"/>
    </row>
    <row r="57" spans="1:18" ht="27" thickBot="1">
      <c r="A57" s="13"/>
      <c r="B57" s="129"/>
      <c r="C57" s="50" t="s">
        <v>223</v>
      </c>
      <c r="D57" s="454">
        <v>2.3E-2</v>
      </c>
      <c r="E57" s="454">
        <v>2.0400000000000001E-2</v>
      </c>
      <c r="F57" s="468">
        <f>+D57+E57</f>
        <v>4.3400000000000001E-2</v>
      </c>
      <c r="L57" s="13"/>
      <c r="M57" s="13"/>
      <c r="N57" s="13"/>
      <c r="O57" s="13"/>
    </row>
    <row r="58" spans="1:18" ht="16.5" customHeight="1">
      <c r="L58" s="13"/>
      <c r="N58" s="13"/>
    </row>
    <row r="59" spans="1:18" ht="16.5">
      <c r="A59" s="13"/>
      <c r="B59" s="13"/>
      <c r="C59" s="13"/>
      <c r="D59" s="13"/>
      <c r="E59" s="13"/>
      <c r="F59" s="13"/>
      <c r="G59" s="13"/>
      <c r="I59" s="13"/>
      <c r="L59" s="13"/>
      <c r="N59" s="13"/>
    </row>
    <row r="60" spans="1:18" ht="19.5" customHeight="1">
      <c r="A60" s="436" t="s">
        <v>458</v>
      </c>
      <c r="B60" s="418"/>
      <c r="C60" s="419"/>
      <c r="D60" s="13"/>
      <c r="E60" s="13"/>
      <c r="F60" s="13"/>
      <c r="I60" s="13"/>
      <c r="L60" s="13"/>
      <c r="M60" s="13"/>
      <c r="N60" s="13"/>
    </row>
    <row r="61" spans="1:18" ht="19.5" customHeight="1">
      <c r="A61" s="436" t="s">
        <v>459</v>
      </c>
      <c r="B61" s="418"/>
      <c r="C61" s="418"/>
      <c r="D61" s="418"/>
      <c r="E61" s="418"/>
      <c r="F61" s="418"/>
      <c r="G61" s="437"/>
      <c r="I61" s="13"/>
      <c r="L61" s="13"/>
      <c r="M61" s="13"/>
      <c r="N61" s="13"/>
    </row>
    <row r="62" spans="1:18" ht="19.5" customHeight="1">
      <c r="A62" s="438" t="s">
        <v>460</v>
      </c>
      <c r="B62" s="13"/>
      <c r="C62" s="13"/>
      <c r="D62" s="13"/>
      <c r="E62" s="13"/>
      <c r="F62" s="13"/>
      <c r="G62" s="439"/>
      <c r="I62" s="13"/>
      <c r="L62" s="13"/>
      <c r="M62" s="13"/>
      <c r="N62" s="13"/>
      <c r="O62" s="469"/>
    </row>
    <row r="63" spans="1:18" ht="19.5" customHeight="1">
      <c r="A63" s="438" t="s">
        <v>461</v>
      </c>
      <c r="B63" s="13"/>
      <c r="C63" s="13"/>
      <c r="D63" s="13"/>
      <c r="E63" s="13"/>
      <c r="F63" s="13"/>
      <c r="G63" s="439"/>
      <c r="I63" s="13"/>
      <c r="L63" s="13"/>
      <c r="M63" s="13"/>
      <c r="N63" s="13"/>
      <c r="O63" s="469"/>
      <c r="P63" s="87"/>
      <c r="Q63" s="13"/>
      <c r="R63" s="13"/>
    </row>
    <row r="64" spans="1:18" ht="19.5" customHeight="1">
      <c r="A64" s="440" t="s">
        <v>462</v>
      </c>
      <c r="B64" s="420"/>
      <c r="C64" s="420"/>
      <c r="D64" s="420"/>
      <c r="E64" s="420"/>
      <c r="F64" s="420"/>
      <c r="G64" s="441"/>
      <c r="I64" s="13"/>
      <c r="L64" s="13"/>
      <c r="M64" s="13"/>
      <c r="N64" s="13"/>
      <c r="O64" s="469"/>
      <c r="P64" s="87"/>
      <c r="Q64" s="13"/>
      <c r="R64" s="13"/>
    </row>
    <row r="65" spans="1:18" ht="17.25">
      <c r="A65" s="112"/>
      <c r="B65" s="13"/>
      <c r="C65" s="13"/>
      <c r="D65" s="13"/>
      <c r="E65" s="13"/>
      <c r="F65" s="13"/>
      <c r="I65" s="13"/>
      <c r="L65" s="13"/>
      <c r="M65" s="13"/>
      <c r="N65" s="13"/>
      <c r="O65" s="13"/>
      <c r="P65" s="13"/>
      <c r="Q65" s="13"/>
      <c r="R65" s="13"/>
    </row>
    <row r="66" spans="1:18" ht="15.6" customHeight="1">
      <c r="A66" s="442" t="s">
        <v>264</v>
      </c>
      <c r="B66" s="421"/>
      <c r="C66" s="418"/>
      <c r="D66" s="418"/>
      <c r="E66" s="418"/>
      <c r="F66" s="419"/>
      <c r="G66" s="13"/>
      <c r="I66" s="13"/>
      <c r="L66" s="13"/>
      <c r="M66" s="13"/>
      <c r="N66" s="13"/>
      <c r="O66" s="13"/>
      <c r="P66" s="13"/>
      <c r="Q66" s="13"/>
      <c r="R66" s="13"/>
    </row>
    <row r="67" spans="1:18" ht="15.6" customHeight="1">
      <c r="A67" s="443" t="s">
        <v>463</v>
      </c>
      <c r="B67" s="13"/>
      <c r="C67" s="13"/>
      <c r="E67" s="13"/>
      <c r="F67" s="287"/>
      <c r="G67" s="13"/>
      <c r="I67" s="13"/>
      <c r="L67" s="13"/>
      <c r="M67" s="13"/>
      <c r="N67" s="13"/>
      <c r="O67" s="13"/>
      <c r="P67" s="13"/>
      <c r="Q67" s="13"/>
      <c r="R67" s="13"/>
    </row>
    <row r="68" spans="1:18" ht="15.6" customHeight="1">
      <c r="A68" s="444" t="s">
        <v>265</v>
      </c>
      <c r="B68" s="420"/>
      <c r="C68" s="420"/>
      <c r="D68" s="420"/>
      <c r="E68" s="420"/>
      <c r="F68" s="288"/>
      <c r="G68" s="13"/>
      <c r="I68" s="13" t="s">
        <v>0</v>
      </c>
      <c r="L68" s="13"/>
      <c r="M68" s="13"/>
      <c r="N68" s="13"/>
      <c r="O68" s="13"/>
      <c r="P68" s="13"/>
      <c r="Q68" s="13"/>
      <c r="R68" s="13"/>
    </row>
    <row r="69" spans="1:18" ht="16.5">
      <c r="A69" s="372"/>
      <c r="B69" s="13"/>
      <c r="C69" s="13"/>
      <c r="D69" s="13"/>
      <c r="E69" s="13"/>
      <c r="F69" s="13"/>
      <c r="G69" s="13"/>
      <c r="I69" s="13"/>
      <c r="L69" s="13"/>
      <c r="M69" s="13"/>
      <c r="N69" s="13"/>
      <c r="O69" s="13"/>
      <c r="P69" s="13"/>
      <c r="Q69" s="13"/>
      <c r="R69" s="13"/>
    </row>
    <row r="70" spans="1:18" ht="17.25">
      <c r="A70" s="144" t="s">
        <v>464</v>
      </c>
      <c r="B70" s="131"/>
      <c r="C70" s="131"/>
      <c r="D70" s="131"/>
      <c r="E70" s="132"/>
      <c r="F70" s="131"/>
      <c r="G70" s="131"/>
      <c r="H70" s="131"/>
      <c r="I70" s="13"/>
      <c r="L70" s="13"/>
      <c r="M70" s="13"/>
      <c r="N70" s="13"/>
      <c r="O70" s="13"/>
      <c r="P70" s="13"/>
      <c r="Q70" s="13"/>
      <c r="R70" s="13"/>
    </row>
    <row r="71" spans="1:18" ht="17.25">
      <c r="A71" s="144"/>
      <c r="B71" s="131"/>
      <c r="C71" s="131"/>
      <c r="D71" s="131"/>
      <c r="E71" s="132"/>
      <c r="F71" s="131"/>
      <c r="G71" s="131"/>
      <c r="H71" s="131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6.5">
      <c r="A72" s="422" t="s">
        <v>465</v>
      </c>
      <c r="B72" s="131"/>
      <c r="C72" s="131"/>
      <c r="D72" s="131"/>
      <c r="E72" s="132"/>
      <c r="F72" s="131"/>
      <c r="G72" s="131"/>
      <c r="H72" s="131"/>
      <c r="I72" s="13"/>
    </row>
    <row r="73" spans="1:18" ht="16.5">
      <c r="A73" s="423" t="s">
        <v>488</v>
      </c>
      <c r="B73" s="131"/>
      <c r="C73" s="131"/>
      <c r="D73" s="131"/>
      <c r="E73" s="132"/>
      <c r="F73" s="131"/>
      <c r="G73" s="131"/>
      <c r="H73" s="131"/>
      <c r="I73" s="13"/>
    </row>
    <row r="74" spans="1:18" ht="16.5">
      <c r="A74" s="403" t="s">
        <v>367</v>
      </c>
      <c r="B74" s="404"/>
      <c r="C74" s="131"/>
      <c r="D74" s="131"/>
      <c r="E74" s="132"/>
      <c r="F74" s="131"/>
      <c r="G74" s="131"/>
      <c r="H74" s="131"/>
      <c r="I74" s="13"/>
    </row>
    <row r="75" spans="1:18" ht="16.5">
      <c r="A75" s="130"/>
      <c r="B75" s="131"/>
      <c r="C75" s="131"/>
      <c r="D75" s="131"/>
      <c r="E75" s="132"/>
      <c r="F75" s="131"/>
      <c r="G75" s="131"/>
      <c r="H75" s="131"/>
      <c r="I75" s="13"/>
    </row>
    <row r="76" spans="1:18" ht="16.5">
      <c r="A76" s="422" t="s">
        <v>466</v>
      </c>
    </row>
    <row r="77" spans="1:18">
      <c r="A77" s="424" t="s">
        <v>467</v>
      </c>
    </row>
    <row r="78" spans="1:18">
      <c r="A78" s="424" t="s">
        <v>468</v>
      </c>
    </row>
    <row r="79" spans="1:18" ht="16.5">
      <c r="A79" s="425" t="s">
        <v>158</v>
      </c>
      <c r="B79" s="401"/>
    </row>
    <row r="80" spans="1:18" ht="16.5">
      <c r="A80" s="130"/>
      <c r="B80" s="131"/>
      <c r="C80" s="131"/>
      <c r="D80" s="131"/>
      <c r="E80" s="132"/>
      <c r="F80" s="131"/>
      <c r="G80" s="131"/>
      <c r="H80" s="131"/>
      <c r="I80" s="13"/>
    </row>
    <row r="81" spans="1:9" ht="16.5">
      <c r="A81" s="422" t="s">
        <v>469</v>
      </c>
      <c r="B81" s="131"/>
      <c r="C81" s="131"/>
      <c r="D81" s="131"/>
      <c r="E81" s="132"/>
      <c r="F81" s="131"/>
      <c r="G81" s="131"/>
      <c r="H81" s="131"/>
      <c r="I81" s="13"/>
    </row>
    <row r="82" spans="1:9" ht="16.5">
      <c r="A82" s="424" t="s">
        <v>470</v>
      </c>
      <c r="B82" s="131"/>
      <c r="C82" s="131"/>
      <c r="D82" s="131"/>
      <c r="E82" s="132"/>
      <c r="F82" s="131"/>
      <c r="G82" s="131"/>
      <c r="H82" s="131"/>
      <c r="I82" s="13"/>
    </row>
    <row r="83" spans="1:9" ht="16.5">
      <c r="A83" s="426" t="s">
        <v>159</v>
      </c>
      <c r="B83" s="404"/>
      <c r="C83" s="404"/>
      <c r="D83" s="131"/>
      <c r="E83" s="132"/>
      <c r="F83" s="131"/>
      <c r="G83" s="131"/>
      <c r="H83" s="131"/>
      <c r="I83" s="13"/>
    </row>
    <row r="84" spans="1:9" ht="16.5">
      <c r="A84" s="148"/>
      <c r="B84" s="131"/>
      <c r="C84" s="131"/>
      <c r="D84" s="131"/>
      <c r="E84" s="132"/>
      <c r="F84" s="131"/>
      <c r="G84" s="131"/>
      <c r="H84" s="131"/>
      <c r="I84" s="13"/>
    </row>
    <row r="85" spans="1:9" ht="16.5">
      <c r="A85" s="422" t="s">
        <v>471</v>
      </c>
      <c r="B85" s="131"/>
      <c r="C85" s="131"/>
      <c r="D85" s="131"/>
      <c r="E85" s="132"/>
      <c r="F85" s="131"/>
      <c r="G85" s="131"/>
      <c r="H85" s="131"/>
      <c r="I85" s="13"/>
    </row>
    <row r="86" spans="1:9" ht="16.5">
      <c r="A86" s="427" t="s">
        <v>472</v>
      </c>
      <c r="B86" s="131"/>
      <c r="D86" s="131" t="s">
        <v>0</v>
      </c>
      <c r="E86" s="132"/>
      <c r="F86" s="131"/>
      <c r="G86" s="131"/>
      <c r="H86" s="131"/>
      <c r="I86" s="13"/>
    </row>
    <row r="87" spans="1:9" ht="16.5">
      <c r="A87" s="403" t="s">
        <v>473</v>
      </c>
      <c r="G87" s="131"/>
      <c r="H87" s="131"/>
      <c r="I87" s="131"/>
    </row>
    <row r="88" spans="1:9" ht="16.5">
      <c r="A88" s="426" t="s">
        <v>474</v>
      </c>
      <c r="C88" s="131"/>
      <c r="E88" s="132"/>
      <c r="F88" s="131"/>
      <c r="G88" s="131"/>
      <c r="H88" s="131"/>
      <c r="I88" s="13"/>
    </row>
    <row r="89" spans="1:9" ht="16.5">
      <c r="A89" s="426" t="s">
        <v>475</v>
      </c>
      <c r="B89" s="426"/>
      <c r="C89" s="131"/>
      <c r="D89" s="426"/>
      <c r="E89" s="132"/>
      <c r="F89" s="131"/>
      <c r="G89" s="131"/>
      <c r="H89" s="131"/>
      <c r="I89" s="13"/>
    </row>
    <row r="90" spans="1:9" ht="16.5">
      <c r="A90" s="426" t="s">
        <v>476</v>
      </c>
      <c r="B90" s="426"/>
      <c r="C90" s="131"/>
      <c r="D90" s="426"/>
      <c r="E90" s="132"/>
      <c r="F90" s="131"/>
      <c r="G90" s="131"/>
      <c r="H90" s="131"/>
      <c r="I90" s="13"/>
    </row>
    <row r="91" spans="1:9" ht="16.5">
      <c r="A91" s="148"/>
      <c r="B91" s="131"/>
      <c r="C91" s="131"/>
      <c r="D91" s="131"/>
      <c r="E91" s="132"/>
      <c r="F91" s="131"/>
      <c r="G91" s="131"/>
      <c r="H91" s="131"/>
      <c r="I91" s="13"/>
    </row>
    <row r="92" spans="1:9" ht="16.5">
      <c r="A92" s="422" t="s">
        <v>477</v>
      </c>
      <c r="B92" s="131"/>
      <c r="D92" s="131"/>
      <c r="E92" s="132"/>
      <c r="F92" s="131"/>
      <c r="G92" s="131"/>
      <c r="H92" s="131"/>
      <c r="I92" s="13"/>
    </row>
    <row r="93" spans="1:9" ht="16.5">
      <c r="A93" s="424" t="s">
        <v>478</v>
      </c>
      <c r="B93" s="131"/>
      <c r="D93" s="131"/>
      <c r="E93" s="132"/>
      <c r="F93" s="131"/>
      <c r="G93" s="131"/>
      <c r="H93" s="131"/>
      <c r="I93" s="13"/>
    </row>
    <row r="94" spans="1:9" ht="16.5">
      <c r="A94" s="426" t="s">
        <v>479</v>
      </c>
      <c r="B94" s="131"/>
      <c r="D94" s="131"/>
      <c r="E94" s="132"/>
      <c r="F94" s="131"/>
      <c r="G94" s="131"/>
      <c r="H94" s="131"/>
      <c r="I94" s="13"/>
    </row>
    <row r="95" spans="1:9" ht="16.5">
      <c r="A95" s="425"/>
      <c r="B95" s="131"/>
      <c r="C95" s="131"/>
      <c r="D95" s="131"/>
      <c r="E95" s="132"/>
      <c r="F95" s="131"/>
      <c r="G95" s="131"/>
      <c r="H95" s="131"/>
      <c r="I95" s="13"/>
    </row>
    <row r="96" spans="1:9" ht="16.5">
      <c r="A96" s="422" t="s">
        <v>480</v>
      </c>
      <c r="C96" s="131"/>
      <c r="D96" s="131"/>
      <c r="E96" s="132"/>
      <c r="F96" s="131"/>
      <c r="G96" s="131"/>
      <c r="H96" s="131"/>
      <c r="I96" s="13"/>
    </row>
    <row r="97" spans="1:9" ht="16.5">
      <c r="A97" s="428" t="s">
        <v>481</v>
      </c>
      <c r="B97" s="131"/>
      <c r="C97" s="131"/>
      <c r="D97" s="131"/>
      <c r="E97" s="132"/>
      <c r="F97" s="131"/>
      <c r="G97" s="131"/>
      <c r="H97" s="131"/>
      <c r="I97" s="13"/>
    </row>
    <row r="98" spans="1:9" ht="16.5">
      <c r="A98" s="429" t="s">
        <v>482</v>
      </c>
      <c r="B98" s="131"/>
      <c r="C98" s="131"/>
      <c r="D98" s="131"/>
      <c r="E98" s="132"/>
      <c r="F98" s="131"/>
      <c r="G98" s="131"/>
      <c r="H98" s="131"/>
      <c r="I98" s="13"/>
    </row>
    <row r="99" spans="1:9" ht="16.5">
      <c r="A99" s="426" t="s">
        <v>483</v>
      </c>
      <c r="B99" s="430"/>
      <c r="C99" s="131"/>
      <c r="D99" s="131"/>
      <c r="E99" s="132"/>
      <c r="F99" s="131"/>
      <c r="G99" s="131"/>
      <c r="H99" s="131"/>
      <c r="I99" s="13"/>
    </row>
    <row r="100" spans="1:9" ht="16.5">
      <c r="A100" s="431"/>
      <c r="B100" s="131"/>
      <c r="C100" s="131"/>
      <c r="D100" s="131"/>
      <c r="E100" s="132"/>
      <c r="F100" s="131"/>
      <c r="G100" s="131"/>
      <c r="H100" s="131"/>
      <c r="I100" s="13"/>
    </row>
    <row r="101" spans="1:9" ht="16.5">
      <c r="A101" s="422" t="s">
        <v>484</v>
      </c>
      <c r="B101" s="131"/>
      <c r="C101" s="131"/>
      <c r="D101" s="131"/>
      <c r="E101" s="132"/>
      <c r="F101" s="131"/>
      <c r="G101" s="131"/>
      <c r="H101" s="131"/>
      <c r="I101" s="13"/>
    </row>
    <row r="102" spans="1:9" ht="16.5">
      <c r="A102" s="428" t="s">
        <v>481</v>
      </c>
      <c r="B102" s="131"/>
      <c r="C102" s="131"/>
      <c r="D102" s="131"/>
      <c r="E102" s="132"/>
      <c r="F102" s="131"/>
      <c r="G102" s="131"/>
      <c r="H102" s="131"/>
      <c r="I102" s="13"/>
    </row>
    <row r="103" spans="1:9" ht="16.5">
      <c r="A103" s="429" t="s">
        <v>485</v>
      </c>
      <c r="B103" s="131"/>
      <c r="C103" s="131"/>
      <c r="D103" s="131"/>
      <c r="E103" s="132"/>
      <c r="F103" s="131"/>
      <c r="G103" s="131"/>
      <c r="H103" s="131"/>
      <c r="I103" s="13"/>
    </row>
    <row r="104" spans="1:9" ht="16.5">
      <c r="A104" s="426" t="s">
        <v>486</v>
      </c>
      <c r="B104" s="131"/>
      <c r="C104" s="131"/>
      <c r="D104" s="131"/>
      <c r="E104" s="132"/>
      <c r="F104" s="131"/>
      <c r="G104" s="131"/>
      <c r="H104" s="131"/>
      <c r="I104" s="13"/>
    </row>
    <row r="105" spans="1:9" ht="16.5">
      <c r="A105" s="431"/>
      <c r="B105" s="131"/>
      <c r="C105" s="131"/>
      <c r="D105" s="131"/>
      <c r="E105" s="132"/>
      <c r="F105" s="131"/>
      <c r="G105" s="131"/>
      <c r="H105" s="131"/>
      <c r="I105" s="13"/>
    </row>
    <row r="106" spans="1:9" ht="16.5">
      <c r="A106" s="402" t="s">
        <v>501</v>
      </c>
    </row>
    <row r="107" spans="1:9" ht="16.5">
      <c r="A107" s="426" t="s">
        <v>502</v>
      </c>
    </row>
    <row r="108" spans="1:9" ht="16.5">
      <c r="A108" s="425" t="s">
        <v>503</v>
      </c>
    </row>
  </sheetData>
  <mergeCells count="1">
    <mergeCell ref="A37:C37"/>
  </mergeCells>
  <hyperlinks>
    <hyperlink ref="A74" r:id="rId1" xr:uid="{B5E6CF23-D810-4FF4-96E0-CE6E2FF428BC}"/>
    <hyperlink ref="A79" r:id="rId2" xr:uid="{CC158F6E-33D6-464F-8786-FA1B86BA62E3}"/>
    <hyperlink ref="A83" r:id="rId3" xr:uid="{9DE3DFC4-88B0-4ADB-B240-6649BA3E8964}"/>
    <hyperlink ref="A94" r:id="rId4" xr:uid="{E755221B-B4CC-4588-8D60-49051C89C235}"/>
    <hyperlink ref="A99" r:id="rId5" xr:uid="{84777797-A518-4539-BE1A-1A63B9FB4D85}"/>
    <hyperlink ref="A104" r:id="rId6" xr:uid="{C0E9672D-D5E2-4971-9801-B1839DDDB7E4}"/>
    <hyperlink ref="A89" r:id="rId7" xr:uid="{B95B67FD-FBF6-4FCD-8453-C55C6312FEC1}"/>
    <hyperlink ref="A88" r:id="rId8" display="https://www.cbo.gov/system/files/2025-01/60870-Outlook-2025.pdf" xr:uid="{F2205C9D-A8FA-451C-A5DC-456A55C4F53B}"/>
    <hyperlink ref="A90" r:id="rId9" xr:uid="{AD9FCDD0-1780-4A5D-9CC2-DB2022893FE6}"/>
    <hyperlink ref="A87" r:id="rId10" location="4" display="https://www.cbo.gov/data/budget-economic-data - 4" xr:uid="{FA9FEDBB-C692-4643-A2C1-A6A0BFDE5745}"/>
    <hyperlink ref="A68" r:id="rId11" xr:uid="{A2E8CC6E-E840-4F74-85DA-FFD13DE11FDA}"/>
    <hyperlink ref="A107" r:id="rId12" xr:uid="{CEA957B6-9B3C-47C4-B13F-8A00EB5BF531}"/>
    <hyperlink ref="A108" r:id="rId13" xr:uid="{C626372E-03D1-48E8-8E27-CE67481584E1}"/>
  </hyperlinks>
  <pageMargins left="0.25" right="0.25" top="0.75" bottom="0.75" header="0.3" footer="0.3"/>
  <pageSetup scale="27" fitToWidth="0" orientation="portrait"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6309-BD0A-46E7-99FD-8E3581EFB633}">
  <sheetPr>
    <tabColor rgb="FF92D050"/>
    <pageSetUpPr fitToPage="1"/>
  </sheetPr>
  <dimension ref="A1:I104"/>
  <sheetViews>
    <sheetView view="pageBreakPreview" topLeftCell="A5" zoomScale="70" zoomScaleNormal="80" zoomScaleSheetLayoutView="70" workbookViewId="0">
      <selection activeCell="D52" sqref="D52"/>
    </sheetView>
  </sheetViews>
  <sheetFormatPr defaultRowHeight="15"/>
  <cols>
    <col min="1" max="1" width="45.7109375" customWidth="1"/>
    <col min="2" max="2" width="16.85546875" customWidth="1"/>
    <col min="3" max="3" width="72.140625" customWidth="1"/>
    <col min="4" max="4" width="34.5703125" customWidth="1"/>
    <col min="5" max="5" width="21.7109375" customWidth="1"/>
    <col min="6" max="6" width="18.85546875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28515625" customWidth="1"/>
    <col min="12" max="12" width="24.140625" customWidth="1"/>
  </cols>
  <sheetData>
    <row r="1" spans="1:9" ht="26.25">
      <c r="A1" s="25" t="s">
        <v>1</v>
      </c>
      <c r="B1" s="13"/>
      <c r="C1" s="13"/>
      <c r="D1" s="13"/>
      <c r="E1" s="13"/>
      <c r="F1" s="13"/>
      <c r="G1" s="13"/>
      <c r="H1" s="13"/>
      <c r="I1" s="13"/>
    </row>
    <row r="2" spans="1:9" ht="17.25">
      <c r="A2" s="64" t="s">
        <v>9</v>
      </c>
      <c r="B2" s="13"/>
      <c r="C2" s="13"/>
      <c r="D2" s="13"/>
      <c r="E2" s="13"/>
      <c r="F2" s="13"/>
      <c r="G2" s="13"/>
      <c r="H2" s="13"/>
      <c r="I2" s="13"/>
    </row>
    <row r="3" spans="1:9" ht="16.5">
      <c r="A3" s="45" t="s">
        <v>444</v>
      </c>
      <c r="B3" s="13"/>
      <c r="C3" s="13"/>
      <c r="D3" s="13"/>
      <c r="E3" s="13"/>
      <c r="F3" s="13"/>
      <c r="G3" s="13"/>
      <c r="H3" s="13"/>
      <c r="I3" s="13"/>
    </row>
    <row r="4" spans="1:9" ht="16.5">
      <c r="A4" s="13"/>
      <c r="B4" s="13"/>
      <c r="C4" s="13"/>
      <c r="D4" s="13"/>
      <c r="E4" s="13"/>
      <c r="F4" s="13"/>
      <c r="G4" s="13"/>
      <c r="H4" s="13"/>
      <c r="I4" s="13"/>
    </row>
    <row r="5" spans="1:9" ht="18" thickBot="1">
      <c r="A5" s="64"/>
      <c r="B5" s="13"/>
      <c r="C5" s="13"/>
      <c r="D5" s="13"/>
      <c r="E5" s="13"/>
      <c r="F5" s="13"/>
      <c r="G5" s="13"/>
      <c r="H5" s="13"/>
      <c r="I5" s="13"/>
    </row>
    <row r="6" spans="1:9" ht="21" thickBot="1">
      <c r="A6" s="241" t="str">
        <f>+'S&amp;D'!A12</f>
        <v>Natural Gas Utility Distribution</v>
      </c>
      <c r="B6" s="179"/>
      <c r="C6" s="13"/>
      <c r="D6" s="13"/>
      <c r="E6" s="13"/>
      <c r="F6" s="13"/>
      <c r="G6" s="13"/>
      <c r="H6" s="13"/>
      <c r="I6" s="13"/>
    </row>
    <row r="7" spans="1:9" ht="18" thickBot="1">
      <c r="A7" s="64"/>
      <c r="B7" s="13"/>
      <c r="C7" s="30"/>
      <c r="E7" s="13"/>
      <c r="F7" s="13"/>
      <c r="G7" s="13"/>
      <c r="H7" s="13"/>
      <c r="I7" s="13"/>
    </row>
    <row r="8" spans="1:9" ht="26.25">
      <c r="B8" s="13"/>
      <c r="C8" s="33" t="s">
        <v>166</v>
      </c>
      <c r="E8" s="13"/>
      <c r="F8" s="13"/>
      <c r="G8" s="13"/>
      <c r="H8" s="13"/>
      <c r="I8" s="13"/>
    </row>
    <row r="9" spans="1:9" ht="21" thickBot="1">
      <c r="A9" s="32"/>
      <c r="B9" s="13"/>
      <c r="C9" s="38" t="s">
        <v>445</v>
      </c>
      <c r="E9" s="13"/>
      <c r="F9" s="13"/>
      <c r="G9" s="13"/>
      <c r="H9" s="13"/>
      <c r="I9" s="13"/>
    </row>
    <row r="10" spans="1:9" ht="15" customHeight="1">
      <c r="A10" s="32"/>
      <c r="B10" s="13"/>
      <c r="C10" s="13"/>
      <c r="D10" s="13"/>
      <c r="E10" s="13"/>
      <c r="F10" s="13"/>
      <c r="G10" s="13"/>
      <c r="H10" s="13"/>
      <c r="I10" s="13"/>
    </row>
    <row r="11" spans="1:9" ht="17.25" thickBot="1">
      <c r="A11" s="13"/>
      <c r="B11" s="13"/>
      <c r="C11" s="13"/>
      <c r="D11" s="13"/>
      <c r="E11" s="13"/>
      <c r="F11" s="13"/>
      <c r="G11" s="13"/>
      <c r="H11" s="13"/>
      <c r="I11" s="13"/>
    </row>
    <row r="12" spans="1:9" ht="16.5">
      <c r="A12" s="13"/>
      <c r="B12" s="13"/>
      <c r="C12" s="80" t="s">
        <v>0</v>
      </c>
      <c r="D12" s="80" t="s">
        <v>201</v>
      </c>
      <c r="E12" s="13"/>
      <c r="F12" s="13"/>
      <c r="G12" s="13"/>
      <c r="H12" s="13"/>
      <c r="I12" s="13"/>
    </row>
    <row r="13" spans="1:9" ht="21" thickBot="1">
      <c r="A13" s="13"/>
      <c r="B13" s="13"/>
      <c r="C13" s="317" t="s">
        <v>165</v>
      </c>
      <c r="D13" s="82" t="s">
        <v>276</v>
      </c>
      <c r="E13" s="13"/>
      <c r="F13" s="13"/>
      <c r="G13" s="13"/>
      <c r="H13" s="13"/>
      <c r="I13" s="13"/>
    </row>
    <row r="14" spans="1:9" ht="17.25">
      <c r="A14" s="13"/>
      <c r="B14" s="13"/>
      <c r="C14" s="348" t="s">
        <v>408</v>
      </c>
      <c r="D14" s="351">
        <f>+CAPM!F16</f>
        <v>6.9103999999999999E-2</v>
      </c>
      <c r="E14" s="353"/>
      <c r="F14" s="13"/>
      <c r="G14" s="13"/>
      <c r="H14" s="13"/>
      <c r="I14" s="13"/>
    </row>
    <row r="15" spans="1:9" ht="17.25">
      <c r="A15" s="13"/>
      <c r="B15" s="13"/>
      <c r="C15" s="349" t="s">
        <v>409</v>
      </c>
      <c r="D15" s="352">
        <f>+CAPM!F17</f>
        <v>7.5352000000000002E-2</v>
      </c>
      <c r="E15" s="353"/>
      <c r="F15" s="13" t="s">
        <v>0</v>
      </c>
      <c r="G15" s="13"/>
      <c r="H15" s="13"/>
      <c r="I15" s="13"/>
    </row>
    <row r="16" spans="1:9" ht="17.25">
      <c r="A16" s="13"/>
      <c r="B16" s="13"/>
      <c r="C16" s="349" t="s">
        <v>425</v>
      </c>
      <c r="D16" s="352">
        <f>+CAPM!F19</f>
        <v>8.6704000000000003E-2</v>
      </c>
      <c r="E16" s="353"/>
      <c r="F16" s="13" t="s">
        <v>0</v>
      </c>
      <c r="G16" s="13"/>
      <c r="H16" s="13"/>
      <c r="I16" s="13"/>
    </row>
    <row r="17" spans="1:9" ht="17.25">
      <c r="A17" s="13"/>
      <c r="B17" s="13"/>
      <c r="C17" s="349" t="s">
        <v>439</v>
      </c>
      <c r="D17" s="352">
        <f>+CAPM!F20</f>
        <v>0.10272000000000001</v>
      </c>
      <c r="E17" s="353"/>
      <c r="F17" s="13"/>
      <c r="G17" s="13"/>
      <c r="H17" s="13"/>
      <c r="I17" s="13"/>
    </row>
    <row r="18" spans="1:9" ht="17.25">
      <c r="A18" s="13"/>
      <c r="B18" s="13"/>
      <c r="C18" s="349" t="s">
        <v>426</v>
      </c>
      <c r="D18" s="352">
        <f>+CAPM!F21</f>
        <v>8.5120000000000001E-2</v>
      </c>
      <c r="E18" s="353"/>
      <c r="F18" s="13"/>
      <c r="G18" s="13"/>
      <c r="H18" s="13"/>
      <c r="I18" s="13"/>
    </row>
    <row r="19" spans="1:9" ht="17.25">
      <c r="A19" s="13"/>
      <c r="B19" s="13"/>
      <c r="C19" s="349" t="s">
        <v>427</v>
      </c>
      <c r="D19" s="352">
        <f>+CAPM!F22</f>
        <v>8.2128000000000007E-2</v>
      </c>
      <c r="E19" s="353"/>
      <c r="F19" s="13"/>
      <c r="G19" s="13"/>
      <c r="H19" s="13"/>
      <c r="I19" s="13"/>
    </row>
    <row r="20" spans="1:9" ht="17.25">
      <c r="A20" s="13"/>
      <c r="B20" s="13"/>
      <c r="C20" s="349" t="s">
        <v>167</v>
      </c>
      <c r="D20" s="352">
        <f>+CAPM!F24</f>
        <v>9.6032000000000006E-2</v>
      </c>
      <c r="E20" s="353"/>
      <c r="F20" s="13"/>
      <c r="G20" s="13"/>
      <c r="H20" s="13"/>
      <c r="I20" s="13"/>
    </row>
    <row r="21" spans="1:9" ht="17.25">
      <c r="A21" s="13"/>
      <c r="B21" s="13"/>
      <c r="C21" s="349" t="s">
        <v>168</v>
      </c>
      <c r="D21" s="352">
        <f>+CAPM!F26</f>
        <v>9.7000000000000003E-2</v>
      </c>
      <c r="E21" s="353"/>
      <c r="F21" s="13"/>
      <c r="G21" s="13"/>
      <c r="H21" s="13"/>
      <c r="I21" s="13"/>
    </row>
    <row r="22" spans="1:9" ht="17.25">
      <c r="A22" s="13"/>
      <c r="B22" s="13"/>
      <c r="C22" s="349" t="s">
        <v>169</v>
      </c>
      <c r="D22" s="352">
        <f>+CAPM!F28</f>
        <v>0.10764799999999999</v>
      </c>
      <c r="E22" s="368"/>
      <c r="G22" s="13"/>
      <c r="H22" s="13"/>
      <c r="I22" s="13"/>
    </row>
    <row r="23" spans="1:9" ht="17.25">
      <c r="A23" s="13"/>
      <c r="B23" s="13"/>
      <c r="C23" s="349" t="s">
        <v>170</v>
      </c>
      <c r="D23" s="352">
        <f>+CAPM!F29</f>
        <v>9.6647999999999998E-2</v>
      </c>
      <c r="E23" s="368"/>
      <c r="G23" s="13"/>
      <c r="H23" s="13"/>
      <c r="I23" s="13"/>
    </row>
    <row r="24" spans="1:9" ht="17.25">
      <c r="A24" s="13"/>
      <c r="B24" s="13"/>
      <c r="C24" s="350" t="s">
        <v>428</v>
      </c>
      <c r="D24" s="352">
        <f>+CAPM!F31</f>
        <v>0.112928</v>
      </c>
      <c r="E24" s="368"/>
      <c r="G24" s="13"/>
      <c r="H24" s="13"/>
      <c r="I24" s="13"/>
    </row>
    <row r="25" spans="1:9" ht="17.25">
      <c r="A25" s="13"/>
      <c r="B25" s="13"/>
      <c r="C25" s="350" t="s">
        <v>429</v>
      </c>
      <c r="D25" s="352">
        <f>+CAPM!F32</f>
        <v>0.103688</v>
      </c>
      <c r="E25" s="354"/>
      <c r="F25" s="13"/>
      <c r="G25" s="13"/>
      <c r="H25" s="13"/>
      <c r="I25" s="13"/>
    </row>
    <row r="26" spans="1:9" ht="17.25">
      <c r="A26" s="13"/>
      <c r="B26" s="13"/>
      <c r="C26" s="350" t="s">
        <v>430</v>
      </c>
      <c r="D26" s="352">
        <f>+CAPM!F33</f>
        <v>9.2600000000000002E-2</v>
      </c>
      <c r="E26" s="354"/>
      <c r="F26" s="13"/>
      <c r="G26" s="13"/>
      <c r="H26" s="13"/>
      <c r="I26" s="13"/>
    </row>
    <row r="27" spans="1:9" ht="17.25">
      <c r="A27" s="13"/>
      <c r="B27" s="13"/>
      <c r="C27" s="349" t="s">
        <v>410</v>
      </c>
      <c r="D27" s="352">
        <f>+CAPM!G42</f>
        <v>6.9803000000000004E-2</v>
      </c>
      <c r="E27" s="353"/>
      <c r="F27" s="13"/>
      <c r="G27" s="13"/>
      <c r="H27" s="13"/>
      <c r="I27" s="13"/>
    </row>
    <row r="28" spans="1:9" ht="17.25">
      <c r="A28" s="13"/>
      <c r="B28" s="13"/>
      <c r="C28" s="349" t="s">
        <v>411</v>
      </c>
      <c r="D28" s="352">
        <f>+CAPM!G43</f>
        <v>7.6263999999999998E-2</v>
      </c>
      <c r="E28" s="353"/>
      <c r="F28" s="13"/>
      <c r="G28" s="13"/>
      <c r="H28" s="13"/>
      <c r="I28" s="13"/>
    </row>
    <row r="29" spans="1:9" ht="17.25">
      <c r="A29" s="13"/>
      <c r="B29" s="13"/>
      <c r="C29" s="349" t="s">
        <v>431</v>
      </c>
      <c r="D29" s="352">
        <f>+CAPM!G45</f>
        <v>8.8002999999999998E-2</v>
      </c>
      <c r="E29" s="353"/>
      <c r="F29" s="13"/>
      <c r="G29" s="13"/>
      <c r="H29" s="13"/>
      <c r="I29" s="13"/>
    </row>
    <row r="30" spans="1:9" ht="17.25">
      <c r="A30" s="13"/>
      <c r="B30" s="13"/>
      <c r="C30" s="349" t="s">
        <v>440</v>
      </c>
      <c r="D30" s="352">
        <f>+CAPM!G46</f>
        <v>0.10456499999999999</v>
      </c>
      <c r="E30" s="353"/>
      <c r="F30" s="13"/>
      <c r="G30" s="13"/>
      <c r="H30" s="13"/>
      <c r="I30" s="13"/>
    </row>
    <row r="31" spans="1:9" ht="17.25">
      <c r="A31" s="13"/>
      <c r="B31" s="13"/>
      <c r="C31" s="349" t="s">
        <v>432</v>
      </c>
      <c r="D31" s="352">
        <f>+CAPM!G47</f>
        <v>8.6364999999999997E-2</v>
      </c>
      <c r="E31" s="353"/>
      <c r="F31" s="13"/>
      <c r="G31" s="13"/>
      <c r="H31" s="13"/>
      <c r="I31" s="13"/>
    </row>
    <row r="32" spans="1:9" ht="17.25">
      <c r="A32" s="13"/>
      <c r="B32" s="13"/>
      <c r="C32" s="349" t="s">
        <v>433</v>
      </c>
      <c r="D32" s="352">
        <f>+CAPM!G48</f>
        <v>8.3270999999999998E-2</v>
      </c>
      <c r="E32" s="353"/>
      <c r="F32" s="13"/>
      <c r="G32" s="13"/>
      <c r="H32" s="13"/>
      <c r="I32" s="13"/>
    </row>
    <row r="33" spans="1:9" ht="17.25">
      <c r="A33" s="13"/>
      <c r="B33" s="13"/>
      <c r="C33" s="349" t="s">
        <v>171</v>
      </c>
      <c r="D33" s="352">
        <f>+CAPM!G50</f>
        <v>9.7649E-2</v>
      </c>
      <c r="E33" s="353"/>
      <c r="F33" s="13"/>
      <c r="G33" s="13"/>
      <c r="H33" s="13"/>
      <c r="I33" s="13"/>
    </row>
    <row r="34" spans="1:9" ht="17.25">
      <c r="A34" s="13"/>
      <c r="B34" s="13"/>
      <c r="C34" s="360" t="s">
        <v>172</v>
      </c>
      <c r="D34" s="352">
        <f>+CAPM!G52</f>
        <v>9.8649999999999988E-2</v>
      </c>
      <c r="E34" s="353"/>
      <c r="F34" s="13"/>
      <c r="G34" s="13"/>
      <c r="H34" s="13"/>
      <c r="I34" s="13"/>
    </row>
    <row r="35" spans="1:9" ht="17.25">
      <c r="A35" s="13"/>
      <c r="B35" s="13"/>
      <c r="C35" s="361" t="s">
        <v>173</v>
      </c>
      <c r="D35" s="352">
        <f>+CAPM!G54</f>
        <v>0.10966100000000001</v>
      </c>
      <c r="E35" s="353"/>
      <c r="F35" s="13"/>
      <c r="G35" s="13"/>
      <c r="H35" s="13"/>
      <c r="I35" s="13"/>
    </row>
    <row r="36" spans="1:9" ht="17.25">
      <c r="A36" s="13"/>
      <c r="B36" s="13"/>
      <c r="C36" s="360" t="s">
        <v>174</v>
      </c>
      <c r="D36" s="352">
        <f>+CAPM!G55</f>
        <v>9.8285999999999998E-2</v>
      </c>
      <c r="E36" s="353"/>
      <c r="F36" s="13"/>
      <c r="G36" s="13"/>
      <c r="H36" s="13"/>
      <c r="I36" s="13"/>
    </row>
    <row r="37" spans="1:9" ht="16.5" customHeight="1">
      <c r="A37" s="13"/>
      <c r="B37" s="13"/>
      <c r="C37" s="350" t="s">
        <v>434</v>
      </c>
      <c r="D37" s="352">
        <f>+CAPM!G57</f>
        <v>0.115121</v>
      </c>
      <c r="E37" s="353" t="s">
        <v>0</v>
      </c>
      <c r="F37" s="13"/>
      <c r="G37" s="13"/>
      <c r="H37" s="13"/>
      <c r="I37" s="13"/>
    </row>
    <row r="38" spans="1:9" ht="16.5" customHeight="1">
      <c r="A38" s="13"/>
      <c r="B38" s="13"/>
      <c r="C38" s="350" t="s">
        <v>435</v>
      </c>
      <c r="D38" s="352">
        <f>+CAPM!G58</f>
        <v>0.10556599999999999</v>
      </c>
      <c r="E38" s="353"/>
      <c r="F38" s="13"/>
      <c r="G38" s="13"/>
      <c r="H38" s="13"/>
      <c r="I38" s="13"/>
    </row>
    <row r="39" spans="1:9" ht="18.75" customHeight="1">
      <c r="A39" s="13"/>
      <c r="B39" s="13"/>
      <c r="C39" s="350" t="s">
        <v>436</v>
      </c>
      <c r="D39" s="352">
        <f>+CAPM!G59</f>
        <v>9.4099999999999989E-2</v>
      </c>
      <c r="E39" s="355"/>
      <c r="F39" s="13"/>
      <c r="G39" s="13"/>
      <c r="H39" s="13"/>
      <c r="I39" s="13"/>
    </row>
    <row r="40" spans="1:9" ht="21.75" customHeight="1">
      <c r="A40" s="13"/>
      <c r="B40" s="13"/>
      <c r="C40" s="362" t="s">
        <v>247</v>
      </c>
      <c r="D40" s="363">
        <f>+'Single Stage Div Growth Model'!I34</f>
        <v>8.7400000000000005E-2</v>
      </c>
      <c r="E40" s="368"/>
      <c r="G40" s="13"/>
      <c r="H40" s="13"/>
      <c r="I40" s="13"/>
    </row>
    <row r="41" spans="1:9" ht="21.75" customHeight="1">
      <c r="A41" s="13"/>
      <c r="B41" s="13"/>
      <c r="C41" s="245" t="s">
        <v>246</v>
      </c>
      <c r="D41" s="363">
        <f>+'Single Stage Div Growth Model'!I36</f>
        <v>0.1047</v>
      </c>
      <c r="E41" s="368"/>
      <c r="G41" s="13"/>
      <c r="H41" s="13"/>
      <c r="I41" s="13"/>
    </row>
    <row r="42" spans="1:9" ht="21.75" customHeight="1">
      <c r="A42" s="13"/>
      <c r="B42" s="13"/>
      <c r="C42" s="318" t="s">
        <v>248</v>
      </c>
      <c r="D42" s="369">
        <f>+'Two-Stage Dividend Growth Model'!H38</f>
        <v>9.8299999999999998E-2</v>
      </c>
      <c r="E42" s="368"/>
      <c r="G42" s="83" t="s">
        <v>0</v>
      </c>
      <c r="H42" s="13"/>
      <c r="I42" s="13"/>
    </row>
    <row r="43" spans="1:9" ht="21.75" customHeight="1">
      <c r="A43" s="13"/>
      <c r="B43" s="13"/>
      <c r="C43" s="315" t="s">
        <v>352</v>
      </c>
      <c r="D43" s="314">
        <f>+'Direct NOPAT'!G67</f>
        <v>7.8399999999999997E-2</v>
      </c>
      <c r="E43" s="171" t="s">
        <v>0</v>
      </c>
      <c r="F43" s="13"/>
      <c r="G43" s="13"/>
      <c r="H43" s="13"/>
      <c r="I43" s="13"/>
    </row>
    <row r="44" spans="1:9" ht="17.25" thickBot="1">
      <c r="A44" s="13"/>
      <c r="B44" s="13"/>
      <c r="C44" s="13"/>
      <c r="D44" s="72"/>
      <c r="E44" s="13"/>
      <c r="F44" s="13"/>
      <c r="G44" s="13"/>
      <c r="H44" s="13"/>
      <c r="I44" s="13"/>
    </row>
    <row r="45" spans="1:9" ht="17.25" thickTop="1">
      <c r="A45" s="13"/>
      <c r="B45" s="13"/>
      <c r="C45" s="15" t="s">
        <v>56</v>
      </c>
      <c r="D45" s="53">
        <f>MAX(D14:D42)</f>
        <v>0.115121</v>
      </c>
      <c r="E45" s="147"/>
      <c r="F45" s="13"/>
      <c r="G45" s="13"/>
      <c r="H45" s="13"/>
      <c r="I45" s="13"/>
    </row>
    <row r="46" spans="1:9" ht="16.5">
      <c r="A46" s="13"/>
      <c r="B46" s="13"/>
      <c r="C46" s="15" t="s">
        <v>57</v>
      </c>
      <c r="D46" s="316">
        <f>+MIN(D14:D42)</f>
        <v>6.9103999999999999E-2</v>
      </c>
      <c r="E46" s="13"/>
      <c r="F46" s="13"/>
      <c r="G46" s="53"/>
      <c r="H46" s="53"/>
      <c r="I46" s="53"/>
    </row>
    <row r="47" spans="1:9" ht="16.5">
      <c r="A47" s="13"/>
      <c r="B47" s="13"/>
      <c r="C47" s="15" t="s">
        <v>18</v>
      </c>
      <c r="D47" s="83">
        <f>MEDIAN(D14:D42)</f>
        <v>9.6647999999999998E-2</v>
      </c>
      <c r="E47" s="83"/>
      <c r="F47" s="83"/>
      <c r="G47" s="83"/>
      <c r="H47" s="83"/>
      <c r="I47" s="83"/>
    </row>
    <row r="48" spans="1:9" ht="16.5">
      <c r="A48" s="13"/>
      <c r="B48" s="13"/>
      <c r="C48" s="15" t="s">
        <v>413</v>
      </c>
      <c r="D48" s="84">
        <f>AVERAGE(D14:D42)</f>
        <v>9.3978482758620682E-2</v>
      </c>
      <c r="E48" s="84"/>
      <c r="F48" s="84"/>
      <c r="G48" s="84"/>
      <c r="H48" s="84"/>
      <c r="I48" s="84"/>
    </row>
    <row r="49" spans="1:9" ht="16.5">
      <c r="A49" s="13"/>
      <c r="B49" s="13"/>
      <c r="C49" s="15"/>
      <c r="D49" s="84"/>
      <c r="E49" s="84"/>
      <c r="F49" s="84"/>
      <c r="G49" s="84"/>
      <c r="H49" s="84"/>
      <c r="I49" s="84"/>
    </row>
    <row r="50" spans="1:9" ht="17.25" thickBot="1">
      <c r="A50" s="13"/>
      <c r="B50" s="13"/>
      <c r="C50" s="13"/>
      <c r="D50" s="13" t="s">
        <v>203</v>
      </c>
      <c r="E50" s="13"/>
      <c r="F50" s="13"/>
      <c r="G50" s="13"/>
      <c r="H50" s="13"/>
      <c r="I50" s="13"/>
    </row>
    <row r="51" spans="1:9" ht="27" thickBot="1">
      <c r="A51" s="13"/>
      <c r="B51" s="13"/>
      <c r="C51" s="188" t="s">
        <v>255</v>
      </c>
      <c r="D51" s="365">
        <v>9.4E-2</v>
      </c>
      <c r="E51" s="85"/>
      <c r="F51" s="85"/>
    </row>
    <row r="52" spans="1:9" ht="16.5">
      <c r="B52" s="13"/>
      <c r="C52" s="13"/>
      <c r="D52" s="13"/>
      <c r="E52" s="13"/>
      <c r="F52" s="13"/>
      <c r="G52" s="13"/>
      <c r="H52" s="13"/>
      <c r="I52" s="13"/>
    </row>
    <row r="53" spans="1:9" ht="16.5">
      <c r="B53" s="13"/>
      <c r="C53" s="13"/>
      <c r="D53" s="13"/>
      <c r="E53" s="13"/>
      <c r="F53" s="13"/>
      <c r="G53" s="13"/>
      <c r="H53" s="13"/>
      <c r="I53" s="13"/>
    </row>
    <row r="54" spans="1:9" ht="16.5">
      <c r="A54" s="13"/>
      <c r="B54" s="13"/>
      <c r="C54" s="13"/>
      <c r="D54" s="13"/>
      <c r="E54" s="13"/>
      <c r="F54" s="13"/>
      <c r="G54" s="13"/>
      <c r="H54" s="13"/>
      <c r="I54" s="13"/>
    </row>
    <row r="55" spans="1:9" ht="16.5">
      <c r="A55" s="13"/>
      <c r="B55" s="13"/>
      <c r="C55" s="13"/>
      <c r="D55" s="13"/>
      <c r="E55" s="13"/>
      <c r="F55" s="13"/>
      <c r="G55" s="13"/>
      <c r="H55" s="13"/>
      <c r="I55" s="13"/>
    </row>
    <row r="56" spans="1:9" ht="17.25">
      <c r="A56" s="112" t="s">
        <v>256</v>
      </c>
      <c r="B56" s="13"/>
      <c r="C56" s="13"/>
      <c r="D56" s="13"/>
      <c r="E56" s="13"/>
      <c r="F56" s="13"/>
      <c r="G56" s="13"/>
      <c r="H56" s="13"/>
      <c r="I56" s="13"/>
    </row>
    <row r="57" spans="1:9" ht="17.25">
      <c r="A57" s="112" t="s">
        <v>355</v>
      </c>
      <c r="B57" s="13"/>
      <c r="C57" s="13"/>
      <c r="D57" s="13"/>
      <c r="E57" s="13"/>
      <c r="F57" s="13"/>
      <c r="G57" s="13"/>
      <c r="H57" s="13"/>
      <c r="I57" s="13"/>
    </row>
    <row r="58" spans="1:9" ht="16.5">
      <c r="A58" s="13"/>
      <c r="B58" s="13"/>
      <c r="C58" s="13"/>
      <c r="D58" s="13" t="s">
        <v>0</v>
      </c>
      <c r="E58" s="13"/>
      <c r="F58" s="13"/>
      <c r="G58" s="13"/>
      <c r="H58" s="13"/>
      <c r="I58" s="13"/>
    </row>
    <row r="59" spans="1:9" ht="16.5">
      <c r="A59" s="13"/>
      <c r="B59" s="13"/>
      <c r="C59" s="13"/>
      <c r="D59" s="13" t="s">
        <v>0</v>
      </c>
      <c r="E59" s="13"/>
      <c r="F59" s="13"/>
      <c r="G59" s="13"/>
      <c r="H59" s="13"/>
      <c r="I59" s="13"/>
    </row>
    <row r="60" spans="1:9" ht="16.5">
      <c r="A60" s="13"/>
      <c r="B60" s="13"/>
      <c r="C60" s="13"/>
      <c r="D60" s="13"/>
      <c r="E60" s="13"/>
      <c r="F60" s="13"/>
      <c r="G60" s="13"/>
      <c r="H60" s="13"/>
      <c r="I60" s="13"/>
    </row>
    <row r="61" spans="1:9" ht="16.5">
      <c r="A61" s="13"/>
      <c r="B61" s="13"/>
      <c r="C61" s="13"/>
      <c r="D61" s="13"/>
      <c r="E61" s="13"/>
      <c r="F61" s="13"/>
      <c r="G61" s="13"/>
      <c r="H61" s="13"/>
      <c r="I61" s="13"/>
    </row>
    <row r="62" spans="1:9" ht="16.5">
      <c r="A62" s="13"/>
      <c r="B62" s="13"/>
      <c r="C62" s="13"/>
      <c r="D62" s="13"/>
      <c r="E62" s="13"/>
      <c r="F62" s="13"/>
      <c r="G62" s="13"/>
      <c r="H62" s="13"/>
      <c r="I62" s="13"/>
    </row>
    <row r="63" spans="1:9" ht="16.5">
      <c r="A63" s="13"/>
      <c r="B63" s="13"/>
      <c r="C63" s="13"/>
      <c r="D63" s="13"/>
      <c r="E63" s="13"/>
      <c r="F63" s="13"/>
      <c r="G63" s="13"/>
      <c r="H63" s="13"/>
      <c r="I63" s="13"/>
    </row>
    <row r="64" spans="1:9" ht="16.5">
      <c r="A64" s="13"/>
      <c r="B64" s="13"/>
      <c r="C64" s="13"/>
      <c r="D64" s="13"/>
      <c r="E64" s="13"/>
      <c r="F64" s="13"/>
      <c r="G64" s="13"/>
      <c r="H64" s="13"/>
      <c r="I64" s="13"/>
    </row>
    <row r="65" spans="1:9" ht="16.5">
      <c r="A65" s="13"/>
      <c r="B65" s="13"/>
      <c r="C65" s="13"/>
      <c r="D65" s="13"/>
      <c r="E65" s="13"/>
      <c r="F65" s="13"/>
      <c r="G65" s="13"/>
      <c r="H65" s="13"/>
      <c r="I65" s="13"/>
    </row>
    <row r="66" spans="1:9" ht="16.5">
      <c r="A66" s="13"/>
      <c r="B66" s="13"/>
      <c r="C66" s="13"/>
      <c r="D66" s="13"/>
      <c r="E66" s="13"/>
      <c r="F66" s="13"/>
      <c r="G66" s="13"/>
      <c r="H66" s="13"/>
      <c r="I66" s="13"/>
    </row>
    <row r="67" spans="1:9" ht="16.5">
      <c r="A67" s="13"/>
      <c r="B67" s="13"/>
      <c r="C67" s="13"/>
      <c r="D67" s="13"/>
      <c r="E67" s="13"/>
      <c r="F67" s="13"/>
      <c r="G67" s="13"/>
      <c r="H67" s="13"/>
      <c r="I67" s="13"/>
    </row>
    <row r="68" spans="1:9" ht="16.5">
      <c r="A68" s="13"/>
      <c r="B68" s="13"/>
      <c r="C68" s="13"/>
      <c r="D68" s="13"/>
      <c r="E68" s="13"/>
      <c r="F68" s="13"/>
      <c r="G68" s="13"/>
      <c r="H68" s="13"/>
      <c r="I68" s="13"/>
    </row>
    <row r="69" spans="1:9" ht="16.5">
      <c r="A69" s="13"/>
      <c r="B69" s="13"/>
      <c r="C69" s="13"/>
      <c r="D69" s="13"/>
      <c r="E69" s="13"/>
      <c r="F69" s="13"/>
      <c r="G69" s="13"/>
      <c r="H69" s="13"/>
      <c r="I69" s="13"/>
    </row>
    <row r="70" spans="1:9" ht="16.5">
      <c r="A70" s="13"/>
      <c r="B70" s="13"/>
      <c r="C70" s="13"/>
      <c r="D70" s="13"/>
      <c r="E70" s="13"/>
      <c r="F70" s="13"/>
      <c r="G70" s="13"/>
      <c r="H70" s="13"/>
      <c r="I70" s="13"/>
    </row>
    <row r="71" spans="1:9" ht="16.5">
      <c r="A71" s="13"/>
      <c r="B71" s="13"/>
      <c r="C71" s="13"/>
      <c r="D71" s="13"/>
      <c r="E71" s="13"/>
      <c r="F71" s="13"/>
      <c r="G71" s="13"/>
      <c r="H71" s="13"/>
      <c r="I71" s="13"/>
    </row>
    <row r="72" spans="1:9" ht="16.5">
      <c r="A72" s="13"/>
      <c r="B72" s="13"/>
      <c r="C72" s="13"/>
      <c r="D72" s="13"/>
      <c r="E72" s="13"/>
      <c r="F72" s="13"/>
      <c r="G72" s="13"/>
      <c r="H72" s="13"/>
      <c r="I72" s="13"/>
    </row>
    <row r="73" spans="1:9" ht="16.5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16.5">
      <c r="A74" s="13"/>
      <c r="B74" s="13"/>
      <c r="C74" s="13"/>
      <c r="D74" s="13"/>
      <c r="E74" s="13"/>
      <c r="F74" s="13"/>
      <c r="G74" s="13"/>
      <c r="H74" s="13"/>
      <c r="I74" s="13"/>
    </row>
    <row r="75" spans="1:9" ht="16.5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6.5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6.5">
      <c r="A77" s="13"/>
      <c r="B77" s="13"/>
      <c r="C77" s="13"/>
      <c r="D77" s="13"/>
      <c r="E77" s="13"/>
      <c r="F77" s="13"/>
      <c r="G77" s="13"/>
      <c r="H77" s="13"/>
      <c r="I77" s="13"/>
    </row>
    <row r="78" spans="1:9" ht="16.5">
      <c r="A78" s="13"/>
      <c r="B78" s="13"/>
      <c r="C78" s="13"/>
      <c r="D78" s="13"/>
      <c r="E78" s="13"/>
      <c r="F78" s="13"/>
      <c r="G78" s="13"/>
      <c r="H78" s="13"/>
      <c r="I78" s="13"/>
    </row>
    <row r="79" spans="1:9" ht="16.5">
      <c r="A79" s="13"/>
      <c r="B79" s="13"/>
      <c r="C79" s="13"/>
      <c r="D79" s="13"/>
      <c r="E79" s="13"/>
      <c r="F79" s="13"/>
      <c r="G79" s="13"/>
      <c r="H79" s="13"/>
      <c r="I79" s="13"/>
    </row>
    <row r="80" spans="1:9" ht="16.5">
      <c r="A80" s="13"/>
      <c r="B80" s="13"/>
      <c r="C80" s="13"/>
      <c r="D80" s="13"/>
      <c r="E80" s="13"/>
      <c r="F80" s="13"/>
      <c r="G80" s="13"/>
      <c r="H80" s="13"/>
      <c r="I80" s="13"/>
    </row>
    <row r="81" spans="1:9" ht="16.5">
      <c r="A81" s="13"/>
      <c r="B81" s="13"/>
      <c r="C81" s="13"/>
      <c r="D81" s="13"/>
      <c r="E81" s="13"/>
      <c r="F81" s="13"/>
      <c r="G81" s="13"/>
      <c r="H81" s="13"/>
      <c r="I81" s="13"/>
    </row>
    <row r="82" spans="1:9" ht="16.5">
      <c r="A82" s="13"/>
      <c r="B82" s="13"/>
      <c r="C82" s="13"/>
      <c r="D82" s="13"/>
      <c r="E82" s="13"/>
      <c r="F82" s="13"/>
      <c r="G82" s="13"/>
      <c r="H82" s="13"/>
      <c r="I82" s="13"/>
    </row>
    <row r="83" spans="1:9" ht="16.5">
      <c r="A83" s="13"/>
      <c r="B83" s="13"/>
      <c r="C83" s="13"/>
      <c r="D83" s="13"/>
      <c r="E83" s="13"/>
      <c r="F83" s="13"/>
      <c r="G83" s="13"/>
      <c r="H83" s="13"/>
      <c r="I83" s="13"/>
    </row>
    <row r="84" spans="1:9" ht="16.5">
      <c r="A84" s="13"/>
      <c r="B84" s="13"/>
      <c r="C84" s="13"/>
      <c r="D84" s="13"/>
      <c r="E84" s="13"/>
      <c r="F84" s="13"/>
      <c r="G84" s="13"/>
      <c r="H84" s="13"/>
      <c r="I84" s="13"/>
    </row>
    <row r="85" spans="1:9" ht="16.5">
      <c r="A85" s="13"/>
      <c r="B85" s="13"/>
      <c r="C85" s="13"/>
      <c r="D85" s="13"/>
      <c r="E85" s="13"/>
      <c r="F85" s="13"/>
      <c r="G85" s="13"/>
      <c r="H85" s="13"/>
      <c r="I85" s="13"/>
    </row>
    <row r="86" spans="1:9" ht="16.5">
      <c r="A86" s="13"/>
      <c r="B86" s="13"/>
      <c r="C86" s="13"/>
      <c r="D86" s="13"/>
      <c r="E86" s="13"/>
      <c r="F86" s="13"/>
      <c r="G86" s="13"/>
      <c r="H86" s="13"/>
      <c r="I86" s="13"/>
    </row>
    <row r="87" spans="1:9" ht="16.5">
      <c r="A87" s="13"/>
      <c r="B87" s="13"/>
      <c r="C87" s="13"/>
      <c r="D87" s="13"/>
      <c r="E87" s="13"/>
      <c r="F87" s="13"/>
      <c r="G87" s="13"/>
      <c r="H87" s="13"/>
      <c r="I87" s="13"/>
    </row>
    <row r="88" spans="1:9" ht="16.5">
      <c r="A88" s="13"/>
      <c r="B88" s="13"/>
      <c r="C88" s="13"/>
      <c r="D88" s="13"/>
      <c r="E88" s="13"/>
      <c r="F88" s="13"/>
      <c r="G88" s="13"/>
      <c r="H88" s="13"/>
      <c r="I88" s="13"/>
    </row>
    <row r="89" spans="1:9" ht="16.5">
      <c r="A89" s="13"/>
      <c r="B89" s="13"/>
      <c r="C89" s="13"/>
      <c r="D89" s="13"/>
      <c r="E89" s="13"/>
      <c r="F89" s="13"/>
      <c r="G89" s="13"/>
      <c r="H89" s="13"/>
      <c r="I89" s="13"/>
    </row>
    <row r="90" spans="1:9" ht="16.5">
      <c r="A90" s="13"/>
      <c r="B90" s="13"/>
      <c r="C90" s="13"/>
      <c r="D90" s="13"/>
      <c r="E90" s="13"/>
      <c r="F90" s="13"/>
      <c r="G90" s="13"/>
      <c r="H90" s="13"/>
      <c r="I90" s="13"/>
    </row>
    <row r="91" spans="1:9" ht="16.5">
      <c r="A91" s="13"/>
      <c r="B91" s="13"/>
      <c r="C91" s="13"/>
      <c r="D91" s="13"/>
      <c r="E91" s="13"/>
      <c r="F91" s="13"/>
      <c r="G91" s="13"/>
      <c r="H91" s="13"/>
      <c r="I91" s="13"/>
    </row>
    <row r="92" spans="1:9" ht="16.5">
      <c r="A92" s="13"/>
      <c r="B92" s="13"/>
      <c r="C92" s="13"/>
      <c r="D92" s="13"/>
      <c r="E92" s="13"/>
      <c r="F92" s="13"/>
      <c r="G92" s="13"/>
      <c r="H92" s="13"/>
      <c r="I92" s="13"/>
    </row>
    <row r="93" spans="1:9" ht="16.5">
      <c r="A93" s="13"/>
      <c r="B93" s="13"/>
      <c r="C93" s="13"/>
      <c r="D93" s="13"/>
      <c r="E93" s="13"/>
      <c r="F93" s="13"/>
      <c r="G93" s="13"/>
      <c r="H93" s="13"/>
      <c r="I93" s="13"/>
    </row>
    <row r="94" spans="1:9" ht="16.5">
      <c r="A94" s="13"/>
      <c r="B94" s="13"/>
      <c r="C94" s="13"/>
      <c r="D94" s="13"/>
      <c r="E94" s="13"/>
      <c r="F94" s="13"/>
      <c r="G94" s="13"/>
      <c r="H94" s="13"/>
      <c r="I94" s="13"/>
    </row>
    <row r="95" spans="1:9" ht="16.5">
      <c r="A95" s="13"/>
      <c r="B95" s="13"/>
      <c r="C95" s="13"/>
      <c r="D95" s="13"/>
      <c r="E95" s="13"/>
      <c r="F95" s="13"/>
      <c r="G95" s="13"/>
      <c r="H95" s="13"/>
      <c r="I95" s="13"/>
    </row>
    <row r="96" spans="1:9" ht="16.5">
      <c r="A96" s="13"/>
      <c r="B96" s="13"/>
      <c r="C96" s="13"/>
      <c r="D96" s="13"/>
      <c r="E96" s="13"/>
      <c r="F96" s="13"/>
      <c r="G96" s="13"/>
      <c r="H96" s="13"/>
      <c r="I96" s="13"/>
    </row>
    <row r="97" spans="1:9" ht="16.5">
      <c r="A97" s="13"/>
      <c r="B97" s="13"/>
      <c r="C97" s="13"/>
      <c r="D97" s="13"/>
      <c r="E97" s="13"/>
      <c r="F97" s="13"/>
      <c r="G97" s="13"/>
      <c r="H97" s="13"/>
      <c r="I97" s="13"/>
    </row>
    <row r="98" spans="1:9" ht="16.5">
      <c r="A98" s="13"/>
      <c r="B98" s="13"/>
      <c r="C98" s="13"/>
      <c r="D98" s="13"/>
      <c r="E98" s="13"/>
      <c r="F98" s="13"/>
      <c r="G98" s="13"/>
      <c r="H98" s="13"/>
      <c r="I98" s="13"/>
    </row>
    <row r="99" spans="1:9" ht="16.5">
      <c r="A99" s="13"/>
      <c r="B99" s="13"/>
      <c r="C99" s="13"/>
      <c r="D99" s="13"/>
      <c r="E99" s="13"/>
      <c r="F99" s="13"/>
      <c r="G99" s="13"/>
      <c r="H99" s="13"/>
      <c r="I99" s="13"/>
    </row>
    <row r="100" spans="1:9" ht="16.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ht="16.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ht="16.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ht="16.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ht="16.5">
      <c r="A104" s="13"/>
      <c r="B104" s="13"/>
      <c r="C104" s="13"/>
      <c r="D104" s="13"/>
      <c r="E104" s="13"/>
      <c r="F104" s="13"/>
      <c r="G104" s="13"/>
      <c r="H104" s="13"/>
      <c r="I104" s="13"/>
    </row>
  </sheetData>
  <pageMargins left="0.25" right="0.25" top="0.75" bottom="0.75" header="0.3" footer="0.3"/>
  <pageSetup scale="4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>
    <tabColor rgb="FF92D050"/>
  </sheetPr>
  <dimension ref="A1:K50"/>
  <sheetViews>
    <sheetView view="pageBreakPreview" zoomScale="70" zoomScaleNormal="80" zoomScaleSheetLayoutView="70" workbookViewId="0">
      <selection activeCell="I37" sqref="I37"/>
    </sheetView>
  </sheetViews>
  <sheetFormatPr defaultRowHeight="15"/>
  <cols>
    <col min="1" max="1" width="45.140625" customWidth="1"/>
    <col min="2" max="2" width="10.85546875" bestFit="1" customWidth="1"/>
    <col min="3" max="3" width="26.140625" customWidth="1"/>
    <col min="4" max="4" width="15.28515625" customWidth="1"/>
    <col min="5" max="5" width="27.140625" customWidth="1"/>
    <col min="6" max="6" width="22" customWidth="1"/>
    <col min="7" max="7" width="29.285156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6.5">
      <c r="A3" s="27" t="s">
        <v>444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6.5">
      <c r="A4" s="27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7.25" thickBot="1">
      <c r="A5" s="13"/>
      <c r="B5" s="13"/>
      <c r="C5" s="13"/>
      <c r="D5" s="13"/>
      <c r="E5" s="13"/>
      <c r="F5" s="13"/>
      <c r="G5" s="13"/>
      <c r="H5" s="28"/>
      <c r="I5" s="13"/>
      <c r="J5" s="13"/>
      <c r="K5" s="13"/>
    </row>
    <row r="6" spans="1:11" ht="18" thickBot="1">
      <c r="A6" s="243" t="str">
        <f>+'S&amp;D'!A12</f>
        <v>Natural Gas Utility Distribution</v>
      </c>
      <c r="B6" s="179"/>
      <c r="C6" s="13"/>
      <c r="D6" s="30"/>
      <c r="E6" s="30"/>
      <c r="F6" s="30"/>
      <c r="G6" s="31" t="s">
        <v>0</v>
      </c>
      <c r="H6" s="30"/>
      <c r="I6" s="13"/>
      <c r="J6" s="13"/>
      <c r="K6" s="13"/>
    </row>
    <row r="7" spans="1:11" ht="26.25">
      <c r="A7" s="32"/>
      <c r="B7" s="13"/>
      <c r="C7" s="13"/>
      <c r="D7" s="13"/>
      <c r="E7" s="13"/>
      <c r="F7" s="33" t="s">
        <v>187</v>
      </c>
      <c r="G7" s="13"/>
      <c r="H7" s="13"/>
      <c r="I7" s="13"/>
      <c r="J7" s="13"/>
      <c r="K7" s="13"/>
    </row>
    <row r="8" spans="1:11" ht="21" thickBot="1">
      <c r="A8" s="32"/>
      <c r="B8" s="13"/>
      <c r="C8" s="13"/>
      <c r="D8" s="30"/>
      <c r="E8" s="30"/>
      <c r="F8" s="38" t="s">
        <v>445</v>
      </c>
      <c r="G8" s="30"/>
      <c r="H8" s="30"/>
      <c r="I8" s="13"/>
      <c r="J8" s="13"/>
      <c r="K8" s="13"/>
    </row>
    <row r="9" spans="1:11" ht="17.25" thickBot="1">
      <c r="A9" s="35" t="s">
        <v>0</v>
      </c>
      <c r="B9" s="35" t="s">
        <v>0</v>
      </c>
      <c r="C9" s="35" t="s">
        <v>0</v>
      </c>
      <c r="D9" s="30"/>
      <c r="E9" s="35"/>
      <c r="F9" s="35" t="s">
        <v>0</v>
      </c>
      <c r="G9" s="35"/>
      <c r="H9" s="30"/>
      <c r="I9" s="30"/>
      <c r="J9" s="30"/>
      <c r="K9" s="13"/>
    </row>
    <row r="10" spans="1:11" ht="16.5">
      <c r="A10" s="36" t="s">
        <v>0</v>
      </c>
      <c r="B10" s="36" t="s">
        <v>3</v>
      </c>
      <c r="C10" s="36" t="s">
        <v>5</v>
      </c>
      <c r="D10" s="36" t="s">
        <v>175</v>
      </c>
      <c r="E10" s="36" t="s">
        <v>12</v>
      </c>
      <c r="F10" s="36" t="s">
        <v>188</v>
      </c>
      <c r="G10" s="36" t="s">
        <v>189</v>
      </c>
      <c r="H10" s="36" t="s">
        <v>189</v>
      </c>
      <c r="I10" s="36" t="s">
        <v>184</v>
      </c>
      <c r="J10" s="36" t="s">
        <v>184</v>
      </c>
      <c r="K10" s="13"/>
    </row>
    <row r="11" spans="1:11" ht="16.5">
      <c r="A11" s="36" t="s">
        <v>2</v>
      </c>
      <c r="B11" s="36" t="s">
        <v>4</v>
      </c>
      <c r="C11" s="36" t="s">
        <v>6</v>
      </c>
      <c r="D11" s="36" t="s">
        <v>216</v>
      </c>
      <c r="E11" s="36" t="s">
        <v>14</v>
      </c>
      <c r="F11" s="36" t="s">
        <v>368</v>
      </c>
      <c r="G11" s="36" t="s">
        <v>217</v>
      </c>
      <c r="H11" s="36" t="s">
        <v>218</v>
      </c>
      <c r="I11" s="36" t="s">
        <v>178</v>
      </c>
      <c r="J11" s="36" t="s">
        <v>182</v>
      </c>
      <c r="K11" s="13"/>
    </row>
    <row r="12" spans="1:11" ht="16.5">
      <c r="A12" s="36"/>
      <c r="B12" s="36"/>
      <c r="C12" s="36"/>
      <c r="D12" s="36"/>
      <c r="E12" s="36"/>
      <c r="F12" s="37" t="s">
        <v>0</v>
      </c>
      <c r="G12" s="37" t="s">
        <v>506</v>
      </c>
      <c r="H12" s="37" t="s">
        <v>506</v>
      </c>
      <c r="I12" s="36"/>
      <c r="J12" s="36"/>
      <c r="K12" s="13"/>
    </row>
    <row r="13" spans="1:11" ht="17.25" thickBot="1">
      <c r="A13" s="38" t="s">
        <v>0</v>
      </c>
      <c r="B13" s="39" t="s">
        <v>107</v>
      </c>
      <c r="C13" s="39" t="s">
        <v>108</v>
      </c>
      <c r="D13" s="39" t="s">
        <v>109</v>
      </c>
      <c r="E13" s="39" t="s">
        <v>110</v>
      </c>
      <c r="F13" s="39" t="s">
        <v>111</v>
      </c>
      <c r="G13" s="39" t="s">
        <v>112</v>
      </c>
      <c r="H13" s="39" t="s">
        <v>113</v>
      </c>
      <c r="I13" s="39" t="s">
        <v>185</v>
      </c>
      <c r="J13" s="39" t="s">
        <v>186</v>
      </c>
      <c r="K13" s="13"/>
    </row>
    <row r="14" spans="1:11" ht="16.5">
      <c r="A14" s="40" t="s">
        <v>7</v>
      </c>
      <c r="B14" s="40" t="s">
        <v>7</v>
      </c>
      <c r="C14" s="40" t="s">
        <v>7</v>
      </c>
      <c r="D14" s="41" t="s">
        <v>131</v>
      </c>
      <c r="E14" s="41"/>
      <c r="F14" s="40" t="s">
        <v>7</v>
      </c>
      <c r="G14" s="40" t="s">
        <v>7</v>
      </c>
      <c r="H14" s="40" t="s">
        <v>7</v>
      </c>
      <c r="I14" s="40" t="s">
        <v>0</v>
      </c>
      <c r="J14" s="40" t="s">
        <v>0</v>
      </c>
      <c r="K14" s="13"/>
    </row>
    <row r="15" spans="1:11" ht="16.5">
      <c r="A15" s="36"/>
      <c r="B15" s="36"/>
      <c r="C15" s="36"/>
      <c r="D15" s="36"/>
      <c r="E15" s="36"/>
      <c r="F15" s="36"/>
      <c r="G15" s="36"/>
      <c r="H15" s="13"/>
      <c r="I15" s="13"/>
      <c r="J15" s="13"/>
      <c r="K15" s="13"/>
    </row>
    <row r="16" spans="1:11" ht="16.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7.25">
      <c r="A17" s="45" t="str">
        <f>+'S&amp;D'!A22</f>
        <v>Atmos Energy Corp</v>
      </c>
      <c r="B17" s="36" t="str">
        <f>+'S&amp;D'!B22</f>
        <v>ATO</v>
      </c>
      <c r="C17" s="36" t="str">
        <f>+'S&amp;D'!C22</f>
        <v>Gas Utility</v>
      </c>
      <c r="D17" s="61">
        <f>+'S&amp;D'!G22</f>
        <v>139.27000000000001</v>
      </c>
      <c r="E17" s="62">
        <f>+'S&amp;D'!D42</f>
        <v>22105779072.550003</v>
      </c>
      <c r="F17" s="55">
        <f>+'Dividends '!H16</f>
        <v>2.6423493932648812E-2</v>
      </c>
      <c r="G17" s="55">
        <v>7.0000000000000007E-2</v>
      </c>
      <c r="H17" s="55">
        <v>0.06</v>
      </c>
      <c r="I17" s="330">
        <f>+F17+G17</f>
        <v>9.6423493932648818E-2</v>
      </c>
      <c r="J17" s="330">
        <f>+F17+H17</f>
        <v>8.6423493932648809E-2</v>
      </c>
      <c r="K17" s="13"/>
    </row>
    <row r="18" spans="1:11" ht="17.25">
      <c r="A18" s="45" t="str">
        <f>+'S&amp;D'!A23</f>
        <v>Black Hills Corporation</v>
      </c>
      <c r="B18" s="36" t="str">
        <f>+'S&amp;D'!B23</f>
        <v>BKH</v>
      </c>
      <c r="C18" s="36" t="str">
        <f>+'S&amp;D'!C23</f>
        <v>Electric Utility - West</v>
      </c>
      <c r="D18" s="61">
        <f>+'S&amp;D'!G23</f>
        <v>58.52</v>
      </c>
      <c r="E18" s="62">
        <f>+'S&amp;D'!D43</f>
        <v>4191211060.96</v>
      </c>
      <c r="F18" s="55">
        <f>+'Dividends '!H17</f>
        <v>4.8188653451811343E-2</v>
      </c>
      <c r="G18" s="55">
        <v>7.0000000000000007E-2</v>
      </c>
      <c r="H18" s="55">
        <v>0.08</v>
      </c>
      <c r="I18" s="330">
        <f t="shared" ref="I18:I27" si="0">+F18+G18</f>
        <v>0.11818865345181134</v>
      </c>
      <c r="J18" s="330">
        <f t="shared" ref="J18:J27" si="1">+F18+H18</f>
        <v>0.12818865345181135</v>
      </c>
      <c r="K18" s="13"/>
    </row>
    <row r="19" spans="1:11" ht="17.25">
      <c r="A19" s="45" t="str">
        <f>+'S&amp;D'!A24</f>
        <v>CenterPoint Energy Inc.</v>
      </c>
      <c r="B19" s="36" t="str">
        <f>+'S&amp;D'!B24</f>
        <v>CNP</v>
      </c>
      <c r="C19" s="36" t="str">
        <f>+'S&amp;D'!C24</f>
        <v>Electric Utility - Central</v>
      </c>
      <c r="D19" s="61">
        <f>+'S&amp;D'!G24</f>
        <v>31.73</v>
      </c>
      <c r="E19" s="62">
        <f>+'S&amp;D'!D44</f>
        <v>20679306467.48</v>
      </c>
      <c r="F19" s="55">
        <f>+'Dividends '!H18</f>
        <v>2.9940119760479039E-2</v>
      </c>
      <c r="G19" s="55">
        <v>0.06</v>
      </c>
      <c r="H19" s="55">
        <v>6.5000000000000002E-2</v>
      </c>
      <c r="I19" s="330">
        <f t="shared" si="0"/>
        <v>8.994011976047904E-2</v>
      </c>
      <c r="J19" s="330">
        <f t="shared" si="1"/>
        <v>9.4940119760479044E-2</v>
      </c>
      <c r="K19" s="13"/>
    </row>
    <row r="20" spans="1:11" ht="17.25">
      <c r="A20" s="45" t="str">
        <f>+'S&amp;D'!A25</f>
        <v>CMS Energy Corporation</v>
      </c>
      <c r="B20" s="36" t="str">
        <f>+'S&amp;D'!B25</f>
        <v>CMS</v>
      </c>
      <c r="C20" s="36" t="str">
        <f>+'S&amp;D'!C25</f>
        <v>Electric Utility - Central</v>
      </c>
      <c r="D20" s="61">
        <f>+'S&amp;D'!G25</f>
        <v>66.650000000000006</v>
      </c>
      <c r="E20" s="62">
        <f>+'S&amp;D'!D45</f>
        <v>19915020000</v>
      </c>
      <c r="F20" s="55">
        <f>+'Dividends '!H19</f>
        <v>3.4508627156789193E-2</v>
      </c>
      <c r="G20" s="55">
        <v>0.05</v>
      </c>
      <c r="H20" s="55">
        <v>0.06</v>
      </c>
      <c r="I20" s="330">
        <f t="shared" si="0"/>
        <v>8.4508627156789196E-2</v>
      </c>
      <c r="J20" s="330">
        <f t="shared" si="1"/>
        <v>9.4508627156789191E-2</v>
      </c>
      <c r="K20" s="13"/>
    </row>
    <row r="21" spans="1:11" ht="17.25">
      <c r="A21" s="45" t="str">
        <f>+'S&amp;D'!A26</f>
        <v>New Jersey Resources Corp</v>
      </c>
      <c r="B21" s="36" t="str">
        <f>+'S&amp;D'!B26</f>
        <v>NJR</v>
      </c>
      <c r="C21" s="36" t="str">
        <f>+'S&amp;D'!C26</f>
        <v>Gas Utility</v>
      </c>
      <c r="D21" s="61">
        <f>+'S&amp;D'!G26</f>
        <v>46.65</v>
      </c>
      <c r="E21" s="62">
        <f>+'S&amp;D'!D46</f>
        <v>4581135195.75</v>
      </c>
      <c r="F21" s="55">
        <f>+'Dividends '!H20</f>
        <v>4.1800643086816719E-2</v>
      </c>
      <c r="G21" s="55">
        <v>0.05</v>
      </c>
      <c r="H21" s="55">
        <v>0.05</v>
      </c>
      <c r="I21" s="330">
        <f t="shared" si="0"/>
        <v>9.1800643086816722E-2</v>
      </c>
      <c r="J21" s="330">
        <f t="shared" si="1"/>
        <v>9.1800643086816722E-2</v>
      </c>
      <c r="K21" s="13"/>
    </row>
    <row r="22" spans="1:11" ht="17.25">
      <c r="A22" s="45" t="str">
        <f>+'S&amp;D'!A27</f>
        <v>NISOURCE Inc.</v>
      </c>
      <c r="B22" s="36" t="str">
        <f>+'S&amp;D'!B27</f>
        <v>NI</v>
      </c>
      <c r="C22" s="36" t="str">
        <f>+'S&amp;D'!C27</f>
        <v>Gas Utility</v>
      </c>
      <c r="D22" s="61">
        <f>+'S&amp;D'!G27</f>
        <v>36.76</v>
      </c>
      <c r="E22" s="62">
        <f>+'S&amp;D'!D47</f>
        <v>17270674070.719997</v>
      </c>
      <c r="F22" s="55">
        <f>+'Dividends '!H21</f>
        <v>3.2644178454842222E-2</v>
      </c>
      <c r="G22" s="55">
        <v>4.4999999999999998E-2</v>
      </c>
      <c r="H22" s="55">
        <v>9.5000000000000001E-2</v>
      </c>
      <c r="I22" s="330">
        <f t="shared" si="0"/>
        <v>7.7644178454842228E-2</v>
      </c>
      <c r="J22" s="330">
        <f t="shared" si="1"/>
        <v>0.12764417845484222</v>
      </c>
      <c r="K22" s="13"/>
    </row>
    <row r="23" spans="1:11" ht="17.25">
      <c r="A23" s="45" t="str">
        <f>+'S&amp;D'!A28</f>
        <v xml:space="preserve">Northwest Natural Holding Company </v>
      </c>
      <c r="B23" s="36" t="str">
        <f>+'S&amp;D'!B28</f>
        <v>NWN</v>
      </c>
      <c r="C23" s="36" t="str">
        <f>+'S&amp;D'!C28</f>
        <v>Gas Utility</v>
      </c>
      <c r="D23" s="61">
        <f>+'S&amp;D'!G28</f>
        <v>39.56</v>
      </c>
      <c r="E23" s="62">
        <f>+'S&amp;D'!D48</f>
        <v>1591194385.8000002</v>
      </c>
      <c r="F23" s="55">
        <f>+'Dividends '!H22</f>
        <v>4.9797775530839229E-2</v>
      </c>
      <c r="G23" s="55">
        <v>5.0000000000000001E-3</v>
      </c>
      <c r="H23" s="55">
        <v>6.5000000000000002E-2</v>
      </c>
      <c r="I23" s="330">
        <f t="shared" si="0"/>
        <v>5.4797775530839227E-2</v>
      </c>
      <c r="J23" s="330">
        <f t="shared" si="1"/>
        <v>0.11479777553083922</v>
      </c>
      <c r="K23" s="13"/>
    </row>
    <row r="24" spans="1:11" ht="17.25">
      <c r="A24" s="45" t="str">
        <f>+'S&amp;D'!A29</f>
        <v>One Gas INC</v>
      </c>
      <c r="B24" s="36" t="str">
        <f>+'S&amp;D'!B29</f>
        <v>OGS</v>
      </c>
      <c r="C24" s="36" t="str">
        <f>+'S&amp;D'!C29</f>
        <v>Gas Utility</v>
      </c>
      <c r="D24" s="61">
        <f>+'S&amp;D'!G29</f>
        <v>69.25</v>
      </c>
      <c r="E24" s="62">
        <f>+'S&amp;D'!D49</f>
        <v>4146472624.25</v>
      </c>
      <c r="F24" s="55">
        <f>+'Dividends '!H23</f>
        <v>3.9277978339350185E-2</v>
      </c>
      <c r="G24" s="55">
        <v>0.02</v>
      </c>
      <c r="H24" s="55">
        <v>4.4999999999999998E-2</v>
      </c>
      <c r="I24" s="330">
        <f t="shared" si="0"/>
        <v>5.9277978339350182E-2</v>
      </c>
      <c r="J24" s="330">
        <f t="shared" si="1"/>
        <v>8.427797833935019E-2</v>
      </c>
      <c r="K24" s="13"/>
    </row>
    <row r="25" spans="1:11" ht="17.25">
      <c r="A25" s="45" t="str">
        <f>+'S&amp;D'!A30</f>
        <v>Southwest Gas Holdings, Inc</v>
      </c>
      <c r="B25" s="36" t="str">
        <f>+'S&amp;D'!B30</f>
        <v>SWX</v>
      </c>
      <c r="C25" s="36" t="str">
        <f>+'S&amp;D'!C30</f>
        <v>Gas Utility</v>
      </c>
      <c r="D25" s="61">
        <f>+'S&amp;D'!G30</f>
        <v>70.709999999999994</v>
      </c>
      <c r="E25" s="62">
        <f>+'S&amp;D'!D50</f>
        <v>5075758676.7599993</v>
      </c>
      <c r="F25" s="55">
        <f>+'Dividends '!H24</f>
        <v>3.5072832696931129E-2</v>
      </c>
      <c r="G25" s="55">
        <v>5.5E-2</v>
      </c>
      <c r="H25" s="55">
        <v>0.1</v>
      </c>
      <c r="I25" s="330">
        <f>+F25+G25</f>
        <v>9.0072832696931129E-2</v>
      </c>
      <c r="J25" s="330">
        <f>+F25+H25</f>
        <v>0.13507283269693113</v>
      </c>
      <c r="K25" s="13"/>
    </row>
    <row r="26" spans="1:11" ht="17.25">
      <c r="A26" s="45" t="str">
        <f>+'S&amp;D'!A31</f>
        <v>Spire Inc / Laclede Group Inc</v>
      </c>
      <c r="B26" s="36" t="str">
        <f>+'S&amp;D'!B31</f>
        <v>SR</v>
      </c>
      <c r="C26" s="36" t="str">
        <f>+'S&amp;D'!C31</f>
        <v>Gas Utility</v>
      </c>
      <c r="D26" s="61">
        <f>+'S&amp;D'!G31</f>
        <v>67.83</v>
      </c>
      <c r="E26" s="62">
        <f>+'S&amp;D'!D51</f>
        <v>3954489000</v>
      </c>
      <c r="F26" s="55">
        <f>+'Dividends '!H25</f>
        <v>4.8061329795075922E-2</v>
      </c>
      <c r="G26" s="55">
        <v>0.04</v>
      </c>
      <c r="H26" s="55">
        <v>4.4999999999999998E-2</v>
      </c>
      <c r="I26" s="330">
        <f t="shared" si="0"/>
        <v>8.8061329795075916E-2</v>
      </c>
      <c r="J26" s="330">
        <f t="shared" si="1"/>
        <v>9.306132979507592E-2</v>
      </c>
      <c r="K26" s="13"/>
    </row>
    <row r="27" spans="1:11" ht="18" thickBot="1">
      <c r="A27" s="45" t="str">
        <f>+'S&amp;D'!A32</f>
        <v>WEC Energy Group</v>
      </c>
      <c r="B27" s="36" t="str">
        <f>+'S&amp;D'!B32</f>
        <v>WEC</v>
      </c>
      <c r="C27" s="36" t="str">
        <f>+'S&amp;D'!C32</f>
        <v>Electric Utility - Central</v>
      </c>
      <c r="D27" s="61">
        <f>+'S&amp;D'!G32</f>
        <v>94.04</v>
      </c>
      <c r="E27" s="62">
        <f>+'S&amp;D'!D52</f>
        <v>29874707604.200001</v>
      </c>
      <c r="F27" s="331">
        <f>+'Dividends '!H26</f>
        <v>4.0514674606550401E-2</v>
      </c>
      <c r="G27" s="331">
        <v>7.0000000000000007E-2</v>
      </c>
      <c r="H27" s="331">
        <v>0.06</v>
      </c>
      <c r="I27" s="332">
        <f t="shared" si="0"/>
        <v>0.1105146746065504</v>
      </c>
      <c r="J27" s="332">
        <f t="shared" si="1"/>
        <v>0.10051467460655039</v>
      </c>
      <c r="K27" s="13"/>
    </row>
    <row r="28" spans="1:11" ht="17.25" thickTop="1">
      <c r="A28" s="13"/>
      <c r="B28" s="13"/>
      <c r="C28" s="15" t="s">
        <v>0</v>
      </c>
      <c r="D28" s="16" t="s">
        <v>0</v>
      </c>
      <c r="E28" s="16" t="s">
        <v>56</v>
      </c>
      <c r="F28" s="370">
        <f>MAX(F17:F27)</f>
        <v>4.9797775530839229E-2</v>
      </c>
      <c r="G28" s="272">
        <f t="shared" ref="G28:J28" si="2">MAX(G17:G27)</f>
        <v>7.0000000000000007E-2</v>
      </c>
      <c r="H28" s="17">
        <f t="shared" si="2"/>
        <v>0.1</v>
      </c>
      <c r="I28" s="17">
        <f t="shared" si="2"/>
        <v>0.11818865345181134</v>
      </c>
      <c r="J28" s="17">
        <f t="shared" si="2"/>
        <v>0.13507283269693113</v>
      </c>
      <c r="K28" s="13"/>
    </row>
    <row r="29" spans="1:11" ht="16.5">
      <c r="A29" s="13"/>
      <c r="B29" s="13"/>
      <c r="C29" s="15"/>
      <c r="D29" s="16"/>
      <c r="E29" s="16" t="s">
        <v>57</v>
      </c>
      <c r="F29" s="371">
        <f>MIN(F17:F27)</f>
        <v>2.6423493932648812E-2</v>
      </c>
      <c r="G29" s="305">
        <f t="shared" ref="G29:J29" si="3">MIN(G17:G27)</f>
        <v>5.0000000000000001E-3</v>
      </c>
      <c r="H29" s="274">
        <f t="shared" si="3"/>
        <v>4.4999999999999998E-2</v>
      </c>
      <c r="I29" s="274">
        <f t="shared" si="3"/>
        <v>5.4797775530839227E-2</v>
      </c>
      <c r="J29" s="274">
        <f t="shared" si="3"/>
        <v>8.427797833935019E-2</v>
      </c>
      <c r="K29" s="13"/>
    </row>
    <row r="30" spans="1:11" ht="16.5">
      <c r="A30" s="13"/>
      <c r="B30" s="13"/>
      <c r="D30" s="18" t="s">
        <v>0</v>
      </c>
      <c r="E30" s="15" t="s">
        <v>18</v>
      </c>
      <c r="F30" s="56">
        <f>MEDIAN(F17:F27)</f>
        <v>3.9277978339350185E-2</v>
      </c>
      <c r="G30" s="333">
        <f>MEDIAN(G17:G27)</f>
        <v>0.05</v>
      </c>
      <c r="H30" s="333">
        <f>MEDIAN(H17:H27)</f>
        <v>0.06</v>
      </c>
      <c r="I30" s="334">
        <f>MEDIAN(I17:I27)</f>
        <v>8.994011976047904E-2</v>
      </c>
      <c r="J30" s="334">
        <f>MEDIAN(J17:J27)</f>
        <v>9.4940119760479044E-2</v>
      </c>
      <c r="K30" s="13"/>
    </row>
    <row r="31" spans="1:11" ht="16.5">
      <c r="A31" s="13"/>
      <c r="B31" s="13"/>
      <c r="D31" s="22" t="s">
        <v>0</v>
      </c>
      <c r="E31" s="15" t="s">
        <v>413</v>
      </c>
      <c r="F31" s="56">
        <f>AVERAGE(F17:F27)</f>
        <v>3.874820971019402E-2</v>
      </c>
      <c r="G31" s="56">
        <f>AVERAGE(G17:G27)</f>
        <v>4.863636363636363E-2</v>
      </c>
      <c r="H31" s="333">
        <f>AVERAGE(H17:H27)</f>
        <v>6.5909090909090917E-2</v>
      </c>
      <c r="I31" s="334">
        <f>AVERAGE(I17:I27)</f>
        <v>8.7384573346557651E-2</v>
      </c>
      <c r="J31" s="334">
        <f>AVERAGE(J17:J27)</f>
        <v>0.10465730061928494</v>
      </c>
      <c r="K31" s="13"/>
    </row>
    <row r="32" spans="1:11" ht="16.5">
      <c r="A32" s="13"/>
      <c r="B32" s="13"/>
      <c r="C32" s="15"/>
      <c r="D32" s="22"/>
      <c r="E32" s="23"/>
      <c r="F32" s="19"/>
      <c r="G32" s="19"/>
      <c r="H32" s="20"/>
      <c r="I32" s="21"/>
      <c r="J32" s="21"/>
      <c r="K32" s="13"/>
    </row>
    <row r="33" spans="1:11" ht="17.25" thickBo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27" thickBot="1">
      <c r="A34" s="13"/>
      <c r="B34" s="13"/>
      <c r="C34" s="13"/>
      <c r="D34" s="13"/>
      <c r="E34" s="13"/>
      <c r="F34" s="13"/>
      <c r="G34" s="176" t="s">
        <v>191</v>
      </c>
      <c r="H34" s="178"/>
      <c r="I34" s="335">
        <v>8.7400000000000005E-2</v>
      </c>
      <c r="J34" s="13"/>
      <c r="K34" s="13"/>
    </row>
    <row r="35" spans="1:11" ht="17.25" thickBo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7" thickBot="1">
      <c r="A36" s="13"/>
      <c r="B36" s="13"/>
      <c r="C36" s="13"/>
      <c r="D36" s="13"/>
      <c r="E36" s="13"/>
      <c r="F36" s="13"/>
      <c r="G36" s="176" t="s">
        <v>190</v>
      </c>
      <c r="H36" s="179"/>
      <c r="I36" s="335">
        <v>0.1047</v>
      </c>
      <c r="J36" s="13"/>
      <c r="K36" s="13"/>
    </row>
    <row r="37" spans="1:11" ht="16.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1" ht="26.25">
      <c r="A38" s="25" t="s">
        <v>356</v>
      </c>
      <c r="B38" s="13"/>
      <c r="C38" s="25" t="s">
        <v>357</v>
      </c>
      <c r="D38" s="13"/>
      <c r="E38" s="13"/>
      <c r="F38" s="13"/>
      <c r="G38" s="13"/>
      <c r="H38" s="13"/>
      <c r="I38" s="13"/>
      <c r="J38" s="13"/>
    </row>
    <row r="39" spans="1:11" ht="17.25">
      <c r="A39" s="64" t="s">
        <v>358</v>
      </c>
      <c r="B39" s="13"/>
      <c r="C39" s="64" t="s">
        <v>358</v>
      </c>
      <c r="D39" s="13"/>
      <c r="E39" s="13"/>
      <c r="F39" s="13"/>
      <c r="G39" s="13"/>
      <c r="H39" s="13"/>
      <c r="I39" s="13"/>
      <c r="J39" s="13"/>
    </row>
    <row r="40" spans="1:11" ht="17.25">
      <c r="A40" s="64" t="s">
        <v>359</v>
      </c>
      <c r="B40" s="13"/>
      <c r="C40" s="64" t="s">
        <v>360</v>
      </c>
      <c r="D40" s="13"/>
      <c r="E40" s="13"/>
      <c r="F40" s="13"/>
      <c r="G40" s="13"/>
      <c r="H40" s="13"/>
      <c r="I40" s="13"/>
      <c r="J40" s="13"/>
    </row>
    <row r="41" spans="1:11" ht="16.5">
      <c r="A41" s="45"/>
      <c r="B41" s="13"/>
      <c r="C41" s="45"/>
      <c r="D41" s="13"/>
      <c r="E41" s="13"/>
      <c r="F41" s="13"/>
      <c r="G41" s="13"/>
      <c r="H41" s="13"/>
      <c r="I41" s="13"/>
      <c r="J41" s="13"/>
    </row>
    <row r="42" spans="1:11" ht="16.5">
      <c r="A42" s="45"/>
      <c r="B42" s="13"/>
      <c r="C42" s="45"/>
      <c r="D42" s="13"/>
      <c r="E42" s="13"/>
      <c r="F42" s="13"/>
      <c r="G42" s="13"/>
      <c r="H42" s="13"/>
      <c r="I42" s="13"/>
      <c r="J42" s="13"/>
    </row>
    <row r="43" spans="1:11" ht="26.25">
      <c r="A43" s="25" t="s">
        <v>213</v>
      </c>
      <c r="B43" s="13"/>
      <c r="C43" s="25" t="s">
        <v>213</v>
      </c>
      <c r="D43" s="13"/>
      <c r="E43" s="13"/>
      <c r="F43" s="13"/>
      <c r="G43" s="13"/>
      <c r="H43" s="13"/>
      <c r="I43" s="13"/>
      <c r="J43" s="13"/>
    </row>
    <row r="44" spans="1:11" ht="16.5">
      <c r="A44" s="45"/>
      <c r="B44" s="13"/>
      <c r="C44" s="45"/>
      <c r="D44" s="13"/>
      <c r="E44" s="13"/>
      <c r="F44" s="13"/>
      <c r="H44" s="13"/>
      <c r="I44" s="13"/>
      <c r="J44" s="13"/>
    </row>
    <row r="45" spans="1:11" ht="17.25">
      <c r="A45" s="64" t="s">
        <v>214</v>
      </c>
      <c r="B45" s="13"/>
      <c r="C45" s="64" t="s">
        <v>214</v>
      </c>
      <c r="D45" s="13"/>
      <c r="E45" s="13"/>
      <c r="F45" s="13"/>
      <c r="G45" s="13"/>
      <c r="H45" s="13"/>
      <c r="I45" s="13"/>
      <c r="J45" s="13"/>
    </row>
    <row r="46" spans="1:11" ht="17.25">
      <c r="A46" s="64" t="s">
        <v>212</v>
      </c>
      <c r="B46" s="13"/>
      <c r="C46" s="64" t="s">
        <v>212</v>
      </c>
      <c r="D46" s="13"/>
      <c r="E46" s="13"/>
      <c r="F46" s="13"/>
      <c r="G46" s="13"/>
      <c r="H46" s="13"/>
      <c r="I46" s="13"/>
      <c r="J46" s="13"/>
    </row>
    <row r="47" spans="1:11" ht="17.25">
      <c r="A47" s="64" t="s">
        <v>215</v>
      </c>
      <c r="B47" s="13"/>
      <c r="C47" s="64" t="s">
        <v>215</v>
      </c>
      <c r="D47" s="13"/>
      <c r="E47" s="13"/>
      <c r="F47" s="13"/>
      <c r="G47" s="13"/>
      <c r="H47" s="13"/>
      <c r="I47" s="13"/>
      <c r="J47" s="13"/>
    </row>
    <row r="48" spans="1:11" ht="17.25">
      <c r="A48" s="64" t="s">
        <v>361</v>
      </c>
      <c r="B48" s="13"/>
      <c r="C48" s="64" t="s">
        <v>362</v>
      </c>
      <c r="D48" s="13"/>
      <c r="E48" s="13"/>
      <c r="F48" s="13"/>
      <c r="G48" s="13"/>
      <c r="H48" s="13"/>
      <c r="I48" s="13"/>
      <c r="J48" s="13"/>
    </row>
    <row r="49" spans="1:10" ht="17.25">
      <c r="A49" s="64"/>
      <c r="B49" s="13"/>
      <c r="C49" s="64"/>
      <c r="D49" s="13"/>
      <c r="E49" s="13"/>
      <c r="F49" s="13"/>
      <c r="G49" s="13"/>
      <c r="H49" s="13"/>
      <c r="I49" s="13"/>
      <c r="J49" s="13"/>
    </row>
    <row r="50" spans="1:10" ht="17.25">
      <c r="A50" s="64"/>
      <c r="B50" s="13"/>
      <c r="C50" s="64"/>
      <c r="D50" s="13"/>
      <c r="E50" s="13"/>
      <c r="F50" s="13"/>
      <c r="G50" s="13"/>
      <c r="H50" s="13"/>
      <c r="I50" s="13"/>
      <c r="J50" s="13"/>
    </row>
  </sheetData>
  <phoneticPr fontId="83" type="noConversion"/>
  <pageMargins left="0.25" right="0.25" top="0.75" bottom="0.75" header="0.3" footer="0.3"/>
  <pageSetup scale="4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>
    <tabColor rgb="FF92D050"/>
  </sheetPr>
  <dimension ref="A1:K117"/>
  <sheetViews>
    <sheetView view="pageBreakPreview" zoomScale="70" zoomScaleNormal="80" zoomScaleSheetLayoutView="70" workbookViewId="0">
      <selection activeCell="H39" sqref="H39"/>
    </sheetView>
  </sheetViews>
  <sheetFormatPr defaultRowHeight="15"/>
  <cols>
    <col min="1" max="1" width="47.85546875" customWidth="1"/>
    <col min="2" max="2" width="15.28515625" customWidth="1"/>
    <col min="3" max="3" width="24.5703125" customWidth="1"/>
    <col min="4" max="4" width="26.5703125" customWidth="1"/>
    <col min="5" max="5" width="33" customWidth="1"/>
    <col min="6" max="6" width="22.42578125" customWidth="1"/>
    <col min="7" max="7" width="27" customWidth="1"/>
    <col min="8" max="8" width="43" customWidth="1"/>
    <col min="9" max="9" width="15.285156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25" t="s">
        <v>1</v>
      </c>
      <c r="B1" s="13"/>
      <c r="C1" s="13"/>
      <c r="D1" s="13"/>
      <c r="E1" s="13"/>
      <c r="F1" s="13"/>
      <c r="G1" s="13"/>
      <c r="H1" s="13"/>
      <c r="I1" s="13"/>
    </row>
    <row r="2" spans="1:9" ht="17.25">
      <c r="A2" s="26" t="s">
        <v>9</v>
      </c>
      <c r="B2" s="13"/>
      <c r="C2" s="13"/>
      <c r="D2" s="13"/>
      <c r="E2" s="13"/>
      <c r="F2" s="13"/>
      <c r="G2" s="13"/>
      <c r="H2" s="13"/>
      <c r="I2" s="13"/>
    </row>
    <row r="3" spans="1:9" ht="16.5">
      <c r="A3" s="27" t="s">
        <v>444</v>
      </c>
      <c r="B3" s="13"/>
      <c r="C3" s="13"/>
      <c r="D3" s="13"/>
      <c r="E3" s="13"/>
      <c r="F3" s="13"/>
      <c r="G3" s="13"/>
      <c r="H3" s="13"/>
      <c r="I3" s="13"/>
    </row>
    <row r="4" spans="1:9" ht="16.5">
      <c r="A4" s="27"/>
      <c r="B4" s="13"/>
      <c r="C4" s="13"/>
      <c r="D4" s="13"/>
      <c r="E4" s="13"/>
      <c r="F4" s="13"/>
      <c r="G4" s="13"/>
      <c r="H4" s="13"/>
      <c r="I4" s="13"/>
    </row>
    <row r="5" spans="1:9" ht="17.25" thickBot="1">
      <c r="A5" s="13"/>
      <c r="B5" s="13"/>
      <c r="C5" s="13"/>
      <c r="D5" s="13"/>
      <c r="E5" s="13"/>
      <c r="F5" s="13"/>
      <c r="G5" s="13"/>
      <c r="H5" s="13"/>
      <c r="I5" s="28"/>
    </row>
    <row r="6" spans="1:9" ht="21" thickBot="1">
      <c r="A6" s="241" t="str">
        <f>+'S&amp;D'!A12</f>
        <v>Natural Gas Utility Distribution</v>
      </c>
      <c r="B6" s="179"/>
      <c r="C6" s="13"/>
      <c r="D6" s="13"/>
      <c r="E6" s="13"/>
      <c r="F6" s="13"/>
      <c r="G6" s="13"/>
      <c r="H6" s="13"/>
      <c r="I6" s="13"/>
    </row>
    <row r="7" spans="1:9" ht="20.25">
      <c r="A7" s="32"/>
      <c r="B7" s="13"/>
      <c r="C7" s="13"/>
      <c r="D7" s="13"/>
      <c r="E7" s="13"/>
      <c r="F7" s="13"/>
      <c r="G7" s="13"/>
      <c r="H7" s="13"/>
      <c r="I7" s="13"/>
    </row>
    <row r="8" spans="1:9" ht="21" thickBot="1">
      <c r="A8" s="32"/>
      <c r="B8" s="13"/>
      <c r="C8" s="13"/>
      <c r="D8" s="30"/>
      <c r="E8" s="30"/>
      <c r="F8" s="30"/>
      <c r="G8" s="13"/>
      <c r="H8" s="13"/>
      <c r="I8" s="13"/>
    </row>
    <row r="9" spans="1:9" ht="26.25">
      <c r="A9" s="32"/>
      <c r="B9" s="13"/>
      <c r="C9" s="13"/>
      <c r="D9" s="13"/>
      <c r="E9" s="33" t="s">
        <v>192</v>
      </c>
      <c r="F9" s="13"/>
      <c r="G9" s="13"/>
      <c r="H9" s="13"/>
      <c r="I9" s="13"/>
    </row>
    <row r="10" spans="1:9" ht="21" thickBot="1">
      <c r="A10" s="32"/>
      <c r="B10" s="13"/>
      <c r="C10" s="13"/>
      <c r="D10" s="30"/>
      <c r="E10" s="38" t="s">
        <v>445</v>
      </c>
      <c r="F10" s="30"/>
      <c r="G10" s="13"/>
      <c r="H10" s="13"/>
      <c r="I10" s="13"/>
    </row>
    <row r="11" spans="1:9" ht="20.25">
      <c r="A11" s="32"/>
      <c r="B11" s="13"/>
      <c r="C11" s="13"/>
      <c r="D11" s="13"/>
      <c r="E11" s="13"/>
      <c r="F11" s="36"/>
      <c r="G11" s="36"/>
      <c r="H11" s="13"/>
      <c r="I11" s="13"/>
    </row>
    <row r="12" spans="1:9" ht="20.25">
      <c r="A12" s="32"/>
      <c r="B12" s="13"/>
      <c r="C12" s="13"/>
      <c r="D12" s="13"/>
      <c r="E12" s="13"/>
      <c r="F12" s="36"/>
      <c r="G12" s="36"/>
      <c r="H12" s="13"/>
      <c r="I12" s="13"/>
    </row>
    <row r="13" spans="1:9" ht="45.75" customHeight="1" thickBot="1">
      <c r="A13" s="35" t="s">
        <v>0</v>
      </c>
      <c r="B13" s="35" t="s">
        <v>0</v>
      </c>
      <c r="C13" s="35" t="s">
        <v>0</v>
      </c>
      <c r="D13" s="30"/>
      <c r="E13" s="30"/>
      <c r="F13" s="35" t="s">
        <v>0</v>
      </c>
      <c r="G13" s="35"/>
      <c r="H13" s="35"/>
      <c r="I13" s="13"/>
    </row>
    <row r="14" spans="1:9" ht="16.5">
      <c r="A14" s="36" t="s">
        <v>0</v>
      </c>
      <c r="B14" s="36" t="s">
        <v>3</v>
      </c>
      <c r="C14" s="36" t="s">
        <v>5</v>
      </c>
      <c r="D14" s="36" t="s">
        <v>188</v>
      </c>
      <c r="E14" s="36" t="s">
        <v>189</v>
      </c>
      <c r="F14" s="36" t="s">
        <v>193</v>
      </c>
      <c r="G14" s="36" t="s">
        <v>19</v>
      </c>
      <c r="H14" s="36" t="s">
        <v>195</v>
      </c>
      <c r="I14" s="13"/>
    </row>
    <row r="15" spans="1:9" ht="16.5">
      <c r="A15" s="36" t="s">
        <v>2</v>
      </c>
      <c r="B15" s="36" t="s">
        <v>4</v>
      </c>
      <c r="C15" s="36" t="s">
        <v>6</v>
      </c>
      <c r="D15" s="36" t="s">
        <v>368</v>
      </c>
      <c r="E15" s="36" t="s">
        <v>370</v>
      </c>
      <c r="F15" s="36" t="s">
        <v>141</v>
      </c>
      <c r="G15" s="36" t="s">
        <v>194</v>
      </c>
      <c r="H15" s="36" t="s">
        <v>183</v>
      </c>
      <c r="I15" s="13"/>
    </row>
    <row r="16" spans="1:9" ht="16.5">
      <c r="A16" s="36"/>
      <c r="B16" s="36" t="s">
        <v>0</v>
      </c>
      <c r="C16" s="36" t="s">
        <v>0</v>
      </c>
      <c r="D16" s="36" t="s">
        <v>0</v>
      </c>
      <c r="E16" s="37" t="s">
        <v>369</v>
      </c>
      <c r="F16" s="37" t="s">
        <v>0</v>
      </c>
      <c r="G16" s="36" t="s">
        <v>199</v>
      </c>
      <c r="H16" s="37" t="s">
        <v>200</v>
      </c>
      <c r="I16" s="13"/>
    </row>
    <row r="17" spans="1:11" ht="18" customHeight="1" thickBot="1">
      <c r="A17" s="68" t="s">
        <v>0</v>
      </c>
      <c r="B17" s="39" t="s">
        <v>0</v>
      </c>
      <c r="C17" s="39" t="s">
        <v>0</v>
      </c>
      <c r="D17" s="34" t="s">
        <v>197</v>
      </c>
      <c r="E17" s="34" t="s">
        <v>198</v>
      </c>
      <c r="F17" s="34" t="s">
        <v>196</v>
      </c>
      <c r="G17" s="36" t="s">
        <v>112</v>
      </c>
      <c r="H17" s="150"/>
      <c r="I17" s="13"/>
    </row>
    <row r="18" spans="1:11" ht="16.5">
      <c r="A18" s="40" t="s">
        <v>0</v>
      </c>
      <c r="B18" s="40" t="s">
        <v>0</v>
      </c>
      <c r="C18" s="40" t="s">
        <v>0</v>
      </c>
      <c r="D18" s="40" t="s">
        <v>7</v>
      </c>
      <c r="E18" s="40" t="s">
        <v>7</v>
      </c>
      <c r="F18" s="40" t="s">
        <v>0</v>
      </c>
      <c r="G18" s="69" t="s">
        <v>0</v>
      </c>
      <c r="H18" s="40" t="s">
        <v>0</v>
      </c>
      <c r="I18" s="13"/>
    </row>
    <row r="19" spans="1:11" ht="16.5">
      <c r="A19" s="36"/>
      <c r="B19" s="36"/>
      <c r="C19" s="36"/>
      <c r="D19" s="36"/>
      <c r="E19" s="13"/>
      <c r="F19" s="36"/>
      <c r="G19" s="13"/>
      <c r="H19" s="13"/>
      <c r="I19" s="13"/>
      <c r="J19" t="s">
        <v>0</v>
      </c>
      <c r="K19" t="s">
        <v>0</v>
      </c>
    </row>
    <row r="20" spans="1:11" ht="16.5">
      <c r="A20" s="13"/>
      <c r="B20" s="13"/>
      <c r="C20" s="13"/>
      <c r="D20" s="13"/>
      <c r="E20" s="13"/>
      <c r="F20" s="13"/>
      <c r="G20" s="13"/>
      <c r="H20" s="13" t="s">
        <v>0</v>
      </c>
      <c r="I20" s="13"/>
      <c r="J20" t="s">
        <v>0</v>
      </c>
      <c r="K20" t="s">
        <v>0</v>
      </c>
    </row>
    <row r="21" spans="1:11" ht="17.25">
      <c r="A21" s="45" t="str">
        <f>+'S&amp;D'!A22</f>
        <v>Atmos Energy Corp</v>
      </c>
      <c r="B21" s="36" t="str">
        <f>+'S&amp;D'!B22</f>
        <v>ATO</v>
      </c>
      <c r="C21" s="36" t="str">
        <f>+'S&amp;D'!C22</f>
        <v>Gas Utility</v>
      </c>
      <c r="D21" s="67">
        <f>+'Single Stage Div Growth Model'!F17</f>
        <v>2.6423493932648812E-2</v>
      </c>
      <c r="E21" s="67">
        <f>+'Single Stage Div Growth Model'!H17</f>
        <v>0.06</v>
      </c>
      <c r="F21" s="181">
        <f>+'Growth &amp; Inflation Rates'!F57</f>
        <v>4.3400000000000001E-2</v>
      </c>
      <c r="G21" s="67">
        <f>(F21+E21)/2</f>
        <v>5.1699999999999996E-2</v>
      </c>
      <c r="H21" s="67">
        <f>D21*(1+(0.5*G21))+(0.67*E21)+(0.33*F21)</f>
        <v>8.162854125080779E-2</v>
      </c>
      <c r="I21" s="13"/>
      <c r="J21" t="s">
        <v>0</v>
      </c>
      <c r="K21" t="s">
        <v>0</v>
      </c>
    </row>
    <row r="22" spans="1:11" ht="16.5">
      <c r="A22" s="45" t="str">
        <f>+'S&amp;D'!A23</f>
        <v>Black Hills Corporation</v>
      </c>
      <c r="B22" s="36" t="str">
        <f>+'S&amp;D'!B23</f>
        <v>BKH</v>
      </c>
      <c r="C22" s="36" t="str">
        <f>+'S&amp;D'!C23</f>
        <v>Electric Utility - West</v>
      </c>
      <c r="D22" s="67">
        <f>+'Single Stage Div Growth Model'!F18</f>
        <v>4.8188653451811343E-2</v>
      </c>
      <c r="E22" s="67">
        <f>+'Single Stage Div Growth Model'!H18</f>
        <v>0.08</v>
      </c>
      <c r="F22" s="67">
        <f>+F21</f>
        <v>4.3400000000000001E-2</v>
      </c>
      <c r="G22" s="67">
        <f t="shared" ref="G22:G31" si="0">(F22+E22)/2</f>
        <v>6.1700000000000005E-2</v>
      </c>
      <c r="H22" s="67">
        <f t="shared" ref="H22:H31" si="1">D22*(1+(0.5*G22))+(0.67*E22)+(0.33*F22)</f>
        <v>0.11759727341079973</v>
      </c>
      <c r="I22" s="13"/>
      <c r="J22" t="s">
        <v>0</v>
      </c>
      <c r="K22" t="s">
        <v>0</v>
      </c>
    </row>
    <row r="23" spans="1:11" ht="16.5">
      <c r="A23" s="45" t="str">
        <f>+'S&amp;D'!A24</f>
        <v>CenterPoint Energy Inc.</v>
      </c>
      <c r="B23" s="36" t="str">
        <f>+'S&amp;D'!B24</f>
        <v>CNP</v>
      </c>
      <c r="C23" s="36" t="str">
        <f>+'S&amp;D'!C24</f>
        <v>Electric Utility - Central</v>
      </c>
      <c r="D23" s="67">
        <f>+'Single Stage Div Growth Model'!F19</f>
        <v>2.9940119760479039E-2</v>
      </c>
      <c r="E23" s="67">
        <f>+'Single Stage Div Growth Model'!H19</f>
        <v>6.5000000000000002E-2</v>
      </c>
      <c r="F23" s="67">
        <f>+F21</f>
        <v>4.3400000000000001E-2</v>
      </c>
      <c r="G23" s="67">
        <f t="shared" si="0"/>
        <v>5.4199999999999998E-2</v>
      </c>
      <c r="H23" s="67">
        <f t="shared" si="1"/>
        <v>8.8623497005988025E-2</v>
      </c>
      <c r="I23" s="13"/>
      <c r="J23" t="s">
        <v>0</v>
      </c>
      <c r="K23" t="s">
        <v>0</v>
      </c>
    </row>
    <row r="24" spans="1:11" ht="16.5">
      <c r="A24" s="45" t="str">
        <f>+'S&amp;D'!A25</f>
        <v>CMS Energy Corporation</v>
      </c>
      <c r="B24" s="36" t="str">
        <f>+'S&amp;D'!B25</f>
        <v>CMS</v>
      </c>
      <c r="C24" s="36" t="str">
        <f>+'S&amp;D'!C25</f>
        <v>Electric Utility - Central</v>
      </c>
      <c r="D24" s="67">
        <f>+'Single Stage Div Growth Model'!F20</f>
        <v>3.4508627156789193E-2</v>
      </c>
      <c r="E24" s="67">
        <f>+'Single Stage Div Growth Model'!H20</f>
        <v>0.06</v>
      </c>
      <c r="F24" s="67">
        <f>+F21</f>
        <v>4.3400000000000001E-2</v>
      </c>
      <c r="G24" s="67">
        <f t="shared" si="0"/>
        <v>5.1699999999999996E-2</v>
      </c>
      <c r="H24" s="67">
        <f t="shared" si="1"/>
        <v>8.9922675168792182E-2</v>
      </c>
      <c r="I24" s="13"/>
      <c r="J24" t="s">
        <v>0</v>
      </c>
      <c r="K24" t="s">
        <v>0</v>
      </c>
    </row>
    <row r="25" spans="1:11" ht="16.5">
      <c r="A25" s="45" t="str">
        <f>+'S&amp;D'!A26</f>
        <v>New Jersey Resources Corp</v>
      </c>
      <c r="B25" s="36" t="str">
        <f>+'S&amp;D'!B26</f>
        <v>NJR</v>
      </c>
      <c r="C25" s="36" t="str">
        <f>+'S&amp;D'!C26</f>
        <v>Gas Utility</v>
      </c>
      <c r="D25" s="67">
        <f>+'Single Stage Div Growth Model'!F21</f>
        <v>4.1800643086816719E-2</v>
      </c>
      <c r="E25" s="67">
        <f>+'Single Stage Div Growth Model'!H21</f>
        <v>0.05</v>
      </c>
      <c r="F25" s="67">
        <f>+F21</f>
        <v>4.3400000000000001E-2</v>
      </c>
      <c r="G25" s="67">
        <f t="shared" si="0"/>
        <v>4.6700000000000005E-2</v>
      </c>
      <c r="H25" s="67">
        <f t="shared" si="1"/>
        <v>9.0598688102893898E-2</v>
      </c>
      <c r="I25" s="13"/>
      <c r="J25" s="12" t="s">
        <v>0</v>
      </c>
      <c r="K25" t="s">
        <v>0</v>
      </c>
    </row>
    <row r="26" spans="1:11" ht="16.5">
      <c r="A26" s="45" t="str">
        <f>+'S&amp;D'!A27</f>
        <v>NISOURCE Inc.</v>
      </c>
      <c r="B26" s="36" t="str">
        <f>+'S&amp;D'!B27</f>
        <v>NI</v>
      </c>
      <c r="C26" s="36" t="str">
        <f>+'S&amp;D'!C27</f>
        <v>Gas Utility</v>
      </c>
      <c r="D26" s="67">
        <f>+'Single Stage Div Growth Model'!F22</f>
        <v>3.2644178454842222E-2</v>
      </c>
      <c r="E26" s="67">
        <f>+'Single Stage Div Growth Model'!H22</f>
        <v>9.5000000000000001E-2</v>
      </c>
      <c r="F26" s="67">
        <f>+F21</f>
        <v>4.3400000000000001E-2</v>
      </c>
      <c r="G26" s="67">
        <f t="shared" si="0"/>
        <v>6.9199999999999998E-2</v>
      </c>
      <c r="H26" s="67">
        <f t="shared" si="1"/>
        <v>0.11174566702937977</v>
      </c>
      <c r="I26" s="13"/>
      <c r="J26" s="12" t="s">
        <v>0</v>
      </c>
    </row>
    <row r="27" spans="1:11" ht="16.5">
      <c r="A27" s="45" t="str">
        <f>+'S&amp;D'!A28</f>
        <v xml:space="preserve">Northwest Natural Holding Company </v>
      </c>
      <c r="B27" s="36" t="str">
        <f>+'S&amp;D'!B28</f>
        <v>NWN</v>
      </c>
      <c r="C27" s="36" t="str">
        <f>+'S&amp;D'!C28</f>
        <v>Gas Utility</v>
      </c>
      <c r="D27" s="67">
        <f>+'Single Stage Div Growth Model'!F23</f>
        <v>4.9797775530839229E-2</v>
      </c>
      <c r="E27" s="67">
        <f>+'Single Stage Div Growth Model'!H23</f>
        <v>6.5000000000000002E-2</v>
      </c>
      <c r="F27" s="67">
        <f>+F21</f>
        <v>4.3400000000000001E-2</v>
      </c>
      <c r="G27" s="67">
        <f t="shared" si="0"/>
        <v>5.4199999999999998E-2</v>
      </c>
      <c r="H27" s="67">
        <f t="shared" si="1"/>
        <v>0.10901929524772497</v>
      </c>
      <c r="I27" s="13"/>
      <c r="J27" t="s">
        <v>0</v>
      </c>
    </row>
    <row r="28" spans="1:11" ht="16.5">
      <c r="A28" s="45" t="str">
        <f>+'S&amp;D'!A29</f>
        <v>One Gas INC</v>
      </c>
      <c r="B28" s="36" t="str">
        <f>+'S&amp;D'!B29</f>
        <v>OGS</v>
      </c>
      <c r="C28" s="36" t="str">
        <f>+'S&amp;D'!C29</f>
        <v>Gas Utility</v>
      </c>
      <c r="D28" s="67">
        <f>+'Single Stage Div Growth Model'!F24</f>
        <v>3.9277978339350185E-2</v>
      </c>
      <c r="E28" s="67">
        <f>+'Single Stage Div Growth Model'!H24</f>
        <v>4.4999999999999998E-2</v>
      </c>
      <c r="F28" s="67">
        <f>+F21</f>
        <v>4.3400000000000001E-2</v>
      </c>
      <c r="G28" s="67">
        <f t="shared" si="0"/>
        <v>4.4200000000000003E-2</v>
      </c>
      <c r="H28" s="67">
        <f t="shared" si="1"/>
        <v>8.4618021660649828E-2</v>
      </c>
      <c r="I28" s="13"/>
    </row>
    <row r="29" spans="1:11" ht="16.5">
      <c r="A29" s="45" t="str">
        <f>+'S&amp;D'!A30</f>
        <v>Southwest Gas Holdings, Inc</v>
      </c>
      <c r="B29" s="36" t="str">
        <f>+'S&amp;D'!B30</f>
        <v>SWX</v>
      </c>
      <c r="C29" s="36" t="str">
        <f>+'S&amp;D'!C30</f>
        <v>Gas Utility</v>
      </c>
      <c r="D29" s="67">
        <f>+'Single Stage Div Growth Model'!F25</f>
        <v>3.5072832696931129E-2</v>
      </c>
      <c r="E29" s="67">
        <f>+'Single Stage Div Growth Model'!H25</f>
        <v>0.1</v>
      </c>
      <c r="F29" s="67">
        <f>+F21</f>
        <v>4.3400000000000001E-2</v>
      </c>
      <c r="G29" s="67">
        <f t="shared" si="0"/>
        <v>7.17E-2</v>
      </c>
      <c r="H29" s="67">
        <f t="shared" si="1"/>
        <v>0.11765219374911612</v>
      </c>
      <c r="I29" s="13"/>
    </row>
    <row r="30" spans="1:11" ht="16.5">
      <c r="A30" s="45" t="str">
        <f>+'S&amp;D'!A31</f>
        <v>Spire Inc / Laclede Group Inc</v>
      </c>
      <c r="B30" s="36" t="str">
        <f>+'S&amp;D'!B31</f>
        <v>SR</v>
      </c>
      <c r="C30" s="36" t="str">
        <f>+'S&amp;D'!C31</f>
        <v>Gas Utility</v>
      </c>
      <c r="D30" s="67">
        <f>+'Single Stage Div Growth Model'!F26</f>
        <v>4.8061329795075922E-2</v>
      </c>
      <c r="E30" s="67">
        <f>+'Single Stage Div Growth Model'!H26</f>
        <v>4.4999999999999998E-2</v>
      </c>
      <c r="F30" s="67">
        <f>+F21</f>
        <v>4.3400000000000001E-2</v>
      </c>
      <c r="G30" s="67">
        <f t="shared" si="0"/>
        <v>4.4200000000000003E-2</v>
      </c>
      <c r="H30" s="67">
        <f t="shared" si="1"/>
        <v>9.35954851835471E-2</v>
      </c>
      <c r="I30" s="13"/>
    </row>
    <row r="31" spans="1:11" ht="17.25" thickBot="1">
      <c r="A31" s="45" t="str">
        <f>+'S&amp;D'!A32</f>
        <v>WEC Energy Group</v>
      </c>
      <c r="B31" s="36" t="str">
        <f>+'S&amp;D'!B32</f>
        <v>WEC</v>
      </c>
      <c r="C31" s="36" t="str">
        <f>+'S&amp;D'!C32</f>
        <v>Electric Utility - Central</v>
      </c>
      <c r="D31" s="67">
        <f>+'Single Stage Div Growth Model'!F27</f>
        <v>4.0514674606550401E-2</v>
      </c>
      <c r="E31" s="67">
        <f>+'Single Stage Div Growth Model'!H27</f>
        <v>0.06</v>
      </c>
      <c r="F31" s="67">
        <f>+F21</f>
        <v>4.3400000000000001E-2</v>
      </c>
      <c r="G31" s="67">
        <f t="shared" si="0"/>
        <v>5.1699999999999996E-2</v>
      </c>
      <c r="H31" s="146">
        <f t="shared" si="1"/>
        <v>9.6083978945129725E-2</v>
      </c>
      <c r="I31" s="13"/>
    </row>
    <row r="32" spans="1:11" ht="17.25" thickTop="1">
      <c r="A32" s="13"/>
      <c r="B32" s="13"/>
      <c r="C32" s="13"/>
      <c r="D32" s="13"/>
      <c r="E32" s="13"/>
      <c r="F32" s="13"/>
      <c r="G32" s="170" t="s">
        <v>56</v>
      </c>
      <c r="H32" s="57">
        <f>MAX(H21:H31)</f>
        <v>0.11765219374911612</v>
      </c>
      <c r="I32" s="13"/>
    </row>
    <row r="33" spans="1:9" ht="16.5">
      <c r="A33" s="13"/>
      <c r="B33" s="13"/>
      <c r="C33" s="15" t="s">
        <v>0</v>
      </c>
      <c r="D33" s="16" t="s">
        <v>0</v>
      </c>
      <c r="E33" s="16" t="s">
        <v>0</v>
      </c>
      <c r="F33" s="17" t="s">
        <v>0</v>
      </c>
      <c r="G33" s="17" t="s">
        <v>57</v>
      </c>
      <c r="H33" s="267">
        <f>MIN(H21:H31)</f>
        <v>8.162854125080779E-2</v>
      </c>
      <c r="I33" s="13"/>
    </row>
    <row r="34" spans="1:9" ht="16.5">
      <c r="A34" s="13"/>
      <c r="B34" s="13"/>
      <c r="D34" s="57" t="s">
        <v>0</v>
      </c>
      <c r="E34" s="51" t="s">
        <v>0</v>
      </c>
      <c r="F34" s="51" t="s">
        <v>0</v>
      </c>
      <c r="G34" s="15" t="s">
        <v>18</v>
      </c>
      <c r="H34" s="52">
        <f>MEDIAN(H21:H31)</f>
        <v>9.35954851835471E-2</v>
      </c>
      <c r="I34" s="13"/>
    </row>
    <row r="35" spans="1:9" ht="16.5">
      <c r="A35" s="13"/>
      <c r="B35" s="13"/>
      <c r="D35" s="57" t="s">
        <v>0</v>
      </c>
      <c r="E35" s="51" t="s">
        <v>0</v>
      </c>
      <c r="F35" s="57" t="s">
        <v>0</v>
      </c>
      <c r="G35" s="15" t="s">
        <v>413</v>
      </c>
      <c r="H35" s="52">
        <f>AVERAGE(H21:H31)</f>
        <v>9.8280483341348104E-2</v>
      </c>
      <c r="I35" s="13"/>
    </row>
    <row r="36" spans="1:9" ht="16.5">
      <c r="A36" s="13"/>
      <c r="B36" s="13"/>
      <c r="C36" s="15"/>
      <c r="D36" s="19"/>
      <c r="E36" s="20"/>
      <c r="F36" s="19"/>
      <c r="G36" s="21"/>
      <c r="H36" s="21"/>
      <c r="I36" s="13"/>
    </row>
    <row r="37" spans="1:9" ht="17.25" thickBot="1">
      <c r="A37" s="13"/>
      <c r="B37" s="13"/>
      <c r="C37" s="13"/>
      <c r="D37" s="13"/>
      <c r="E37" s="13"/>
      <c r="F37" s="13"/>
      <c r="G37" s="13"/>
      <c r="H37" s="13"/>
      <c r="I37" s="13"/>
    </row>
    <row r="38" spans="1:9" ht="27" thickBot="1">
      <c r="A38" s="13"/>
      <c r="B38" s="13"/>
      <c r="C38" s="13"/>
      <c r="D38" s="13"/>
      <c r="F38" s="176"/>
      <c r="G38" s="177" t="s">
        <v>245</v>
      </c>
      <c r="H38" s="336">
        <v>9.8299999999999998E-2</v>
      </c>
      <c r="I38" s="13"/>
    </row>
    <row r="39" spans="1:9" ht="16.5">
      <c r="A39" s="13"/>
      <c r="B39" s="13"/>
      <c r="C39" s="13"/>
      <c r="D39" s="13"/>
      <c r="E39" s="13"/>
      <c r="F39" s="13"/>
      <c r="G39" s="13"/>
      <c r="H39" s="13"/>
      <c r="I39" s="13"/>
    </row>
    <row r="40" spans="1:9" ht="27">
      <c r="A40" s="25" t="s">
        <v>309</v>
      </c>
      <c r="B40" s="13"/>
      <c r="C40" s="13"/>
      <c r="D40" s="13"/>
      <c r="E40" s="13"/>
      <c r="F40" s="13"/>
      <c r="G40" s="24" t="s">
        <v>0</v>
      </c>
      <c r="H40" s="13"/>
      <c r="I40" s="13"/>
    </row>
    <row r="41" spans="1:9" ht="16.5">
      <c r="A41" s="45"/>
      <c r="B41" s="13"/>
      <c r="C41" s="13"/>
      <c r="D41" s="13"/>
      <c r="E41" s="13"/>
      <c r="F41" s="13"/>
      <c r="G41" s="13"/>
      <c r="H41" s="13"/>
      <c r="I41" s="13"/>
    </row>
    <row r="42" spans="1:9" ht="17.25">
      <c r="A42" s="64" t="s">
        <v>214</v>
      </c>
      <c r="B42" s="13"/>
      <c r="C42" s="13"/>
      <c r="D42" s="13"/>
      <c r="E42" s="13"/>
      <c r="F42" s="13"/>
      <c r="G42" s="13"/>
      <c r="H42" s="13"/>
      <c r="I42" s="13"/>
    </row>
    <row r="43" spans="1:9" ht="17.25">
      <c r="A43" s="64" t="s">
        <v>310</v>
      </c>
      <c r="B43" s="13"/>
      <c r="C43" s="13"/>
      <c r="D43" s="13"/>
      <c r="E43" s="13"/>
      <c r="F43" s="13"/>
      <c r="G43" s="13"/>
      <c r="H43" s="13"/>
      <c r="I43" s="13"/>
    </row>
    <row r="44" spans="1:9" ht="17.25">
      <c r="A44" s="64" t="s">
        <v>311</v>
      </c>
      <c r="B44" s="13"/>
      <c r="C44" s="13"/>
      <c r="D44" s="13"/>
      <c r="E44" s="13"/>
      <c r="F44" s="13"/>
      <c r="G44" s="13"/>
      <c r="H44" s="13"/>
      <c r="I44" s="13"/>
    </row>
    <row r="45" spans="1:9" ht="17.25">
      <c r="A45" s="64" t="s">
        <v>312</v>
      </c>
      <c r="B45" s="13"/>
      <c r="C45" s="13"/>
      <c r="D45" s="13"/>
      <c r="E45" s="13"/>
      <c r="F45" s="13"/>
      <c r="G45" s="13"/>
      <c r="H45" s="13"/>
      <c r="I45" s="13"/>
    </row>
    <row r="46" spans="1:9" ht="17.25">
      <c r="A46" s="64" t="s">
        <v>313</v>
      </c>
      <c r="B46" s="13"/>
      <c r="C46" s="13"/>
      <c r="D46" s="13"/>
      <c r="E46" s="13"/>
      <c r="F46" s="13"/>
      <c r="G46" s="13"/>
      <c r="H46" s="13"/>
      <c r="I46" s="13"/>
    </row>
    <row r="47" spans="1:9" ht="16.5">
      <c r="A47" s="13"/>
      <c r="B47" s="13"/>
      <c r="C47" s="13"/>
      <c r="D47" s="13"/>
      <c r="E47" s="13"/>
      <c r="F47" s="13"/>
      <c r="G47" s="13"/>
      <c r="H47" s="13"/>
      <c r="I47" s="13"/>
    </row>
    <row r="48" spans="1:9" ht="16.5">
      <c r="A48" s="45" t="s">
        <v>0</v>
      </c>
      <c r="B48" s="13"/>
      <c r="C48" s="13"/>
      <c r="D48" s="13"/>
      <c r="E48" s="13"/>
      <c r="F48" s="13"/>
      <c r="G48" s="13"/>
      <c r="H48" s="13"/>
      <c r="I48" s="13"/>
    </row>
    <row r="49" spans="1:9" ht="16.5">
      <c r="A49" s="45"/>
      <c r="B49" s="13"/>
      <c r="C49" s="13"/>
      <c r="D49" s="13"/>
      <c r="E49" s="13"/>
      <c r="F49" s="13"/>
      <c r="G49" s="13"/>
      <c r="H49" s="13"/>
      <c r="I49" s="13"/>
    </row>
    <row r="50" spans="1:9" ht="16.5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6.5">
      <c r="A51" s="13"/>
      <c r="B51" s="13"/>
      <c r="C51" s="13"/>
      <c r="D51" s="13"/>
      <c r="E51" s="13"/>
      <c r="F51" s="13"/>
      <c r="G51" s="13"/>
      <c r="H51" s="13"/>
      <c r="I51" s="13"/>
    </row>
    <row r="52" spans="1:9" ht="16.5">
      <c r="A52" s="13"/>
      <c r="B52" s="13"/>
      <c r="C52" s="13"/>
      <c r="D52" s="13"/>
      <c r="E52" s="13"/>
      <c r="F52" s="13"/>
      <c r="G52" s="13"/>
      <c r="H52" s="13"/>
      <c r="I52" s="13"/>
    </row>
    <row r="53" spans="1:9" ht="16.5">
      <c r="A53" s="13"/>
      <c r="B53" s="13"/>
      <c r="C53" s="13"/>
      <c r="D53" s="13"/>
      <c r="E53" s="13"/>
      <c r="F53" s="13"/>
      <c r="G53" s="13"/>
      <c r="H53" s="13"/>
      <c r="I53" s="13"/>
    </row>
    <row r="54" spans="1:9" ht="16.5">
      <c r="C54" s="13"/>
      <c r="D54" s="13"/>
      <c r="E54" s="13"/>
      <c r="F54" s="13"/>
      <c r="G54" s="13"/>
      <c r="H54" s="13"/>
      <c r="I54" s="13"/>
    </row>
    <row r="55" spans="1:9" ht="16.5">
      <c r="C55" s="13"/>
      <c r="D55" s="13"/>
      <c r="E55" s="13"/>
      <c r="F55" s="13"/>
      <c r="G55" s="13"/>
      <c r="H55" s="13"/>
      <c r="I55" s="13"/>
    </row>
    <row r="56" spans="1:9" ht="16.5">
      <c r="C56" s="13"/>
      <c r="D56" s="13"/>
      <c r="E56" s="13"/>
      <c r="F56" s="13"/>
      <c r="G56" s="13"/>
      <c r="H56" s="13"/>
      <c r="I56" s="13"/>
    </row>
    <row r="57" spans="1:9" ht="16.5">
      <c r="C57" s="13"/>
      <c r="D57" s="13"/>
      <c r="E57" s="13"/>
      <c r="F57" s="13"/>
      <c r="G57" s="13"/>
      <c r="H57" s="13"/>
      <c r="I57" s="13"/>
    </row>
    <row r="58" spans="1:9" ht="16.5">
      <c r="C58" s="13"/>
      <c r="D58" s="13"/>
      <c r="E58" s="13"/>
      <c r="F58" s="13"/>
      <c r="G58" s="13"/>
      <c r="H58" s="13"/>
      <c r="I58" s="13"/>
    </row>
    <row r="59" spans="1:9" ht="16.5">
      <c r="C59" s="13"/>
      <c r="D59" s="13"/>
      <c r="E59" s="13"/>
      <c r="F59" s="13"/>
      <c r="G59" s="13"/>
      <c r="H59" s="13"/>
      <c r="I59" s="13"/>
    </row>
    <row r="60" spans="1:9" ht="16.5">
      <c r="C60" s="13"/>
      <c r="D60" s="13"/>
      <c r="E60" s="13"/>
      <c r="F60" s="13"/>
      <c r="G60" s="13"/>
      <c r="H60" s="13"/>
      <c r="I60" s="13"/>
    </row>
    <row r="61" spans="1:9" ht="16.5">
      <c r="A61" s="13"/>
      <c r="B61" s="13"/>
      <c r="C61" s="13"/>
      <c r="D61" s="13"/>
      <c r="E61" s="13"/>
      <c r="F61" s="13"/>
      <c r="G61" s="13"/>
      <c r="H61" s="13"/>
      <c r="I61" s="13"/>
    </row>
    <row r="62" spans="1:9" ht="16.5">
      <c r="A62" s="13"/>
      <c r="B62" s="13"/>
      <c r="C62" s="13"/>
      <c r="D62" s="13"/>
      <c r="E62" s="13"/>
      <c r="F62" s="13"/>
      <c r="G62" s="13"/>
      <c r="H62" s="13"/>
      <c r="I62" s="13"/>
    </row>
    <row r="63" spans="1:9" ht="16.5">
      <c r="A63" s="13"/>
      <c r="B63" s="13"/>
      <c r="C63" s="13"/>
      <c r="D63" s="13"/>
      <c r="E63" s="13"/>
      <c r="F63" s="13"/>
      <c r="G63" s="13"/>
      <c r="H63" s="13"/>
      <c r="I63" s="13"/>
    </row>
    <row r="64" spans="1:9" ht="16.5">
      <c r="A64" s="13"/>
      <c r="B64" s="13"/>
      <c r="C64" s="13"/>
      <c r="D64" s="13"/>
      <c r="E64" s="13"/>
      <c r="F64" s="13"/>
      <c r="G64" s="13"/>
      <c r="H64" s="13"/>
      <c r="I64" s="13"/>
    </row>
    <row r="65" spans="1:9" ht="16.5">
      <c r="A65" s="13"/>
      <c r="B65" s="13"/>
      <c r="C65" s="13"/>
      <c r="D65" s="13"/>
      <c r="E65" s="13"/>
      <c r="F65" s="13"/>
      <c r="G65" s="13"/>
      <c r="H65" s="13"/>
      <c r="I65" s="13"/>
    </row>
    <row r="66" spans="1:9" ht="16.5">
      <c r="A66" s="13"/>
      <c r="B66" s="13"/>
      <c r="C66" s="13"/>
      <c r="D66" s="13"/>
      <c r="E66" s="13"/>
      <c r="F66" s="13"/>
      <c r="G66" s="13"/>
      <c r="H66" s="13"/>
      <c r="I66" s="13"/>
    </row>
    <row r="67" spans="1:9" ht="16.5">
      <c r="A67" s="13"/>
      <c r="B67" s="13"/>
      <c r="C67" s="13"/>
      <c r="D67" s="13"/>
      <c r="E67" s="13"/>
      <c r="F67" s="13"/>
      <c r="G67" s="13"/>
      <c r="H67" s="13"/>
      <c r="I67" s="13"/>
    </row>
    <row r="68" spans="1:9" ht="16.5">
      <c r="A68" s="13"/>
      <c r="B68" s="13"/>
      <c r="C68" s="13"/>
      <c r="D68" s="13"/>
      <c r="E68" s="13"/>
      <c r="F68" s="13"/>
      <c r="G68" s="13"/>
      <c r="H68" s="13"/>
      <c r="I68" s="13"/>
    </row>
    <row r="69" spans="1:9" ht="16.5">
      <c r="A69" s="13"/>
      <c r="B69" s="13"/>
      <c r="C69" s="13"/>
      <c r="D69" s="13"/>
      <c r="E69" s="13"/>
      <c r="F69" s="13"/>
      <c r="G69" s="13"/>
      <c r="H69" s="13"/>
      <c r="I69" s="13"/>
    </row>
    <row r="70" spans="1:9" ht="16.5">
      <c r="A70" s="13"/>
      <c r="B70" s="13"/>
      <c r="C70" s="13"/>
      <c r="D70" s="13"/>
      <c r="E70" s="13"/>
      <c r="F70" s="13"/>
      <c r="G70" s="13"/>
      <c r="H70" s="13"/>
      <c r="I70" s="13"/>
    </row>
    <row r="71" spans="1:9" ht="16.5">
      <c r="A71" s="13"/>
      <c r="B71" s="13"/>
      <c r="C71" s="13"/>
      <c r="D71" s="13"/>
      <c r="E71" s="13"/>
      <c r="F71" s="13"/>
      <c r="G71" s="13"/>
      <c r="H71" s="13"/>
      <c r="I71" s="13"/>
    </row>
    <row r="72" spans="1:9" ht="16.5">
      <c r="A72" s="13"/>
      <c r="B72" s="13"/>
      <c r="C72" s="13"/>
      <c r="D72" s="13"/>
      <c r="E72" s="13"/>
      <c r="F72" s="13"/>
      <c r="G72" s="13"/>
      <c r="H72" s="13"/>
      <c r="I72" s="13"/>
    </row>
    <row r="73" spans="1:9" ht="16.5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16.5">
      <c r="A74" s="13"/>
      <c r="B74" s="13"/>
      <c r="C74" s="13"/>
      <c r="D74" s="13"/>
      <c r="E74" s="13"/>
      <c r="F74" s="13"/>
      <c r="G74" s="13"/>
      <c r="H74" s="13"/>
      <c r="I74" s="13"/>
    </row>
    <row r="75" spans="1:9" ht="16.5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6.5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6.5">
      <c r="A77" s="13"/>
      <c r="B77" s="13"/>
      <c r="C77" s="13"/>
      <c r="D77" s="13"/>
      <c r="E77" s="13"/>
      <c r="F77" s="13"/>
      <c r="G77" s="13"/>
      <c r="H77" s="13"/>
      <c r="I77" s="13"/>
    </row>
    <row r="78" spans="1:9" ht="16.5">
      <c r="A78" s="13"/>
      <c r="B78" s="13"/>
      <c r="C78" s="13"/>
      <c r="D78" s="13"/>
      <c r="E78" s="13"/>
      <c r="F78" s="13"/>
      <c r="G78" s="13"/>
      <c r="H78" s="13"/>
      <c r="I78" s="13"/>
    </row>
    <row r="79" spans="1:9" ht="16.5">
      <c r="A79" s="13"/>
      <c r="B79" s="13"/>
      <c r="C79" s="13"/>
      <c r="D79" s="13"/>
      <c r="E79" s="13"/>
      <c r="F79" s="13"/>
      <c r="G79" s="13"/>
      <c r="H79" s="13"/>
      <c r="I79" s="13"/>
    </row>
    <row r="80" spans="1:9" ht="16.5">
      <c r="A80" s="13"/>
      <c r="B80" s="13"/>
      <c r="C80" s="13"/>
      <c r="D80" s="13"/>
      <c r="E80" s="13"/>
      <c r="F80" s="13"/>
      <c r="G80" s="13"/>
      <c r="H80" s="13"/>
      <c r="I80" s="13"/>
    </row>
    <row r="81" spans="1:9" ht="16.5">
      <c r="A81" s="13"/>
      <c r="B81" s="13"/>
      <c r="C81" s="13"/>
      <c r="D81" s="13"/>
      <c r="E81" s="13"/>
      <c r="F81" s="13"/>
      <c r="G81" s="13"/>
      <c r="H81" s="13"/>
      <c r="I81" s="13"/>
    </row>
    <row r="82" spans="1:9" ht="16.5">
      <c r="A82" s="13"/>
      <c r="B82" s="13"/>
      <c r="C82" s="13"/>
      <c r="D82" s="13"/>
      <c r="E82" s="13"/>
      <c r="F82" s="13"/>
      <c r="G82" s="13"/>
      <c r="H82" s="13"/>
      <c r="I82" s="13"/>
    </row>
    <row r="83" spans="1:9" ht="16.5">
      <c r="A83" s="13"/>
      <c r="B83" s="13"/>
      <c r="C83" s="13"/>
      <c r="D83" s="13"/>
      <c r="E83" s="13"/>
      <c r="F83" s="13"/>
      <c r="G83" s="13"/>
      <c r="H83" s="13"/>
      <c r="I83" s="13"/>
    </row>
    <row r="84" spans="1:9" ht="16.5">
      <c r="A84" s="13"/>
      <c r="B84" s="13"/>
      <c r="C84" s="13"/>
      <c r="D84" s="13"/>
      <c r="E84" s="13"/>
      <c r="F84" s="13"/>
      <c r="G84" s="13"/>
      <c r="H84" s="13"/>
      <c r="I84" s="13"/>
    </row>
    <row r="85" spans="1:9" ht="16.5">
      <c r="A85" s="13"/>
      <c r="B85" s="13"/>
      <c r="C85" s="13"/>
      <c r="D85" s="13"/>
      <c r="E85" s="13"/>
      <c r="F85" s="13"/>
      <c r="G85" s="13"/>
      <c r="H85" s="13"/>
      <c r="I85" s="13"/>
    </row>
    <row r="86" spans="1:9" ht="16.5">
      <c r="A86" s="13"/>
      <c r="B86" s="13"/>
      <c r="C86" s="13"/>
      <c r="D86" s="13"/>
      <c r="E86" s="13"/>
      <c r="F86" s="13"/>
      <c r="G86" s="13"/>
      <c r="H86" s="13"/>
      <c r="I86" s="13"/>
    </row>
    <row r="87" spans="1:9" ht="16.5">
      <c r="A87" s="13"/>
      <c r="B87" s="13"/>
      <c r="C87" s="13"/>
      <c r="D87" s="13"/>
      <c r="E87" s="13"/>
      <c r="F87" s="13"/>
      <c r="G87" s="13"/>
      <c r="H87" s="13"/>
      <c r="I87" s="13"/>
    </row>
    <row r="88" spans="1:9" ht="16.5">
      <c r="A88" s="13"/>
      <c r="B88" s="13"/>
      <c r="C88" s="13"/>
      <c r="D88" s="13"/>
      <c r="E88" s="13"/>
      <c r="F88" s="13"/>
      <c r="G88" s="13"/>
      <c r="H88" s="13"/>
      <c r="I88" s="13"/>
    </row>
    <row r="89" spans="1:9" ht="16.5">
      <c r="A89" s="13"/>
      <c r="B89" s="13"/>
      <c r="C89" s="13"/>
      <c r="D89" s="13"/>
      <c r="E89" s="13"/>
      <c r="F89" s="13"/>
      <c r="G89" s="13"/>
      <c r="H89" s="13"/>
      <c r="I89" s="13"/>
    </row>
    <row r="90" spans="1:9" ht="16.5">
      <c r="A90" s="13"/>
      <c r="B90" s="13"/>
      <c r="C90" s="13"/>
      <c r="D90" s="13"/>
      <c r="E90" s="13"/>
      <c r="F90" s="13"/>
      <c r="G90" s="13"/>
      <c r="H90" s="13"/>
      <c r="I90" s="13"/>
    </row>
    <row r="91" spans="1:9" ht="16.5">
      <c r="A91" s="13"/>
      <c r="B91" s="13"/>
      <c r="C91" s="13"/>
      <c r="D91" s="13"/>
      <c r="E91" s="13"/>
      <c r="F91" s="13"/>
      <c r="G91" s="13"/>
      <c r="H91" s="13"/>
      <c r="I91" s="13"/>
    </row>
    <row r="92" spans="1:9" ht="16.5">
      <c r="A92" s="13"/>
      <c r="B92" s="13"/>
      <c r="C92" s="13"/>
      <c r="D92" s="13"/>
      <c r="E92" s="13"/>
      <c r="F92" s="13"/>
      <c r="G92" s="13"/>
      <c r="H92" s="13"/>
      <c r="I92" s="13"/>
    </row>
    <row r="93" spans="1:9" ht="16.5">
      <c r="A93" s="13"/>
      <c r="B93" s="13"/>
      <c r="C93" s="13"/>
      <c r="D93" s="13"/>
      <c r="E93" s="13"/>
      <c r="F93" s="13"/>
      <c r="G93" s="13"/>
      <c r="H93" s="13"/>
      <c r="I93" s="13"/>
    </row>
    <row r="94" spans="1:9" ht="16.5">
      <c r="A94" s="13"/>
      <c r="B94" s="13"/>
      <c r="C94" s="13"/>
      <c r="D94" s="13"/>
      <c r="E94" s="13"/>
      <c r="F94" s="13"/>
      <c r="G94" s="13"/>
      <c r="H94" s="13"/>
      <c r="I94" s="13"/>
    </row>
    <row r="95" spans="1:9" ht="16.5">
      <c r="A95" s="13"/>
      <c r="B95" s="13"/>
      <c r="C95" s="13"/>
      <c r="D95" s="13"/>
      <c r="E95" s="13"/>
      <c r="F95" s="13"/>
      <c r="G95" s="13"/>
      <c r="H95" s="13"/>
      <c r="I95" s="13"/>
    </row>
    <row r="96" spans="1:9" ht="16.5">
      <c r="A96" s="13"/>
      <c r="B96" s="13"/>
      <c r="C96" s="13"/>
      <c r="D96" s="13"/>
      <c r="E96" s="13"/>
      <c r="F96" s="13"/>
      <c r="G96" s="13"/>
      <c r="H96" s="13"/>
      <c r="I96" s="13"/>
    </row>
    <row r="97" spans="1:9" ht="16.5">
      <c r="A97" s="13"/>
      <c r="B97" s="13"/>
      <c r="C97" s="13"/>
      <c r="D97" s="13"/>
      <c r="E97" s="13"/>
      <c r="F97" s="13"/>
      <c r="G97" s="13"/>
      <c r="H97" s="13"/>
      <c r="I97" s="13"/>
    </row>
    <row r="98" spans="1:9" ht="16.5">
      <c r="A98" s="13"/>
      <c r="B98" s="13"/>
      <c r="C98" s="13"/>
      <c r="D98" s="13"/>
      <c r="E98" s="13"/>
      <c r="F98" s="13"/>
      <c r="G98" s="13"/>
      <c r="H98" s="13"/>
      <c r="I98" s="13"/>
    </row>
    <row r="99" spans="1:9" ht="16.5">
      <c r="A99" s="13"/>
      <c r="B99" s="13"/>
      <c r="C99" s="13"/>
      <c r="D99" s="13"/>
      <c r="E99" s="13"/>
      <c r="F99" s="13"/>
      <c r="G99" s="13"/>
      <c r="H99" s="13"/>
      <c r="I99" s="13"/>
    </row>
    <row r="100" spans="1:9" ht="16.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ht="16.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ht="16.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ht="16.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ht="16.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ht="16.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ht="16.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ht="16.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ht="16.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ht="16.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ht="16.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ht="16.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ht="16.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ht="16.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ht="16.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ht="16.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ht="16.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ht="16.5">
      <c r="A117" s="13"/>
      <c r="B117" s="13"/>
      <c r="C117" s="13"/>
      <c r="D117" s="13"/>
      <c r="E117" s="13"/>
      <c r="F117" s="13"/>
      <c r="G117" s="13"/>
      <c r="H117" s="13"/>
      <c r="I117" s="13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9282-6164-4F23-8F00-A2369B6B55B2}">
  <sheetPr>
    <tabColor rgb="FF92D050"/>
  </sheetPr>
  <dimension ref="A1:N49"/>
  <sheetViews>
    <sheetView view="pageBreakPreview" topLeftCell="A3" zoomScale="70" zoomScaleNormal="80" zoomScaleSheetLayoutView="70" workbookViewId="0">
      <selection activeCell="H34" sqref="H34"/>
    </sheetView>
  </sheetViews>
  <sheetFormatPr defaultRowHeight="15"/>
  <cols>
    <col min="1" max="1" width="21.5703125" customWidth="1"/>
    <col min="2" max="2" width="38.42578125" customWidth="1"/>
    <col min="3" max="3" width="25" customWidth="1"/>
    <col min="4" max="4" width="28.85546875" customWidth="1"/>
    <col min="5" max="5" width="22.42578125" customWidth="1"/>
    <col min="6" max="6" width="22.7109375" customWidth="1"/>
    <col min="7" max="7" width="25" customWidth="1"/>
    <col min="8" max="8" width="26.7109375" customWidth="1"/>
    <col min="9" max="9" width="21.5703125" customWidth="1"/>
    <col min="10" max="10" width="21.28515625" customWidth="1"/>
    <col min="11" max="11" width="4.42578125" customWidth="1"/>
    <col min="12" max="12" width="22.7109375" customWidth="1"/>
    <col min="13" max="13" width="17.28515625" customWidth="1"/>
  </cols>
  <sheetData>
    <row r="1" spans="1:14" ht="26.25">
      <c r="A1" s="25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7.25">
      <c r="A2" s="64" t="s">
        <v>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6.5">
      <c r="A3" s="27" t="s">
        <v>441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6.5">
      <c r="A4" s="13"/>
      <c r="C4" s="13"/>
      <c r="D4" s="13"/>
      <c r="E4" s="28" t="s">
        <v>0</v>
      </c>
      <c r="F4" s="13"/>
      <c r="G4" s="13"/>
      <c r="H4" s="13"/>
      <c r="I4" s="13"/>
      <c r="J4" s="13"/>
      <c r="K4" s="13"/>
      <c r="L4" s="13"/>
      <c r="M4" s="13"/>
      <c r="N4" s="13"/>
    </row>
    <row r="5" spans="1:14" ht="18" thickBot="1">
      <c r="A5" s="6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21" thickBot="1">
      <c r="A6" s="241" t="str">
        <f>+'S&amp;D'!A12</f>
        <v>Natural Gas Utility Distribution</v>
      </c>
      <c r="B6" s="172"/>
      <c r="C6" s="13"/>
      <c r="D6" s="13"/>
      <c r="E6" s="13"/>
      <c r="F6" s="13"/>
      <c r="G6" s="13"/>
      <c r="H6" s="13"/>
    </row>
    <row r="7" spans="1:14" ht="18" thickBot="1">
      <c r="A7" s="64"/>
      <c r="C7" s="30"/>
      <c r="D7" s="30"/>
      <c r="E7" s="30"/>
      <c r="F7" s="30"/>
      <c r="G7" s="30"/>
      <c r="H7" s="13"/>
    </row>
    <row r="8" spans="1:14" ht="26.25">
      <c r="C8" s="13"/>
      <c r="D8" s="13"/>
      <c r="E8" s="33" t="s">
        <v>341</v>
      </c>
      <c r="F8" s="13"/>
      <c r="G8" s="13"/>
      <c r="H8" s="13"/>
    </row>
    <row r="9" spans="1:14" ht="21" thickBot="1">
      <c r="B9" s="32"/>
      <c r="C9" s="30"/>
      <c r="D9" s="30"/>
      <c r="E9" s="38" t="s">
        <v>445</v>
      </c>
      <c r="F9" s="30"/>
      <c r="G9" s="30"/>
      <c r="H9" s="13"/>
    </row>
    <row r="10" spans="1:14" ht="17.25" thickBot="1">
      <c r="B10" s="35" t="s">
        <v>0</v>
      </c>
      <c r="C10" s="35" t="s">
        <v>0</v>
      </c>
      <c r="D10" s="35" t="s">
        <v>0</v>
      </c>
      <c r="E10" s="35" t="s">
        <v>0</v>
      </c>
      <c r="F10" s="35" t="s">
        <v>0</v>
      </c>
      <c r="G10" s="35" t="s">
        <v>0</v>
      </c>
      <c r="H10" s="30"/>
    </row>
    <row r="11" spans="1:14" ht="16.5">
      <c r="B11" s="36" t="s">
        <v>0</v>
      </c>
      <c r="C11" s="36" t="s">
        <v>3</v>
      </c>
      <c r="D11" s="36" t="s">
        <v>0</v>
      </c>
      <c r="E11" s="36" t="s">
        <v>342</v>
      </c>
      <c r="F11" s="36" t="s">
        <v>241</v>
      </c>
      <c r="G11" s="36" t="s">
        <v>343</v>
      </c>
      <c r="H11" s="36" t="s">
        <v>343</v>
      </c>
    </row>
    <row r="12" spans="1:14" ht="17.25" thickBot="1">
      <c r="B12" s="38" t="s">
        <v>2</v>
      </c>
      <c r="C12" s="38" t="s">
        <v>4</v>
      </c>
      <c r="D12" s="38" t="s">
        <v>28</v>
      </c>
      <c r="E12" s="38" t="s">
        <v>177</v>
      </c>
      <c r="F12" s="38" t="s">
        <v>344</v>
      </c>
      <c r="G12" s="38" t="s">
        <v>364</v>
      </c>
      <c r="H12" s="38" t="s">
        <v>29</v>
      </c>
    </row>
    <row r="13" spans="1:14">
      <c r="B13" s="40" t="s">
        <v>0</v>
      </c>
      <c r="C13" s="40" t="s">
        <v>0</v>
      </c>
      <c r="D13" s="41" t="s">
        <v>131</v>
      </c>
      <c r="E13" s="40" t="s">
        <v>132</v>
      </c>
      <c r="F13" s="40" t="s">
        <v>0</v>
      </c>
      <c r="G13" s="40" t="s">
        <v>132</v>
      </c>
      <c r="H13" s="40" t="s">
        <v>0</v>
      </c>
    </row>
    <row r="14" spans="1:14" ht="16.5">
      <c r="B14" s="36"/>
      <c r="C14" s="36"/>
      <c r="D14" s="36"/>
      <c r="E14" s="36"/>
      <c r="F14" s="36"/>
      <c r="G14" s="36"/>
      <c r="H14" s="36"/>
    </row>
    <row r="15" spans="1:14" ht="16.5">
      <c r="B15" s="13"/>
      <c r="C15" s="13"/>
      <c r="D15" s="13"/>
      <c r="E15" s="13"/>
      <c r="F15" s="13"/>
      <c r="G15" s="13"/>
      <c r="H15" s="13"/>
    </row>
    <row r="16" spans="1:14" ht="17.25">
      <c r="B16" s="64" t="str">
        <f>+'S&amp;D'!A22</f>
        <v>Atmos Energy Corp</v>
      </c>
      <c r="C16" s="91" t="str">
        <f>+'S&amp;D'!B22</f>
        <v>ATO</v>
      </c>
      <c r="D16" s="169">
        <f>+'S&amp;D'!G22</f>
        <v>139.27000000000001</v>
      </c>
      <c r="E16" s="269">
        <v>26.3</v>
      </c>
      <c r="F16" s="73">
        <f>D16/E16</f>
        <v>5.2954372623574146</v>
      </c>
      <c r="G16" s="269">
        <v>83.5</v>
      </c>
      <c r="H16" s="313">
        <f>D16/G16</f>
        <v>1.6679041916167665</v>
      </c>
    </row>
    <row r="17" spans="2:8" ht="17.25">
      <c r="B17" s="64" t="str">
        <f>+'S&amp;D'!A23</f>
        <v>Black Hills Corporation</v>
      </c>
      <c r="C17" s="91" t="str">
        <f>+'S&amp;D'!B23</f>
        <v>BKH</v>
      </c>
      <c r="D17" s="169">
        <f>+'S&amp;D'!G23</f>
        <v>58.52</v>
      </c>
      <c r="E17" s="269">
        <v>37.9</v>
      </c>
      <c r="F17" s="313">
        <f>D17/E17</f>
        <v>1.5440633245382587</v>
      </c>
      <c r="G17" s="269">
        <v>64.05</v>
      </c>
      <c r="H17" s="73">
        <f t="shared" ref="H17:H26" si="0">D17/G17</f>
        <v>0.91366120218579239</v>
      </c>
    </row>
    <row r="18" spans="2:8" ht="17.25">
      <c r="B18" s="64" t="str">
        <f>+'S&amp;D'!A24</f>
        <v>CenterPoint Energy Inc.</v>
      </c>
      <c r="C18" s="91" t="str">
        <f>+'S&amp;D'!B24</f>
        <v>CNP</v>
      </c>
      <c r="D18" s="169">
        <f>+'S&amp;D'!G24</f>
        <v>31.73</v>
      </c>
      <c r="E18" s="269">
        <v>14.85</v>
      </c>
      <c r="F18" s="73">
        <f>D18/E18</f>
        <v>2.1367003367003368</v>
      </c>
      <c r="G18" s="269">
        <v>17.899999999999999</v>
      </c>
      <c r="H18" s="73">
        <f t="shared" si="0"/>
        <v>1.7726256983240225</v>
      </c>
    </row>
    <row r="19" spans="2:8" ht="17.25">
      <c r="B19" s="64" t="str">
        <f>+'S&amp;D'!A25</f>
        <v>CMS Energy Corporation</v>
      </c>
      <c r="C19" s="91" t="str">
        <f>+'S&amp;D'!B25</f>
        <v>CMS</v>
      </c>
      <c r="D19" s="169">
        <f>+'S&amp;D'!G25</f>
        <v>66.650000000000006</v>
      </c>
      <c r="E19" s="269">
        <v>27.15</v>
      </c>
      <c r="F19" s="73">
        <f>D19/E19</f>
        <v>2.4548802946593007</v>
      </c>
      <c r="G19" s="269">
        <v>27.55</v>
      </c>
      <c r="H19" s="73">
        <f t="shared" si="0"/>
        <v>2.4192377495462796</v>
      </c>
    </row>
    <row r="20" spans="2:8" ht="17.25">
      <c r="B20" s="64" t="str">
        <f>+'S&amp;D'!A26</f>
        <v>New Jersey Resources Corp</v>
      </c>
      <c r="C20" s="91" t="str">
        <f>+'S&amp;D'!B26</f>
        <v>NJR</v>
      </c>
      <c r="D20" s="169">
        <f>+'S&amp;D'!G26</f>
        <v>46.65</v>
      </c>
      <c r="E20" s="269">
        <v>18.3</v>
      </c>
      <c r="F20" s="73">
        <f t="shared" ref="F20:F25" si="1">D20/E20</f>
        <v>2.5491803278688523</v>
      </c>
      <c r="G20" s="269">
        <v>23.05</v>
      </c>
      <c r="H20" s="73">
        <f t="shared" si="0"/>
        <v>2.0238611713665944</v>
      </c>
    </row>
    <row r="21" spans="2:8" ht="17.25">
      <c r="B21" s="64" t="str">
        <f>+'S&amp;D'!A27</f>
        <v>NISOURCE Inc.</v>
      </c>
      <c r="C21" s="91" t="str">
        <f>+'S&amp;D'!B27</f>
        <v>NI</v>
      </c>
      <c r="D21" s="169">
        <f>+'S&amp;D'!G27</f>
        <v>36.76</v>
      </c>
      <c r="E21" s="269">
        <v>13.15</v>
      </c>
      <c r="F21" s="313">
        <f t="shared" si="1"/>
        <v>2.7954372623574142</v>
      </c>
      <c r="G21" s="269">
        <v>23.3</v>
      </c>
      <c r="H21" s="73">
        <f t="shared" si="0"/>
        <v>1.5776824034334762</v>
      </c>
    </row>
    <row r="22" spans="2:8" ht="17.25">
      <c r="B22" s="64" t="str">
        <f>+'S&amp;D'!A28</f>
        <v xml:space="preserve">Northwest Natural Holding Company </v>
      </c>
      <c r="C22" s="91" t="str">
        <f>+'S&amp;D'!B28</f>
        <v>NWN</v>
      </c>
      <c r="D22" s="169">
        <f>+'S&amp;D'!G28</f>
        <v>39.56</v>
      </c>
      <c r="E22" s="269">
        <v>29.2</v>
      </c>
      <c r="F22" s="73">
        <f t="shared" si="1"/>
        <v>1.3547945205479452</v>
      </c>
      <c r="G22" s="269">
        <v>35.799999999999997</v>
      </c>
      <c r="H22" s="73">
        <f t="shared" si="0"/>
        <v>1.1050279329608941</v>
      </c>
    </row>
    <row r="23" spans="2:8" ht="17.25">
      <c r="B23" s="64" t="str">
        <f>+'S&amp;D'!A29</f>
        <v>One Gas INC</v>
      </c>
      <c r="C23" s="91" t="str">
        <f>+'S&amp;D'!B29</f>
        <v>OGS</v>
      </c>
      <c r="D23" s="169">
        <f>+'S&amp;D'!G29</f>
        <v>69.25</v>
      </c>
      <c r="E23" s="269">
        <v>37.65</v>
      </c>
      <c r="F23" s="73">
        <f t="shared" si="1"/>
        <v>1.8393094289508634</v>
      </c>
      <c r="G23" s="269">
        <v>53.75</v>
      </c>
      <c r="H23" s="73">
        <f t="shared" si="0"/>
        <v>1.2883720930232558</v>
      </c>
    </row>
    <row r="24" spans="2:8" ht="17.25">
      <c r="B24" s="64" t="str">
        <f>+'S&amp;D'!A30</f>
        <v>Southwest Gas Holdings, Inc</v>
      </c>
      <c r="C24" s="91" t="str">
        <f>+'S&amp;D'!B30</f>
        <v>SWX</v>
      </c>
      <c r="D24" s="169">
        <f>+'S&amp;D'!G30</f>
        <v>70.709999999999994</v>
      </c>
      <c r="E24" s="269">
        <v>69.849999999999994</v>
      </c>
      <c r="F24" s="73">
        <f t="shared" si="1"/>
        <v>1.0123120973514674</v>
      </c>
      <c r="G24" s="269">
        <v>54.25</v>
      </c>
      <c r="H24" s="73">
        <f t="shared" si="0"/>
        <v>1.3034101382488479</v>
      </c>
    </row>
    <row r="25" spans="2:8" ht="16.5" customHeight="1">
      <c r="B25" s="64" t="str">
        <f>+'S&amp;D'!A31</f>
        <v>Spire Inc / Laclede Group Inc</v>
      </c>
      <c r="C25" s="91" t="str">
        <f>+'S&amp;D'!B31</f>
        <v>SR</v>
      </c>
      <c r="D25" s="169">
        <f>+'S&amp;D'!G31</f>
        <v>67.83</v>
      </c>
      <c r="E25" s="269">
        <v>41.75</v>
      </c>
      <c r="F25" s="73">
        <f t="shared" si="1"/>
        <v>1.6246706586826347</v>
      </c>
      <c r="G25" s="269">
        <v>53.05</v>
      </c>
      <c r="H25" s="313">
        <f t="shared" si="0"/>
        <v>1.2786050895381715</v>
      </c>
    </row>
    <row r="26" spans="2:8" ht="17.25">
      <c r="B26" s="64" t="str">
        <f>+'S&amp;D'!A32</f>
        <v>WEC Energy Group</v>
      </c>
      <c r="C26" s="91" t="str">
        <f>+'S&amp;D'!B32</f>
        <v>WEC</v>
      </c>
      <c r="D26" s="169">
        <f>+'S&amp;D'!G32</f>
        <v>94.04</v>
      </c>
      <c r="E26" s="269">
        <v>30.3</v>
      </c>
      <c r="F26" s="313">
        <f>D26/E26</f>
        <v>3.1036303630363036</v>
      </c>
      <c r="G26" s="269">
        <v>40.700000000000003</v>
      </c>
      <c r="H26" s="73">
        <f t="shared" si="0"/>
        <v>2.3105651105651104</v>
      </c>
    </row>
    <row r="27" spans="2:8" ht="10.5" customHeight="1" thickBot="1">
      <c r="B27" s="13"/>
      <c r="E27" s="72"/>
      <c r="F27" s="72"/>
      <c r="G27" s="72"/>
      <c r="H27" s="72"/>
    </row>
    <row r="28" spans="2:8" ht="17.25" thickTop="1">
      <c r="B28" s="13"/>
      <c r="D28" s="15" t="s">
        <v>56</v>
      </c>
      <c r="E28" s="17">
        <f>MAX(E16:E26)</f>
        <v>69.849999999999994</v>
      </c>
      <c r="F28" s="281">
        <f t="shared" ref="F28:H28" si="2">MAX(F16:F26)</f>
        <v>5.2954372623574146</v>
      </c>
      <c r="G28" s="17">
        <f t="shared" si="2"/>
        <v>83.5</v>
      </c>
      <c r="H28" s="17">
        <f t="shared" si="2"/>
        <v>2.4192377495462796</v>
      </c>
    </row>
    <row r="29" spans="2:8" ht="16.5">
      <c r="B29" s="13"/>
      <c r="D29" s="15" t="s">
        <v>57</v>
      </c>
      <c r="E29" s="274">
        <f>MIN(E16:E26)</f>
        <v>13.15</v>
      </c>
      <c r="F29" s="285">
        <f t="shared" ref="F29:H29" si="3">MIN(F16:F26)</f>
        <v>1.0123120973514674</v>
      </c>
      <c r="G29" s="274">
        <f t="shared" si="3"/>
        <v>17.899999999999999</v>
      </c>
      <c r="H29" s="274">
        <f t="shared" si="3"/>
        <v>0.91366120218579239</v>
      </c>
    </row>
    <row r="30" spans="2:8" ht="16.5">
      <c r="B30" s="13"/>
      <c r="D30" s="15" t="s">
        <v>18</v>
      </c>
      <c r="E30" s="58" t="s">
        <v>0</v>
      </c>
      <c r="F30" s="22">
        <f>MEDIAN(F16:F26)</f>
        <v>2.1367003367003368</v>
      </c>
      <c r="G30" s="58" t="s">
        <v>0</v>
      </c>
      <c r="H30" s="22">
        <f>MEDIAN(H16:H26)</f>
        <v>1.5776824034334762</v>
      </c>
    </row>
    <row r="31" spans="2:8" ht="16.5">
      <c r="B31" s="13"/>
      <c r="D31" s="15" t="s">
        <v>413</v>
      </c>
      <c r="E31" s="74" t="s">
        <v>0</v>
      </c>
      <c r="F31" s="22">
        <f>AVERAGE(F16:F26)</f>
        <v>2.3373105342773446</v>
      </c>
      <c r="G31" s="74" t="s">
        <v>0</v>
      </c>
      <c r="H31" s="22">
        <f>AVERAGE(H16:H26)</f>
        <v>1.6055411618917466</v>
      </c>
    </row>
    <row r="32" spans="2:8" ht="17.25" thickBot="1">
      <c r="B32" s="13"/>
      <c r="C32" s="13"/>
      <c r="D32" s="13"/>
      <c r="E32" s="13"/>
      <c r="F32" s="13"/>
      <c r="G32" s="13"/>
      <c r="H32" s="13"/>
    </row>
    <row r="33" spans="1:8" ht="27" thickBot="1">
      <c r="B33" s="76" t="s">
        <v>0</v>
      </c>
      <c r="C33" s="13"/>
      <c r="D33" s="25" t="s">
        <v>137</v>
      </c>
      <c r="E33" s="25"/>
      <c r="F33" s="328">
        <v>2.3400000000000001E-2</v>
      </c>
      <c r="H33" s="328">
        <v>1.61E-2</v>
      </c>
    </row>
    <row r="34" spans="1:8" ht="16.5">
      <c r="B34" s="76" t="s">
        <v>0</v>
      </c>
      <c r="C34" s="13"/>
      <c r="D34" s="13"/>
      <c r="E34" s="13"/>
      <c r="F34" s="13"/>
      <c r="G34" s="13"/>
      <c r="H34" s="13"/>
    </row>
    <row r="35" spans="1:8" ht="16.5">
      <c r="B35" s="76"/>
      <c r="C35" s="13"/>
      <c r="D35" s="13"/>
      <c r="E35" s="13"/>
      <c r="F35" s="13"/>
      <c r="G35" s="13"/>
      <c r="H35" s="13"/>
    </row>
    <row r="36" spans="1:8" ht="17.25">
      <c r="A36" s="112" t="s">
        <v>345</v>
      </c>
      <c r="B36" s="76"/>
      <c r="C36" s="13"/>
      <c r="D36" s="13"/>
      <c r="E36" s="13"/>
      <c r="F36" s="13"/>
      <c r="G36" s="13"/>
      <c r="H36" s="13"/>
    </row>
    <row r="37" spans="1:8" ht="17.25">
      <c r="A37" s="112" t="s">
        <v>346</v>
      </c>
      <c r="B37" s="76"/>
      <c r="C37" s="13"/>
      <c r="D37" s="13"/>
      <c r="E37" s="13"/>
      <c r="F37" s="13"/>
      <c r="G37" s="13"/>
      <c r="H37" s="13"/>
    </row>
    <row r="38" spans="1:8" ht="16.5">
      <c r="H38" s="13"/>
    </row>
    <row r="39" spans="1:8" ht="17.25">
      <c r="A39" s="112" t="s">
        <v>347</v>
      </c>
      <c r="H39" s="13"/>
    </row>
    <row r="40" spans="1:8" ht="17.25">
      <c r="A40" s="112" t="s">
        <v>348</v>
      </c>
    </row>
    <row r="41" spans="1:8" ht="17.25">
      <c r="A41" s="112" t="s">
        <v>349</v>
      </c>
    </row>
    <row r="47" spans="1:8" ht="17.25">
      <c r="A47" s="112"/>
      <c r="C47" s="251" t="s">
        <v>0</v>
      </c>
    </row>
    <row r="48" spans="1:8" ht="17.25">
      <c r="C48" s="251" t="s">
        <v>0</v>
      </c>
    </row>
    <row r="49" spans="3:3" ht="17.25">
      <c r="C49" s="251" t="s">
        <v>0</v>
      </c>
    </row>
  </sheetData>
  <pageMargins left="0.25" right="0.25" top="0.75" bottom="0.75" header="0.3" footer="0.3"/>
  <pageSetup scale="45" orientation="landscape" r:id="rId1"/>
  <rowBreaks count="1" manualBreakCount="1">
    <brk id="42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>
      <selection activeCell="X9" sqref="X9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31"/>
  <sheetViews>
    <sheetView view="pageBreakPreview" zoomScale="80" zoomScaleNormal="80" zoomScaleSheetLayoutView="80" workbookViewId="0">
      <selection activeCell="G30" sqref="G30"/>
    </sheetView>
  </sheetViews>
  <sheetFormatPr defaultRowHeight="15"/>
  <cols>
    <col min="1" max="1" width="22.28515625" customWidth="1"/>
    <col min="2" max="2" width="39.7109375" customWidth="1"/>
    <col min="3" max="3" width="16.85546875" customWidth="1"/>
    <col min="4" max="4" width="35.28515625" customWidth="1"/>
    <col min="5" max="5" width="18" customWidth="1"/>
    <col min="6" max="6" width="20.85546875" bestFit="1" customWidth="1"/>
    <col min="7" max="7" width="22" customWidth="1"/>
    <col min="8" max="8" width="23.7109375" customWidth="1"/>
  </cols>
  <sheetData>
    <row r="1" spans="1:11" ht="26.25">
      <c r="A1" s="25" t="s">
        <v>1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ht="17.25">
      <c r="A2" s="26" t="s">
        <v>9</v>
      </c>
      <c r="C2" s="13"/>
      <c r="D2" s="13"/>
      <c r="E2" s="13"/>
      <c r="F2" s="13"/>
      <c r="G2" s="13"/>
      <c r="H2" s="13"/>
      <c r="I2" s="13"/>
      <c r="J2" s="13"/>
      <c r="K2" s="13"/>
    </row>
    <row r="3" spans="1:11" ht="17.25" customHeight="1">
      <c r="A3" s="27" t="s">
        <v>444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ht="17.25" customHeight="1">
      <c r="B4" s="27"/>
      <c r="C4" s="13"/>
      <c r="D4" s="13"/>
      <c r="E4" s="13"/>
      <c r="F4" s="13"/>
      <c r="G4" s="13"/>
      <c r="H4" s="13"/>
      <c r="I4" s="13"/>
      <c r="J4" s="13"/>
      <c r="K4" s="13"/>
    </row>
    <row r="5" spans="1:11" ht="17.25" customHeight="1">
      <c r="B5" s="145"/>
      <c r="C5" s="13"/>
      <c r="D5" s="13"/>
      <c r="E5" s="13"/>
      <c r="F5" s="13"/>
      <c r="G5" s="13"/>
      <c r="H5" s="13"/>
      <c r="I5" s="13"/>
      <c r="J5" s="13"/>
      <c r="K5" s="13"/>
    </row>
    <row r="6" spans="1:11" ht="17.25" customHeight="1">
      <c r="B6" s="145"/>
      <c r="C6" s="13"/>
      <c r="D6" s="13"/>
      <c r="E6" s="13"/>
      <c r="F6" s="13"/>
      <c r="G6" s="13"/>
      <c r="H6" s="13"/>
      <c r="I6" s="13"/>
      <c r="J6" s="13"/>
      <c r="K6" s="13"/>
    </row>
    <row r="7" spans="1:11" ht="17.25" customHeight="1">
      <c r="B7" s="145"/>
      <c r="C7" s="13"/>
      <c r="D7" s="13"/>
      <c r="E7" s="13"/>
      <c r="F7" s="13"/>
      <c r="G7" s="13"/>
      <c r="H7" s="13"/>
      <c r="I7" s="13"/>
      <c r="J7" s="13"/>
      <c r="K7" s="13"/>
    </row>
    <row r="8" spans="1:11" ht="16.5">
      <c r="B8" s="27"/>
      <c r="C8" s="13"/>
      <c r="D8" s="13"/>
      <c r="E8" s="13"/>
      <c r="F8" s="13"/>
      <c r="G8" s="13"/>
      <c r="H8" s="13"/>
      <c r="I8" s="13"/>
      <c r="J8" s="13"/>
      <c r="K8" s="13"/>
    </row>
    <row r="9" spans="1:11" ht="20.25">
      <c r="B9" s="13"/>
      <c r="C9" s="13"/>
      <c r="D9" s="79" t="s">
        <v>0</v>
      </c>
      <c r="E9" s="13"/>
      <c r="F9" s="13"/>
      <c r="G9" s="13"/>
      <c r="H9" s="13"/>
      <c r="I9" s="13"/>
      <c r="J9" s="13"/>
      <c r="K9" s="13"/>
    </row>
    <row r="10" spans="1:11" ht="20.25">
      <c r="B10" s="13"/>
      <c r="C10" s="13"/>
      <c r="D10" s="79" t="s">
        <v>82</v>
      </c>
      <c r="E10" s="13"/>
      <c r="F10" s="13"/>
      <c r="G10" s="13"/>
      <c r="H10" s="13"/>
      <c r="I10" s="13"/>
      <c r="J10" s="13"/>
      <c r="K10" s="13"/>
    </row>
    <row r="11" spans="1:11" ht="16.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6.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6.5">
      <c r="B13" s="13"/>
      <c r="C13" s="13"/>
      <c r="D13" s="13"/>
      <c r="E13" s="28"/>
      <c r="F13" s="13"/>
      <c r="G13" s="13"/>
      <c r="H13" s="13"/>
      <c r="I13" s="13"/>
      <c r="J13" s="13"/>
      <c r="K13" s="13"/>
    </row>
    <row r="14" spans="1:11" ht="16.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7.25" thickBot="1">
      <c r="B15" s="13"/>
      <c r="C15" s="30"/>
      <c r="D15" s="30"/>
      <c r="E15" s="30"/>
      <c r="F15" s="13"/>
      <c r="G15" s="13"/>
      <c r="H15" s="13"/>
      <c r="I15" s="13"/>
      <c r="J15" s="13"/>
      <c r="K15" s="13"/>
    </row>
    <row r="16" spans="1:11" ht="26.25">
      <c r="B16" s="13"/>
      <c r="C16" s="13"/>
      <c r="D16" s="33" t="str">
        <f>+'S&amp;D'!A12</f>
        <v>Natural Gas Utility Distribution</v>
      </c>
      <c r="E16" s="13"/>
      <c r="F16" s="13"/>
      <c r="G16" s="13"/>
      <c r="H16" s="13"/>
      <c r="I16" s="13"/>
      <c r="J16" s="13"/>
      <c r="K16" s="13"/>
    </row>
    <row r="17" spans="2:11" ht="17.25" thickBot="1">
      <c r="B17" s="13"/>
      <c r="C17" s="30"/>
      <c r="D17" s="38" t="s">
        <v>0</v>
      </c>
      <c r="E17" s="30"/>
      <c r="F17" s="13"/>
      <c r="G17" s="13"/>
      <c r="H17" s="13"/>
      <c r="I17" s="13"/>
      <c r="J17" s="13"/>
      <c r="K17" s="13"/>
    </row>
    <row r="18" spans="2:11" ht="17.25" thickBot="1">
      <c r="B18" s="30"/>
      <c r="C18" s="30"/>
      <c r="D18" s="38" t="s">
        <v>0</v>
      </c>
      <c r="E18" s="30"/>
      <c r="F18" s="30"/>
      <c r="G18" s="30"/>
      <c r="H18" s="13"/>
      <c r="I18" s="13"/>
      <c r="J18" s="13"/>
      <c r="K18" s="13"/>
    </row>
    <row r="19" spans="2:11" ht="16.5">
      <c r="B19" s="36" t="s">
        <v>32</v>
      </c>
      <c r="C19" s="36" t="s">
        <v>33</v>
      </c>
      <c r="D19" s="36" t="s">
        <v>34</v>
      </c>
      <c r="E19" s="36" t="s">
        <v>86</v>
      </c>
      <c r="F19" s="36" t="s">
        <v>34</v>
      </c>
      <c r="G19" s="36" t="s">
        <v>35</v>
      </c>
      <c r="H19" s="13"/>
      <c r="I19" s="13"/>
      <c r="J19" s="13"/>
      <c r="K19" s="13"/>
    </row>
    <row r="20" spans="2:11" ht="17.25" thickBot="1">
      <c r="B20" s="38" t="s">
        <v>33</v>
      </c>
      <c r="C20" s="38" t="s">
        <v>36</v>
      </c>
      <c r="D20" s="38" t="s">
        <v>37</v>
      </c>
      <c r="E20" s="38" t="s">
        <v>23</v>
      </c>
      <c r="F20" s="38" t="s">
        <v>38</v>
      </c>
      <c r="G20" s="38" t="s">
        <v>39</v>
      </c>
      <c r="H20" s="13"/>
      <c r="I20" s="13"/>
      <c r="J20" s="13"/>
      <c r="K20" s="13"/>
    </row>
    <row r="21" spans="2:11" ht="16.5">
      <c r="B21" s="40" t="s">
        <v>0</v>
      </c>
      <c r="C21" s="40" t="s">
        <v>0</v>
      </c>
      <c r="D21" s="40" t="s">
        <v>0</v>
      </c>
      <c r="E21" s="40" t="s">
        <v>0</v>
      </c>
      <c r="F21" s="40" t="s">
        <v>0</v>
      </c>
      <c r="G21" s="40" t="s">
        <v>0</v>
      </c>
      <c r="H21" s="13"/>
      <c r="I21" s="13"/>
      <c r="J21" s="13"/>
      <c r="K21" s="13"/>
    </row>
    <row r="22" spans="2:11" ht="16.5">
      <c r="B22" s="36"/>
      <c r="C22" s="36"/>
      <c r="D22" s="36"/>
      <c r="E22" s="36"/>
      <c r="F22" s="36"/>
      <c r="G22" s="36"/>
      <c r="H22" s="13"/>
      <c r="I22" s="13"/>
      <c r="J22" s="13"/>
      <c r="K22" s="13"/>
    </row>
    <row r="23" spans="2:11" ht="17.25">
      <c r="B23" s="91" t="s">
        <v>40</v>
      </c>
      <c r="C23" s="137">
        <f>'S&amp;D'!I58</f>
        <v>0.57999999999999996</v>
      </c>
      <c r="D23" s="137">
        <f>+'Indicated Yield Equity Rates'!D51</f>
        <v>9.4E-2</v>
      </c>
      <c r="E23" s="107" t="s">
        <v>41</v>
      </c>
      <c r="F23" s="137">
        <f>+D23</f>
        <v>9.4E-2</v>
      </c>
      <c r="G23" s="138">
        <f>+F23*C23</f>
        <v>5.4519999999999999E-2</v>
      </c>
      <c r="H23" s="13"/>
      <c r="I23" s="13"/>
      <c r="J23" s="13"/>
      <c r="K23" s="13"/>
    </row>
    <row r="24" spans="2:11" ht="17.25">
      <c r="B24" s="91" t="s">
        <v>0</v>
      </c>
      <c r="C24" s="107" t="s">
        <v>0</v>
      </c>
      <c r="D24" s="107" t="s">
        <v>0</v>
      </c>
      <c r="E24" s="107" t="s">
        <v>0</v>
      </c>
      <c r="F24" s="139" t="s">
        <v>0</v>
      </c>
      <c r="G24" s="126" t="s">
        <v>0</v>
      </c>
      <c r="H24" s="13"/>
      <c r="I24" s="13"/>
      <c r="J24" s="13"/>
      <c r="K24" s="13"/>
    </row>
    <row r="25" spans="2:11" ht="17.25">
      <c r="B25" s="91" t="s">
        <v>42</v>
      </c>
      <c r="C25" s="137">
        <f>'S&amp;D'!J58</f>
        <v>0.42</v>
      </c>
      <c r="D25" s="137">
        <f>+Debt!J33</f>
        <v>5.7299999999999997E-2</v>
      </c>
      <c r="E25" s="137">
        <v>0.26</v>
      </c>
      <c r="F25" s="137">
        <f>+D25*(1-E25)</f>
        <v>4.2401999999999995E-2</v>
      </c>
      <c r="G25" s="138">
        <f>+C25*F25</f>
        <v>1.7808839999999996E-2</v>
      </c>
      <c r="H25" s="13"/>
      <c r="I25" s="13"/>
      <c r="J25" s="13"/>
      <c r="K25" s="13"/>
    </row>
    <row r="26" spans="2:11" ht="18" thickBot="1">
      <c r="B26" s="100" t="s">
        <v>0</v>
      </c>
      <c r="C26" s="100" t="s">
        <v>0</v>
      </c>
      <c r="D26" s="100" t="s">
        <v>0</v>
      </c>
      <c r="E26" s="100" t="s">
        <v>0</v>
      </c>
      <c r="F26" s="140" t="s">
        <v>0</v>
      </c>
      <c r="G26" s="141" t="s">
        <v>0</v>
      </c>
      <c r="H26" s="13"/>
      <c r="I26" s="13"/>
      <c r="J26" s="13"/>
      <c r="K26" s="13"/>
    </row>
    <row r="27" spans="2:11" ht="17.25">
      <c r="B27" s="91" t="s">
        <v>89</v>
      </c>
      <c r="C27" s="142">
        <f>+C23+C25</f>
        <v>1</v>
      </c>
      <c r="D27" s="91" t="s">
        <v>0</v>
      </c>
      <c r="E27" s="91" t="s">
        <v>0</v>
      </c>
      <c r="F27" s="143" t="s">
        <v>0</v>
      </c>
      <c r="G27" s="138">
        <f>+G23+G25</f>
        <v>7.2328839999999991E-2</v>
      </c>
      <c r="H27" s="13"/>
      <c r="I27" s="13"/>
      <c r="J27" s="13"/>
      <c r="K27" s="13"/>
    </row>
    <row r="28" spans="2:11" ht="18" thickBot="1">
      <c r="B28" s="64"/>
      <c r="C28" s="64"/>
      <c r="D28" s="64"/>
      <c r="E28" s="64"/>
      <c r="F28" s="64"/>
      <c r="G28" s="144"/>
      <c r="H28" s="13"/>
      <c r="I28" s="13"/>
      <c r="J28" s="13"/>
      <c r="K28" s="13"/>
    </row>
    <row r="29" spans="2:11" ht="18" thickBot="1">
      <c r="B29" s="13"/>
      <c r="C29" s="13"/>
      <c r="D29" s="13"/>
      <c r="E29" s="13"/>
      <c r="F29" s="189" t="s">
        <v>92</v>
      </c>
      <c r="G29" s="173">
        <v>7.2300000000000003E-2</v>
      </c>
      <c r="H29" s="13"/>
      <c r="I29" s="13"/>
      <c r="J29" s="13"/>
      <c r="K29" s="13"/>
    </row>
    <row r="30" spans="2:11" ht="16.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ht="16.5">
      <c r="B31" s="13"/>
      <c r="C31" s="13"/>
      <c r="D31" s="13"/>
      <c r="E31" s="13"/>
      <c r="F31" s="13"/>
      <c r="G31" s="13"/>
      <c r="H31" s="13"/>
      <c r="I31" s="13"/>
      <c r="J31" s="13"/>
      <c r="K31" s="13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>
    <tabColor rgb="FF92D050"/>
    <pageSetUpPr fitToPage="1"/>
  </sheetPr>
  <dimension ref="A1:K64"/>
  <sheetViews>
    <sheetView view="pageBreakPreview" topLeftCell="A13" zoomScale="80" zoomScaleNormal="80" zoomScaleSheetLayoutView="80" workbookViewId="0">
      <selection activeCell="G30" sqref="G30"/>
    </sheetView>
  </sheetViews>
  <sheetFormatPr defaultRowHeight="15"/>
  <cols>
    <col min="1" max="1" width="17.28515625" customWidth="1"/>
    <col min="2" max="2" width="31.7109375" customWidth="1"/>
    <col min="3" max="3" width="16.5703125" customWidth="1"/>
    <col min="4" max="4" width="35.28515625" customWidth="1"/>
    <col min="5" max="5" width="14.85546875" customWidth="1"/>
    <col min="6" max="6" width="25.85546875" customWidth="1"/>
    <col min="7" max="7" width="24.140625" customWidth="1"/>
    <col min="8" max="8" width="17.7109375" customWidth="1"/>
  </cols>
  <sheetData>
    <row r="1" spans="1:11" ht="26.25">
      <c r="A1" s="25" t="s">
        <v>1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ht="17.25">
      <c r="A2" s="26" t="s">
        <v>9</v>
      </c>
      <c r="C2" s="13"/>
      <c r="D2" s="13"/>
      <c r="E2" s="13"/>
      <c r="F2" s="13"/>
      <c r="G2" s="13"/>
      <c r="H2" s="13"/>
      <c r="I2" s="13"/>
      <c r="J2" s="13"/>
      <c r="K2" s="13"/>
    </row>
    <row r="3" spans="1:11" ht="16.5">
      <c r="A3" s="27" t="s">
        <v>444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ht="16.5">
      <c r="B4" s="27"/>
      <c r="C4" s="13"/>
      <c r="D4" s="13"/>
      <c r="E4" s="13"/>
      <c r="F4" s="13"/>
      <c r="G4" s="13"/>
      <c r="H4" s="13"/>
      <c r="I4" s="13"/>
      <c r="J4" s="13"/>
      <c r="K4" s="13"/>
    </row>
    <row r="5" spans="1:11" ht="16.5">
      <c r="B5" s="27"/>
      <c r="C5" s="13"/>
      <c r="D5" s="13"/>
      <c r="E5" s="13"/>
      <c r="F5" s="13"/>
      <c r="G5" s="13"/>
      <c r="H5" s="13"/>
      <c r="I5" s="13"/>
      <c r="J5" s="13"/>
      <c r="K5" s="13"/>
    </row>
    <row r="6" spans="1:11" ht="16.5">
      <c r="B6" s="27"/>
      <c r="C6" s="13"/>
      <c r="D6" s="13"/>
      <c r="E6" s="13"/>
      <c r="F6" s="13"/>
      <c r="G6" s="13"/>
      <c r="H6" s="13"/>
      <c r="I6" s="13"/>
      <c r="J6" s="13"/>
      <c r="K6" s="13"/>
    </row>
    <row r="7" spans="1:11" ht="16.5">
      <c r="B7" s="27"/>
      <c r="C7" s="13"/>
      <c r="D7" s="13"/>
      <c r="E7" s="13"/>
      <c r="F7" s="13"/>
      <c r="G7" s="13"/>
      <c r="H7" s="13"/>
      <c r="I7" s="13"/>
      <c r="J7" s="13"/>
      <c r="K7" s="13"/>
    </row>
    <row r="8" spans="1:11" ht="16.5">
      <c r="B8" s="27"/>
      <c r="C8" s="13"/>
      <c r="D8" s="13"/>
      <c r="E8" s="13"/>
      <c r="F8" s="13"/>
      <c r="G8" s="13"/>
      <c r="H8" s="13"/>
      <c r="I8" s="13"/>
      <c r="J8" s="13"/>
      <c r="K8" s="13"/>
    </row>
    <row r="9" spans="1:11" ht="16.5">
      <c r="B9" s="27"/>
      <c r="C9" s="13"/>
      <c r="D9" s="13"/>
      <c r="E9" s="13"/>
      <c r="F9" s="13"/>
      <c r="G9" s="13"/>
      <c r="H9" s="13"/>
      <c r="I9" s="13"/>
      <c r="J9" s="13"/>
      <c r="K9" s="13"/>
    </row>
    <row r="10" spans="1:11" ht="20.25">
      <c r="B10" s="13"/>
      <c r="C10" s="13"/>
      <c r="D10" s="79" t="s">
        <v>0</v>
      </c>
      <c r="E10" s="13"/>
      <c r="F10" s="13"/>
      <c r="G10" s="13"/>
      <c r="H10" s="13"/>
      <c r="I10" s="13"/>
      <c r="J10" s="13"/>
      <c r="K10" s="13"/>
    </row>
    <row r="11" spans="1:11" ht="20.25">
      <c r="B11" s="13"/>
      <c r="C11" s="13"/>
      <c r="D11" s="79" t="s">
        <v>81</v>
      </c>
      <c r="E11" s="13"/>
      <c r="F11" s="13"/>
      <c r="G11" s="13"/>
      <c r="H11" s="13"/>
      <c r="I11" s="13"/>
      <c r="J11" s="13"/>
      <c r="K11" s="13"/>
    </row>
    <row r="12" spans="1:11" ht="16.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6.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25" thickBot="1">
      <c r="B14" s="13"/>
      <c r="C14" s="30"/>
      <c r="D14" s="30"/>
      <c r="E14" s="30"/>
      <c r="F14" s="13"/>
      <c r="G14" s="13"/>
      <c r="H14" s="13"/>
      <c r="I14" s="13"/>
      <c r="J14" s="13"/>
      <c r="K14" s="13"/>
    </row>
    <row r="15" spans="1:11" ht="26.25">
      <c r="B15" s="13"/>
      <c r="C15" s="13"/>
      <c r="D15" s="33" t="str">
        <f>+'S&amp;D'!A12</f>
        <v>Natural Gas Utility Distribution</v>
      </c>
      <c r="E15" s="13"/>
      <c r="F15" s="13"/>
      <c r="G15" s="13"/>
      <c r="H15" s="13"/>
      <c r="I15" s="13"/>
      <c r="J15" s="13"/>
      <c r="K15" s="13"/>
    </row>
    <row r="16" spans="1:11" ht="21" thickBot="1">
      <c r="B16" s="13"/>
      <c r="C16" s="30"/>
      <c r="D16" s="136" t="s">
        <v>88</v>
      </c>
      <c r="E16" s="30"/>
      <c r="F16" s="13"/>
      <c r="G16" s="13"/>
      <c r="H16" s="13"/>
      <c r="I16" s="13"/>
      <c r="J16" s="13"/>
      <c r="K16" s="13"/>
    </row>
    <row r="17" spans="2:11" ht="16.5">
      <c r="H17" s="13"/>
      <c r="I17" s="13"/>
      <c r="J17" s="13"/>
      <c r="K17" s="13"/>
    </row>
    <row r="18" spans="2:11" ht="17.25" thickBot="1">
      <c r="B18" s="30"/>
      <c r="C18" s="30"/>
      <c r="D18" s="38" t="s">
        <v>0</v>
      </c>
      <c r="E18" s="30"/>
      <c r="F18" s="30"/>
      <c r="G18" s="30"/>
      <c r="H18" s="13"/>
      <c r="I18" s="13"/>
      <c r="J18" s="13"/>
      <c r="K18" s="13"/>
    </row>
    <row r="19" spans="2:11" ht="16.5">
      <c r="B19" s="36" t="s">
        <v>32</v>
      </c>
      <c r="C19" s="36" t="s">
        <v>33</v>
      </c>
      <c r="D19" s="36" t="s">
        <v>85</v>
      </c>
      <c r="E19" s="36" t="s">
        <v>86</v>
      </c>
      <c r="F19" s="36" t="s">
        <v>84</v>
      </c>
      <c r="G19" s="36" t="s">
        <v>35</v>
      </c>
      <c r="H19" s="13"/>
      <c r="I19" s="13"/>
      <c r="J19" s="13"/>
      <c r="K19" s="13"/>
    </row>
    <row r="20" spans="2:11" ht="17.25" thickBot="1">
      <c r="B20" s="38" t="s">
        <v>33</v>
      </c>
      <c r="C20" s="38" t="s">
        <v>36</v>
      </c>
      <c r="D20" s="38" t="s">
        <v>37</v>
      </c>
      <c r="E20" s="38" t="s">
        <v>23</v>
      </c>
      <c r="F20" s="38" t="s">
        <v>38</v>
      </c>
      <c r="G20" s="38" t="s">
        <v>87</v>
      </c>
      <c r="H20" s="13"/>
      <c r="I20" s="13"/>
      <c r="J20" s="13"/>
      <c r="K20" s="13"/>
    </row>
    <row r="21" spans="2:11" ht="16.5">
      <c r="B21" s="40" t="s">
        <v>0</v>
      </c>
      <c r="C21" s="40" t="s">
        <v>0</v>
      </c>
      <c r="D21" s="40" t="s">
        <v>0</v>
      </c>
      <c r="E21" s="40" t="s">
        <v>0</v>
      </c>
      <c r="F21" s="40" t="s">
        <v>0</v>
      </c>
      <c r="G21" s="40" t="s">
        <v>0</v>
      </c>
      <c r="H21" s="13"/>
      <c r="I21" s="13"/>
      <c r="J21" s="13"/>
      <c r="K21" s="13"/>
    </row>
    <row r="22" spans="2:11" ht="16.5">
      <c r="B22" s="36"/>
      <c r="C22" s="36"/>
      <c r="D22" s="36"/>
      <c r="E22" s="36"/>
      <c r="F22" s="36"/>
      <c r="G22" s="36"/>
      <c r="H22" s="13"/>
      <c r="I22" s="13"/>
      <c r="J22" s="13"/>
      <c r="K22" s="13"/>
    </row>
    <row r="23" spans="2:11" ht="17.25">
      <c r="B23" s="91" t="s">
        <v>40</v>
      </c>
      <c r="C23" s="137">
        <f>'S&amp;D'!I58</f>
        <v>0.57999999999999996</v>
      </c>
      <c r="D23" s="137">
        <f>+'Direct NOPAT'!J37</f>
        <v>6.3299999999999995E-2</v>
      </c>
      <c r="E23" s="107" t="s">
        <v>41</v>
      </c>
      <c r="F23" s="137">
        <f>+D23</f>
        <v>6.3299999999999995E-2</v>
      </c>
      <c r="G23" s="138">
        <f>+F23*C23</f>
        <v>3.6713999999999997E-2</v>
      </c>
      <c r="H23" s="13"/>
      <c r="I23" s="13"/>
      <c r="J23" s="13"/>
      <c r="K23" s="13"/>
    </row>
    <row r="24" spans="2:11" ht="17.25">
      <c r="B24" s="91" t="s">
        <v>0</v>
      </c>
      <c r="C24" s="107" t="s">
        <v>0</v>
      </c>
      <c r="D24" s="107" t="s">
        <v>0</v>
      </c>
      <c r="E24" s="107" t="s">
        <v>0</v>
      </c>
      <c r="F24" s="139" t="s">
        <v>0</v>
      </c>
      <c r="G24" s="126" t="s">
        <v>0</v>
      </c>
      <c r="H24" s="13"/>
      <c r="I24" s="13"/>
      <c r="J24" s="13"/>
      <c r="K24" s="13"/>
    </row>
    <row r="25" spans="2:11" ht="17.25">
      <c r="B25" s="91" t="s">
        <v>42</v>
      </c>
      <c r="C25" s="137">
        <f>'S&amp;D'!J58</f>
        <v>0.42</v>
      </c>
      <c r="D25" s="137">
        <f>+Debt!J33</f>
        <v>5.7299999999999997E-2</v>
      </c>
      <c r="E25" s="137">
        <v>0.26</v>
      </c>
      <c r="F25" s="137">
        <f>+D25*(1-E25)</f>
        <v>4.2401999999999995E-2</v>
      </c>
      <c r="G25" s="138">
        <f>+C25*F25</f>
        <v>1.7808839999999996E-2</v>
      </c>
      <c r="H25" s="13"/>
      <c r="I25" s="13"/>
      <c r="J25" s="13"/>
      <c r="K25" s="13"/>
    </row>
    <row r="26" spans="2:11" ht="18" thickBot="1">
      <c r="B26" s="100" t="s">
        <v>0</v>
      </c>
      <c r="C26" s="100" t="s">
        <v>0</v>
      </c>
      <c r="D26" s="100" t="s">
        <v>0</v>
      </c>
      <c r="E26" s="100" t="s">
        <v>0</v>
      </c>
      <c r="F26" s="140" t="s">
        <v>0</v>
      </c>
      <c r="G26" s="141" t="s">
        <v>0</v>
      </c>
      <c r="H26" s="13"/>
      <c r="I26" s="13"/>
      <c r="J26" s="13"/>
      <c r="K26" s="13"/>
    </row>
    <row r="27" spans="2:11" ht="17.25">
      <c r="B27" s="91" t="s">
        <v>43</v>
      </c>
      <c r="C27" s="142">
        <f>+C23+C25</f>
        <v>1</v>
      </c>
      <c r="D27" s="91" t="s">
        <v>0</v>
      </c>
      <c r="E27" s="91" t="s">
        <v>0</v>
      </c>
      <c r="F27" s="143" t="s">
        <v>0</v>
      </c>
      <c r="G27" s="138">
        <f>+G23+G25</f>
        <v>5.4522839999999989E-2</v>
      </c>
      <c r="H27" s="13"/>
      <c r="I27" s="13"/>
      <c r="J27" s="13"/>
      <c r="K27" s="13"/>
    </row>
    <row r="28" spans="2:11" ht="18" thickBot="1">
      <c r="B28" s="64"/>
      <c r="C28" s="64"/>
      <c r="D28" s="64"/>
      <c r="E28" s="64"/>
      <c r="F28" s="64"/>
      <c r="G28" s="144"/>
      <c r="H28" s="13"/>
      <c r="I28" s="13"/>
      <c r="J28" s="13"/>
      <c r="K28" s="13"/>
    </row>
    <row r="29" spans="2:11" ht="18" thickBot="1">
      <c r="B29" s="13"/>
      <c r="C29" s="13"/>
      <c r="D29" s="13"/>
      <c r="E29" s="13"/>
      <c r="F29" s="189" t="s">
        <v>92</v>
      </c>
      <c r="G29" s="173">
        <v>5.45E-2</v>
      </c>
      <c r="H29" s="13"/>
      <c r="I29" s="13"/>
      <c r="J29" s="13"/>
      <c r="K29" s="13"/>
    </row>
    <row r="30" spans="2:11" ht="18" thickBot="1">
      <c r="B30" s="13"/>
      <c r="C30" s="13"/>
      <c r="D30" s="13"/>
      <c r="E30" s="13"/>
      <c r="F30" s="143"/>
      <c r="G30" s="138"/>
      <c r="H30" s="13"/>
      <c r="I30" s="13"/>
      <c r="J30" s="13"/>
      <c r="K30" s="13"/>
    </row>
    <row r="31" spans="2:11" ht="18" thickBot="1">
      <c r="B31" s="13"/>
      <c r="C31" s="13"/>
      <c r="D31" s="13"/>
      <c r="E31" s="13"/>
      <c r="F31" s="189" t="s">
        <v>242</v>
      </c>
      <c r="G31" s="216">
        <f>1/G29</f>
        <v>18.348623853211009</v>
      </c>
      <c r="H31" s="13"/>
      <c r="I31" s="13"/>
      <c r="J31" s="13"/>
      <c r="K31" s="13"/>
    </row>
    <row r="32" spans="2:11" ht="17.25">
      <c r="B32" s="13"/>
      <c r="C32" s="13"/>
      <c r="D32" s="13"/>
      <c r="E32" s="13"/>
      <c r="F32" s="143"/>
      <c r="G32" s="138"/>
      <c r="H32" s="13"/>
      <c r="I32" s="13"/>
      <c r="J32" s="13"/>
      <c r="K32" s="13"/>
    </row>
    <row r="33" spans="1:11" ht="17.25">
      <c r="B33" s="13"/>
      <c r="C33" s="13"/>
      <c r="D33" s="13"/>
      <c r="E33" s="13"/>
      <c r="F33" s="143"/>
      <c r="G33" s="138"/>
      <c r="H33" s="13"/>
      <c r="I33" s="13"/>
      <c r="J33" s="13"/>
      <c r="K33" s="13"/>
    </row>
    <row r="34" spans="1:11" ht="26.25">
      <c r="A34" s="25" t="s">
        <v>1</v>
      </c>
      <c r="C34" s="13"/>
      <c r="D34" s="13"/>
      <c r="E34" s="13"/>
      <c r="F34" s="143"/>
      <c r="G34" s="138"/>
      <c r="H34" s="13"/>
      <c r="I34" s="13"/>
      <c r="J34" s="13"/>
      <c r="K34" s="13"/>
    </row>
    <row r="35" spans="1:11" ht="17.25">
      <c r="A35" s="26" t="s">
        <v>9</v>
      </c>
      <c r="C35" s="13"/>
      <c r="D35" s="13"/>
      <c r="E35" s="13"/>
      <c r="F35" s="143"/>
      <c r="G35" s="138"/>
      <c r="H35" s="13"/>
      <c r="I35" s="13"/>
      <c r="J35" s="13"/>
      <c r="K35" s="13"/>
    </row>
    <row r="36" spans="1:11" ht="17.25">
      <c r="A36" s="27" t="s">
        <v>444</v>
      </c>
      <c r="C36" s="13"/>
      <c r="D36" s="13"/>
      <c r="E36" s="13"/>
      <c r="F36" s="143"/>
      <c r="G36" s="138"/>
      <c r="H36" s="13"/>
      <c r="I36" s="13"/>
      <c r="J36" s="13"/>
      <c r="K36" s="13"/>
    </row>
    <row r="37" spans="1:11" ht="17.25">
      <c r="A37" s="27"/>
      <c r="C37" s="13"/>
      <c r="D37" s="13"/>
      <c r="E37" s="13"/>
      <c r="F37" s="143"/>
      <c r="G37" s="138"/>
      <c r="H37" s="13"/>
      <c r="I37" s="13"/>
      <c r="J37" s="13"/>
      <c r="K37" s="13"/>
    </row>
    <row r="38" spans="1:11" ht="17.25">
      <c r="A38" s="27"/>
      <c r="C38" s="13"/>
      <c r="D38" s="13"/>
      <c r="E38" s="13"/>
      <c r="F38" s="143"/>
      <c r="G38" s="138"/>
      <c r="H38" s="13"/>
      <c r="I38" s="13"/>
      <c r="J38" s="13"/>
      <c r="K38" s="13"/>
    </row>
    <row r="39" spans="1:11" ht="17.25">
      <c r="A39" s="27"/>
      <c r="C39" s="13"/>
      <c r="D39" s="13"/>
      <c r="E39" s="13"/>
      <c r="F39" s="143"/>
      <c r="G39" s="138"/>
      <c r="H39" s="13"/>
      <c r="I39" s="13"/>
      <c r="J39" s="13"/>
      <c r="K39" s="13"/>
    </row>
    <row r="40" spans="1:11" ht="17.25">
      <c r="A40" s="27"/>
      <c r="C40" s="13"/>
      <c r="D40" s="13"/>
      <c r="E40" s="13"/>
      <c r="F40" s="143"/>
      <c r="G40" s="138"/>
      <c r="H40" s="13"/>
      <c r="I40" s="13"/>
      <c r="J40" s="13"/>
      <c r="K40" s="13"/>
    </row>
    <row r="41" spans="1:11" ht="17.25">
      <c r="A41" s="27"/>
      <c r="C41" s="13"/>
      <c r="D41" s="13"/>
      <c r="E41" s="13"/>
      <c r="F41" s="143"/>
      <c r="G41" s="138"/>
      <c r="H41" s="13"/>
      <c r="I41" s="13"/>
      <c r="J41" s="13"/>
      <c r="K41" s="13"/>
    </row>
    <row r="42" spans="1:11" ht="17.25">
      <c r="A42" s="27"/>
      <c r="C42" s="13"/>
      <c r="D42" s="13"/>
      <c r="E42" s="13"/>
      <c r="F42" s="143"/>
      <c r="G42" s="138"/>
      <c r="H42" s="13"/>
      <c r="I42" s="13"/>
      <c r="J42" s="13"/>
      <c r="K42" s="13"/>
    </row>
    <row r="43" spans="1:11" ht="17.25">
      <c r="A43" s="27"/>
      <c r="C43" s="13"/>
      <c r="D43" s="13"/>
      <c r="E43" s="13"/>
      <c r="F43" s="143"/>
      <c r="G43" s="138"/>
      <c r="H43" s="13"/>
      <c r="I43" s="13"/>
      <c r="J43" s="13"/>
      <c r="K43" s="13"/>
    </row>
    <row r="44" spans="1:11" ht="20.25">
      <c r="A44" s="27"/>
      <c r="C44" s="13"/>
      <c r="D44" s="79" t="s">
        <v>81</v>
      </c>
      <c r="E44" s="13"/>
      <c r="F44" s="143"/>
      <c r="G44" s="138"/>
      <c r="H44" s="13"/>
      <c r="I44" s="13"/>
      <c r="J44" s="13"/>
      <c r="K44" s="13"/>
    </row>
    <row r="45" spans="1:11" ht="20.25">
      <c r="A45" s="27"/>
      <c r="C45" s="13"/>
      <c r="D45" s="79"/>
      <c r="E45" s="13"/>
      <c r="F45" s="143"/>
      <c r="G45" s="138"/>
      <c r="H45" s="13"/>
      <c r="I45" s="13"/>
      <c r="J45" s="13"/>
      <c r="K45" s="13"/>
    </row>
    <row r="46" spans="1:11" ht="20.25">
      <c r="A46" s="27"/>
      <c r="C46" s="13"/>
      <c r="D46" s="79"/>
      <c r="E46" s="13"/>
      <c r="F46" s="143"/>
      <c r="G46" s="138"/>
      <c r="H46" s="13"/>
      <c r="I46" s="13"/>
      <c r="J46" s="13"/>
      <c r="K46" s="13"/>
    </row>
    <row r="47" spans="1:11" ht="17.25" thickBot="1">
      <c r="B47" s="13"/>
      <c r="C47" s="30"/>
      <c r="D47" s="30"/>
      <c r="E47" s="30"/>
      <c r="F47" s="13"/>
      <c r="G47" s="13"/>
      <c r="H47" s="13"/>
      <c r="I47" s="13"/>
      <c r="J47" s="13"/>
      <c r="K47" s="13"/>
    </row>
    <row r="48" spans="1:11" ht="26.25">
      <c r="B48" s="13"/>
      <c r="C48" s="13"/>
      <c r="D48" s="33" t="str">
        <f>+D15</f>
        <v>Natural Gas Utility Distribution</v>
      </c>
      <c r="E48" s="13"/>
      <c r="F48" s="13"/>
      <c r="G48" s="13"/>
      <c r="H48" s="13"/>
      <c r="I48" s="13"/>
      <c r="J48" s="13"/>
      <c r="K48" s="13"/>
    </row>
    <row r="49" spans="2:11" ht="21" thickBot="1">
      <c r="B49" s="13"/>
      <c r="C49" s="30"/>
      <c r="D49" s="136" t="s">
        <v>83</v>
      </c>
      <c r="E49" s="30"/>
      <c r="F49" s="13"/>
      <c r="G49" s="13"/>
      <c r="H49" s="13"/>
      <c r="I49" s="13"/>
      <c r="J49" s="13"/>
      <c r="K49" s="13"/>
    </row>
    <row r="50" spans="2:11" ht="16.5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 ht="17.25" thickBot="1">
      <c r="B51" s="30"/>
      <c r="C51" s="30"/>
      <c r="D51" s="38" t="s">
        <v>0</v>
      </c>
      <c r="E51" s="30"/>
      <c r="F51" s="30"/>
      <c r="G51" s="30"/>
      <c r="H51" s="13"/>
      <c r="I51" s="13"/>
      <c r="J51" s="13"/>
      <c r="K51" s="13"/>
    </row>
    <row r="52" spans="2:11" ht="16.5">
      <c r="B52" s="36" t="s">
        <v>32</v>
      </c>
      <c r="C52" s="36" t="s">
        <v>33</v>
      </c>
      <c r="D52" s="36" t="s">
        <v>85</v>
      </c>
      <c r="E52" s="36" t="s">
        <v>86</v>
      </c>
      <c r="F52" s="36" t="s">
        <v>84</v>
      </c>
      <c r="G52" s="36" t="s">
        <v>35</v>
      </c>
      <c r="H52" s="13"/>
      <c r="I52" s="13"/>
      <c r="J52" s="13"/>
      <c r="K52" s="13"/>
    </row>
    <row r="53" spans="2:11" ht="17.25" thickBot="1">
      <c r="B53" s="38" t="s">
        <v>33</v>
      </c>
      <c r="C53" s="38" t="s">
        <v>36</v>
      </c>
      <c r="D53" s="38" t="s">
        <v>37</v>
      </c>
      <c r="E53" s="38" t="s">
        <v>23</v>
      </c>
      <c r="F53" s="38" t="s">
        <v>38</v>
      </c>
      <c r="G53" s="38" t="s">
        <v>87</v>
      </c>
      <c r="H53" s="13"/>
      <c r="I53" s="13"/>
      <c r="J53" s="13"/>
      <c r="K53" s="13"/>
    </row>
    <row r="54" spans="2:11" ht="16.5">
      <c r="B54" s="40" t="s">
        <v>0</v>
      </c>
      <c r="C54" s="40" t="s">
        <v>0</v>
      </c>
      <c r="D54" s="40" t="s">
        <v>0</v>
      </c>
      <c r="E54" s="40" t="s">
        <v>0</v>
      </c>
      <c r="F54" s="40" t="s">
        <v>0</v>
      </c>
      <c r="G54" s="40" t="s">
        <v>0</v>
      </c>
      <c r="H54" s="13"/>
      <c r="I54" s="13"/>
      <c r="J54" s="13"/>
      <c r="K54" s="13"/>
    </row>
    <row r="55" spans="2:11" ht="16.5">
      <c r="B55" s="36"/>
      <c r="C55" s="36"/>
      <c r="D55" s="36"/>
      <c r="E55" s="36"/>
      <c r="F55" s="36"/>
      <c r="G55" s="36"/>
      <c r="H55" s="13"/>
      <c r="I55" s="13"/>
      <c r="J55" s="13"/>
      <c r="K55" s="13"/>
    </row>
    <row r="56" spans="2:11" ht="17.25">
      <c r="B56" s="91" t="s">
        <v>40</v>
      </c>
      <c r="C56" s="137">
        <f>'S&amp;D'!I58</f>
        <v>0.57999999999999996</v>
      </c>
      <c r="D56" s="137">
        <f>'Direct GCF'!H36</f>
        <v>0.12925</v>
      </c>
      <c r="E56" s="107" t="s">
        <v>41</v>
      </c>
      <c r="F56" s="137">
        <f>+D56</f>
        <v>0.12925</v>
      </c>
      <c r="G56" s="138">
        <f>+F56*C56</f>
        <v>7.4965000000000004E-2</v>
      </c>
      <c r="H56" s="13"/>
      <c r="I56" s="13"/>
      <c r="J56" s="13"/>
      <c r="K56" s="13"/>
    </row>
    <row r="57" spans="2:11" ht="17.25">
      <c r="B57" s="91" t="s">
        <v>0</v>
      </c>
      <c r="C57" s="107" t="s">
        <v>0</v>
      </c>
      <c r="D57" s="107" t="s">
        <v>0</v>
      </c>
      <c r="E57" s="107" t="s">
        <v>0</v>
      </c>
      <c r="F57" s="139" t="s">
        <v>0</v>
      </c>
      <c r="G57" s="126" t="s">
        <v>0</v>
      </c>
      <c r="H57" s="13"/>
      <c r="I57" s="13"/>
      <c r="J57" s="13"/>
      <c r="K57" s="13"/>
    </row>
    <row r="58" spans="2:11" ht="17.25">
      <c r="B58" s="91" t="s">
        <v>42</v>
      </c>
      <c r="C58" s="137">
        <f>'S&amp;D'!J58</f>
        <v>0.42</v>
      </c>
      <c r="D58" s="137">
        <f>+Debt!J33</f>
        <v>5.7299999999999997E-2</v>
      </c>
      <c r="E58" s="137">
        <v>0.26</v>
      </c>
      <c r="F58" s="137">
        <f>+D58*(1-E58)</f>
        <v>4.2401999999999995E-2</v>
      </c>
      <c r="G58" s="138">
        <f>+C58*F58</f>
        <v>1.7808839999999996E-2</v>
      </c>
      <c r="H58" s="13"/>
      <c r="I58" s="13"/>
      <c r="J58" s="13"/>
      <c r="K58" s="13"/>
    </row>
    <row r="59" spans="2:11" ht="18" thickBot="1">
      <c r="B59" s="100" t="s">
        <v>0</v>
      </c>
      <c r="C59" s="100" t="s">
        <v>0</v>
      </c>
      <c r="D59" s="100" t="s">
        <v>0</v>
      </c>
      <c r="E59" s="100" t="s">
        <v>0</v>
      </c>
      <c r="F59" s="140" t="s">
        <v>0</v>
      </c>
      <c r="G59" s="141" t="s">
        <v>0</v>
      </c>
      <c r="H59" s="13"/>
      <c r="I59" s="13"/>
      <c r="J59" s="13"/>
      <c r="K59" s="13"/>
    </row>
    <row r="60" spans="2:11" ht="17.25">
      <c r="B60" s="91" t="s">
        <v>43</v>
      </c>
      <c r="C60" s="142">
        <f>+C56+C58</f>
        <v>1</v>
      </c>
      <c r="D60" s="91" t="s">
        <v>0</v>
      </c>
      <c r="E60" s="91" t="s">
        <v>0</v>
      </c>
      <c r="F60" s="143" t="s">
        <v>0</v>
      </c>
      <c r="G60" s="138">
        <f>+G56+G58</f>
        <v>9.2773839999999996E-2</v>
      </c>
      <c r="H60" s="13"/>
      <c r="I60" s="13"/>
      <c r="J60" s="13"/>
      <c r="K60" s="13"/>
    </row>
    <row r="61" spans="2:11" ht="18" thickBot="1">
      <c r="B61" s="64"/>
      <c r="C61" s="64"/>
      <c r="D61" s="64"/>
      <c r="E61" s="64"/>
      <c r="F61" s="64"/>
      <c r="G61" s="144"/>
      <c r="H61" s="13"/>
      <c r="I61" s="13"/>
      <c r="J61" s="13"/>
      <c r="K61" s="13"/>
    </row>
    <row r="62" spans="2:11" ht="18" thickBot="1">
      <c r="B62" s="13"/>
      <c r="C62" s="13"/>
      <c r="D62" s="13"/>
      <c r="E62" s="13"/>
      <c r="F62" s="189" t="s">
        <v>92</v>
      </c>
      <c r="G62" s="173">
        <v>9.2799999999999994E-2</v>
      </c>
      <c r="H62" s="13"/>
      <c r="I62" s="13"/>
      <c r="J62" s="13"/>
      <c r="K62" s="13"/>
    </row>
    <row r="63" spans="2:11" ht="15.75" thickBot="1"/>
    <row r="64" spans="2:11" ht="18" thickBot="1">
      <c r="F64" s="189" t="s">
        <v>242</v>
      </c>
      <c r="G64" s="216">
        <f>1/G62</f>
        <v>10.775862068965518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85"/>
  <sheetViews>
    <sheetView view="pageBreakPreview" topLeftCell="A11" zoomScale="60" zoomScaleNormal="80" zoomScalePageLayoutView="70" workbookViewId="0">
      <pane xSplit="1" topLeftCell="B1" activePane="topRight" state="frozen"/>
      <selection activeCell="F4" sqref="F4"/>
      <selection pane="topRight" activeCell="C64" sqref="C64"/>
    </sheetView>
  </sheetViews>
  <sheetFormatPr defaultRowHeight="15"/>
  <cols>
    <col min="1" max="1" width="63" customWidth="1"/>
    <col min="2" max="2" width="11.5703125" bestFit="1" customWidth="1"/>
    <col min="3" max="3" width="25.85546875" customWidth="1"/>
    <col min="4" max="4" width="25.5703125" bestFit="1" customWidth="1"/>
    <col min="5" max="5" width="28" customWidth="1"/>
    <col min="6" max="7" width="29.140625" customWidth="1"/>
    <col min="8" max="8" width="31.85546875" customWidth="1"/>
    <col min="9" max="9" width="31.5703125" customWidth="1"/>
    <col min="10" max="10" width="30.85546875" customWidth="1"/>
    <col min="11" max="11" width="12.85546875" customWidth="1"/>
    <col min="12" max="12" width="25.85546875" bestFit="1" customWidth="1"/>
    <col min="13" max="13" width="30.140625" bestFit="1" customWidth="1"/>
    <col min="14" max="14" width="9.140625" customWidth="1"/>
  </cols>
  <sheetData>
    <row r="1" spans="1:12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16.5">
      <c r="A3" s="27" t="s">
        <v>444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6.5">
      <c r="A4" s="27"/>
      <c r="B4" s="13"/>
      <c r="C4" s="13"/>
      <c r="D4" s="13"/>
      <c r="E4" s="13"/>
      <c r="F4" s="186" t="s">
        <v>0</v>
      </c>
      <c r="G4" s="13"/>
      <c r="H4" s="13"/>
      <c r="I4" s="13"/>
      <c r="J4" s="13"/>
      <c r="K4" s="13"/>
    </row>
    <row r="5" spans="1:12" ht="16.5">
      <c r="B5" s="13"/>
      <c r="C5" s="13"/>
      <c r="D5" s="13"/>
      <c r="E5" s="28"/>
      <c r="F5" s="186" t="s">
        <v>0</v>
      </c>
      <c r="G5" s="13"/>
      <c r="H5" s="13"/>
      <c r="I5" s="13"/>
      <c r="J5" s="13"/>
      <c r="K5" s="13" t="s">
        <v>0</v>
      </c>
    </row>
    <row r="6" spans="1:12" ht="16.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2" ht="16.5">
      <c r="A7" s="13"/>
      <c r="B7" s="36"/>
      <c r="C7" s="36"/>
      <c r="D7" s="36"/>
      <c r="E7" s="36"/>
      <c r="F7" s="36"/>
      <c r="G7" s="15"/>
      <c r="H7" s="45"/>
      <c r="I7" s="45"/>
      <c r="J7" s="86"/>
      <c r="K7" s="86"/>
      <c r="L7" s="3"/>
    </row>
    <row r="8" spans="1:12" ht="16.5">
      <c r="A8" s="87"/>
      <c r="B8" s="36"/>
      <c r="C8" s="36"/>
      <c r="D8" s="36"/>
      <c r="E8" s="36"/>
      <c r="F8" s="36"/>
      <c r="G8" s="15"/>
      <c r="H8" s="45"/>
      <c r="I8" s="45"/>
      <c r="J8" s="86"/>
      <c r="K8" s="86"/>
      <c r="L8" s="3"/>
    </row>
    <row r="9" spans="1:12" ht="16.5">
      <c r="A9" s="87"/>
      <c r="B9" s="36"/>
      <c r="C9" s="36"/>
      <c r="D9" s="36"/>
      <c r="E9" s="36"/>
      <c r="F9" s="36"/>
      <c r="G9" s="15"/>
      <c r="H9" s="45"/>
      <c r="I9" s="45"/>
      <c r="J9" s="86"/>
      <c r="K9" s="86"/>
      <c r="L9" s="3"/>
    </row>
    <row r="10" spans="1:12" ht="16.5">
      <c r="A10" s="45"/>
      <c r="D10" s="45"/>
      <c r="E10" s="45"/>
      <c r="F10" s="45"/>
      <c r="G10" s="45"/>
      <c r="H10" s="45"/>
      <c r="I10" s="45"/>
      <c r="J10" s="45"/>
      <c r="K10" s="45"/>
      <c r="L10" s="2"/>
    </row>
    <row r="11" spans="1:12" ht="17.25" thickBot="1">
      <c r="A11" s="45"/>
      <c r="D11" s="45"/>
      <c r="E11" s="88"/>
      <c r="F11" s="30"/>
      <c r="G11" s="88"/>
      <c r="H11" s="45"/>
      <c r="I11" s="45"/>
      <c r="J11" s="45"/>
      <c r="K11" s="45"/>
      <c r="L11" s="2"/>
    </row>
    <row r="12" spans="1:12" ht="27" thickBot="1">
      <c r="A12" s="29" t="s">
        <v>399</v>
      </c>
      <c r="D12" s="45"/>
      <c r="E12" s="45"/>
      <c r="F12" s="33" t="s">
        <v>93</v>
      </c>
      <c r="G12" s="45"/>
      <c r="H12" s="45"/>
      <c r="I12" s="45"/>
      <c r="J12" s="45"/>
      <c r="K12" s="13"/>
    </row>
    <row r="13" spans="1:12" ht="21" thickBot="1">
      <c r="A13" s="32"/>
      <c r="D13" s="45"/>
      <c r="E13" s="88"/>
      <c r="F13" s="38" t="s">
        <v>445</v>
      </c>
      <c r="G13" s="88"/>
      <c r="H13" s="45"/>
      <c r="I13" s="45"/>
      <c r="J13" s="45" t="s">
        <v>0</v>
      </c>
      <c r="K13" s="13"/>
    </row>
    <row r="14" spans="1:12" ht="20.25">
      <c r="A14" s="32"/>
      <c r="B14" s="45"/>
      <c r="C14" s="45"/>
      <c r="D14" s="45"/>
      <c r="E14" s="45"/>
      <c r="F14" s="14" t="s">
        <v>0</v>
      </c>
      <c r="G14" s="45"/>
      <c r="H14" s="45"/>
      <c r="I14" s="45"/>
      <c r="J14" s="45"/>
      <c r="K14" s="13"/>
    </row>
    <row r="15" spans="1:12" ht="17.25" thickBot="1">
      <c r="A15" s="43" t="s">
        <v>0</v>
      </c>
      <c r="B15" s="43" t="s">
        <v>0</v>
      </c>
      <c r="C15" s="43" t="s">
        <v>0</v>
      </c>
      <c r="D15" s="43"/>
      <c r="E15" s="43"/>
      <c r="F15" s="43"/>
      <c r="G15" s="43" t="s">
        <v>0</v>
      </c>
      <c r="H15" s="88"/>
      <c r="I15" s="88"/>
      <c r="J15" s="88"/>
      <c r="K15" s="13"/>
    </row>
    <row r="16" spans="1:12" ht="17.25">
      <c r="A16" s="89"/>
      <c r="B16" s="90"/>
      <c r="C16" s="232"/>
      <c r="D16" s="92" t="s">
        <v>13</v>
      </c>
      <c r="E16" s="93" t="s">
        <v>13</v>
      </c>
      <c r="F16" s="92" t="s">
        <v>13</v>
      </c>
      <c r="G16" s="91" t="s">
        <v>251</v>
      </c>
      <c r="H16" s="94" t="s">
        <v>446</v>
      </c>
      <c r="I16" s="94" t="s">
        <v>446</v>
      </c>
      <c r="J16" s="94" t="s">
        <v>446</v>
      </c>
      <c r="K16" s="13"/>
    </row>
    <row r="17" spans="1:13" ht="17.25">
      <c r="A17" s="89" t="s">
        <v>0</v>
      </c>
      <c r="B17" s="90" t="s">
        <v>3</v>
      </c>
      <c r="C17" s="90" t="s">
        <v>5</v>
      </c>
      <c r="D17" s="92" t="s">
        <v>10</v>
      </c>
      <c r="E17" s="93" t="s">
        <v>10</v>
      </c>
      <c r="F17" s="92" t="s">
        <v>19</v>
      </c>
      <c r="G17" s="94" t="s">
        <v>446</v>
      </c>
      <c r="H17" s="90" t="s">
        <v>12</v>
      </c>
      <c r="I17" s="96" t="s">
        <v>11</v>
      </c>
      <c r="J17" s="97" t="s">
        <v>161</v>
      </c>
      <c r="K17" s="13"/>
    </row>
    <row r="18" spans="1:13" ht="17.25">
      <c r="A18" s="89" t="s">
        <v>2</v>
      </c>
      <c r="B18" s="90" t="s">
        <v>4</v>
      </c>
      <c r="C18" s="90" t="s">
        <v>6</v>
      </c>
      <c r="D18" s="92" t="s">
        <v>56</v>
      </c>
      <c r="E18" s="93" t="s">
        <v>57</v>
      </c>
      <c r="F18" s="92" t="s">
        <v>10</v>
      </c>
      <c r="G18" s="95" t="s">
        <v>10</v>
      </c>
      <c r="H18" s="90" t="s">
        <v>91</v>
      </c>
      <c r="I18" s="187"/>
      <c r="J18" s="97" t="s">
        <v>252</v>
      </c>
      <c r="K18" s="13" t="s">
        <v>0</v>
      </c>
    </row>
    <row r="19" spans="1:13" ht="18" thickBot="1">
      <c r="A19" s="98" t="s">
        <v>0</v>
      </c>
      <c r="B19" s="99" t="s">
        <v>0</v>
      </c>
      <c r="C19" s="99" t="s">
        <v>0</v>
      </c>
      <c r="D19" s="99" t="s">
        <v>0</v>
      </c>
      <c r="E19" s="100" t="s">
        <v>0</v>
      </c>
      <c r="F19" s="99" t="s">
        <v>0</v>
      </c>
      <c r="G19" s="100" t="s">
        <v>0</v>
      </c>
      <c r="H19" s="101" t="s">
        <v>80</v>
      </c>
      <c r="I19" s="102" t="s">
        <v>79</v>
      </c>
      <c r="J19" s="101" t="s">
        <v>79</v>
      </c>
      <c r="K19" s="13"/>
      <c r="M19" s="309" t="s">
        <v>0</v>
      </c>
    </row>
    <row r="20" spans="1:13" ht="16.5">
      <c r="A20" s="103" t="s">
        <v>7</v>
      </c>
      <c r="B20" s="104" t="s">
        <v>7</v>
      </c>
      <c r="C20" s="249" t="s">
        <v>7</v>
      </c>
      <c r="D20" s="104" t="s">
        <v>7</v>
      </c>
      <c r="E20" s="44" t="s">
        <v>7</v>
      </c>
      <c r="F20" s="104" t="s">
        <v>15</v>
      </c>
      <c r="G20" s="44" t="s">
        <v>7</v>
      </c>
      <c r="H20" s="104" t="s">
        <v>8</v>
      </c>
      <c r="I20" s="44" t="s">
        <v>8</v>
      </c>
      <c r="J20" s="104" t="s">
        <v>8</v>
      </c>
      <c r="K20" s="13"/>
      <c r="M20" s="309" t="s">
        <v>0</v>
      </c>
    </row>
    <row r="21" spans="1:13" ht="17.25">
      <c r="A21" s="89"/>
      <c r="B21" s="90"/>
      <c r="C21" s="90"/>
      <c r="D21" s="90"/>
      <c r="E21" s="91"/>
      <c r="F21" s="90"/>
      <c r="G21" s="91"/>
      <c r="H21" s="90"/>
      <c r="I21" s="64"/>
      <c r="J21" s="105"/>
      <c r="K21" s="13"/>
    </row>
    <row r="22" spans="1:13" ht="17.25">
      <c r="A22" s="106" t="s">
        <v>371</v>
      </c>
      <c r="B22" s="90" t="s">
        <v>372</v>
      </c>
      <c r="C22" s="90" t="s">
        <v>373</v>
      </c>
      <c r="D22" s="108">
        <v>152.65</v>
      </c>
      <c r="E22" s="108">
        <v>136.05000000000001</v>
      </c>
      <c r="F22" s="108">
        <f>AVERAGE(D22,E22)</f>
        <v>144.35000000000002</v>
      </c>
      <c r="G22" s="108">
        <v>139.27000000000001</v>
      </c>
      <c r="H22" s="279">
        <v>158726065</v>
      </c>
      <c r="I22" s="275"/>
      <c r="J22" s="275">
        <f>8413374000+11681000</f>
        <v>8425055000</v>
      </c>
      <c r="K22" s="13"/>
      <c r="M22" s="121" t="s">
        <v>0</v>
      </c>
    </row>
    <row r="23" spans="1:13" ht="17.25">
      <c r="A23" s="106" t="s">
        <v>374</v>
      </c>
      <c r="B23" s="90" t="s">
        <v>375</v>
      </c>
      <c r="C23" s="81" t="s">
        <v>401</v>
      </c>
      <c r="D23" s="108">
        <v>65.59</v>
      </c>
      <c r="E23" s="108">
        <v>57.2</v>
      </c>
      <c r="F23" s="108">
        <f>AVERAGE(D23,E23)</f>
        <v>61.395000000000003</v>
      </c>
      <c r="G23" s="108">
        <v>58.52</v>
      </c>
      <c r="H23" s="279">
        <f>71676756-56608</f>
        <v>71620148</v>
      </c>
      <c r="I23" s="275"/>
      <c r="J23" s="275">
        <f>4250200000</f>
        <v>4250200000</v>
      </c>
      <c r="K23" s="13"/>
      <c r="M23" s="308"/>
    </row>
    <row r="24" spans="1:13" ht="17.25">
      <c r="A24" s="109" t="s">
        <v>376</v>
      </c>
      <c r="B24" s="90" t="s">
        <v>52</v>
      </c>
      <c r="C24" s="81" t="s">
        <v>402</v>
      </c>
      <c r="D24" s="97">
        <v>33</v>
      </c>
      <c r="E24" s="97">
        <v>28.57</v>
      </c>
      <c r="F24" s="108">
        <f t="shared" ref="F24:F30" si="0">AVERAGE(D24,E24)</f>
        <v>30.785</v>
      </c>
      <c r="G24" s="97">
        <v>31.73</v>
      </c>
      <c r="H24" s="275">
        <v>651727276</v>
      </c>
      <c r="I24" s="279"/>
      <c r="J24" s="275">
        <f>20397000000+51000000</f>
        <v>20448000000</v>
      </c>
      <c r="K24" s="13"/>
      <c r="M24" s="306" t="s">
        <v>0</v>
      </c>
    </row>
    <row r="25" spans="1:13" ht="17.25">
      <c r="A25" s="109" t="s">
        <v>377</v>
      </c>
      <c r="B25" s="90" t="s">
        <v>47</v>
      </c>
      <c r="C25" s="81" t="s">
        <v>402</v>
      </c>
      <c r="D25" s="97">
        <v>72.400000000000006</v>
      </c>
      <c r="E25" s="108">
        <v>65.09</v>
      </c>
      <c r="F25" s="108">
        <f t="shared" si="0"/>
        <v>68.745000000000005</v>
      </c>
      <c r="G25" s="108">
        <v>66.650000000000006</v>
      </c>
      <c r="H25" s="279">
        <v>298800000</v>
      </c>
      <c r="I25" s="275">
        <v>224000000</v>
      </c>
      <c r="J25" s="275">
        <f>1195000000+15194000000+112000000</f>
        <v>16501000000</v>
      </c>
      <c r="K25" s="13"/>
      <c r="M25" s="306" t="s">
        <v>0</v>
      </c>
    </row>
    <row r="26" spans="1:13" ht="17.25">
      <c r="A26" s="106" t="s">
        <v>378</v>
      </c>
      <c r="B26" s="90" t="s">
        <v>379</v>
      </c>
      <c r="C26" s="90" t="s">
        <v>373</v>
      </c>
      <c r="D26" s="108">
        <v>51.95</v>
      </c>
      <c r="E26" s="108">
        <v>44.78</v>
      </c>
      <c r="F26" s="108">
        <f t="shared" si="0"/>
        <v>48.365000000000002</v>
      </c>
      <c r="G26" s="108">
        <v>46.65</v>
      </c>
      <c r="H26" s="279">
        <v>98202255</v>
      </c>
      <c r="I26" s="275"/>
      <c r="J26" s="295">
        <f>2989473000+91558000</f>
        <v>3081031000</v>
      </c>
      <c r="K26" s="13"/>
      <c r="L26" s="319"/>
      <c r="M26" s="306" t="s">
        <v>0</v>
      </c>
    </row>
    <row r="27" spans="1:13" ht="17.25">
      <c r="A27" s="106" t="s">
        <v>380</v>
      </c>
      <c r="B27" s="90" t="s">
        <v>381</v>
      </c>
      <c r="C27" s="90" t="s">
        <v>373</v>
      </c>
      <c r="D27" s="108">
        <v>38.56</v>
      </c>
      <c r="E27" s="108">
        <v>33.65</v>
      </c>
      <c r="F27" s="108">
        <f t="shared" si="0"/>
        <v>36.105000000000004</v>
      </c>
      <c r="G27" s="108">
        <v>36.76</v>
      </c>
      <c r="H27" s="279">
        <v>469822472</v>
      </c>
      <c r="I27" s="275"/>
      <c r="J27" s="275">
        <f>12074500000+1281200000</f>
        <v>13355700000</v>
      </c>
      <c r="K27" s="13"/>
      <c r="M27" s="306" t="s">
        <v>0</v>
      </c>
    </row>
    <row r="28" spans="1:13" ht="17.25">
      <c r="A28" s="296" t="s">
        <v>405</v>
      </c>
      <c r="B28" s="81" t="s">
        <v>382</v>
      </c>
      <c r="C28" s="90" t="s">
        <v>373</v>
      </c>
      <c r="D28" s="108">
        <v>44.25</v>
      </c>
      <c r="E28" s="108">
        <v>38.03</v>
      </c>
      <c r="F28" s="108">
        <f t="shared" si="0"/>
        <v>41.14</v>
      </c>
      <c r="G28" s="108">
        <v>39.56</v>
      </c>
      <c r="H28" s="279">
        <v>40222305</v>
      </c>
      <c r="I28" s="275"/>
      <c r="J28" s="307">
        <f>30787000+1679355000</f>
        <v>1710142000</v>
      </c>
      <c r="K28" s="13"/>
      <c r="L28" t="s">
        <v>0</v>
      </c>
      <c r="M28" s="306" t="s">
        <v>0</v>
      </c>
    </row>
    <row r="29" spans="1:13" ht="17.25">
      <c r="A29" s="296" t="s">
        <v>383</v>
      </c>
      <c r="B29" s="81" t="s">
        <v>384</v>
      </c>
      <c r="C29" s="90" t="s">
        <v>373</v>
      </c>
      <c r="D29" s="108">
        <v>78.89</v>
      </c>
      <c r="E29" s="108">
        <v>66.92</v>
      </c>
      <c r="F29" s="108">
        <f t="shared" si="0"/>
        <v>72.905000000000001</v>
      </c>
      <c r="G29" s="108">
        <v>69.25</v>
      </c>
      <c r="H29" s="279">
        <v>59876861</v>
      </c>
      <c r="I29" s="275"/>
      <c r="J29" s="275">
        <f>2385286000+14000</f>
        <v>2385300000</v>
      </c>
      <c r="K29" s="13"/>
      <c r="M29" s="306" t="s">
        <v>0</v>
      </c>
    </row>
    <row r="30" spans="1:13" ht="17.25">
      <c r="A30" s="324" t="s">
        <v>404</v>
      </c>
      <c r="B30" s="81" t="s">
        <v>385</v>
      </c>
      <c r="C30" s="90" t="s">
        <v>373</v>
      </c>
      <c r="D30" s="108">
        <v>80.290000000000006</v>
      </c>
      <c r="E30" s="108">
        <v>67.69</v>
      </c>
      <c r="F30" s="108">
        <f t="shared" si="0"/>
        <v>73.990000000000009</v>
      </c>
      <c r="G30" s="108">
        <v>70.709999999999994</v>
      </c>
      <c r="H30" s="279">
        <v>71782756</v>
      </c>
      <c r="I30" s="275"/>
      <c r="J30" s="275">
        <f>4348340000+30018000</f>
        <v>4378358000</v>
      </c>
      <c r="K30" s="13"/>
      <c r="L30" t="s">
        <v>0</v>
      </c>
      <c r="M30" t="s">
        <v>0</v>
      </c>
    </row>
    <row r="31" spans="1:13" ht="17.25">
      <c r="A31" s="296" t="s">
        <v>400</v>
      </c>
      <c r="B31" s="81" t="s">
        <v>386</v>
      </c>
      <c r="C31" s="90" t="s">
        <v>373</v>
      </c>
      <c r="D31" s="108">
        <v>73.64</v>
      </c>
      <c r="E31" s="108">
        <v>61.56</v>
      </c>
      <c r="F31" s="108">
        <f>AVERAGE(D31,E31)</f>
        <v>67.599999999999994</v>
      </c>
      <c r="G31" s="108">
        <v>67.83</v>
      </c>
      <c r="H31" s="279">
        <v>58300000</v>
      </c>
      <c r="I31" s="275">
        <v>242000000</v>
      </c>
      <c r="J31" s="275">
        <f>3697700000+42500000</f>
        <v>3740200000</v>
      </c>
      <c r="K31" s="13"/>
      <c r="M31" s="306" t="s">
        <v>0</v>
      </c>
    </row>
    <row r="32" spans="1:13" ht="18" thickBot="1">
      <c r="A32" s="297" t="s">
        <v>44</v>
      </c>
      <c r="B32" s="82" t="s">
        <v>53</v>
      </c>
      <c r="C32" s="82" t="s">
        <v>402</v>
      </c>
      <c r="D32" s="312">
        <v>102.79</v>
      </c>
      <c r="E32" s="312">
        <v>92.52</v>
      </c>
      <c r="F32" s="310">
        <f>AVERAGE(D32,E32)</f>
        <v>97.655000000000001</v>
      </c>
      <c r="G32" s="312">
        <v>94.04</v>
      </c>
      <c r="H32" s="277">
        <v>317680855</v>
      </c>
      <c r="I32" s="111">
        <v>30400000</v>
      </c>
      <c r="J32" s="277">
        <f>1729000000+17178100000</f>
        <v>18907100000</v>
      </c>
      <c r="K32" s="13"/>
      <c r="L32" t="s">
        <v>0</v>
      </c>
      <c r="M32" s="279" t="s">
        <v>0</v>
      </c>
    </row>
    <row r="33" spans="1:12" ht="17.2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3"/>
    </row>
    <row r="34" spans="1:12" ht="17.2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3"/>
      <c r="L34" t="s">
        <v>0</v>
      </c>
    </row>
    <row r="35" spans="1:12" ht="18" thickBot="1">
      <c r="A35" s="113" t="s">
        <v>0</v>
      </c>
      <c r="B35" s="114"/>
      <c r="C35" s="114"/>
      <c r="D35" s="114"/>
      <c r="E35" s="114"/>
      <c r="F35" s="30"/>
      <c r="G35" s="114"/>
      <c r="H35" s="114"/>
      <c r="I35" s="114"/>
      <c r="J35" s="112"/>
      <c r="K35" s="112"/>
      <c r="L35" s="4"/>
    </row>
    <row r="36" spans="1:12" ht="17.25">
      <c r="A36" s="115"/>
      <c r="B36" s="376"/>
      <c r="C36" s="116"/>
      <c r="D36" s="376"/>
      <c r="E36" s="117" t="s">
        <v>0</v>
      </c>
      <c r="F36" s="382" t="s">
        <v>0</v>
      </c>
      <c r="G36" s="118"/>
      <c r="H36" s="376"/>
      <c r="I36" s="376"/>
      <c r="J36" s="376"/>
      <c r="K36" s="112"/>
      <c r="L36" s="4"/>
    </row>
    <row r="37" spans="1:12" ht="18.600000000000001" customHeight="1">
      <c r="A37" s="89"/>
      <c r="B37" s="90"/>
      <c r="C37" s="91"/>
      <c r="D37" s="94" t="s">
        <v>446</v>
      </c>
      <c r="E37" s="95" t="s">
        <v>446</v>
      </c>
      <c r="F37" s="94" t="s">
        <v>446</v>
      </c>
      <c r="G37" s="95" t="s">
        <v>446</v>
      </c>
      <c r="H37" s="94" t="s">
        <v>446</v>
      </c>
      <c r="I37" s="94" t="s">
        <v>446</v>
      </c>
      <c r="J37" s="94" t="s">
        <v>446</v>
      </c>
      <c r="K37" s="13"/>
      <c r="L37" s="5"/>
    </row>
    <row r="38" spans="1:12" ht="17.25">
      <c r="A38" s="89" t="s">
        <v>0</v>
      </c>
      <c r="B38" s="90" t="s">
        <v>3</v>
      </c>
      <c r="C38" s="91" t="s">
        <v>5</v>
      </c>
      <c r="D38" s="90" t="s">
        <v>12</v>
      </c>
      <c r="E38" s="107" t="s">
        <v>160</v>
      </c>
      <c r="F38" s="97" t="s">
        <v>289</v>
      </c>
      <c r="G38" s="91" t="s">
        <v>219</v>
      </c>
      <c r="H38" s="97" t="s">
        <v>16</v>
      </c>
      <c r="I38" s="97" t="s">
        <v>17</v>
      </c>
      <c r="J38" s="97" t="s">
        <v>66</v>
      </c>
      <c r="K38" s="13"/>
      <c r="L38" s="5"/>
    </row>
    <row r="39" spans="1:12" ht="18" thickBot="1">
      <c r="A39" s="98" t="s">
        <v>2</v>
      </c>
      <c r="B39" s="99" t="s">
        <v>4</v>
      </c>
      <c r="C39" s="100" t="s">
        <v>6</v>
      </c>
      <c r="D39" s="99" t="s">
        <v>14</v>
      </c>
      <c r="E39" s="100" t="s">
        <v>14</v>
      </c>
      <c r="F39" s="99" t="s">
        <v>302</v>
      </c>
      <c r="G39" s="100" t="s">
        <v>14</v>
      </c>
      <c r="H39" s="99" t="s">
        <v>354</v>
      </c>
      <c r="I39" s="99" t="s">
        <v>0</v>
      </c>
      <c r="J39" s="99" t="s">
        <v>353</v>
      </c>
      <c r="K39" s="13"/>
      <c r="L39" s="1"/>
    </row>
    <row r="40" spans="1:12" ht="16.5">
      <c r="A40" s="248" t="s">
        <v>7</v>
      </c>
      <c r="B40" s="249" t="s">
        <v>7</v>
      </c>
      <c r="C40" s="298" t="s">
        <v>7</v>
      </c>
      <c r="D40" s="249" t="s">
        <v>15</v>
      </c>
      <c r="E40" s="298" t="s">
        <v>8</v>
      </c>
      <c r="F40" s="249" t="s">
        <v>8</v>
      </c>
      <c r="G40" s="298" t="s">
        <v>8</v>
      </c>
      <c r="H40" s="249" t="s">
        <v>15</v>
      </c>
      <c r="I40" s="249" t="s">
        <v>15</v>
      </c>
      <c r="J40" s="249" t="s">
        <v>15</v>
      </c>
      <c r="K40" s="13"/>
      <c r="L40" s="5"/>
    </row>
    <row r="41" spans="1:12" ht="17.25">
      <c r="A41" s="89"/>
      <c r="B41" s="90"/>
      <c r="C41" s="91"/>
      <c r="D41" s="379"/>
      <c r="E41" s="112"/>
      <c r="F41" s="379"/>
      <c r="G41" s="112"/>
      <c r="H41" s="105"/>
      <c r="I41" s="105"/>
      <c r="J41" s="105"/>
      <c r="K41" s="13"/>
      <c r="L41" s="4"/>
    </row>
    <row r="42" spans="1:12" ht="17.25">
      <c r="A42" s="106" t="str">
        <f t="shared" ref="A42:C45" si="1">+A22</f>
        <v>Atmos Energy Corp</v>
      </c>
      <c r="B42" s="90" t="str">
        <f t="shared" si="1"/>
        <v>ATO</v>
      </c>
      <c r="C42" s="91" t="str">
        <f t="shared" si="1"/>
        <v>Gas Utility</v>
      </c>
      <c r="D42" s="380">
        <f>(+H22)*G22</f>
        <v>22105779072.550003</v>
      </c>
      <c r="E42" s="304">
        <f>(1/1)*I22</f>
        <v>0</v>
      </c>
      <c r="F42" s="380">
        <v>48421000</v>
      </c>
      <c r="G42" s="121">
        <f>J22*(7484877/8435000)</f>
        <v>7476052210.2234735</v>
      </c>
      <c r="H42" s="275">
        <f>+D42+E42+F42+G42</f>
        <v>29630252282.773476</v>
      </c>
      <c r="I42" s="377">
        <f t="shared" ref="I42:I52" si="2">(+D42)/H42</f>
        <v>0.74605436570656292</v>
      </c>
      <c r="J42" s="377">
        <f>(+E42+F42+G42)/H42</f>
        <v>0.25394563429343714</v>
      </c>
      <c r="K42" s="13"/>
      <c r="L42" s="4"/>
    </row>
    <row r="43" spans="1:12" ht="17.25">
      <c r="A43" s="106" t="str">
        <f t="shared" si="1"/>
        <v>Black Hills Corporation</v>
      </c>
      <c r="B43" s="90" t="str">
        <f t="shared" si="1"/>
        <v>BKH</v>
      </c>
      <c r="C43" s="36" t="str">
        <f t="shared" si="1"/>
        <v>Electric Utility - West</v>
      </c>
      <c r="D43" s="380">
        <f>(+H23)*G23</f>
        <v>4191211060.96</v>
      </c>
      <c r="E43" s="121">
        <f>(194.8/200)*I23</f>
        <v>0</v>
      </c>
      <c r="F43" s="380"/>
      <c r="G43" s="121">
        <f>J23*(4059.1/4250.2)</f>
        <v>4059100000</v>
      </c>
      <c r="H43" s="275">
        <f t="shared" ref="H43:H52" si="3">+D43+E43+F43+G43</f>
        <v>8250311060.96</v>
      </c>
      <c r="I43" s="377">
        <f t="shared" si="2"/>
        <v>0.50800642908999771</v>
      </c>
      <c r="J43" s="377">
        <f t="shared" ref="J43:J51" si="4">(+E43+F43+G43)/H43</f>
        <v>0.49199357091000229</v>
      </c>
      <c r="K43" s="13"/>
      <c r="L43" s="4"/>
    </row>
    <row r="44" spans="1:12" ht="17.25">
      <c r="A44" s="106" t="str">
        <f t="shared" si="1"/>
        <v>CenterPoint Energy Inc.</v>
      </c>
      <c r="B44" s="90" t="str">
        <f t="shared" si="1"/>
        <v>CNP</v>
      </c>
      <c r="C44" s="36" t="str">
        <f t="shared" si="1"/>
        <v>Electric Utility - Central</v>
      </c>
      <c r="D44" s="380">
        <f>(+H24)*G24</f>
        <v>20679306467.48</v>
      </c>
      <c r="E44" s="121">
        <f>(1/1)*I24</f>
        <v>0</v>
      </c>
      <c r="F44" s="380">
        <v>6000000</v>
      </c>
      <c r="G44" s="121">
        <f>J24*(19597/20961)</f>
        <v>19117382567.625591</v>
      </c>
      <c r="H44" s="275">
        <f t="shared" si="3"/>
        <v>39802689035.105591</v>
      </c>
      <c r="I44" s="377">
        <f t="shared" si="2"/>
        <v>0.51954546209782582</v>
      </c>
      <c r="J44" s="377">
        <f t="shared" si="4"/>
        <v>0.48045453790217418</v>
      </c>
      <c r="K44" s="13"/>
      <c r="L44" s="4"/>
    </row>
    <row r="45" spans="1:12" ht="17.25">
      <c r="A45" s="106" t="str">
        <f t="shared" si="1"/>
        <v>CMS Energy Corporation</v>
      </c>
      <c r="B45" s="90" t="str">
        <f t="shared" si="1"/>
        <v>CMS</v>
      </c>
      <c r="C45" s="36" t="str">
        <f t="shared" si="1"/>
        <v>Electric Utility - Central</v>
      </c>
      <c r="D45" s="380">
        <f>(+H25)*G25</f>
        <v>19915020000</v>
      </c>
      <c r="E45" s="121">
        <f>(1/1)*I25</f>
        <v>224000000</v>
      </c>
      <c r="F45" s="380">
        <v>24000000</v>
      </c>
      <c r="G45" s="121">
        <f>J25*(14876/16386)</f>
        <v>14980402538.752594</v>
      </c>
      <c r="H45" s="275">
        <f t="shared" si="3"/>
        <v>35143422538.752594</v>
      </c>
      <c r="I45" s="377">
        <f t="shared" si="2"/>
        <v>0.56667844396884626</v>
      </c>
      <c r="J45" s="377">
        <f t="shared" si="4"/>
        <v>0.43332155603115374</v>
      </c>
      <c r="K45" s="13"/>
      <c r="L45" s="4"/>
    </row>
    <row r="46" spans="1:12" ht="17.25">
      <c r="A46" s="106" t="str">
        <f t="shared" ref="A46:C52" si="5">+A26</f>
        <v>New Jersey Resources Corp</v>
      </c>
      <c r="B46" s="90" t="str">
        <f t="shared" si="5"/>
        <v>NJR</v>
      </c>
      <c r="C46" s="91" t="str">
        <f t="shared" si="5"/>
        <v>Gas Utility</v>
      </c>
      <c r="D46" s="380">
        <f t="shared" ref="D46:D52" si="6">(+H26)*G26</f>
        <v>4581135195.75</v>
      </c>
      <c r="E46" s="121">
        <f t="shared" ref="E46:E52" si="7">(1/1)*I26</f>
        <v>0</v>
      </c>
      <c r="F46" s="380">
        <f>5177000+158583000</f>
        <v>163760000</v>
      </c>
      <c r="G46" s="121">
        <f>J26*(2391501/2767845)</f>
        <v>2662103086.5279665</v>
      </c>
      <c r="H46" s="275">
        <f t="shared" si="3"/>
        <v>7406998282.2779665</v>
      </c>
      <c r="I46" s="377">
        <f t="shared" si="2"/>
        <v>0.61848741165646748</v>
      </c>
      <c r="J46" s="377">
        <f t="shared" si="4"/>
        <v>0.38151258834353252</v>
      </c>
      <c r="K46" s="13"/>
      <c r="L46" s="4"/>
    </row>
    <row r="47" spans="1:12" ht="17.25">
      <c r="A47" s="106" t="str">
        <f t="shared" si="5"/>
        <v>NISOURCE Inc.</v>
      </c>
      <c r="B47" s="90" t="str">
        <f t="shared" si="5"/>
        <v>NI</v>
      </c>
      <c r="C47" s="91" t="str">
        <f t="shared" si="5"/>
        <v>Gas Utility</v>
      </c>
      <c r="D47" s="380">
        <f t="shared" si="6"/>
        <v>17270674070.719997</v>
      </c>
      <c r="E47" s="121">
        <f t="shared" si="7"/>
        <v>0</v>
      </c>
      <c r="F47" s="380">
        <v>27300000</v>
      </c>
      <c r="G47" s="121">
        <f>J27*(12505.2/13355.7)</f>
        <v>12505200000</v>
      </c>
      <c r="H47" s="275">
        <f>+D47+E47+F47+G47</f>
        <v>29803174070.719997</v>
      </c>
      <c r="I47" s="377">
        <f>(+D47)/H47</f>
        <v>0.57949109815412236</v>
      </c>
      <c r="J47" s="377">
        <f>(+E47+F47+G47)/H47</f>
        <v>0.42050890184587764</v>
      </c>
      <c r="K47" s="13"/>
      <c r="L47" s="4"/>
    </row>
    <row r="48" spans="1:12" ht="17.25">
      <c r="A48" s="106" t="str">
        <f t="shared" si="5"/>
        <v xml:space="preserve">Northwest Natural Holding Company </v>
      </c>
      <c r="B48" s="90" t="str">
        <f t="shared" si="5"/>
        <v>NWN</v>
      </c>
      <c r="C48" s="91" t="str">
        <f t="shared" si="5"/>
        <v>Gas Utility</v>
      </c>
      <c r="D48" s="380">
        <f t="shared" si="6"/>
        <v>1591194385.8000002</v>
      </c>
      <c r="E48" s="121">
        <f t="shared" si="7"/>
        <v>0</v>
      </c>
      <c r="F48" s="380">
        <v>79500000</v>
      </c>
      <c r="G48" s="347">
        <f>J28*(1542208000/1710142000)</f>
        <v>1542208000</v>
      </c>
      <c r="H48" s="275">
        <f>+D48+E48+F48+G48</f>
        <v>3212902385.8000002</v>
      </c>
      <c r="I48" s="377">
        <f t="shared" si="2"/>
        <v>0.49525139413900959</v>
      </c>
      <c r="J48" s="377">
        <f>(+E48+F48+G48)/H48</f>
        <v>0.50474860586099035</v>
      </c>
      <c r="K48" s="13"/>
      <c r="L48" s="4"/>
    </row>
    <row r="49" spans="1:12" ht="17.25">
      <c r="A49" s="106" t="str">
        <f t="shared" si="5"/>
        <v>One Gas INC</v>
      </c>
      <c r="B49" s="90" t="str">
        <f t="shared" si="5"/>
        <v>OGS</v>
      </c>
      <c r="C49" s="91" t="str">
        <f t="shared" si="5"/>
        <v>Gas Utility</v>
      </c>
      <c r="D49" s="380">
        <f t="shared" si="6"/>
        <v>4146472624.25</v>
      </c>
      <c r="E49" s="121">
        <f t="shared" si="7"/>
        <v>0</v>
      </c>
      <c r="F49" s="380">
        <v>16600000</v>
      </c>
      <c r="G49" s="121">
        <v>2200000000</v>
      </c>
      <c r="H49" s="275">
        <f t="shared" si="3"/>
        <v>6363072624.25</v>
      </c>
      <c r="I49" s="377">
        <f t="shared" si="2"/>
        <v>0.65164628303118488</v>
      </c>
      <c r="J49" s="377">
        <f t="shared" si="4"/>
        <v>0.34835371696881512</v>
      </c>
      <c r="K49" s="13"/>
      <c r="L49" s="4"/>
    </row>
    <row r="50" spans="1:12" ht="17.25">
      <c r="A50" s="106" t="str">
        <f>+A30</f>
        <v>Southwest Gas Holdings, Inc</v>
      </c>
      <c r="B50" s="90" t="str">
        <f t="shared" si="5"/>
        <v>SWX</v>
      </c>
      <c r="C50" s="91" t="str">
        <f t="shared" si="5"/>
        <v>Gas Utility</v>
      </c>
      <c r="D50" s="380">
        <f t="shared" si="6"/>
        <v>5075758676.7599993</v>
      </c>
      <c r="E50" s="121">
        <f t="shared" si="7"/>
        <v>0</v>
      </c>
      <c r="F50" s="380">
        <v>110434000</v>
      </c>
      <c r="G50" s="121">
        <f>J30*((77898000+26285000+7701000+306450000+287460000+302970000+385425000+558120000+127900000+210700000+219390000+223470000+187680000+50000000+50000000+50000000+50000000+709059000+113455000+63659000)/4348340000)</f>
        <v>4035287913.2441344</v>
      </c>
      <c r="H50" s="275">
        <f t="shared" si="3"/>
        <v>9221480590.0041332</v>
      </c>
      <c r="I50" s="377">
        <f t="shared" si="2"/>
        <v>0.55042773524481536</v>
      </c>
      <c r="J50" s="377">
        <f t="shared" si="4"/>
        <v>0.44957226475518464</v>
      </c>
      <c r="K50" s="13"/>
      <c r="L50" s="4"/>
    </row>
    <row r="51" spans="1:12" ht="17.25">
      <c r="A51" s="106" t="str">
        <f t="shared" si="5"/>
        <v>Spire Inc / Laclede Group Inc</v>
      </c>
      <c r="B51" s="90" t="str">
        <f t="shared" si="5"/>
        <v>SR</v>
      </c>
      <c r="C51" s="91" t="str">
        <f t="shared" si="5"/>
        <v>Gas Utility</v>
      </c>
      <c r="D51" s="380">
        <f t="shared" si="6"/>
        <v>3954489000</v>
      </c>
      <c r="E51" s="121">
        <f t="shared" si="7"/>
        <v>242000000</v>
      </c>
      <c r="F51" s="380"/>
      <c r="G51" s="121">
        <f>J31*(3600.3/3746.4)</f>
        <v>3594341784.1127486</v>
      </c>
      <c r="H51" s="275">
        <f t="shared" si="3"/>
        <v>7790830784.1127491</v>
      </c>
      <c r="I51" s="377">
        <f t="shared" si="2"/>
        <v>0.50758245296048399</v>
      </c>
      <c r="J51" s="377">
        <f t="shared" si="4"/>
        <v>0.49241754703951596</v>
      </c>
      <c r="K51" s="13"/>
      <c r="L51" s="4"/>
    </row>
    <row r="52" spans="1:12" ht="18" thickBot="1">
      <c r="A52" s="110" t="str">
        <f t="shared" si="5"/>
        <v>WEC Energy Group</v>
      </c>
      <c r="B52" s="99" t="str">
        <f t="shared" si="5"/>
        <v>WEC</v>
      </c>
      <c r="C52" s="38" t="str">
        <f t="shared" si="5"/>
        <v>Electric Utility - Central</v>
      </c>
      <c r="D52" s="381">
        <f t="shared" si="6"/>
        <v>29874707604.200001</v>
      </c>
      <c r="E52" s="282">
        <f t="shared" si="7"/>
        <v>30400000</v>
      </c>
      <c r="F52" s="381">
        <v>37500000</v>
      </c>
      <c r="G52" s="381">
        <f>J32*(17840.8/18907.1)</f>
        <v>17840800000</v>
      </c>
      <c r="H52" s="277">
        <f t="shared" si="3"/>
        <v>47783407604.199997</v>
      </c>
      <c r="I52" s="378">
        <f t="shared" si="2"/>
        <v>0.62521090692523396</v>
      </c>
      <c r="J52" s="378">
        <f>(+E52+F52+G52)/H52</f>
        <v>0.3747890930747661</v>
      </c>
      <c r="K52" s="13"/>
      <c r="L52" s="4"/>
    </row>
    <row r="53" spans="1:12" ht="17.25">
      <c r="A53" s="13"/>
      <c r="B53" s="13"/>
      <c r="C53" s="13"/>
      <c r="D53" s="13"/>
      <c r="E53" s="13"/>
      <c r="F53" s="13"/>
      <c r="G53" s="13"/>
      <c r="H53" s="122" t="s">
        <v>56</v>
      </c>
      <c r="I53" s="126">
        <f>MAX(I42:I52)</f>
        <v>0.74605436570656292</v>
      </c>
      <c r="J53" s="126">
        <f>MAX(J42:J52)</f>
        <v>0.50474860586099035</v>
      </c>
      <c r="K53" s="13"/>
    </row>
    <row r="54" spans="1:12" ht="17.25">
      <c r="F54" s="398"/>
      <c r="G54" s="13"/>
      <c r="H54" s="283" t="s">
        <v>57</v>
      </c>
      <c r="I54" s="284">
        <f>MIN(I42:I52)</f>
        <v>0.49525139413900959</v>
      </c>
      <c r="J54" s="284">
        <f>MIN(J42:J52)</f>
        <v>0.25394563429343714</v>
      </c>
      <c r="K54" s="13"/>
    </row>
    <row r="55" spans="1:12" ht="17.25">
      <c r="F55" t="s">
        <v>0</v>
      </c>
      <c r="H55" s="15" t="s">
        <v>18</v>
      </c>
      <c r="I55" s="124">
        <f>MEDIAN(I42:I52)</f>
        <v>0.56667844396884626</v>
      </c>
      <c r="J55" s="125">
        <f>MEDIAN(J42:J52)</f>
        <v>0.43332155603115374</v>
      </c>
      <c r="K55" s="13"/>
    </row>
    <row r="56" spans="1:12" ht="17.25">
      <c r="D56" t="s">
        <v>0</v>
      </c>
      <c r="G56" s="13" t="s">
        <v>0</v>
      </c>
      <c r="H56" s="15" t="s">
        <v>413</v>
      </c>
      <c r="I56" s="124">
        <f>AVERAGE(I42:I52)</f>
        <v>0.57894381663405003</v>
      </c>
      <c r="J56" s="125">
        <f>AVERAGE(J42:J52)</f>
        <v>0.42105618336595002</v>
      </c>
      <c r="K56" s="13"/>
    </row>
    <row r="57" spans="1:12" ht="18" thickBot="1">
      <c r="D57" t="s">
        <v>0</v>
      </c>
      <c r="F57" t="s">
        <v>0</v>
      </c>
      <c r="G57" s="13"/>
      <c r="H57" s="13"/>
      <c r="I57" s="64"/>
      <c r="J57" s="64"/>
      <c r="K57" s="13"/>
    </row>
    <row r="58" spans="1:12" ht="27" thickBot="1">
      <c r="F58" t="s">
        <v>0</v>
      </c>
      <c r="G58" s="13"/>
      <c r="H58" s="188" t="s">
        <v>221</v>
      </c>
      <c r="I58" s="366">
        <v>0.57999999999999996</v>
      </c>
      <c r="J58" s="367">
        <v>0.42</v>
      </c>
      <c r="K58" s="13"/>
    </row>
    <row r="59" spans="1:12" ht="17.25">
      <c r="E59" s="123"/>
      <c r="F59" s="13"/>
      <c r="G59" s="13"/>
      <c r="H59" s="13"/>
      <c r="I59" s="64"/>
      <c r="J59" s="64" t="s">
        <v>0</v>
      </c>
      <c r="K59" s="13"/>
    </row>
    <row r="60" spans="1:12" ht="16.5">
      <c r="E60" s="123"/>
      <c r="F60" s="13"/>
      <c r="G60" s="13"/>
      <c r="H60" s="13"/>
      <c r="I60" s="13"/>
      <c r="J60" s="13"/>
      <c r="K60" s="13"/>
    </row>
    <row r="61" spans="1:12" ht="16.5">
      <c r="E61" s="123"/>
      <c r="F61" s="13"/>
      <c r="G61" s="13"/>
      <c r="H61" s="13"/>
      <c r="I61" s="13"/>
      <c r="J61" s="13"/>
      <c r="K61" s="13"/>
    </row>
    <row r="62" spans="1:12" ht="26.25">
      <c r="A62" s="24" t="s">
        <v>90</v>
      </c>
      <c r="B62" s="13"/>
      <c r="C62" s="76"/>
      <c r="D62" s="127"/>
      <c r="E62" s="123"/>
      <c r="F62" s="13"/>
      <c r="G62" s="13"/>
      <c r="I62" s="13"/>
      <c r="J62" s="13"/>
      <c r="K62" s="13"/>
    </row>
    <row r="63" spans="1:12" ht="16.5">
      <c r="A63" s="87" t="s">
        <v>72</v>
      </c>
      <c r="B63" s="13"/>
      <c r="C63" s="76"/>
      <c r="D63" s="127"/>
      <c r="E63" s="123"/>
      <c r="F63" s="13"/>
      <c r="G63" s="13"/>
      <c r="I63" s="13"/>
      <c r="J63" s="13"/>
      <c r="K63" s="13"/>
    </row>
    <row r="64" spans="1:12" ht="16.5">
      <c r="A64" s="13" t="s">
        <v>164</v>
      </c>
      <c r="H64" s="123"/>
    </row>
    <row r="65" spans="1:8" ht="16.5">
      <c r="A65" s="13" t="s">
        <v>162</v>
      </c>
      <c r="H65" s="123"/>
    </row>
    <row r="66" spans="1:8" ht="16.5">
      <c r="A66" s="13" t="s">
        <v>163</v>
      </c>
      <c r="H66" s="123"/>
    </row>
    <row r="67" spans="1:8" ht="16.5">
      <c r="A67" s="13" t="s">
        <v>307</v>
      </c>
      <c r="H67" s="123"/>
    </row>
    <row r="68" spans="1:8" ht="16.5">
      <c r="H68" s="123"/>
    </row>
    <row r="69" spans="1:8" ht="16.5">
      <c r="H69" s="123"/>
    </row>
    <row r="70" spans="1:8" ht="26.25">
      <c r="A70" s="299" t="s">
        <v>308</v>
      </c>
      <c r="H70" s="123"/>
    </row>
    <row r="71" spans="1:8" ht="16.5">
      <c r="A71" s="300" t="s">
        <v>387</v>
      </c>
      <c r="B71" s="301"/>
      <c r="C71" s="301"/>
      <c r="D71" s="289"/>
      <c r="E71" s="289"/>
      <c r="H71" s="123"/>
    </row>
    <row r="72" spans="1:8" ht="16.5">
      <c r="A72" s="300" t="s">
        <v>388</v>
      </c>
      <c r="B72" s="289"/>
      <c r="C72" s="289"/>
      <c r="D72" s="289"/>
      <c r="E72" s="289"/>
      <c r="H72" s="123"/>
    </row>
    <row r="73" spans="1:8" ht="17.25">
      <c r="A73" s="280" t="s">
        <v>363</v>
      </c>
      <c r="B73" s="289"/>
      <c r="C73" s="289"/>
      <c r="D73" s="289"/>
      <c r="E73" s="289"/>
      <c r="H73" s="123"/>
    </row>
    <row r="74" spans="1:8" ht="16.5">
      <c r="A74" s="300" t="s">
        <v>389</v>
      </c>
      <c r="B74" s="289"/>
      <c r="C74" s="289"/>
      <c r="D74" s="289"/>
      <c r="E74" s="289"/>
      <c r="H74" s="123"/>
    </row>
    <row r="75" spans="1:8" ht="16.5">
      <c r="A75" s="131" t="s">
        <v>390</v>
      </c>
      <c r="B75" s="289"/>
      <c r="C75" s="289"/>
      <c r="D75" s="289"/>
      <c r="E75" s="289"/>
      <c r="H75" s="123"/>
    </row>
    <row r="76" spans="1:8" ht="16.5">
      <c r="A76" s="13"/>
      <c r="H76" s="123"/>
    </row>
    <row r="77" spans="1:8" ht="26.25">
      <c r="A77" s="299" t="s">
        <v>391</v>
      </c>
      <c r="H77" s="123"/>
    </row>
    <row r="78" spans="1:8" ht="16.5">
      <c r="A78" s="311" t="s">
        <v>392</v>
      </c>
      <c r="H78" s="123"/>
    </row>
    <row r="79" spans="1:8" ht="16.5">
      <c r="A79" s="311" t="s">
        <v>393</v>
      </c>
      <c r="H79" s="123"/>
    </row>
    <row r="80" spans="1:8" ht="16.5">
      <c r="A80" s="300" t="s">
        <v>394</v>
      </c>
      <c r="H80" s="123"/>
    </row>
    <row r="81" spans="1:8" ht="16.5">
      <c r="A81" s="300" t="s">
        <v>395</v>
      </c>
      <c r="H81" s="123"/>
    </row>
    <row r="82" spans="1:8" ht="16.5">
      <c r="A82" s="131" t="s">
        <v>396</v>
      </c>
      <c r="H82" s="398"/>
    </row>
    <row r="83" spans="1:8" ht="26.25">
      <c r="A83" s="302"/>
    </row>
    <row r="84" spans="1:8" ht="26.25">
      <c r="A84" s="299" t="s">
        <v>397</v>
      </c>
    </row>
    <row r="85" spans="1:8" ht="16.5">
      <c r="A85" s="303" t="s">
        <v>398</v>
      </c>
      <c r="B85" s="301"/>
      <c r="C85" s="301"/>
      <c r="D85" s="289"/>
      <c r="E85" s="289"/>
    </row>
  </sheetData>
  <pageMargins left="0.25" right="0.25" top="0.75" bottom="0.75" header="0.3" footer="0.3"/>
  <pageSetup scale="33" orientation="landscape" r:id="rId1"/>
  <rowBreaks count="1" manualBreakCount="1">
    <brk id="58" max="11" man="1"/>
  </rowBreaks>
  <colBreaks count="1" manualBreakCount="1">
    <brk id="11" max="88" man="1"/>
  </colBreaks>
  <ignoredErrors>
    <ignoredError sqref="E4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>
    <tabColor rgb="FF92D050"/>
    <pageSetUpPr fitToPage="1"/>
  </sheetPr>
  <dimension ref="A1:J68"/>
  <sheetViews>
    <sheetView view="pageBreakPreview" topLeftCell="A27" zoomScale="70" zoomScaleNormal="80" zoomScaleSheetLayoutView="70" zoomScalePageLayoutView="70" workbookViewId="0">
      <pane xSplit="1" topLeftCell="B1" activePane="topRight" state="frozen"/>
      <selection activeCell="F4" sqref="F4"/>
      <selection pane="topRight" activeCell="D33" sqref="D33"/>
    </sheetView>
  </sheetViews>
  <sheetFormatPr defaultRowHeight="15"/>
  <cols>
    <col min="1" max="1" width="62.42578125" customWidth="1"/>
    <col min="2" max="2" width="11.5703125" bestFit="1" customWidth="1"/>
    <col min="3" max="3" width="26.28515625" customWidth="1"/>
    <col min="4" max="4" width="30.140625" customWidth="1"/>
    <col min="5" max="5" width="28" customWidth="1"/>
    <col min="6" max="6" width="29.140625" customWidth="1"/>
    <col min="7" max="7" width="23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25" t="s">
        <v>1</v>
      </c>
      <c r="B1" s="13"/>
      <c r="C1" s="13"/>
      <c r="D1" s="13"/>
      <c r="E1" s="13"/>
      <c r="F1" s="13"/>
      <c r="G1" s="13"/>
      <c r="H1" s="13"/>
    </row>
    <row r="2" spans="1:9" ht="17.25">
      <c r="A2" s="26" t="s">
        <v>9</v>
      </c>
      <c r="B2" s="13"/>
      <c r="C2" s="13"/>
      <c r="D2" s="13"/>
      <c r="E2" s="13"/>
      <c r="F2" s="13"/>
      <c r="G2" s="13"/>
      <c r="H2" s="13"/>
    </row>
    <row r="3" spans="1:9" ht="16.5">
      <c r="A3" s="27" t="s">
        <v>444</v>
      </c>
      <c r="B3" s="13"/>
      <c r="C3" s="13"/>
      <c r="D3" s="13"/>
      <c r="E3" s="13"/>
      <c r="F3" s="13"/>
      <c r="G3" s="13"/>
      <c r="H3" s="13"/>
    </row>
    <row r="4" spans="1:9" ht="16.5">
      <c r="A4" s="27"/>
      <c r="B4" s="13"/>
      <c r="C4" s="13"/>
      <c r="D4" s="13"/>
      <c r="E4" s="13"/>
      <c r="F4" s="186" t="s">
        <v>0</v>
      </c>
      <c r="G4" s="13"/>
      <c r="H4" s="13"/>
    </row>
    <row r="5" spans="1:9" ht="16.5">
      <c r="B5" s="13"/>
      <c r="C5" s="13"/>
      <c r="D5" s="13"/>
      <c r="E5" s="28"/>
      <c r="F5" s="186" t="s">
        <v>0</v>
      </c>
      <c r="G5" s="13"/>
      <c r="H5" s="13" t="s">
        <v>0</v>
      </c>
    </row>
    <row r="6" spans="1:9" ht="16.5">
      <c r="A6" s="87"/>
      <c r="B6" s="36"/>
      <c r="C6" s="36"/>
      <c r="D6" s="36"/>
      <c r="E6" s="36"/>
      <c r="F6" s="36"/>
      <c r="G6" s="15"/>
      <c r="H6" s="86"/>
      <c r="I6" s="3"/>
    </row>
    <row r="7" spans="1:9" ht="16.5">
      <c r="A7" s="45"/>
      <c r="B7" s="45"/>
      <c r="C7" s="45"/>
      <c r="D7" s="45"/>
      <c r="E7" s="45"/>
      <c r="F7" s="45"/>
      <c r="G7" s="45"/>
      <c r="H7" s="45"/>
      <c r="I7" s="2"/>
    </row>
    <row r="8" spans="1:9" ht="17.25" thickBot="1">
      <c r="A8" s="45"/>
      <c r="B8" s="45"/>
      <c r="C8" s="45"/>
      <c r="D8" s="88"/>
      <c r="E8" s="30"/>
      <c r="F8" s="88"/>
      <c r="H8" s="45"/>
      <c r="I8" s="2"/>
    </row>
    <row r="9" spans="1:9" ht="27" thickBot="1">
      <c r="A9" s="29" t="str">
        <f>+'S&amp;D'!A12</f>
        <v>Natural Gas Utility Distribution</v>
      </c>
      <c r="B9" s="45"/>
      <c r="C9" s="45"/>
      <c r="D9" s="45"/>
      <c r="E9" s="33" t="s">
        <v>300</v>
      </c>
      <c r="F9" s="45"/>
      <c r="H9" s="13"/>
    </row>
    <row r="10" spans="1:9" ht="21" thickBot="1">
      <c r="A10" s="32"/>
      <c r="B10" s="45"/>
      <c r="C10" s="45"/>
      <c r="D10" s="88"/>
      <c r="E10" s="38" t="s">
        <v>445</v>
      </c>
      <c r="F10" s="88"/>
      <c r="H10" s="13"/>
    </row>
    <row r="11" spans="1:9" ht="20.25">
      <c r="A11" s="32"/>
      <c r="B11" s="45"/>
      <c r="C11" s="45"/>
      <c r="D11" s="45"/>
      <c r="E11" s="36"/>
      <c r="F11" s="45"/>
      <c r="H11" s="13"/>
    </row>
    <row r="12" spans="1:9" ht="20.25">
      <c r="A12" s="32"/>
      <c r="B12" s="45"/>
      <c r="C12" s="45"/>
      <c r="D12" s="45"/>
      <c r="E12" s="36"/>
      <c r="F12" s="45"/>
      <c r="H12" s="13"/>
    </row>
    <row r="13" spans="1:9" ht="20.25">
      <c r="A13" s="32"/>
      <c r="B13" s="45"/>
      <c r="C13" s="45"/>
      <c r="D13" s="45"/>
      <c r="E13" s="36"/>
      <c r="F13" s="45"/>
      <c r="H13" s="13"/>
    </row>
    <row r="14" spans="1:9" ht="20.25">
      <c r="A14" s="32"/>
      <c r="B14" s="45"/>
      <c r="C14" s="45"/>
      <c r="D14" s="45"/>
      <c r="E14" s="14" t="s">
        <v>0</v>
      </c>
      <c r="F14" s="45"/>
      <c r="H14" s="13"/>
    </row>
    <row r="15" spans="1:9" ht="17.25" thickBot="1">
      <c r="A15" s="43" t="s">
        <v>0</v>
      </c>
      <c r="B15" s="43" t="s">
        <v>0</v>
      </c>
      <c r="C15" s="43" t="s">
        <v>0</v>
      </c>
      <c r="D15" s="43"/>
      <c r="E15" s="43"/>
      <c r="F15" s="43"/>
      <c r="H15" s="13"/>
    </row>
    <row r="16" spans="1:9" ht="17.25">
      <c r="A16" s="89"/>
      <c r="B16" s="90"/>
      <c r="C16" s="91"/>
      <c r="D16" s="217" t="s">
        <v>0</v>
      </c>
      <c r="E16" s="218" t="s">
        <v>0</v>
      </c>
      <c r="F16" s="217" t="s">
        <v>0</v>
      </c>
      <c r="H16" s="13"/>
    </row>
    <row r="17" spans="1:10" ht="17.25">
      <c r="A17" s="89" t="s">
        <v>0</v>
      </c>
      <c r="B17" s="90" t="s">
        <v>3</v>
      </c>
      <c r="C17" s="91" t="s">
        <v>5</v>
      </c>
      <c r="D17" s="92" t="s">
        <v>290</v>
      </c>
      <c r="E17" s="219" t="s">
        <v>79</v>
      </c>
      <c r="F17" s="92" t="s">
        <v>292</v>
      </c>
      <c r="H17" s="13"/>
    </row>
    <row r="18" spans="1:10" ht="17.25">
      <c r="A18" s="89"/>
      <c r="B18" s="90" t="s">
        <v>4</v>
      </c>
      <c r="C18" s="91" t="s">
        <v>6</v>
      </c>
      <c r="D18" s="92" t="s">
        <v>301</v>
      </c>
      <c r="E18" s="219" t="s">
        <v>301</v>
      </c>
      <c r="F18" s="92" t="s">
        <v>142</v>
      </c>
      <c r="H18" s="13"/>
    </row>
    <row r="19" spans="1:10" ht="18" thickBot="1">
      <c r="A19" s="98" t="s">
        <v>2</v>
      </c>
      <c r="B19" s="99" t="s">
        <v>0</v>
      </c>
      <c r="C19" s="100" t="s">
        <v>0</v>
      </c>
      <c r="D19" s="99" t="s">
        <v>0</v>
      </c>
      <c r="E19" s="119" t="s">
        <v>0</v>
      </c>
      <c r="F19" s="99" t="s">
        <v>0</v>
      </c>
      <c r="H19" s="13"/>
    </row>
    <row r="20" spans="1:10" ht="16.5">
      <c r="A20" s="248" t="s">
        <v>7</v>
      </c>
      <c r="B20" s="249" t="s">
        <v>7</v>
      </c>
      <c r="C20" s="250" t="s">
        <v>7</v>
      </c>
      <c r="D20" s="249" t="s">
        <v>7</v>
      </c>
      <c r="E20" s="120" t="s">
        <v>291</v>
      </c>
      <c r="F20" s="104"/>
      <c r="H20" s="13"/>
    </row>
    <row r="21" spans="1:10" ht="17.25">
      <c r="A21" s="89"/>
      <c r="B21" s="90"/>
      <c r="C21" s="220"/>
      <c r="D21" s="90"/>
      <c r="E21" s="220"/>
      <c r="F21" s="90"/>
      <c r="H21" s="13"/>
    </row>
    <row r="22" spans="1:10" ht="17.25">
      <c r="A22" s="106" t="str">
        <f>+'S&amp;D'!A22</f>
        <v>Atmos Energy Corp</v>
      </c>
      <c r="B22" s="89" t="str">
        <f>+'S&amp;D'!B22</f>
        <v>ATO</v>
      </c>
      <c r="C22" s="90" t="str">
        <f>+'S&amp;D'!C22</f>
        <v>Gas Utility</v>
      </c>
      <c r="D22" s="234">
        <f>+'S&amp;D'!D42</f>
        <v>22105779072.550003</v>
      </c>
      <c r="E22" s="236">
        <v>12780481000</v>
      </c>
      <c r="F22" s="108">
        <f t="shared" ref="F22:F32" si="0">+D22/E22</f>
        <v>1.7296515735636244</v>
      </c>
      <c r="H22" s="13"/>
    </row>
    <row r="23" spans="1:10" ht="17.25">
      <c r="A23" s="106" t="str">
        <f>+'S&amp;D'!A23</f>
        <v>Black Hills Corporation</v>
      </c>
      <c r="B23" s="89" t="str">
        <f>+'S&amp;D'!B23</f>
        <v>BKH</v>
      </c>
      <c r="C23" s="90" t="str">
        <f>+'S&amp;D'!C23</f>
        <v>Electric Utility - West</v>
      </c>
      <c r="D23" s="234">
        <f>+'S&amp;D'!D43</f>
        <v>4191211060.96</v>
      </c>
      <c r="E23" s="236">
        <v>3585200000</v>
      </c>
      <c r="F23" s="108">
        <f t="shared" si="0"/>
        <v>1.1690313123284615</v>
      </c>
      <c r="H23" s="13"/>
    </row>
    <row r="24" spans="1:10" ht="17.25">
      <c r="A24" s="106" t="str">
        <f>+'S&amp;D'!A24</f>
        <v>CenterPoint Energy Inc.</v>
      </c>
      <c r="B24" s="89" t="str">
        <f>+'S&amp;D'!B24</f>
        <v>CNP</v>
      </c>
      <c r="C24" s="90" t="str">
        <f>+'S&amp;D'!C24</f>
        <v>Electric Utility - Central</v>
      </c>
      <c r="D24" s="234">
        <f>+'S&amp;D'!D44</f>
        <v>20679306467.48</v>
      </c>
      <c r="E24" s="236">
        <v>10666000000</v>
      </c>
      <c r="F24" s="108">
        <f t="shared" si="0"/>
        <v>1.9388061567110444</v>
      </c>
      <c r="G24" t="s">
        <v>0</v>
      </c>
      <c r="H24" s="13"/>
    </row>
    <row r="25" spans="1:10" ht="17.25">
      <c r="A25" s="106" t="str">
        <f>+'S&amp;D'!A25</f>
        <v>CMS Energy Corporation</v>
      </c>
      <c r="B25" s="89" t="str">
        <f>+'S&amp;D'!B25</f>
        <v>CMS</v>
      </c>
      <c r="C25" s="90" t="str">
        <f>+'S&amp;D'!C25</f>
        <v>Electric Utility - Central</v>
      </c>
      <c r="D25" s="234">
        <f>+'S&amp;D'!D45</f>
        <v>19915020000</v>
      </c>
      <c r="E25" s="236">
        <v>8748000000</v>
      </c>
      <c r="F25" s="108">
        <f t="shared" si="0"/>
        <v>2.2765226337448561</v>
      </c>
      <c r="H25" s="13"/>
    </row>
    <row r="26" spans="1:10" ht="17.25">
      <c r="A26" s="106" t="str">
        <f>+'S&amp;D'!A26</f>
        <v>New Jersey Resources Corp</v>
      </c>
      <c r="B26" s="89" t="str">
        <f>+'S&amp;D'!B26</f>
        <v>NJR</v>
      </c>
      <c r="C26" s="90" t="str">
        <f>+'S&amp;D'!C26</f>
        <v>Gas Utility</v>
      </c>
      <c r="D26" s="234">
        <f>+'S&amp;D'!D46</f>
        <v>4581135195.75</v>
      </c>
      <c r="E26" s="236">
        <v>2312684000</v>
      </c>
      <c r="F26" s="108">
        <f t="shared" si="0"/>
        <v>1.9808738226882705</v>
      </c>
      <c r="H26" s="13"/>
      <c r="J26" s="10" t="s">
        <v>0</v>
      </c>
    </row>
    <row r="27" spans="1:10" ht="17.25">
      <c r="A27" s="106" t="str">
        <f>+'S&amp;D'!A27</f>
        <v>NISOURCE Inc.</v>
      </c>
      <c r="B27" s="89" t="str">
        <f>+'S&amp;D'!B27</f>
        <v>NI</v>
      </c>
      <c r="C27" s="90" t="str">
        <f>+'S&amp;D'!C27</f>
        <v>Gas Utility</v>
      </c>
      <c r="D27" s="234">
        <f>+'S&amp;D'!D47</f>
        <v>17270674070.719997</v>
      </c>
      <c r="E27" s="236">
        <v>8684200000</v>
      </c>
      <c r="F27" s="108">
        <f t="shared" si="0"/>
        <v>1.9887466975334513</v>
      </c>
      <c r="H27" s="13"/>
    </row>
    <row r="28" spans="1:10" ht="17.25">
      <c r="A28" s="106" t="str">
        <f>+'S&amp;D'!A28</f>
        <v xml:space="preserve">Northwest Natural Holding Company </v>
      </c>
      <c r="B28" s="89" t="str">
        <f>+'S&amp;D'!B28</f>
        <v>NWN</v>
      </c>
      <c r="C28" s="90" t="str">
        <f>+'S&amp;D'!C28</f>
        <v>Gas Utility</v>
      </c>
      <c r="D28" s="234">
        <f>+'S&amp;D'!D48</f>
        <v>1591194385.8000002</v>
      </c>
      <c r="E28" s="236">
        <v>1385371000</v>
      </c>
      <c r="F28" s="108">
        <f t="shared" si="0"/>
        <v>1.148569145593491</v>
      </c>
      <c r="G28" s="319" t="s">
        <v>0</v>
      </c>
      <c r="H28" s="13"/>
    </row>
    <row r="29" spans="1:10" ht="17.25">
      <c r="A29" s="106" t="str">
        <f>+'S&amp;D'!A29</f>
        <v>One Gas INC</v>
      </c>
      <c r="B29" s="89" t="str">
        <f>+'S&amp;D'!B29</f>
        <v>OGS</v>
      </c>
      <c r="C29" s="90" t="str">
        <f>+'S&amp;D'!C29</f>
        <v>Gas Utility</v>
      </c>
      <c r="D29" s="234">
        <f>+'S&amp;D'!D49</f>
        <v>4146472624.25</v>
      </c>
      <c r="E29" s="236">
        <v>3104548000</v>
      </c>
      <c r="F29" s="108">
        <f t="shared" si="0"/>
        <v>1.3356123417160888</v>
      </c>
      <c r="H29" s="13"/>
    </row>
    <row r="30" spans="1:10" ht="17.25">
      <c r="A30" s="106" t="str">
        <f>+'S&amp;D'!A30</f>
        <v>Southwest Gas Holdings, Inc</v>
      </c>
      <c r="B30" s="89" t="str">
        <f>+'S&amp;D'!B30</f>
        <v>SWX</v>
      </c>
      <c r="C30" s="90" t="str">
        <f>+'S&amp;D'!C30</f>
        <v>Gas Utility</v>
      </c>
      <c r="D30" s="234">
        <f>+'S&amp;D'!D50</f>
        <v>5075758676.7599993</v>
      </c>
      <c r="E30" s="236">
        <v>3504187000</v>
      </c>
      <c r="F30" s="108">
        <f t="shared" si="0"/>
        <v>1.4484839641149285</v>
      </c>
      <c r="G30" t="s">
        <v>0</v>
      </c>
      <c r="H30" s="13"/>
    </row>
    <row r="31" spans="1:10" ht="17.25">
      <c r="A31" s="106" t="str">
        <f>+'S&amp;D'!A31</f>
        <v>Spire Inc / Laclede Group Inc</v>
      </c>
      <c r="B31" s="89" t="str">
        <f>+'S&amp;D'!B31</f>
        <v>SR</v>
      </c>
      <c r="C31" s="90" t="str">
        <f>+'S&amp;D'!C31</f>
        <v>Gas Utility</v>
      </c>
      <c r="D31" s="234">
        <f>+'S&amp;D'!D51</f>
        <v>3954489000</v>
      </c>
      <c r="E31" s="236">
        <v>3308900000</v>
      </c>
      <c r="F31" s="108">
        <f t="shared" si="0"/>
        <v>1.1951068330865242</v>
      </c>
      <c r="H31" s="13"/>
    </row>
    <row r="32" spans="1:10" ht="18" thickBot="1">
      <c r="A32" s="110" t="str">
        <f>+'S&amp;D'!A32</f>
        <v>WEC Energy Group</v>
      </c>
      <c r="B32" s="98" t="str">
        <f>+'S&amp;D'!B32</f>
        <v>WEC</v>
      </c>
      <c r="C32" s="99" t="str">
        <f>+'S&amp;D'!C32</f>
        <v>Electric Utility - Central</v>
      </c>
      <c r="D32" s="235">
        <f>+'S&amp;D'!D52</f>
        <v>29874707604.200001</v>
      </c>
      <c r="E32" s="236">
        <v>12395000000</v>
      </c>
      <c r="F32" s="108">
        <f t="shared" si="0"/>
        <v>2.4102224771440097</v>
      </c>
      <c r="H32" s="13"/>
    </row>
    <row r="33" spans="1:8" ht="27" customHeight="1" thickBot="1">
      <c r="A33" s="112"/>
      <c r="B33" s="112"/>
      <c r="C33" s="112"/>
      <c r="D33" s="112"/>
      <c r="E33" s="246" t="s">
        <v>299</v>
      </c>
      <c r="F33" s="340">
        <f>AVERAGE(F22:F32)</f>
        <v>1.6928751780204321</v>
      </c>
      <c r="H33" s="13"/>
    </row>
    <row r="34" spans="1:8" ht="17.25">
      <c r="A34" s="112"/>
      <c r="B34" s="112"/>
      <c r="C34" s="112"/>
      <c r="D34" s="112"/>
      <c r="E34" s="229"/>
      <c r="F34" s="230"/>
      <c r="H34" s="13"/>
    </row>
    <row r="35" spans="1:8" ht="17.25">
      <c r="A35" s="112"/>
      <c r="B35" s="112"/>
      <c r="C35" s="112"/>
      <c r="D35" s="112"/>
      <c r="E35" s="229"/>
      <c r="F35" s="230"/>
      <c r="H35" s="13"/>
    </row>
    <row r="36" spans="1:8" ht="17.25">
      <c r="A36" s="112"/>
      <c r="B36" s="112"/>
      <c r="C36" s="112"/>
      <c r="D36" s="112"/>
      <c r="E36" s="229"/>
      <c r="F36" s="230"/>
      <c r="H36" s="13"/>
    </row>
    <row r="37" spans="1:8" ht="18" thickBot="1">
      <c r="A37" s="112"/>
      <c r="B37" s="112"/>
      <c r="C37" s="112"/>
      <c r="D37" s="112"/>
      <c r="E37" s="112"/>
      <c r="F37" s="112"/>
      <c r="H37" s="13"/>
    </row>
    <row r="38" spans="1:8" ht="17.25">
      <c r="A38" s="231"/>
      <c r="B38" s="232"/>
      <c r="C38" s="233"/>
      <c r="D38" s="217" t="s">
        <v>0</v>
      </c>
      <c r="E38" s="218" t="s">
        <v>0</v>
      </c>
      <c r="F38" s="217" t="s">
        <v>0</v>
      </c>
      <c r="H38" s="13"/>
    </row>
    <row r="39" spans="1:8" ht="17.25">
      <c r="A39" s="89" t="s">
        <v>0</v>
      </c>
      <c r="B39" s="90" t="s">
        <v>3</v>
      </c>
      <c r="C39" s="91" t="s">
        <v>5</v>
      </c>
      <c r="D39" s="92" t="s">
        <v>290</v>
      </c>
      <c r="E39" s="219" t="s">
        <v>79</v>
      </c>
      <c r="F39" s="92" t="s">
        <v>292</v>
      </c>
      <c r="H39" s="13"/>
    </row>
    <row r="40" spans="1:8" ht="17.25">
      <c r="A40" s="89"/>
      <c r="B40" s="90" t="s">
        <v>4</v>
      </c>
      <c r="C40" s="91" t="s">
        <v>6</v>
      </c>
      <c r="D40" s="92" t="s">
        <v>293</v>
      </c>
      <c r="E40" s="219" t="s">
        <v>293</v>
      </c>
      <c r="F40" s="92" t="s">
        <v>142</v>
      </c>
    </row>
    <row r="41" spans="1:8" ht="18" thickBot="1">
      <c r="A41" s="98" t="s">
        <v>2</v>
      </c>
      <c r="B41" s="99" t="s">
        <v>0</v>
      </c>
      <c r="C41" s="100" t="s">
        <v>0</v>
      </c>
      <c r="D41" s="99" t="s">
        <v>0</v>
      </c>
      <c r="E41" s="119" t="s">
        <v>0</v>
      </c>
      <c r="F41" s="99" t="s">
        <v>0</v>
      </c>
    </row>
    <row r="42" spans="1:8">
      <c r="A42" s="248" t="s">
        <v>7</v>
      </c>
      <c r="B42" s="249" t="s">
        <v>7</v>
      </c>
      <c r="C42" s="298" t="s">
        <v>7</v>
      </c>
      <c r="D42" s="249" t="s">
        <v>291</v>
      </c>
      <c r="E42" s="120" t="s">
        <v>291</v>
      </c>
      <c r="F42" s="104"/>
    </row>
    <row r="43" spans="1:8" ht="17.25">
      <c r="A43" s="89"/>
      <c r="B43" s="90"/>
      <c r="C43" s="91"/>
      <c r="D43" s="90"/>
      <c r="E43" s="220"/>
      <c r="F43" s="90"/>
    </row>
    <row r="44" spans="1:8" ht="17.25">
      <c r="A44" s="106" t="str">
        <f>+'S&amp;D'!A22</f>
        <v>Atmos Energy Corp</v>
      </c>
      <c r="B44" s="89" t="str">
        <f>+'S&amp;D'!B22</f>
        <v>ATO</v>
      </c>
      <c r="C44" s="89" t="str">
        <f>+'S&amp;D'!C22</f>
        <v>Gas Utility</v>
      </c>
      <c r="D44" s="234">
        <f>+'S&amp;D'!G42</f>
        <v>7476052210.2234735</v>
      </c>
      <c r="E44" s="236">
        <f>+'S&amp;D'!J22</f>
        <v>8425055000</v>
      </c>
      <c r="F44" s="108">
        <f>+D44/E44</f>
        <v>0.88735945465323063</v>
      </c>
    </row>
    <row r="45" spans="1:8" ht="17.25">
      <c r="A45" s="106" t="str">
        <f>+'S&amp;D'!A23</f>
        <v>Black Hills Corporation</v>
      </c>
      <c r="B45" s="89" t="str">
        <f>+'S&amp;D'!B23</f>
        <v>BKH</v>
      </c>
      <c r="C45" s="89" t="str">
        <f>+'S&amp;D'!C23</f>
        <v>Electric Utility - West</v>
      </c>
      <c r="D45" s="234">
        <f>+'S&amp;D'!G43</f>
        <v>4059100000</v>
      </c>
      <c r="E45" s="236">
        <f>+'S&amp;D'!J23</f>
        <v>4250200000</v>
      </c>
      <c r="F45" s="108">
        <f t="shared" ref="F45:F54" si="1">+D45/E45</f>
        <v>0.95503741000423514</v>
      </c>
    </row>
    <row r="46" spans="1:8" ht="17.25">
      <c r="A46" s="106" t="str">
        <f>+'S&amp;D'!A24</f>
        <v>CenterPoint Energy Inc.</v>
      </c>
      <c r="B46" s="89" t="str">
        <f>+'S&amp;D'!B24</f>
        <v>CNP</v>
      </c>
      <c r="C46" s="89" t="str">
        <f>+'S&amp;D'!C24</f>
        <v>Electric Utility - Central</v>
      </c>
      <c r="D46" s="234">
        <f>+'S&amp;D'!G44</f>
        <v>19117382567.625591</v>
      </c>
      <c r="E46" s="236">
        <f>+'S&amp;D'!J24</f>
        <v>20448000000</v>
      </c>
      <c r="F46" s="108">
        <f t="shared" si="1"/>
        <v>0.93492676876103242</v>
      </c>
    </row>
    <row r="47" spans="1:8" ht="17.25">
      <c r="A47" s="106" t="str">
        <f>+'S&amp;D'!A25</f>
        <v>CMS Energy Corporation</v>
      </c>
      <c r="B47" s="89" t="str">
        <f>+'S&amp;D'!B25</f>
        <v>CMS</v>
      </c>
      <c r="C47" s="89" t="str">
        <f>+'S&amp;D'!C25</f>
        <v>Electric Utility - Central</v>
      </c>
      <c r="D47" s="234">
        <f>+'S&amp;D'!G45</f>
        <v>14980402538.752594</v>
      </c>
      <c r="E47" s="236">
        <f>+'S&amp;D'!J25</f>
        <v>16501000000</v>
      </c>
      <c r="F47" s="108">
        <f t="shared" si="1"/>
        <v>0.907848163066032</v>
      </c>
    </row>
    <row r="48" spans="1:8" ht="17.25">
      <c r="A48" s="106" t="str">
        <f>+'S&amp;D'!A26</f>
        <v>New Jersey Resources Corp</v>
      </c>
      <c r="B48" s="89" t="str">
        <f>+'S&amp;D'!B26</f>
        <v>NJR</v>
      </c>
      <c r="C48" s="89" t="str">
        <f>+'S&amp;D'!C26</f>
        <v>Gas Utility</v>
      </c>
      <c r="D48" s="234">
        <f>+'S&amp;D'!G46</f>
        <v>2662103086.5279665</v>
      </c>
      <c r="E48" s="236">
        <f>+'S&amp;D'!J26</f>
        <v>3081031000</v>
      </c>
      <c r="F48" s="108">
        <f t="shared" si="1"/>
        <v>0.86402995832497842</v>
      </c>
    </row>
    <row r="49" spans="1:6" ht="17.25">
      <c r="A49" s="106" t="str">
        <f>+'S&amp;D'!A27</f>
        <v>NISOURCE Inc.</v>
      </c>
      <c r="B49" s="89" t="str">
        <f>+'S&amp;D'!B27</f>
        <v>NI</v>
      </c>
      <c r="C49" s="89" t="str">
        <f>+'S&amp;D'!C27</f>
        <v>Gas Utility</v>
      </c>
      <c r="D49" s="234">
        <f>+'S&amp;D'!G47</f>
        <v>12505200000</v>
      </c>
      <c r="E49" s="236">
        <f>+'S&amp;D'!J27</f>
        <v>13355700000</v>
      </c>
      <c r="F49" s="108">
        <f t="shared" si="1"/>
        <v>0.93631932433343068</v>
      </c>
    </row>
    <row r="50" spans="1:6" ht="17.25">
      <c r="A50" s="106" t="str">
        <f>+'S&amp;D'!A28</f>
        <v xml:space="preserve">Northwest Natural Holding Company </v>
      </c>
      <c r="B50" s="89" t="str">
        <f>+'S&amp;D'!B28</f>
        <v>NWN</v>
      </c>
      <c r="C50" s="89" t="str">
        <f>+'S&amp;D'!C28</f>
        <v>Gas Utility</v>
      </c>
      <c r="D50" s="234">
        <f>+'S&amp;D'!G48</f>
        <v>1542208000</v>
      </c>
      <c r="E50" s="236">
        <f>+'S&amp;D'!J28</f>
        <v>1710142000</v>
      </c>
      <c r="F50" s="108">
        <f t="shared" si="1"/>
        <v>0.90180113698160735</v>
      </c>
    </row>
    <row r="51" spans="1:6" ht="17.25">
      <c r="A51" s="106" t="str">
        <f>+'S&amp;D'!A29</f>
        <v>One Gas INC</v>
      </c>
      <c r="B51" s="89" t="str">
        <f>+'S&amp;D'!B29</f>
        <v>OGS</v>
      </c>
      <c r="C51" s="89" t="str">
        <f>+'S&amp;D'!C29</f>
        <v>Gas Utility</v>
      </c>
      <c r="D51" s="234">
        <f>+'S&amp;D'!G49</f>
        <v>2200000000</v>
      </c>
      <c r="E51" s="236">
        <f>+'S&amp;D'!J29</f>
        <v>2385300000</v>
      </c>
      <c r="F51" s="108">
        <f t="shared" si="1"/>
        <v>0.92231585125560722</v>
      </c>
    </row>
    <row r="52" spans="1:6" ht="17.25">
      <c r="A52" s="106" t="str">
        <f>+'S&amp;D'!A30</f>
        <v>Southwest Gas Holdings, Inc</v>
      </c>
      <c r="B52" s="89" t="str">
        <f>+'S&amp;D'!B30</f>
        <v>SWX</v>
      </c>
      <c r="C52" s="89" t="str">
        <f>+'S&amp;D'!C30</f>
        <v>Gas Utility</v>
      </c>
      <c r="D52" s="234">
        <f>+'S&amp;D'!G50</f>
        <v>4035287913.2441344</v>
      </c>
      <c r="E52" s="236">
        <f>+'S&amp;D'!J30</f>
        <v>4378358000</v>
      </c>
      <c r="F52" s="108">
        <f t="shared" si="1"/>
        <v>0.92164412166481924</v>
      </c>
    </row>
    <row r="53" spans="1:6" ht="17.25">
      <c r="A53" s="106" t="str">
        <f>+'S&amp;D'!A31</f>
        <v>Spire Inc / Laclede Group Inc</v>
      </c>
      <c r="B53" s="89" t="str">
        <f>+'S&amp;D'!B31</f>
        <v>SR</v>
      </c>
      <c r="C53" s="89" t="str">
        <f>+'S&amp;D'!C31</f>
        <v>Gas Utility</v>
      </c>
      <c r="D53" s="234">
        <f>+'S&amp;D'!G51</f>
        <v>3594341784.1127486</v>
      </c>
      <c r="E53" s="236">
        <f>+'S&amp;D'!J31</f>
        <v>3740200000</v>
      </c>
      <c r="F53" s="108">
        <f t="shared" si="1"/>
        <v>0.96100256245996163</v>
      </c>
    </row>
    <row r="54" spans="1:6" ht="18" thickBot="1">
      <c r="A54" s="110" t="str">
        <f>+'S&amp;D'!A32</f>
        <v>WEC Energy Group</v>
      </c>
      <c r="B54" s="98" t="str">
        <f>+'S&amp;D'!B32</f>
        <v>WEC</v>
      </c>
      <c r="C54" s="98" t="str">
        <f>+'S&amp;D'!C32</f>
        <v>Electric Utility - Central</v>
      </c>
      <c r="D54" s="235">
        <f>+'S&amp;D'!G52</f>
        <v>17840800000</v>
      </c>
      <c r="E54" s="236">
        <f>+'S&amp;D'!J32</f>
        <v>18907100000</v>
      </c>
      <c r="F54" s="108">
        <f t="shared" si="1"/>
        <v>0.94360319668272763</v>
      </c>
    </row>
    <row r="55" spans="1:6" ht="27.75" customHeight="1" thickBot="1">
      <c r="E55" s="246" t="s">
        <v>299</v>
      </c>
      <c r="F55" s="340">
        <f>AVERAGE(F44:F54)</f>
        <v>0.92144435892615129</v>
      </c>
    </row>
    <row r="60" spans="1:6">
      <c r="C60" s="221" t="s">
        <v>294</v>
      </c>
      <c r="D60" s="221" t="s">
        <v>295</v>
      </c>
      <c r="E60" s="221"/>
    </row>
    <row r="61" spans="1:6">
      <c r="A61" s="223"/>
      <c r="B61" s="223"/>
      <c r="C61" s="222" t="s">
        <v>36</v>
      </c>
      <c r="D61" s="222" t="s">
        <v>296</v>
      </c>
      <c r="E61" s="222" t="s">
        <v>297</v>
      </c>
    </row>
    <row r="62" spans="1:6" ht="17.25">
      <c r="A62" s="91" t="s">
        <v>40</v>
      </c>
      <c r="B62" s="137" t="s">
        <v>0</v>
      </c>
      <c r="C62" s="137">
        <f>+'Yield CapRate'!C23</f>
        <v>0.57999999999999996</v>
      </c>
      <c r="D62" s="227">
        <f>+F33</f>
        <v>1.6928751780204321</v>
      </c>
      <c r="E62" s="228">
        <f>+C62*D62</f>
        <v>0.98186760325185052</v>
      </c>
      <c r="F62" s="138" t="s">
        <v>0</v>
      </c>
    </row>
    <row r="63" spans="1:6" ht="17.25">
      <c r="A63" s="224" t="s">
        <v>42</v>
      </c>
      <c r="B63" s="225" t="str">
        <f>'S&amp;D'!I39</f>
        <v xml:space="preserve"> </v>
      </c>
      <c r="C63" s="225">
        <f>+'Yield CapRate'!C25</f>
        <v>0.42</v>
      </c>
      <c r="D63" s="226">
        <f>+F55</f>
        <v>0.92144435892615129</v>
      </c>
      <c r="E63" s="226">
        <f>+C63*D63</f>
        <v>0.3870066307489835</v>
      </c>
      <c r="F63" s="138" t="s">
        <v>0</v>
      </c>
    </row>
    <row r="64" spans="1:6" ht="17.25">
      <c r="D64" s="122" t="s">
        <v>298</v>
      </c>
      <c r="E64" s="247">
        <f>+E62+E63</f>
        <v>1.368874234000834</v>
      </c>
    </row>
    <row r="67" spans="1:1" ht="20.25">
      <c r="A67" s="32" t="s">
        <v>415</v>
      </c>
    </row>
    <row r="68" spans="1:1" ht="20.25">
      <c r="A68" s="32" t="s">
        <v>365</v>
      </c>
    </row>
  </sheetData>
  <pageMargins left="0.25" right="0.25" top="0.75" bottom="0.75" header="0.3" footer="0.3"/>
  <pageSetup scale="42" orientation="landscape" r:id="rId1"/>
  <rowBreaks count="1" manualBreakCount="1">
    <brk id="37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>
    <tabColor rgb="FF92D050"/>
  </sheetPr>
  <dimension ref="A1:L80"/>
  <sheetViews>
    <sheetView view="pageBreakPreview" zoomScale="70" zoomScaleNormal="80" zoomScaleSheetLayoutView="70" workbookViewId="0">
      <selection activeCell="L38" sqref="L38"/>
    </sheetView>
  </sheetViews>
  <sheetFormatPr defaultRowHeight="15"/>
  <cols>
    <col min="1" max="1" width="45.140625" customWidth="1"/>
    <col min="2" max="2" width="15.28515625" customWidth="1"/>
    <col min="3" max="3" width="10.7109375" customWidth="1"/>
    <col min="4" max="4" width="21.7109375" customWidth="1"/>
    <col min="5" max="5" width="22.285156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6.7109375" customWidth="1"/>
    <col min="12" max="12" width="23.140625" customWidth="1"/>
  </cols>
  <sheetData>
    <row r="1" spans="1:12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6.5">
      <c r="A3" s="27" t="s">
        <v>444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6.5">
      <c r="A4" s="2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6.5">
      <c r="A5" s="2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6.5">
      <c r="A6" s="2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7.25" thickBot="1">
      <c r="A7" s="13"/>
      <c r="B7" s="13"/>
      <c r="C7" s="13"/>
      <c r="D7" s="13"/>
      <c r="E7" s="13"/>
      <c r="F7" s="30"/>
      <c r="G7" s="30"/>
      <c r="H7" s="31" t="s">
        <v>0</v>
      </c>
      <c r="I7" s="13"/>
      <c r="J7" s="13"/>
      <c r="K7" s="13"/>
      <c r="L7" s="13"/>
    </row>
    <row r="8" spans="1:12" ht="27" thickBot="1">
      <c r="A8" s="241" t="str">
        <f>+'S&amp;D'!A12</f>
        <v>Natural Gas Utility Distribution</v>
      </c>
      <c r="B8" s="242"/>
      <c r="C8" s="179"/>
      <c r="D8" s="13"/>
      <c r="E8" s="13"/>
      <c r="F8" s="13"/>
      <c r="G8" s="33" t="s">
        <v>94</v>
      </c>
      <c r="H8" s="13"/>
      <c r="I8" s="13"/>
      <c r="J8" s="13"/>
      <c r="K8" s="13"/>
      <c r="L8" s="13"/>
    </row>
    <row r="9" spans="1:12" ht="20.25">
      <c r="A9" s="32"/>
      <c r="B9" s="13"/>
      <c r="C9" s="13"/>
      <c r="D9" s="13"/>
      <c r="E9" s="13"/>
      <c r="F9" s="13"/>
      <c r="G9" s="91" t="s">
        <v>95</v>
      </c>
      <c r="H9" s="13"/>
      <c r="I9" s="13"/>
      <c r="J9" s="13"/>
      <c r="K9" s="13"/>
      <c r="L9" s="13"/>
    </row>
    <row r="10" spans="1:12" ht="18" customHeight="1" thickBot="1">
      <c r="A10" s="42" t="s">
        <v>0</v>
      </c>
      <c r="B10" s="42" t="s">
        <v>0</v>
      </c>
      <c r="C10" s="42" t="s">
        <v>0</v>
      </c>
      <c r="D10" s="13"/>
      <c r="E10" s="13"/>
      <c r="F10" s="35" t="s">
        <v>0</v>
      </c>
      <c r="G10" s="38" t="s">
        <v>445</v>
      </c>
      <c r="H10" s="35" t="s">
        <v>0</v>
      </c>
      <c r="I10" s="42" t="s">
        <v>0</v>
      </c>
      <c r="J10" s="13"/>
      <c r="K10" s="13"/>
      <c r="L10" s="13"/>
    </row>
    <row r="11" spans="1:12" ht="18" customHeight="1">
      <c r="A11" s="42"/>
      <c r="B11" s="42"/>
      <c r="C11" s="42"/>
      <c r="D11" s="13"/>
      <c r="E11" s="13"/>
      <c r="J11" s="13"/>
      <c r="K11" s="13"/>
      <c r="L11" s="13"/>
    </row>
    <row r="12" spans="1:12" ht="18" customHeight="1">
      <c r="A12" s="42"/>
      <c r="B12" s="42"/>
      <c r="C12" s="42"/>
      <c r="D12" s="13"/>
      <c r="E12" s="13"/>
      <c r="G12" s="14" t="s">
        <v>0</v>
      </c>
      <c r="H12" t="s">
        <v>0</v>
      </c>
      <c r="J12" s="13"/>
      <c r="K12" s="13"/>
      <c r="L12" s="13"/>
    </row>
    <row r="13" spans="1:12" ht="17.25" thickBot="1">
      <c r="A13" s="35"/>
      <c r="B13" s="35"/>
      <c r="C13" s="35"/>
      <c r="D13" s="35"/>
      <c r="E13" s="38"/>
      <c r="F13" s="35"/>
      <c r="G13" s="35"/>
      <c r="H13" s="35"/>
      <c r="I13" s="35"/>
      <c r="J13" s="30"/>
      <c r="K13" s="30"/>
      <c r="L13" s="30"/>
    </row>
    <row r="14" spans="1:12" ht="15" customHeight="1" thickBot="1">
      <c r="A14" s="35" t="s">
        <v>24</v>
      </c>
      <c r="B14" s="35" t="s">
        <v>107</v>
      </c>
      <c r="C14" s="35" t="s">
        <v>108</v>
      </c>
      <c r="D14" s="43" t="s">
        <v>109</v>
      </c>
      <c r="E14" s="35" t="s">
        <v>110</v>
      </c>
      <c r="F14" s="35" t="s">
        <v>111</v>
      </c>
      <c r="G14" s="35" t="s">
        <v>112</v>
      </c>
      <c r="H14" s="35" t="s">
        <v>113</v>
      </c>
      <c r="I14" s="35" t="s">
        <v>114</v>
      </c>
      <c r="J14" s="35" t="s">
        <v>115</v>
      </c>
      <c r="K14" s="35" t="s">
        <v>116</v>
      </c>
      <c r="L14" s="35" t="s">
        <v>124</v>
      </c>
    </row>
    <row r="15" spans="1:12" ht="16.5">
      <c r="A15" s="36" t="s">
        <v>0</v>
      </c>
      <c r="B15" s="36" t="s">
        <v>3</v>
      </c>
      <c r="C15" s="36" t="s">
        <v>96</v>
      </c>
      <c r="D15" s="36" t="s">
        <v>99</v>
      </c>
      <c r="E15" s="36" t="s">
        <v>99</v>
      </c>
      <c r="F15" s="36" t="s">
        <v>100</v>
      </c>
      <c r="G15" s="36" t="s">
        <v>103</v>
      </c>
      <c r="H15" s="36" t="s">
        <v>105</v>
      </c>
      <c r="I15" s="36" t="s">
        <v>127</v>
      </c>
      <c r="J15" s="36" t="s">
        <v>127</v>
      </c>
      <c r="K15" s="36" t="s">
        <v>120</v>
      </c>
      <c r="L15" s="36" t="s">
        <v>122</v>
      </c>
    </row>
    <row r="16" spans="1:12" ht="17.25" thickBot="1">
      <c r="A16" s="38" t="s">
        <v>2</v>
      </c>
      <c r="B16" s="38" t="s">
        <v>4</v>
      </c>
      <c r="C16" s="38" t="s">
        <v>97</v>
      </c>
      <c r="D16" s="38" t="s">
        <v>102</v>
      </c>
      <c r="E16" s="38" t="s">
        <v>101</v>
      </c>
      <c r="F16" s="38" t="s">
        <v>19</v>
      </c>
      <c r="G16" s="38" t="s">
        <v>104</v>
      </c>
      <c r="H16" s="38" t="s">
        <v>106</v>
      </c>
      <c r="I16" s="38" t="s">
        <v>0</v>
      </c>
      <c r="J16" s="38" t="s">
        <v>0</v>
      </c>
      <c r="K16" s="38" t="s">
        <v>121</v>
      </c>
      <c r="L16" s="38" t="s">
        <v>103</v>
      </c>
    </row>
    <row r="17" spans="1:12">
      <c r="A17" s="44" t="s">
        <v>7</v>
      </c>
      <c r="B17" s="44" t="s">
        <v>7</v>
      </c>
      <c r="C17" s="44" t="s">
        <v>98</v>
      </c>
      <c r="D17" s="44" t="s">
        <v>254</v>
      </c>
      <c r="E17" s="44" t="s">
        <v>254</v>
      </c>
      <c r="F17" s="44" t="s">
        <v>125</v>
      </c>
      <c r="G17" s="44" t="s">
        <v>253</v>
      </c>
      <c r="H17" s="44" t="s">
        <v>117</v>
      </c>
      <c r="I17" s="44" t="s">
        <v>118</v>
      </c>
      <c r="J17" s="44" t="s">
        <v>119</v>
      </c>
      <c r="K17" s="44" t="s">
        <v>126</v>
      </c>
      <c r="L17" s="44" t="s">
        <v>123</v>
      </c>
    </row>
    <row r="18" spans="1:12" ht="16.5">
      <c r="A18" s="36"/>
      <c r="B18" s="36"/>
      <c r="C18" s="36"/>
      <c r="D18" s="36"/>
      <c r="E18" s="36"/>
      <c r="F18" s="36"/>
      <c r="G18" s="36" t="s">
        <v>0</v>
      </c>
      <c r="H18" s="36" t="s">
        <v>0</v>
      </c>
      <c r="I18" s="36"/>
      <c r="J18" s="36"/>
      <c r="K18" s="36"/>
      <c r="L18" s="36"/>
    </row>
    <row r="19" spans="1:12" ht="16.5">
      <c r="A19" s="13"/>
      <c r="B19" s="13"/>
      <c r="C19" s="13"/>
      <c r="D19" s="13" t="s">
        <v>0</v>
      </c>
      <c r="E19" s="13" t="s">
        <v>0</v>
      </c>
      <c r="F19" s="13" t="s">
        <v>0</v>
      </c>
      <c r="G19" s="13" t="s">
        <v>0</v>
      </c>
      <c r="H19" s="13" t="s">
        <v>0</v>
      </c>
      <c r="I19" s="13"/>
      <c r="J19" s="13"/>
      <c r="K19" s="13"/>
      <c r="L19" s="13"/>
    </row>
    <row r="20" spans="1:12" ht="22.5" customHeight="1">
      <c r="A20" s="64" t="str">
        <f>+'S&amp;D'!A22</f>
        <v>Atmos Energy Corp</v>
      </c>
      <c r="B20" s="91" t="str">
        <f>+'S&amp;D'!B22</f>
        <v>ATO</v>
      </c>
      <c r="C20" s="67">
        <f>+'Growth &amp; Inflation Rates'!$D$57</f>
        <v>2.3E-2</v>
      </c>
      <c r="D20" s="276">
        <v>26675943000</v>
      </c>
      <c r="E20" s="276">
        <v>23683937000</v>
      </c>
      <c r="F20" s="133">
        <f>(D20+E20)/2</f>
        <v>25179940000</v>
      </c>
      <c r="G20" s="320">
        <f>180533000+(669972000-164608000)</f>
        <v>685897000</v>
      </c>
      <c r="H20" s="19">
        <f>+F20/G20</f>
        <v>36.710963891079857</v>
      </c>
      <c r="I20" s="46">
        <f>+C20*H20</f>
        <v>0.84435216949483671</v>
      </c>
      <c r="J20" s="47">
        <f>1/(1+C20)^H20</f>
        <v>0.43396626208333006</v>
      </c>
      <c r="K20" s="134">
        <f>(G20*I20)/(1-J20)</f>
        <v>1023152121.8709745</v>
      </c>
      <c r="L20" s="135">
        <f>+K20/G20</f>
        <v>1.4916993686675617</v>
      </c>
    </row>
    <row r="21" spans="1:12" ht="22.5" customHeight="1">
      <c r="A21" s="64" t="str">
        <f>+'S&amp;D'!A23</f>
        <v>Black Hills Corporation</v>
      </c>
      <c r="B21" s="91" t="str">
        <f>+'S&amp;D'!B23</f>
        <v>BKH</v>
      </c>
      <c r="C21" s="67">
        <f>+'Growth &amp; Inflation Rates'!$D$57</f>
        <v>2.3E-2</v>
      </c>
      <c r="D21" s="276">
        <v>9566500000</v>
      </c>
      <c r="E21" s="276">
        <v>8917200000</v>
      </c>
      <c r="F21" s="133">
        <f t="shared" ref="F21:F30" si="0">(D21+E21)/2</f>
        <v>9241850000</v>
      </c>
      <c r="G21" s="133">
        <v>270100000</v>
      </c>
      <c r="H21" s="19">
        <f>+F21/G21</f>
        <v>34.216401332839688</v>
      </c>
      <c r="I21" s="46">
        <f t="shared" ref="I21:I30" si="1">+C21*H21</f>
        <v>0.78697723065531278</v>
      </c>
      <c r="J21" s="47">
        <f t="shared" ref="J21:J30" si="2">1/(1+C21)^H21</f>
        <v>0.45929461492254259</v>
      </c>
      <c r="K21" s="134">
        <f t="shared" ref="K21:K30" si="3">(G21*I21)/(1-J21)</f>
        <v>393120830.43069714</v>
      </c>
      <c r="L21" s="135">
        <f t="shared" ref="L21:L30" si="4">+K21/G21</f>
        <v>1.4554640149229809</v>
      </c>
    </row>
    <row r="22" spans="1:12" ht="22.5" customHeight="1">
      <c r="A22" s="64" t="str">
        <f>+'S&amp;D'!A24</f>
        <v>CenterPoint Energy Inc.</v>
      </c>
      <c r="B22" s="91" t="str">
        <f>+'S&amp;D'!B24</f>
        <v>CNP</v>
      </c>
      <c r="C22" s="67">
        <f>+'Growth &amp; Inflation Rates'!$D$57</f>
        <v>2.3E-2</v>
      </c>
      <c r="D22" s="276">
        <v>42667000000</v>
      </c>
      <c r="E22" s="276">
        <v>19515000000</v>
      </c>
      <c r="F22" s="133">
        <f t="shared" si="0"/>
        <v>31091000000</v>
      </c>
      <c r="G22" s="133">
        <v>1439000000</v>
      </c>
      <c r="H22" s="19">
        <f>+F22/G22</f>
        <v>21.605976372480889</v>
      </c>
      <c r="I22" s="46">
        <f t="shared" si="1"/>
        <v>0.49693745656706045</v>
      </c>
      <c r="J22" s="47">
        <f t="shared" si="2"/>
        <v>0.61182510210622731</v>
      </c>
      <c r="K22" s="134">
        <f t="shared" si="3"/>
        <v>1842192794.74298</v>
      </c>
      <c r="L22" s="135">
        <f t="shared" si="4"/>
        <v>1.2801895724412649</v>
      </c>
    </row>
    <row r="23" spans="1:12" ht="22.5" customHeight="1">
      <c r="A23" s="64" t="str">
        <f>+'S&amp;D'!A25</f>
        <v>CMS Energy Corporation</v>
      </c>
      <c r="B23" s="91" t="str">
        <f>+'S&amp;D'!B25</f>
        <v>CMS</v>
      </c>
      <c r="C23" s="67">
        <f>+'Growth &amp; Inflation Rates'!$D$57</f>
        <v>2.3E-2</v>
      </c>
      <c r="D23" s="276">
        <v>34932000000</v>
      </c>
      <c r="E23" s="276">
        <v>31723000000</v>
      </c>
      <c r="F23" s="133">
        <f t="shared" ref="F23" si="5">(D23+E23)/2</f>
        <v>33327500000</v>
      </c>
      <c r="G23" s="133">
        <v>1191000000</v>
      </c>
      <c r="H23" s="19">
        <f t="shared" ref="H23:H30" si="6">+F23/G23</f>
        <v>27.982787573467675</v>
      </c>
      <c r="I23" s="46">
        <f t="shared" si="1"/>
        <v>0.64360411418975649</v>
      </c>
      <c r="J23" s="47">
        <f t="shared" si="2"/>
        <v>0.52923948685500366</v>
      </c>
      <c r="K23" s="134">
        <f t="shared" si="3"/>
        <v>1628285462.7696962</v>
      </c>
      <c r="L23" s="135">
        <f t="shared" si="4"/>
        <v>1.3671582391013402</v>
      </c>
    </row>
    <row r="24" spans="1:12" ht="22.5" customHeight="1">
      <c r="A24" s="64" t="str">
        <f>+'S&amp;D'!A26</f>
        <v>New Jersey Resources Corp</v>
      </c>
      <c r="B24" s="91" t="str">
        <f>+'S&amp;D'!B26</f>
        <v>NJR</v>
      </c>
      <c r="C24" s="67">
        <f>+'Growth &amp; Inflation Rates'!$D$57</f>
        <v>2.3E-2</v>
      </c>
      <c r="D24" s="276">
        <v>6496546000</v>
      </c>
      <c r="E24" s="276">
        <v>6095757000</v>
      </c>
      <c r="F24" s="133">
        <f t="shared" si="0"/>
        <v>6296151500</v>
      </c>
      <c r="G24" s="320">
        <f>45329000+(166567000-40287000)</f>
        <v>171609000</v>
      </c>
      <c r="H24" s="19">
        <f t="shared" si="6"/>
        <v>36.688935312250521</v>
      </c>
      <c r="I24" s="46">
        <f t="shared" si="1"/>
        <v>0.84384551218176196</v>
      </c>
      <c r="J24" s="47">
        <f t="shared" si="2"/>
        <v>0.43418369830201597</v>
      </c>
      <c r="K24" s="134">
        <f t="shared" si="3"/>
        <v>255933743.98268235</v>
      </c>
      <c r="L24" s="135">
        <f t="shared" si="4"/>
        <v>1.4913771654323629</v>
      </c>
    </row>
    <row r="25" spans="1:12" ht="22.5" customHeight="1">
      <c r="A25" s="64" t="str">
        <f>+'S&amp;D'!A27</f>
        <v>NISOURCE Inc.</v>
      </c>
      <c r="B25" s="91" t="str">
        <f>+'S&amp;D'!B27</f>
        <v>NI</v>
      </c>
      <c r="C25" s="67">
        <f>+'Growth &amp; Inflation Rates'!$D$57</f>
        <v>2.3E-2</v>
      </c>
      <c r="D25" s="276">
        <v>34152900000</v>
      </c>
      <c r="E25" s="276">
        <v>30482100000</v>
      </c>
      <c r="F25" s="133">
        <f t="shared" si="0"/>
        <v>32317500000</v>
      </c>
      <c r="G25" s="133">
        <v>1043200000</v>
      </c>
      <c r="H25" s="19">
        <f t="shared" si="6"/>
        <v>30.979198619631902</v>
      </c>
      <c r="I25" s="46">
        <f t="shared" si="1"/>
        <v>0.71252156825153368</v>
      </c>
      <c r="J25" s="47">
        <f t="shared" si="2"/>
        <v>0.49437987313963416</v>
      </c>
      <c r="K25" s="134">
        <f t="shared" si="3"/>
        <v>1470080917.4973238</v>
      </c>
      <c r="L25" s="135">
        <f t="shared" si="4"/>
        <v>1.4092033334905327</v>
      </c>
    </row>
    <row r="26" spans="1:12" ht="22.5" customHeight="1">
      <c r="A26" s="64" t="str">
        <f>+'S&amp;D'!A28</f>
        <v xml:space="preserve">Northwest Natural Holding Company </v>
      </c>
      <c r="B26" s="91" t="str">
        <f>+'S&amp;D'!B28</f>
        <v>NWN</v>
      </c>
      <c r="C26" s="67">
        <f>+'Growth &amp; Inflation Rates'!$D$57</f>
        <v>2.3E-2</v>
      </c>
      <c r="D26" s="276">
        <v>4918919000</v>
      </c>
      <c r="E26" s="276">
        <v>4556609000</v>
      </c>
      <c r="F26" s="133">
        <f t="shared" si="0"/>
        <v>4737764000</v>
      </c>
      <c r="G26" s="133">
        <v>137898000</v>
      </c>
      <c r="H26" s="19">
        <f t="shared" si="6"/>
        <v>34.35701750569261</v>
      </c>
      <c r="I26" s="46">
        <f t="shared" si="1"/>
        <v>0.79021140263093004</v>
      </c>
      <c r="J26" s="47">
        <f t="shared" si="2"/>
        <v>0.45782834766247726</v>
      </c>
      <c r="K26" s="134">
        <f t="shared" si="3"/>
        <v>200985373.41484401</v>
      </c>
      <c r="L26" s="135">
        <f t="shared" si="4"/>
        <v>1.4574930268375466</v>
      </c>
    </row>
    <row r="27" spans="1:12" ht="22.5" customHeight="1">
      <c r="A27" s="64" t="str">
        <f>+'S&amp;D'!A29</f>
        <v>One Gas INC</v>
      </c>
      <c r="B27" s="91" t="str">
        <f>+'S&amp;D'!B29</f>
        <v>OGS</v>
      </c>
      <c r="C27" s="67">
        <f>+'Growth &amp; Inflation Rates'!$D$57</f>
        <v>2.3E-2</v>
      </c>
      <c r="D27" s="276">
        <v>9124134000</v>
      </c>
      <c r="E27" s="276">
        <v>8468967000</v>
      </c>
      <c r="F27" s="133">
        <f t="shared" si="0"/>
        <v>8796550500</v>
      </c>
      <c r="G27" s="133">
        <v>296699000</v>
      </c>
      <c r="H27" s="19">
        <f t="shared" si="6"/>
        <v>29.648062514534931</v>
      </c>
      <c r="I27" s="46">
        <f t="shared" si="1"/>
        <v>0.68190543783430346</v>
      </c>
      <c r="J27" s="47">
        <f t="shared" si="2"/>
        <v>0.50957321791358934</v>
      </c>
      <c r="K27" s="134">
        <f t="shared" si="3"/>
        <v>412539993.51192069</v>
      </c>
      <c r="L27" s="135">
        <f t="shared" si="4"/>
        <v>1.3904327062508492</v>
      </c>
    </row>
    <row r="28" spans="1:12" ht="22.5" customHeight="1">
      <c r="A28" s="64" t="str">
        <f>+'S&amp;D'!A30</f>
        <v>Southwest Gas Holdings, Inc</v>
      </c>
      <c r="B28" s="91" t="str">
        <f>+'S&amp;D'!B30</f>
        <v>SWX</v>
      </c>
      <c r="C28" s="67">
        <f>+'Growth &amp; Inflation Rates'!$D$57</f>
        <v>2.3E-2</v>
      </c>
      <c r="D28" s="276">
        <f>10844895000+178647000</f>
        <v>11023542000</v>
      </c>
      <c r="E28" s="276">
        <f>8468967000+200549000</f>
        <v>8669516000</v>
      </c>
      <c r="F28" s="133">
        <f>(D28+E28)/2</f>
        <v>9846529000</v>
      </c>
      <c r="G28" s="133">
        <v>438440000</v>
      </c>
      <c r="H28" s="19">
        <f>+F28/G28</f>
        <v>22.458099169783779</v>
      </c>
      <c r="I28" s="46">
        <f>+C28*H28</f>
        <v>0.5165362809050269</v>
      </c>
      <c r="J28" s="47">
        <f>1/(1+C28)^H28</f>
        <v>0.60008398807889851</v>
      </c>
      <c r="K28" s="134">
        <f>(G28*I28)/(1-J28)</f>
        <v>566294322.43058014</v>
      </c>
      <c r="L28" s="135">
        <f t="shared" si="4"/>
        <v>1.291611902268452</v>
      </c>
    </row>
    <row r="29" spans="1:12" ht="22.5" customHeight="1">
      <c r="A29" s="64" t="str">
        <f>+'S&amp;D'!A31</f>
        <v>Spire Inc / Laclede Group Inc</v>
      </c>
      <c r="B29" s="91" t="str">
        <f>+'S&amp;D'!B31</f>
        <v>SR</v>
      </c>
      <c r="C29" s="67">
        <f>+'Growth &amp; Inflation Rates'!$D$57</f>
        <v>2.3E-2</v>
      </c>
      <c r="D29" s="276">
        <v>8946300000</v>
      </c>
      <c r="E29" s="276">
        <v>8345000000</v>
      </c>
      <c r="F29" s="133">
        <f t="shared" si="0"/>
        <v>8645650000</v>
      </c>
      <c r="G29" s="320">
        <f>72300000+(278400000-67000000)</f>
        <v>283700000</v>
      </c>
      <c r="H29" s="19">
        <f t="shared" si="6"/>
        <v>30.474621078604159</v>
      </c>
      <c r="I29" s="46">
        <f t="shared" si="1"/>
        <v>0.70091628480789558</v>
      </c>
      <c r="J29" s="47">
        <f t="shared" si="2"/>
        <v>0.50008497304105026</v>
      </c>
      <c r="K29" s="134">
        <f t="shared" si="3"/>
        <v>397767499.02804667</v>
      </c>
      <c r="L29" s="135">
        <f t="shared" si="4"/>
        <v>1.4020708460629068</v>
      </c>
    </row>
    <row r="30" spans="1:12" ht="22.5" customHeight="1">
      <c r="A30" s="64" t="str">
        <f>+'S&amp;D'!A32</f>
        <v>WEC Energy Group</v>
      </c>
      <c r="B30" s="91" t="str">
        <f>+'S&amp;D'!B32</f>
        <v>WEC</v>
      </c>
      <c r="C30" s="67">
        <f>+'Growth &amp; Inflation Rates'!$D$57</f>
        <v>2.3E-2</v>
      </c>
      <c r="D30" s="276">
        <f>34645400000+11073100000</f>
        <v>45718500000</v>
      </c>
      <c r="E30" s="276">
        <f>31581500000+11073100000</f>
        <v>42654600000</v>
      </c>
      <c r="F30" s="133">
        <f t="shared" si="0"/>
        <v>44186550000</v>
      </c>
      <c r="G30" s="133">
        <v>1354500000</v>
      </c>
      <c r="H30" s="19">
        <f t="shared" si="6"/>
        <v>32.622037652270208</v>
      </c>
      <c r="I30" s="46">
        <f t="shared" si="1"/>
        <v>0.75030686600221475</v>
      </c>
      <c r="J30" s="47">
        <f t="shared" si="2"/>
        <v>0.47625188234814414</v>
      </c>
      <c r="K30" s="134">
        <f t="shared" si="3"/>
        <v>1940418716.0736399</v>
      </c>
      <c r="L30" s="135">
        <f t="shared" si="4"/>
        <v>1.432571957234138</v>
      </c>
    </row>
    <row r="31" spans="1:12" ht="22.5" customHeight="1" thickBot="1">
      <c r="A31" s="13"/>
      <c r="B31" s="13"/>
      <c r="D31" s="48"/>
      <c r="E31" s="48"/>
      <c r="F31" s="48"/>
      <c r="G31" s="48" t="s">
        <v>55</v>
      </c>
      <c r="H31" s="48"/>
      <c r="I31" s="48" t="s">
        <v>55</v>
      </c>
      <c r="J31" s="48"/>
      <c r="K31" s="48"/>
      <c r="L31" s="48"/>
    </row>
    <row r="32" spans="1:12" ht="22.5" customHeight="1" thickTop="1">
      <c r="A32" s="13"/>
      <c r="B32" s="13"/>
      <c r="D32" s="49" t="s">
        <v>0</v>
      </c>
      <c r="E32" s="323"/>
      <c r="F32" s="15"/>
      <c r="G32" s="399"/>
      <c r="H32" s="36"/>
      <c r="I32" s="49" t="s">
        <v>0</v>
      </c>
      <c r="J32" s="49" t="s">
        <v>0</v>
      </c>
      <c r="K32" s="15" t="s">
        <v>56</v>
      </c>
      <c r="L32" s="270">
        <f>MAX(L20:L30)</f>
        <v>1.4916993686675617</v>
      </c>
    </row>
    <row r="33" spans="1:12" ht="22.5" customHeight="1">
      <c r="B33" s="13"/>
      <c r="D33" s="36" t="s">
        <v>0</v>
      </c>
      <c r="E33" s="323"/>
      <c r="F33" s="15"/>
      <c r="G33" s="49"/>
      <c r="H33" s="36"/>
      <c r="I33" s="49"/>
      <c r="J33" s="49"/>
      <c r="K33" s="15" t="s">
        <v>57</v>
      </c>
      <c r="L33" s="271">
        <f>MIN(L20:L30)</f>
        <v>1.2801895724412649</v>
      </c>
    </row>
    <row r="34" spans="1:12" ht="22.5" customHeight="1">
      <c r="B34" s="13"/>
      <c r="C34" s="13"/>
      <c r="D34" s="278" t="s">
        <v>0</v>
      </c>
      <c r="E34" s="321"/>
      <c r="F34" s="13"/>
      <c r="G34" s="13" t="s">
        <v>0</v>
      </c>
      <c r="H34" s="13"/>
      <c r="I34" s="13"/>
      <c r="J34" s="13"/>
      <c r="K34" s="15" t="s">
        <v>18</v>
      </c>
      <c r="L34" s="56">
        <f>MEDIAN(L20:L30)</f>
        <v>1.4092033334905327</v>
      </c>
    </row>
    <row r="35" spans="1:12" ht="22.5" customHeight="1">
      <c r="A35" s="13"/>
      <c r="B35" s="13"/>
      <c r="C35" s="13"/>
      <c r="D35" s="13" t="s">
        <v>0</v>
      </c>
      <c r="E35" s="321"/>
      <c r="F35" s="13"/>
      <c r="G35" s="13" t="s">
        <v>0</v>
      </c>
      <c r="H35" s="13" t="s">
        <v>0</v>
      </c>
      <c r="I35" s="13"/>
      <c r="J35" s="13"/>
      <c r="K35" s="15" t="s">
        <v>413</v>
      </c>
      <c r="L35" s="56">
        <f>AVERAGE(L20:L30)</f>
        <v>1.4062974666099941</v>
      </c>
    </row>
    <row r="36" spans="1:12" ht="22.5" customHeight="1" thickBot="1">
      <c r="A36" s="13"/>
      <c r="B36" s="13"/>
      <c r="C36" s="13"/>
      <c r="D36" s="13"/>
      <c r="E36" s="322"/>
      <c r="F36" s="13"/>
      <c r="G36" s="13" t="s">
        <v>0</v>
      </c>
      <c r="H36" s="13"/>
      <c r="I36" s="13"/>
      <c r="J36" s="13"/>
      <c r="K36" s="13"/>
      <c r="L36" s="13"/>
    </row>
    <row r="37" spans="1:12" ht="22.5" customHeight="1" thickBot="1">
      <c r="A37" s="13"/>
      <c r="B37" s="13"/>
      <c r="C37" s="13"/>
      <c r="D37" s="13"/>
      <c r="E37" s="321"/>
      <c r="F37" s="13"/>
      <c r="G37" s="13"/>
      <c r="H37" s="13"/>
      <c r="I37" s="13"/>
      <c r="J37" s="13"/>
      <c r="K37" s="185" t="s">
        <v>221</v>
      </c>
      <c r="L37" s="364">
        <v>1.4063000000000001</v>
      </c>
    </row>
    <row r="38" spans="1:12" ht="16.5">
      <c r="A38" s="13"/>
      <c r="B38" s="13"/>
      <c r="C38" s="13"/>
      <c r="D38" s="13"/>
      <c r="E38" s="321"/>
      <c r="F38" s="13"/>
      <c r="G38" s="13" t="s">
        <v>0</v>
      </c>
      <c r="H38" s="13"/>
      <c r="I38" s="13"/>
      <c r="J38" s="13"/>
      <c r="K38" s="13"/>
      <c r="L38" s="13"/>
    </row>
    <row r="39" spans="1:12" ht="16.5">
      <c r="A39" s="13"/>
      <c r="B39" s="13"/>
      <c r="C39" s="13"/>
      <c r="D39" s="13"/>
      <c r="E39" s="321"/>
      <c r="F39" s="13"/>
      <c r="G39" s="13" t="s">
        <v>0</v>
      </c>
      <c r="H39" s="13"/>
      <c r="I39" s="13"/>
      <c r="J39" s="13"/>
      <c r="K39" s="13"/>
      <c r="L39" s="13"/>
    </row>
    <row r="40" spans="1:12" ht="20.25">
      <c r="A40" s="32" t="s">
        <v>90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6.5">
      <c r="A41" s="13" t="s">
        <v>266</v>
      </c>
    </row>
    <row r="42" spans="1:12" ht="16.5">
      <c r="A42" s="13"/>
    </row>
    <row r="43" spans="1:12" ht="16.5">
      <c r="A43" s="13" t="s">
        <v>366</v>
      </c>
    </row>
    <row r="44" spans="1:12" ht="20.25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</row>
    <row r="45" spans="1:12" ht="26.25">
      <c r="A45" s="25" t="s">
        <v>1</v>
      </c>
      <c r="B45" s="13"/>
      <c r="C45" s="13"/>
      <c r="D45" s="13"/>
      <c r="E45" s="13"/>
      <c r="F45" s="13"/>
      <c r="G45" s="13"/>
      <c r="H45" s="13"/>
      <c r="I45" s="13"/>
      <c r="J45" s="13"/>
      <c r="K45" s="214"/>
      <c r="L45" s="214"/>
    </row>
    <row r="46" spans="1:12" ht="20.25">
      <c r="A46" s="26" t="s">
        <v>9</v>
      </c>
      <c r="B46" s="13"/>
      <c r="C46" s="13"/>
      <c r="D46" s="13"/>
      <c r="E46" s="13"/>
      <c r="F46" s="13"/>
      <c r="G46" s="13"/>
      <c r="H46" s="13"/>
      <c r="I46" s="13"/>
      <c r="J46" s="13"/>
      <c r="K46" s="214"/>
      <c r="L46" s="214"/>
    </row>
    <row r="47" spans="1:12" ht="20.25">
      <c r="A47" s="27" t="s">
        <v>444</v>
      </c>
      <c r="B47" s="13"/>
      <c r="C47" s="13"/>
      <c r="D47" s="13"/>
      <c r="E47" s="13"/>
      <c r="F47" s="13"/>
      <c r="G47" s="13"/>
      <c r="H47" s="13"/>
      <c r="I47" s="13"/>
      <c r="J47" s="13"/>
      <c r="K47" s="214"/>
      <c r="L47" s="214"/>
    </row>
    <row r="48" spans="1:12" ht="20.25">
      <c r="A48" s="27"/>
      <c r="B48" s="13"/>
      <c r="C48" s="13"/>
      <c r="D48" s="13"/>
      <c r="E48" s="13"/>
      <c r="F48" s="13"/>
      <c r="G48" s="13"/>
      <c r="H48" s="13"/>
      <c r="I48" s="13"/>
      <c r="J48" s="13"/>
      <c r="K48" s="214"/>
      <c r="L48" s="214"/>
    </row>
    <row r="49" spans="1:12" ht="20.25">
      <c r="A49" s="27"/>
      <c r="B49" s="13"/>
      <c r="C49" s="13"/>
      <c r="D49" s="13"/>
      <c r="E49" s="13"/>
      <c r="F49" s="13"/>
      <c r="G49" s="13"/>
      <c r="H49" s="13"/>
      <c r="I49" s="13"/>
      <c r="J49" s="13"/>
      <c r="K49" s="214"/>
      <c r="L49" s="214"/>
    </row>
    <row r="50" spans="1:12" ht="20.25">
      <c r="A50" s="27"/>
      <c r="B50" s="13"/>
      <c r="C50" s="13"/>
      <c r="D50" s="13"/>
      <c r="E50" s="13"/>
      <c r="F50" s="13"/>
      <c r="G50" s="13"/>
      <c r="H50" s="13"/>
      <c r="I50" s="13"/>
      <c r="J50" s="13"/>
      <c r="K50" s="214"/>
      <c r="L50" s="214"/>
    </row>
    <row r="51" spans="1:12" ht="21" thickBot="1">
      <c r="B51" s="13"/>
      <c r="C51" s="13"/>
      <c r="D51" s="13"/>
      <c r="E51" s="13"/>
      <c r="F51" s="30"/>
      <c r="G51" s="30"/>
      <c r="H51" s="31" t="s">
        <v>0</v>
      </c>
      <c r="I51" s="13"/>
      <c r="J51" s="13"/>
      <c r="K51" s="214"/>
      <c r="L51" s="214"/>
    </row>
    <row r="52" spans="1:12" ht="26.25">
      <c r="B52" s="13"/>
      <c r="C52" s="13"/>
      <c r="D52" s="13"/>
      <c r="E52" s="13"/>
      <c r="F52" s="13"/>
      <c r="G52" s="33" t="s">
        <v>288</v>
      </c>
      <c r="H52" s="13"/>
      <c r="I52" s="13"/>
      <c r="J52" s="13"/>
      <c r="K52" s="214"/>
      <c r="L52" s="214"/>
    </row>
    <row r="53" spans="1:12" ht="21" thickBot="1">
      <c r="B53" s="42" t="s">
        <v>0</v>
      </c>
      <c r="C53" s="42" t="s">
        <v>0</v>
      </c>
      <c r="D53" s="13"/>
      <c r="E53" s="13"/>
      <c r="F53" s="35" t="s">
        <v>0</v>
      </c>
      <c r="G53" s="38" t="s">
        <v>445</v>
      </c>
      <c r="H53" s="35" t="s">
        <v>0</v>
      </c>
      <c r="I53" s="42" t="s">
        <v>0</v>
      </c>
      <c r="J53" s="13"/>
      <c r="K53" s="214"/>
      <c r="L53" s="214"/>
    </row>
    <row r="54" spans="1:12" ht="20.25">
      <c r="A54" s="21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</row>
    <row r="55" spans="1:12" ht="20.25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</row>
    <row r="56" spans="1:12" ht="20.25">
      <c r="A56" s="21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</row>
    <row r="57" spans="1:12" ht="16.5">
      <c r="A57" s="42"/>
      <c r="B57" s="42"/>
      <c r="C57" s="42"/>
      <c r="D57" s="13"/>
      <c r="E57" s="13"/>
      <c r="J57" s="13"/>
      <c r="K57" s="13"/>
      <c r="L57" s="13"/>
    </row>
    <row r="58" spans="1:12" ht="31.5">
      <c r="A58" s="208" t="s">
        <v>277</v>
      </c>
      <c r="B58" s="42"/>
      <c r="C58" s="210" t="s">
        <v>282</v>
      </c>
      <c r="D58" s="13"/>
      <c r="E58" s="13"/>
      <c r="J58" s="13"/>
      <c r="K58" s="13"/>
      <c r="L58" s="13"/>
    </row>
    <row r="59" spans="1:12" ht="31.5">
      <c r="A59" s="208" t="s">
        <v>281</v>
      </c>
      <c r="B59" s="42"/>
      <c r="C59" s="210" t="s">
        <v>287</v>
      </c>
      <c r="D59" s="13"/>
      <c r="E59" s="13"/>
      <c r="J59" s="13"/>
      <c r="K59" s="13"/>
      <c r="L59" s="13"/>
    </row>
    <row r="60" spans="1:12" ht="18.75" customHeight="1">
      <c r="A60" s="208"/>
      <c r="B60" s="42"/>
      <c r="C60" s="210"/>
      <c r="D60" s="13"/>
      <c r="E60" s="13"/>
      <c r="J60" s="13"/>
      <c r="K60" s="13"/>
      <c r="L60" s="13"/>
    </row>
    <row r="61" spans="1:12" ht="17.25">
      <c r="A61" s="209" t="s">
        <v>278</v>
      </c>
      <c r="B61" s="42"/>
      <c r="C61" s="42"/>
      <c r="D61" s="13"/>
      <c r="E61" s="13"/>
      <c r="J61" s="13"/>
      <c r="K61" s="13"/>
      <c r="L61" s="13"/>
    </row>
    <row r="62" spans="1:12" ht="17.25">
      <c r="A62" s="209" t="s">
        <v>279</v>
      </c>
      <c r="B62" s="42"/>
      <c r="C62" s="42"/>
      <c r="D62" s="13"/>
      <c r="E62" s="13"/>
      <c r="J62" s="13"/>
      <c r="K62" s="13"/>
      <c r="L62" s="13"/>
    </row>
    <row r="63" spans="1:12" ht="17.25">
      <c r="A63" s="209" t="s">
        <v>280</v>
      </c>
      <c r="B63" s="42"/>
      <c r="C63" s="42"/>
      <c r="D63" s="13"/>
      <c r="E63" s="13"/>
      <c r="J63" s="13"/>
      <c r="K63" s="13"/>
      <c r="L63" s="13"/>
    </row>
    <row r="69" spans="1:9" ht="31.5">
      <c r="A69" s="211" t="s">
        <v>286</v>
      </c>
      <c r="B69" s="112"/>
      <c r="C69" s="112"/>
      <c r="D69" s="112"/>
      <c r="E69" s="112"/>
      <c r="F69" s="112"/>
      <c r="G69" s="13"/>
      <c r="H69" s="13"/>
      <c r="I69" s="13"/>
    </row>
    <row r="70" spans="1:9" ht="17.25">
      <c r="A70" s="112"/>
      <c r="B70" s="112"/>
      <c r="C70" s="112"/>
      <c r="D70" s="112"/>
      <c r="E70" s="112"/>
      <c r="F70" s="112"/>
      <c r="G70" s="13"/>
      <c r="H70" s="13"/>
      <c r="I70" s="13"/>
    </row>
    <row r="71" spans="1:9" ht="18" thickBot="1">
      <c r="A71" s="212" t="s">
        <v>283</v>
      </c>
      <c r="B71" s="114"/>
      <c r="C71" s="114"/>
      <c r="D71" s="213" t="s">
        <v>285</v>
      </c>
      <c r="E71" s="114"/>
      <c r="F71" s="112"/>
      <c r="G71" s="13"/>
      <c r="H71" s="13"/>
      <c r="I71" s="13"/>
    </row>
    <row r="72" spans="1:9" ht="17.25">
      <c r="A72" s="112"/>
      <c r="B72" s="112"/>
      <c r="C72" s="112"/>
      <c r="D72" s="112" t="s">
        <v>284</v>
      </c>
      <c r="E72" s="112"/>
      <c r="F72" s="112"/>
      <c r="G72" s="13"/>
      <c r="H72" s="13"/>
      <c r="I72" s="13"/>
    </row>
    <row r="73" spans="1:9" ht="17.25">
      <c r="A73" s="112"/>
      <c r="B73" s="112"/>
      <c r="C73" s="112"/>
      <c r="D73" s="112"/>
      <c r="E73" s="112"/>
      <c r="F73" s="112"/>
      <c r="G73" s="13"/>
      <c r="H73" s="13"/>
      <c r="I73" s="13"/>
    </row>
    <row r="74" spans="1:9" ht="16.5">
      <c r="A74" s="13"/>
      <c r="B74" s="13"/>
      <c r="C74" s="13"/>
      <c r="D74" s="13"/>
      <c r="E74" s="13"/>
      <c r="F74" s="13"/>
      <c r="G74" s="13"/>
      <c r="H74" s="13"/>
      <c r="I74" s="13"/>
    </row>
    <row r="75" spans="1:9" ht="16.5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6.5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6.5">
      <c r="A77" s="13"/>
      <c r="B77" s="13"/>
      <c r="C77" s="13"/>
      <c r="D77" s="13"/>
      <c r="E77" s="13"/>
      <c r="F77" s="13"/>
      <c r="G77" s="13"/>
      <c r="H77" s="13"/>
      <c r="I77" s="13"/>
    </row>
    <row r="78" spans="1:9" ht="16.5">
      <c r="A78" s="13"/>
      <c r="B78" s="13"/>
      <c r="C78" s="13"/>
      <c r="D78" s="13"/>
      <c r="E78" s="13"/>
      <c r="F78" s="13"/>
      <c r="G78" s="13"/>
      <c r="H78" s="13"/>
      <c r="I78" s="13"/>
    </row>
    <row r="79" spans="1:9" ht="16.5">
      <c r="A79" s="13" t="s">
        <v>0</v>
      </c>
      <c r="B79" s="13"/>
      <c r="C79" s="13"/>
      <c r="D79" s="13"/>
      <c r="E79" s="13"/>
      <c r="F79" s="13"/>
      <c r="G79" s="13"/>
      <c r="H79" s="13"/>
      <c r="I79" s="13"/>
    </row>
    <row r="80" spans="1:9" ht="16.5">
      <c r="A80" s="13"/>
      <c r="B80" s="13"/>
      <c r="C80" s="13"/>
      <c r="D80" s="13"/>
      <c r="E80" s="13"/>
      <c r="F80" s="13"/>
      <c r="G80" s="13"/>
      <c r="H80" s="13"/>
      <c r="I80" s="13"/>
    </row>
  </sheetData>
  <pageMargins left="0.25" right="0.25" top="0.75" bottom="0.75" header="0.3" footer="0.3"/>
  <pageSetup scale="51" orientation="landscape" r:id="rId1"/>
  <rowBreaks count="1" manualBreakCount="1">
    <brk id="43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>
    <tabColor rgb="FF92D050"/>
  </sheetPr>
  <dimension ref="A1:I38"/>
  <sheetViews>
    <sheetView view="pageBreakPreview" topLeftCell="A3" zoomScale="60" zoomScaleNormal="80" workbookViewId="0">
      <selection activeCell="H35" sqref="H35"/>
    </sheetView>
  </sheetViews>
  <sheetFormatPr defaultRowHeight="15"/>
  <cols>
    <col min="1" max="1" width="47" customWidth="1"/>
    <col min="2" max="2" width="17" customWidth="1"/>
    <col min="3" max="3" width="31.28515625" customWidth="1"/>
    <col min="4" max="4" width="17.5703125" customWidth="1"/>
    <col min="5" max="5" width="27.42578125" customWidth="1"/>
    <col min="6" max="6" width="26.85546875" customWidth="1"/>
    <col min="7" max="7" width="21.28515625" customWidth="1"/>
    <col min="8" max="8" width="32.140625" customWidth="1"/>
    <col min="9" max="9" width="14.140625" bestFit="1" customWidth="1"/>
    <col min="11" max="11" width="10.5703125" customWidth="1"/>
  </cols>
  <sheetData>
    <row r="1" spans="1:8" ht="26.25">
      <c r="A1" s="25" t="s">
        <v>1</v>
      </c>
      <c r="B1" s="13"/>
      <c r="C1" s="13"/>
      <c r="D1" s="13"/>
      <c r="E1" s="13"/>
      <c r="F1" s="13"/>
      <c r="G1" s="13"/>
      <c r="H1" s="13"/>
    </row>
    <row r="2" spans="1:8" ht="17.25">
      <c r="A2" s="26" t="s">
        <v>9</v>
      </c>
      <c r="B2" s="13"/>
      <c r="C2" s="13"/>
      <c r="D2" s="13"/>
      <c r="E2" s="13"/>
      <c r="F2" s="13"/>
      <c r="G2" s="13"/>
      <c r="H2" s="13"/>
    </row>
    <row r="3" spans="1:8" ht="16.5">
      <c r="A3" s="27" t="s">
        <v>444</v>
      </c>
      <c r="B3" s="13"/>
      <c r="C3" s="13"/>
      <c r="D3" s="13"/>
      <c r="E3" s="13"/>
      <c r="F3" s="13"/>
      <c r="G3" s="13"/>
      <c r="H3" s="13"/>
    </row>
    <row r="4" spans="1:8" ht="16.5">
      <c r="A4" s="27"/>
      <c r="B4" s="13"/>
      <c r="C4" s="13"/>
      <c r="D4" s="13"/>
      <c r="E4" s="13"/>
      <c r="F4" s="13"/>
      <c r="G4" s="13"/>
      <c r="H4" s="13"/>
    </row>
    <row r="5" spans="1:8" ht="16.5">
      <c r="A5" s="27"/>
      <c r="B5" s="13"/>
      <c r="C5" s="13"/>
      <c r="D5" s="13"/>
      <c r="E5" s="13"/>
      <c r="F5" s="13"/>
      <c r="G5" s="13"/>
      <c r="H5" s="13"/>
    </row>
    <row r="6" spans="1:8" ht="16.5">
      <c r="A6" s="27"/>
      <c r="B6" s="13"/>
      <c r="C6" s="13"/>
      <c r="D6" s="13"/>
      <c r="E6" s="13"/>
      <c r="F6" s="13"/>
      <c r="G6" s="13"/>
      <c r="H6" s="13"/>
    </row>
    <row r="7" spans="1:8" ht="17.25" thickBot="1">
      <c r="A7" s="13"/>
      <c r="B7" s="13"/>
      <c r="C7" s="13"/>
      <c r="H7" s="13"/>
    </row>
    <row r="8" spans="1:8" ht="21" thickBot="1">
      <c r="A8" s="241" t="str">
        <f>+'S&amp;D'!A12</f>
        <v>Natural Gas Utility Distribution</v>
      </c>
      <c r="B8" s="179"/>
      <c r="C8" s="13"/>
      <c r="D8" s="30"/>
      <c r="E8" s="30"/>
      <c r="F8" s="30"/>
      <c r="H8" s="13"/>
    </row>
    <row r="9" spans="1:8" ht="26.25">
      <c r="A9" s="32"/>
      <c r="B9" s="13"/>
      <c r="C9" s="13"/>
      <c r="D9" s="13"/>
      <c r="E9" s="33" t="s">
        <v>136</v>
      </c>
      <c r="F9" s="33"/>
      <c r="H9" s="13"/>
    </row>
    <row r="10" spans="1:8" ht="21" thickBot="1">
      <c r="A10" s="32"/>
      <c r="B10" s="13"/>
      <c r="C10" s="13"/>
      <c r="D10" s="30"/>
      <c r="E10" s="38" t="s">
        <v>445</v>
      </c>
      <c r="F10" s="38"/>
      <c r="H10" s="13"/>
    </row>
    <row r="11" spans="1:8" ht="20.25">
      <c r="A11" s="32"/>
      <c r="B11" s="13"/>
      <c r="H11" s="13"/>
    </row>
    <row r="12" spans="1:8" ht="17.25" thickBot="1">
      <c r="A12" s="35" t="s">
        <v>0</v>
      </c>
      <c r="B12" s="35" t="s">
        <v>0</v>
      </c>
      <c r="C12" s="35" t="s">
        <v>0</v>
      </c>
      <c r="D12" s="35" t="s">
        <v>0</v>
      </c>
      <c r="E12" s="35" t="s">
        <v>0</v>
      </c>
      <c r="F12" s="35"/>
      <c r="G12" s="35"/>
      <c r="H12" s="30"/>
    </row>
    <row r="13" spans="1:8" ht="17.25">
      <c r="A13" s="91" t="s">
        <v>0</v>
      </c>
      <c r="B13" s="91" t="s">
        <v>3</v>
      </c>
      <c r="C13" s="91" t="s">
        <v>5</v>
      </c>
      <c r="D13" s="91" t="s">
        <v>179</v>
      </c>
      <c r="E13" s="168" t="s">
        <v>240</v>
      </c>
      <c r="F13" s="168" t="s">
        <v>327</v>
      </c>
      <c r="G13" s="91" t="s">
        <v>20</v>
      </c>
      <c r="H13" s="91" t="s">
        <v>157</v>
      </c>
    </row>
    <row r="14" spans="1:8" ht="18" thickBot="1">
      <c r="A14" s="100" t="s">
        <v>2</v>
      </c>
      <c r="B14" s="100" t="s">
        <v>4</v>
      </c>
      <c r="C14" s="100" t="s">
        <v>6</v>
      </c>
      <c r="D14" s="100" t="s">
        <v>23</v>
      </c>
      <c r="E14" s="100" t="s">
        <v>328</v>
      </c>
      <c r="F14" s="100" t="s">
        <v>202</v>
      </c>
      <c r="G14" s="100" t="s">
        <v>22</v>
      </c>
      <c r="H14" s="100" t="s">
        <v>134</v>
      </c>
    </row>
    <row r="15" spans="1:8">
      <c r="A15" s="40" t="s">
        <v>7</v>
      </c>
      <c r="B15" s="40" t="s">
        <v>7</v>
      </c>
      <c r="C15" s="40" t="s">
        <v>7</v>
      </c>
      <c r="D15" s="40" t="s">
        <v>7</v>
      </c>
      <c r="E15" s="205" t="s">
        <v>448</v>
      </c>
      <c r="F15" s="205" t="s">
        <v>448</v>
      </c>
      <c r="G15" s="40" t="s">
        <v>7</v>
      </c>
      <c r="H15" s="205" t="s">
        <v>448</v>
      </c>
    </row>
    <row r="16" spans="1:8" ht="16.5">
      <c r="A16" s="36"/>
      <c r="B16" s="36"/>
      <c r="C16" s="36"/>
      <c r="D16" s="36"/>
      <c r="G16" s="36"/>
      <c r="H16" s="36"/>
    </row>
    <row r="17" spans="1:9" ht="16.5">
      <c r="A17" s="13"/>
      <c r="B17" s="13"/>
      <c r="C17" s="13"/>
      <c r="D17" s="13"/>
      <c r="G17" s="13"/>
      <c r="H17" s="13"/>
    </row>
    <row r="18" spans="1:9" ht="20.25" customHeight="1">
      <c r="A18" s="64" t="str">
        <f>+'S&amp;D'!A22</f>
        <v>Atmos Energy Corp</v>
      </c>
      <c r="B18" s="91" t="str">
        <f>+'S&amp;D'!B22</f>
        <v>ATO</v>
      </c>
      <c r="C18" s="91" t="str">
        <f>+'S&amp;D'!C22</f>
        <v>Gas Utility</v>
      </c>
      <c r="D18" s="325">
        <v>0.185</v>
      </c>
      <c r="E18" s="137">
        <v>8.5000000000000006E-2</v>
      </c>
      <c r="F18" s="137">
        <v>4.4999999999999998E-2</v>
      </c>
      <c r="G18" s="91" t="s">
        <v>24</v>
      </c>
      <c r="H18" s="344">
        <v>0.9</v>
      </c>
    </row>
    <row r="19" spans="1:9" ht="20.25" customHeight="1">
      <c r="A19" s="64" t="str">
        <f>+'S&amp;D'!A23</f>
        <v>Black Hills Corporation</v>
      </c>
      <c r="B19" s="91" t="str">
        <f>+'S&amp;D'!B23</f>
        <v>BKH</v>
      </c>
      <c r="C19" s="91" t="str">
        <f>+'S&amp;D'!C23</f>
        <v>Electric Utility - West</v>
      </c>
      <c r="D19" s="138">
        <v>0.26500000000000001</v>
      </c>
      <c r="E19" s="137">
        <v>0.09</v>
      </c>
      <c r="F19" s="137">
        <v>4.4999999999999998E-2</v>
      </c>
      <c r="G19" s="91" t="s">
        <v>24</v>
      </c>
      <c r="H19" s="344">
        <v>0.75</v>
      </c>
    </row>
    <row r="20" spans="1:9" ht="20.25" customHeight="1">
      <c r="A20" s="64" t="str">
        <f>+'S&amp;D'!A24</f>
        <v>CenterPoint Energy Inc.</v>
      </c>
      <c r="B20" s="91" t="str">
        <f>+'S&amp;D'!B24</f>
        <v>CNP</v>
      </c>
      <c r="C20" s="91" t="str">
        <f>+'S&amp;D'!C24</f>
        <v>Electric Utility - Central</v>
      </c>
      <c r="D20" s="138">
        <v>0.16</v>
      </c>
      <c r="E20" s="137">
        <v>0.1</v>
      </c>
      <c r="F20" s="137">
        <v>0.05</v>
      </c>
      <c r="G20" s="91" t="s">
        <v>24</v>
      </c>
      <c r="H20" s="344">
        <v>1.1000000000000001</v>
      </c>
    </row>
    <row r="21" spans="1:9" ht="20.25" customHeight="1">
      <c r="A21" s="64" t="str">
        <f>+'S&amp;D'!A25</f>
        <v>CMS Energy Corporation</v>
      </c>
      <c r="B21" s="91" t="str">
        <f>+'S&amp;D'!B25</f>
        <v>CMS</v>
      </c>
      <c r="C21" s="91" t="str">
        <f>+'S&amp;D'!C25</f>
        <v>Electric Utility - Central</v>
      </c>
      <c r="D21" s="138">
        <v>0.155</v>
      </c>
      <c r="E21" s="137">
        <v>0.13</v>
      </c>
      <c r="F21" s="137">
        <v>0.05</v>
      </c>
      <c r="G21" s="91" t="s">
        <v>26</v>
      </c>
      <c r="H21" s="344">
        <v>0.9</v>
      </c>
    </row>
    <row r="22" spans="1:9" ht="20.25" customHeight="1">
      <c r="A22" s="64" t="str">
        <f>+'S&amp;D'!A26</f>
        <v>New Jersey Resources Corp</v>
      </c>
      <c r="B22" s="91" t="str">
        <f>+'S&amp;D'!B26</f>
        <v>NJR</v>
      </c>
      <c r="C22" s="91" t="str">
        <f>+'S&amp;D'!C26</f>
        <v>Gas Utility</v>
      </c>
      <c r="D22" s="138">
        <v>0.215</v>
      </c>
      <c r="E22" s="137">
        <v>0.13500000000000001</v>
      </c>
      <c r="F22" s="137">
        <v>0.05</v>
      </c>
      <c r="G22" s="91" t="s">
        <v>24</v>
      </c>
      <c r="H22" s="344">
        <v>1</v>
      </c>
    </row>
    <row r="23" spans="1:9" ht="20.25" customHeight="1">
      <c r="A23" s="64" t="str">
        <f>+'S&amp;D'!A27</f>
        <v>NISOURCE Inc.</v>
      </c>
      <c r="B23" s="91" t="str">
        <f>+'S&amp;D'!B27</f>
        <v>NI</v>
      </c>
      <c r="C23" s="91" t="str">
        <f>+'S&amp;D'!C27</f>
        <v>Gas Utility</v>
      </c>
      <c r="D23" s="138">
        <v>0.19</v>
      </c>
      <c r="E23" s="137">
        <v>8.5000000000000006E-2</v>
      </c>
      <c r="F23" s="137">
        <v>3.5000000000000003E-2</v>
      </c>
      <c r="G23" s="91" t="s">
        <v>24</v>
      </c>
      <c r="H23" s="344">
        <v>0.85</v>
      </c>
    </row>
    <row r="24" spans="1:9" ht="20.25" customHeight="1">
      <c r="A24" s="64" t="str">
        <f>+'S&amp;D'!A28</f>
        <v xml:space="preserve">Northwest Natural Holding Company </v>
      </c>
      <c r="B24" s="91" t="str">
        <f>+'S&amp;D'!B28</f>
        <v>NWN</v>
      </c>
      <c r="C24" s="91" t="str">
        <f>+'S&amp;D'!C28</f>
        <v>Gas Utility</v>
      </c>
      <c r="D24" s="138">
        <v>0.25</v>
      </c>
      <c r="E24" s="137">
        <v>0.08</v>
      </c>
      <c r="F24" s="137">
        <v>2.5000000000000001E-2</v>
      </c>
      <c r="G24" s="91" t="s">
        <v>24</v>
      </c>
      <c r="H24" s="344">
        <v>0.8</v>
      </c>
      <c r="I24" s="11" t="s">
        <v>0</v>
      </c>
    </row>
    <row r="25" spans="1:9" ht="20.25" customHeight="1">
      <c r="A25" s="64" t="str">
        <f>+'S&amp;D'!A29</f>
        <v>One Gas INC</v>
      </c>
      <c r="B25" s="91" t="str">
        <f>+'S&amp;D'!B29</f>
        <v>OGS</v>
      </c>
      <c r="C25" s="91" t="str">
        <f>+'S&amp;D'!C29</f>
        <v>Gas Utility</v>
      </c>
      <c r="D25" s="138">
        <v>0.17499999999999999</v>
      </c>
      <c r="E25" s="137">
        <v>0.08</v>
      </c>
      <c r="F25" s="137">
        <v>0.03</v>
      </c>
      <c r="G25" s="91" t="s">
        <v>24</v>
      </c>
      <c r="H25" s="344">
        <v>0.8</v>
      </c>
      <c r="I25" s="11"/>
    </row>
    <row r="26" spans="1:9" ht="20.25" customHeight="1">
      <c r="A26" s="64" t="str">
        <f>+'S&amp;D'!A30</f>
        <v>Southwest Gas Holdings, Inc</v>
      </c>
      <c r="B26" s="91" t="str">
        <f>+'S&amp;D'!B30</f>
        <v>SWX</v>
      </c>
      <c r="C26" s="91" t="str">
        <f>+'S&amp;D'!C30</f>
        <v>Gas Utility</v>
      </c>
      <c r="D26" s="138">
        <v>0.21</v>
      </c>
      <c r="E26" s="137">
        <v>7.0000000000000007E-2</v>
      </c>
      <c r="F26" s="137">
        <v>2.5000000000000001E-2</v>
      </c>
      <c r="G26" s="91" t="s">
        <v>24</v>
      </c>
      <c r="H26" s="344">
        <v>0.8</v>
      </c>
      <c r="I26" s="11"/>
    </row>
    <row r="27" spans="1:9" ht="20.25" customHeight="1">
      <c r="A27" s="64" t="str">
        <f>+'S&amp;D'!A31</f>
        <v>Spire Inc / Laclede Group Inc</v>
      </c>
      <c r="B27" s="91" t="str">
        <f>+'S&amp;D'!B31</f>
        <v>SR</v>
      </c>
      <c r="C27" s="91" t="str">
        <f>+'S&amp;D'!C31</f>
        <v>Gas Utility</v>
      </c>
      <c r="D27" s="138">
        <v>0.19</v>
      </c>
      <c r="E27" s="137">
        <v>7.4999999999999997E-2</v>
      </c>
      <c r="F27" s="137">
        <v>0.01</v>
      </c>
      <c r="G27" s="91" t="s">
        <v>26</v>
      </c>
      <c r="H27" s="344">
        <v>0.9</v>
      </c>
      <c r="I27" s="11" t="s">
        <v>0</v>
      </c>
    </row>
    <row r="28" spans="1:9" ht="20.25" customHeight="1" thickBot="1">
      <c r="A28" s="64" t="str">
        <f>+'S&amp;D'!A32</f>
        <v>WEC Energy Group</v>
      </c>
      <c r="B28" s="91" t="str">
        <f>+'S&amp;D'!B32</f>
        <v>WEC</v>
      </c>
      <c r="C28" s="91" t="str">
        <f>+'S&amp;D'!C32</f>
        <v>Electric Utility - Central</v>
      </c>
      <c r="D28" s="138">
        <v>0.19</v>
      </c>
      <c r="E28" s="137">
        <v>0.125</v>
      </c>
      <c r="F28" s="137">
        <v>0.04</v>
      </c>
      <c r="G28" s="91" t="s">
        <v>54</v>
      </c>
      <c r="H28" s="345">
        <v>0.9</v>
      </c>
      <c r="I28" s="11"/>
    </row>
    <row r="29" spans="1:9" ht="20.25" customHeight="1" thickTop="1">
      <c r="A29" s="112"/>
      <c r="B29" s="112"/>
      <c r="C29" s="4"/>
      <c r="D29" s="166" t="s">
        <v>0</v>
      </c>
      <c r="E29" s="4"/>
      <c r="F29" s="4"/>
      <c r="G29" s="122" t="s">
        <v>56</v>
      </c>
      <c r="H29" s="341">
        <f>MAX(H18:H28)</f>
        <v>1.1000000000000001</v>
      </c>
    </row>
    <row r="30" spans="1:9" ht="20.25" customHeight="1">
      <c r="A30" s="112"/>
      <c r="B30" s="112"/>
      <c r="C30" s="4"/>
      <c r="D30" s="166" t="s">
        <v>0</v>
      </c>
      <c r="E30" s="4"/>
      <c r="F30" s="4"/>
      <c r="G30" s="122" t="s">
        <v>57</v>
      </c>
      <c r="H30" s="342">
        <f>MIN(H18:H28)</f>
        <v>0.75</v>
      </c>
    </row>
    <row r="31" spans="1:9" ht="20.25" customHeight="1">
      <c r="A31" s="112"/>
      <c r="B31" s="112"/>
      <c r="C31" s="4"/>
      <c r="D31" s="167" t="s">
        <v>0</v>
      </c>
      <c r="E31" s="4"/>
      <c r="F31" s="4"/>
      <c r="G31" s="122" t="s">
        <v>18</v>
      </c>
      <c r="H31" s="343">
        <f>MEDIAN(H18:H28)</f>
        <v>0.9</v>
      </c>
    </row>
    <row r="32" spans="1:9" ht="20.25" customHeight="1">
      <c r="A32" s="112"/>
      <c r="B32" s="112"/>
      <c r="C32" s="4"/>
      <c r="D32" s="125" t="s">
        <v>0</v>
      </c>
      <c r="E32" s="4"/>
      <c r="F32" s="4"/>
      <c r="G32" s="122" t="s">
        <v>413</v>
      </c>
      <c r="H32" s="343">
        <f>AVERAGE(H18:H28)</f>
        <v>0.88181818181818172</v>
      </c>
    </row>
    <row r="33" spans="1:8" ht="20.25" customHeight="1" thickBot="1">
      <c r="A33" s="13"/>
      <c r="B33" s="13"/>
      <c r="C33" s="13"/>
      <c r="D33" s="13"/>
      <c r="G33" s="13"/>
      <c r="H33" s="14"/>
    </row>
    <row r="34" spans="1:8" ht="20.25" customHeight="1" thickBot="1">
      <c r="A34" s="13"/>
      <c r="B34" s="13"/>
      <c r="C34" s="13"/>
      <c r="D34" s="13"/>
      <c r="G34" s="185" t="s">
        <v>92</v>
      </c>
      <c r="H34" s="273">
        <v>0.88</v>
      </c>
    </row>
    <row r="37" spans="1:8" ht="17.25">
      <c r="A37" s="112" t="s">
        <v>329</v>
      </c>
    </row>
    <row r="38" spans="1:8" ht="17.25">
      <c r="A38" s="112" t="s">
        <v>330</v>
      </c>
    </row>
  </sheetData>
  <pageMargins left="0.25" right="0.25" top="0.75" bottom="0.75" header="0.3" footer="0.3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>
    <tabColor rgb="FF92D050"/>
  </sheetPr>
  <dimension ref="A1:K34"/>
  <sheetViews>
    <sheetView view="pageBreakPreview" zoomScale="60" zoomScaleNormal="80" workbookViewId="0">
      <selection activeCell="I27" sqref="I27"/>
    </sheetView>
  </sheetViews>
  <sheetFormatPr defaultRowHeight="15"/>
  <cols>
    <col min="1" max="1" width="50.42578125" customWidth="1"/>
    <col min="2" max="2" width="10.85546875" bestFit="1" customWidth="1"/>
    <col min="3" max="3" width="28.7109375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16.5">
      <c r="A3" s="27" t="s">
        <v>444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16.5">
      <c r="A4" s="27"/>
      <c r="B4" s="13"/>
      <c r="C4" s="13"/>
      <c r="D4" s="13"/>
      <c r="E4" s="13"/>
      <c r="F4" s="13"/>
      <c r="G4" s="13"/>
      <c r="H4" s="13"/>
      <c r="I4" s="13"/>
      <c r="J4" s="13"/>
    </row>
    <row r="5" spans="1:11" ht="17.25" thickBot="1">
      <c r="A5" s="13"/>
      <c r="B5" s="13"/>
      <c r="C5" s="13"/>
      <c r="D5" s="13"/>
      <c r="E5" s="13"/>
      <c r="F5" s="13"/>
      <c r="G5" s="28"/>
      <c r="H5" s="13"/>
      <c r="I5" s="13"/>
      <c r="J5" s="13"/>
    </row>
    <row r="6" spans="1:11" ht="21" thickBot="1">
      <c r="A6" s="241" t="str">
        <f>+'S&amp;D'!A12</f>
        <v>Natural Gas Utility Distribution</v>
      </c>
      <c r="B6" s="179"/>
      <c r="C6" s="13"/>
      <c r="D6" s="30"/>
      <c r="E6" s="30"/>
      <c r="F6" s="31" t="s">
        <v>0</v>
      </c>
      <c r="G6" s="13"/>
      <c r="H6" s="13"/>
      <c r="I6" s="13"/>
      <c r="J6" s="13"/>
    </row>
    <row r="7" spans="1:11" ht="26.25">
      <c r="A7" s="32"/>
      <c r="B7" s="13"/>
      <c r="C7" s="13"/>
      <c r="D7" s="13"/>
      <c r="E7" s="33" t="s">
        <v>180</v>
      </c>
      <c r="F7" s="13"/>
      <c r="G7" s="13"/>
      <c r="H7" s="13"/>
      <c r="I7" s="13"/>
      <c r="J7" s="13"/>
    </row>
    <row r="8" spans="1:11" ht="21" thickBot="1">
      <c r="A8" s="32"/>
      <c r="B8" s="13"/>
      <c r="C8" s="13"/>
      <c r="D8" s="30"/>
      <c r="E8" s="38" t="s">
        <v>445</v>
      </c>
      <c r="F8" s="30"/>
      <c r="G8" s="13"/>
      <c r="H8" s="13"/>
      <c r="I8" s="13"/>
      <c r="J8" s="13"/>
    </row>
    <row r="9" spans="1:11" ht="17.25" thickBot="1">
      <c r="A9" s="35" t="s">
        <v>0</v>
      </c>
      <c r="B9" s="35" t="s">
        <v>0</v>
      </c>
      <c r="C9" s="35" t="s">
        <v>0</v>
      </c>
      <c r="D9" s="35" t="s">
        <v>0</v>
      </c>
      <c r="E9" s="35" t="s">
        <v>0</v>
      </c>
      <c r="F9" s="35"/>
      <c r="G9" s="30"/>
      <c r="H9" s="30"/>
      <c r="I9" s="30"/>
      <c r="J9" s="30"/>
      <c r="K9" s="150"/>
    </row>
    <row r="10" spans="1:11" ht="16.5">
      <c r="A10" s="36" t="s">
        <v>0</v>
      </c>
      <c r="B10" s="36" t="s">
        <v>3</v>
      </c>
      <c r="C10" s="36" t="s">
        <v>5</v>
      </c>
      <c r="D10" s="36" t="s">
        <v>175</v>
      </c>
      <c r="E10" s="36" t="s">
        <v>176</v>
      </c>
      <c r="F10" s="36" t="s">
        <v>178</v>
      </c>
      <c r="G10" s="36" t="s">
        <v>176</v>
      </c>
      <c r="H10" s="36" t="s">
        <v>178</v>
      </c>
      <c r="I10" s="36" t="s">
        <v>176</v>
      </c>
      <c r="J10" s="36" t="s">
        <v>178</v>
      </c>
      <c r="K10" s="36" t="s">
        <v>270</v>
      </c>
    </row>
    <row r="11" spans="1:11" ht="16.5">
      <c r="A11" s="36"/>
      <c r="B11" s="36" t="s">
        <v>4</v>
      </c>
      <c r="C11" s="36" t="s">
        <v>6</v>
      </c>
      <c r="D11" s="36" t="s">
        <v>28</v>
      </c>
      <c r="E11" s="36" t="s">
        <v>177</v>
      </c>
      <c r="F11" s="36" t="s">
        <v>135</v>
      </c>
      <c r="G11" s="36" t="s">
        <v>177</v>
      </c>
      <c r="H11" s="36" t="s">
        <v>135</v>
      </c>
      <c r="I11" s="36" t="s">
        <v>177</v>
      </c>
      <c r="J11" s="36" t="s">
        <v>135</v>
      </c>
      <c r="K11" s="36" t="s">
        <v>194</v>
      </c>
    </row>
    <row r="12" spans="1:11" ht="17.25" thickBot="1">
      <c r="A12" s="38" t="s">
        <v>2</v>
      </c>
      <c r="B12" s="38" t="s">
        <v>0</v>
      </c>
      <c r="C12" s="38" t="s">
        <v>0</v>
      </c>
      <c r="D12" s="38" t="s">
        <v>0</v>
      </c>
      <c r="E12" s="38" t="s">
        <v>179</v>
      </c>
      <c r="F12" s="38" t="s">
        <v>179</v>
      </c>
      <c r="G12" s="38" t="s">
        <v>268</v>
      </c>
      <c r="H12" s="38" t="s">
        <v>268</v>
      </c>
      <c r="I12" s="38" t="s">
        <v>269</v>
      </c>
      <c r="J12" s="38" t="s">
        <v>269</v>
      </c>
      <c r="K12" s="206" t="s">
        <v>271</v>
      </c>
    </row>
    <row r="13" spans="1:11">
      <c r="A13" s="40" t="s">
        <v>7</v>
      </c>
      <c r="B13" s="40" t="s">
        <v>7</v>
      </c>
      <c r="C13" s="40" t="s">
        <v>7</v>
      </c>
      <c r="D13" s="41" t="s">
        <v>131</v>
      </c>
      <c r="E13" s="40" t="s">
        <v>7</v>
      </c>
      <c r="F13" s="40" t="s">
        <v>0</v>
      </c>
      <c r="G13" s="40" t="s">
        <v>7</v>
      </c>
      <c r="H13" s="40" t="s">
        <v>0</v>
      </c>
      <c r="I13" s="40" t="s">
        <v>7</v>
      </c>
      <c r="J13" s="40" t="s">
        <v>0</v>
      </c>
      <c r="K13" s="40" t="s">
        <v>0</v>
      </c>
    </row>
    <row r="14" spans="1:11" ht="16.5">
      <c r="A14" s="36"/>
      <c r="B14" s="36"/>
      <c r="C14" s="36"/>
      <c r="D14" s="36"/>
      <c r="E14" s="36"/>
      <c r="F14" s="36"/>
      <c r="G14" s="13"/>
      <c r="H14" s="13"/>
      <c r="I14" s="13"/>
      <c r="J14" s="13"/>
      <c r="K14" s="13"/>
    </row>
    <row r="15" spans="1:11" ht="16.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7.25">
      <c r="A16" s="64" t="str">
        <f>+'S&amp;D'!A22</f>
        <v>Atmos Energy Corp</v>
      </c>
      <c r="B16" s="91" t="str">
        <f>+'S&amp;D'!B22</f>
        <v>ATO</v>
      </c>
      <c r="C16" s="91" t="str">
        <f>+'S&amp;D'!C22</f>
        <v>Gas Utility</v>
      </c>
      <c r="D16" s="61">
        <f>+'S&amp;D'!G22</f>
        <v>139.27000000000001</v>
      </c>
      <c r="E16" s="313">
        <v>3.48</v>
      </c>
      <c r="F16" s="55">
        <f>+E16/D16</f>
        <v>2.4987434479787463E-2</v>
      </c>
      <c r="G16" s="313">
        <v>3.68</v>
      </c>
      <c r="H16" s="55">
        <f>+G16/D16</f>
        <v>2.6423493932648812E-2</v>
      </c>
      <c r="I16" s="313">
        <v>4.45</v>
      </c>
      <c r="J16" s="55">
        <f>+I16/D16</f>
        <v>3.1952322826165003E-2</v>
      </c>
      <c r="K16" s="326">
        <f>RATE(3,,-G16,I16)</f>
        <v>6.5378833375279055E-2</v>
      </c>
    </row>
    <row r="17" spans="1:11" ht="17.25">
      <c r="A17" s="64" t="str">
        <f>+'S&amp;D'!A23</f>
        <v>Black Hills Corporation</v>
      </c>
      <c r="B17" s="91" t="str">
        <f>+'S&amp;D'!B23</f>
        <v>BKH</v>
      </c>
      <c r="C17" s="91" t="str">
        <f>+'S&amp;D'!C23</f>
        <v>Electric Utility - West</v>
      </c>
      <c r="D17" s="61">
        <f>+'S&amp;D'!G23</f>
        <v>58.52</v>
      </c>
      <c r="E17" s="313">
        <v>2.65</v>
      </c>
      <c r="F17" s="55">
        <f t="shared" ref="F17:F26" si="0">+E17/D17</f>
        <v>4.5283663704716336E-2</v>
      </c>
      <c r="G17" s="313">
        <v>2.82</v>
      </c>
      <c r="H17" s="55">
        <f t="shared" ref="H17:H26" si="1">+G17/D17</f>
        <v>4.8188653451811343E-2</v>
      </c>
      <c r="I17" s="313">
        <v>3.4</v>
      </c>
      <c r="J17" s="55">
        <f t="shared" ref="J17:J26" si="2">+I17/D17</f>
        <v>5.80997949419002E-2</v>
      </c>
      <c r="K17" s="326">
        <f>RATE(3,,-G17,I17)</f>
        <v>6.4330733341554966E-2</v>
      </c>
    </row>
    <row r="18" spans="1:11" ht="17.25">
      <c r="A18" s="64" t="str">
        <f>+'S&amp;D'!A24</f>
        <v>CenterPoint Energy Inc.</v>
      </c>
      <c r="B18" s="91" t="str">
        <f>+'S&amp;D'!B24</f>
        <v>CNP</v>
      </c>
      <c r="C18" s="91" t="str">
        <f>+'S&amp;D'!C24</f>
        <v>Electric Utility - Central</v>
      </c>
      <c r="D18" s="61">
        <f>+'S&amp;D'!G24</f>
        <v>31.73</v>
      </c>
      <c r="E18" s="313">
        <v>0.89</v>
      </c>
      <c r="F18" s="55">
        <f t="shared" si="0"/>
        <v>2.8049164828238261E-2</v>
      </c>
      <c r="G18" s="313">
        <v>0.95</v>
      </c>
      <c r="H18" s="55">
        <f t="shared" si="1"/>
        <v>2.9940119760479039E-2</v>
      </c>
      <c r="I18" s="313">
        <v>1.01</v>
      </c>
      <c r="J18" s="55">
        <f t="shared" si="2"/>
        <v>3.1831074692719827E-2</v>
      </c>
      <c r="K18" s="326">
        <f t="shared" ref="K18:K26" si="3">RATE(3,,-G18,I18)</f>
        <v>2.0624343742740782E-2</v>
      </c>
    </row>
    <row r="19" spans="1:11" ht="17.25">
      <c r="A19" s="64" t="str">
        <f>+'S&amp;D'!A25</f>
        <v>CMS Energy Corporation</v>
      </c>
      <c r="B19" s="91" t="str">
        <f>+'S&amp;D'!B25</f>
        <v>CMS</v>
      </c>
      <c r="C19" s="91" t="str">
        <f>+'S&amp;D'!C25</f>
        <v>Electric Utility - Central</v>
      </c>
      <c r="D19" s="61">
        <f>+'S&amp;D'!G25</f>
        <v>66.650000000000006</v>
      </c>
      <c r="E19" s="313">
        <v>2.2000000000000002</v>
      </c>
      <c r="F19" s="55">
        <f t="shared" si="0"/>
        <v>3.3008252063015754E-2</v>
      </c>
      <c r="G19" s="313">
        <v>2.2999999999999998</v>
      </c>
      <c r="H19" s="55">
        <f t="shared" si="1"/>
        <v>3.4508627156789193E-2</v>
      </c>
      <c r="I19" s="313">
        <v>2.5</v>
      </c>
      <c r="J19" s="55">
        <f t="shared" si="2"/>
        <v>3.7509377344336084E-2</v>
      </c>
      <c r="K19" s="326">
        <f t="shared" si="3"/>
        <v>2.8183722701926761E-2</v>
      </c>
    </row>
    <row r="20" spans="1:11" ht="17.25">
      <c r="A20" s="64" t="str">
        <f>+'S&amp;D'!A26</f>
        <v>New Jersey Resources Corp</v>
      </c>
      <c r="B20" s="91" t="str">
        <f>+'S&amp;D'!B26</f>
        <v>NJR</v>
      </c>
      <c r="C20" s="91" t="str">
        <f>+'S&amp;D'!C26</f>
        <v>Gas Utility</v>
      </c>
      <c r="D20" s="61">
        <f>+'S&amp;D'!G26</f>
        <v>46.65</v>
      </c>
      <c r="E20" s="313">
        <v>1.8</v>
      </c>
      <c r="F20" s="55">
        <f t="shared" si="0"/>
        <v>3.8585209003215437E-2</v>
      </c>
      <c r="G20" s="313">
        <v>1.95</v>
      </c>
      <c r="H20" s="55">
        <f t="shared" si="1"/>
        <v>4.1800643086816719E-2</v>
      </c>
      <c r="I20" s="313">
        <v>2.2000000000000002</v>
      </c>
      <c r="J20" s="55">
        <f t="shared" si="2"/>
        <v>4.7159699892818867E-2</v>
      </c>
      <c r="K20" s="326">
        <f t="shared" si="3"/>
        <v>4.1028669149638437E-2</v>
      </c>
    </row>
    <row r="21" spans="1:11" ht="17.25">
      <c r="A21" s="64" t="str">
        <f>+'S&amp;D'!A27</f>
        <v>NISOURCE Inc.</v>
      </c>
      <c r="B21" s="91" t="str">
        <f>+'S&amp;D'!B27</f>
        <v>NI</v>
      </c>
      <c r="C21" s="91" t="str">
        <f>+'S&amp;D'!C27</f>
        <v>Gas Utility</v>
      </c>
      <c r="D21" s="61">
        <f>+'S&amp;D'!G27</f>
        <v>36.76</v>
      </c>
      <c r="E21" s="313">
        <v>1.1200000000000001</v>
      </c>
      <c r="F21" s="55">
        <f t="shared" si="0"/>
        <v>3.0467899891186076E-2</v>
      </c>
      <c r="G21" s="313">
        <v>1.2</v>
      </c>
      <c r="H21" s="55">
        <f t="shared" si="1"/>
        <v>3.2644178454842222E-2</v>
      </c>
      <c r="I21" s="313">
        <v>1.44</v>
      </c>
      <c r="J21" s="55">
        <f t="shared" si="2"/>
        <v>3.9173014145810661E-2</v>
      </c>
      <c r="K21" s="326">
        <f t="shared" si="3"/>
        <v>6.2658569184943086E-2</v>
      </c>
    </row>
    <row r="22" spans="1:11" ht="17.25">
      <c r="A22" s="64" t="str">
        <f>+'S&amp;D'!A28</f>
        <v xml:space="preserve">Northwest Natural Holding Company </v>
      </c>
      <c r="B22" s="91" t="str">
        <f>+'S&amp;D'!B28</f>
        <v>NWN</v>
      </c>
      <c r="C22" s="91" t="str">
        <f>+'S&amp;D'!C28</f>
        <v>Gas Utility</v>
      </c>
      <c r="D22" s="61">
        <f>+'S&amp;D'!G28</f>
        <v>39.56</v>
      </c>
      <c r="E22" s="313">
        <v>1.96</v>
      </c>
      <c r="F22" s="55">
        <f t="shared" si="0"/>
        <v>4.9544994944388264E-2</v>
      </c>
      <c r="G22" s="313">
        <v>1.97</v>
      </c>
      <c r="H22" s="55">
        <f t="shared" si="1"/>
        <v>4.9797775530839229E-2</v>
      </c>
      <c r="I22" s="313">
        <v>2</v>
      </c>
      <c r="J22" s="55">
        <f t="shared" si="2"/>
        <v>5.0556117290192111E-2</v>
      </c>
      <c r="K22" s="346">
        <f t="shared" si="3"/>
        <v>5.050590721096016E-3</v>
      </c>
    </row>
    <row r="23" spans="1:11" ht="17.25">
      <c r="A23" s="64" t="str">
        <f>+'S&amp;D'!A29</f>
        <v>One Gas INC</v>
      </c>
      <c r="B23" s="91" t="str">
        <f>+'S&amp;D'!B29</f>
        <v>OGS</v>
      </c>
      <c r="C23" s="91" t="str">
        <f>+'S&amp;D'!C29</f>
        <v>Gas Utility</v>
      </c>
      <c r="D23" s="61">
        <f>+'S&amp;D'!G29</f>
        <v>69.25</v>
      </c>
      <c r="E23" s="313">
        <v>2.68</v>
      </c>
      <c r="F23" s="55">
        <f t="shared" si="0"/>
        <v>3.8700361010830325E-2</v>
      </c>
      <c r="G23" s="313">
        <v>2.72</v>
      </c>
      <c r="H23" s="55">
        <f t="shared" si="1"/>
        <v>3.9277978339350185E-2</v>
      </c>
      <c r="I23" s="313">
        <v>2.9</v>
      </c>
      <c r="J23" s="55">
        <f t="shared" si="2"/>
        <v>4.1877256317689529E-2</v>
      </c>
      <c r="K23" s="326">
        <f t="shared" si="3"/>
        <v>2.158936842619763E-2</v>
      </c>
    </row>
    <row r="24" spans="1:11" ht="17.25">
      <c r="A24" s="64" t="str">
        <f>+'S&amp;D'!A30</f>
        <v>Southwest Gas Holdings, Inc</v>
      </c>
      <c r="B24" s="91" t="str">
        <f>+'S&amp;D'!B30</f>
        <v>SWX</v>
      </c>
      <c r="C24" s="91" t="str">
        <f>+'S&amp;D'!C30</f>
        <v>Gas Utility</v>
      </c>
      <c r="D24" s="61">
        <f>+'S&amp;D'!G30</f>
        <v>70.709999999999994</v>
      </c>
      <c r="E24" s="313">
        <v>2.48</v>
      </c>
      <c r="F24" s="55">
        <f t="shared" si="0"/>
        <v>3.5072832696931129E-2</v>
      </c>
      <c r="G24" s="313">
        <v>2.48</v>
      </c>
      <c r="H24" s="55">
        <f t="shared" si="1"/>
        <v>3.5072832696931129E-2</v>
      </c>
      <c r="I24" s="313">
        <v>3</v>
      </c>
      <c r="J24" s="55">
        <f t="shared" si="2"/>
        <v>4.2426813746287657E-2</v>
      </c>
      <c r="K24" s="326">
        <f t="shared" si="3"/>
        <v>6.5507533404685889E-2</v>
      </c>
    </row>
    <row r="25" spans="1:11" ht="17.25">
      <c r="A25" s="64" t="str">
        <f>+'S&amp;D'!A31</f>
        <v>Spire Inc / Laclede Group Inc</v>
      </c>
      <c r="B25" s="91" t="str">
        <f>+'S&amp;D'!B31</f>
        <v>SR</v>
      </c>
      <c r="C25" s="91" t="str">
        <f>+'S&amp;D'!C31</f>
        <v>Gas Utility</v>
      </c>
      <c r="D25" s="61">
        <f>+'S&amp;D'!G31</f>
        <v>67.83</v>
      </c>
      <c r="E25" s="313">
        <v>3.14</v>
      </c>
      <c r="F25" s="55">
        <f t="shared" si="0"/>
        <v>4.6292201090962701E-2</v>
      </c>
      <c r="G25" s="313">
        <v>3.26</v>
      </c>
      <c r="H25" s="55">
        <f t="shared" si="1"/>
        <v>4.8061329795075922E-2</v>
      </c>
      <c r="I25" s="313">
        <v>3.7</v>
      </c>
      <c r="J25" s="55">
        <f t="shared" si="2"/>
        <v>5.4548135043491083E-2</v>
      </c>
      <c r="K25" s="326">
        <f t="shared" si="3"/>
        <v>4.3105034072620417E-2</v>
      </c>
    </row>
    <row r="26" spans="1:11" ht="17.25">
      <c r="A26" s="64" t="str">
        <f>+'S&amp;D'!A32</f>
        <v>WEC Energy Group</v>
      </c>
      <c r="B26" s="91" t="str">
        <f>+'S&amp;D'!B32</f>
        <v>WEC</v>
      </c>
      <c r="C26" s="91" t="str">
        <f>+'S&amp;D'!C32</f>
        <v>Electric Utility - Central</v>
      </c>
      <c r="D26" s="61">
        <f>+'S&amp;D'!G32</f>
        <v>94.04</v>
      </c>
      <c r="E26" s="313">
        <v>3.57</v>
      </c>
      <c r="F26" s="55">
        <f t="shared" si="0"/>
        <v>3.7962569119523601E-2</v>
      </c>
      <c r="G26" s="313">
        <v>3.81</v>
      </c>
      <c r="H26" s="55">
        <f t="shared" si="1"/>
        <v>4.0514674606550401E-2</v>
      </c>
      <c r="I26" s="313">
        <v>4.59</v>
      </c>
      <c r="J26" s="55">
        <f t="shared" si="2"/>
        <v>4.8809017439387488E-2</v>
      </c>
      <c r="K26" s="326">
        <f t="shared" si="3"/>
        <v>6.405130809034483E-2</v>
      </c>
    </row>
    <row r="27" spans="1:11" ht="17.25" thickBot="1">
      <c r="A27" s="13"/>
      <c r="B27" s="13"/>
      <c r="C27" s="45"/>
      <c r="D27" s="48"/>
      <c r="E27" s="48"/>
      <c r="F27" s="48"/>
      <c r="G27" s="48"/>
      <c r="H27" s="48"/>
      <c r="I27" s="48"/>
      <c r="J27" s="48"/>
      <c r="K27" s="48"/>
    </row>
    <row r="28" spans="1:11" ht="17.25" thickTop="1">
      <c r="A28" s="13"/>
      <c r="B28" s="13"/>
      <c r="D28" s="15" t="s">
        <v>56</v>
      </c>
      <c r="E28" s="17">
        <f>MAX(E16:E26)</f>
        <v>3.57</v>
      </c>
      <c r="F28" s="270">
        <f t="shared" ref="F28:K28" si="4">MAX(F16:F26)</f>
        <v>4.9544994944388264E-2</v>
      </c>
      <c r="G28" s="17">
        <f t="shared" si="4"/>
        <v>3.81</v>
      </c>
      <c r="H28" s="270">
        <f t="shared" si="4"/>
        <v>4.9797775530839229E-2</v>
      </c>
      <c r="I28" s="17">
        <f t="shared" si="4"/>
        <v>4.59</v>
      </c>
      <c r="J28" s="270">
        <f t="shared" si="4"/>
        <v>5.80997949419002E-2</v>
      </c>
      <c r="K28" s="270">
        <f t="shared" si="4"/>
        <v>6.5507533404685889E-2</v>
      </c>
    </row>
    <row r="29" spans="1:11" ht="16.5">
      <c r="A29" s="13"/>
      <c r="B29" s="13"/>
      <c r="D29" s="15" t="s">
        <v>57</v>
      </c>
      <c r="E29" s="274">
        <f>MIN(E16:E26)</f>
        <v>0.89</v>
      </c>
      <c r="F29" s="271">
        <f t="shared" ref="F29:K29" si="5">MIN(F16:F26)</f>
        <v>2.4987434479787463E-2</v>
      </c>
      <c r="G29" s="274">
        <f t="shared" si="5"/>
        <v>0.95</v>
      </c>
      <c r="H29" s="271">
        <f t="shared" si="5"/>
        <v>2.6423493932648812E-2</v>
      </c>
      <c r="I29" s="274">
        <f t="shared" si="5"/>
        <v>1.01</v>
      </c>
      <c r="J29" s="271">
        <f t="shared" si="5"/>
        <v>3.1831074692719827E-2</v>
      </c>
      <c r="K29" s="271">
        <f t="shared" si="5"/>
        <v>5.050590721096016E-3</v>
      </c>
    </row>
    <row r="30" spans="1:11" ht="16.5">
      <c r="A30" s="13"/>
      <c r="B30" s="13"/>
      <c r="D30" s="15" t="s">
        <v>18</v>
      </c>
      <c r="E30" s="18">
        <f t="shared" ref="E30:K30" si="6">MEDIAN(E16:E26)</f>
        <v>2.48</v>
      </c>
      <c r="F30" s="56">
        <f t="shared" si="6"/>
        <v>3.7962569119523601E-2</v>
      </c>
      <c r="G30" s="18">
        <f t="shared" si="6"/>
        <v>2.48</v>
      </c>
      <c r="H30" s="56">
        <f t="shared" si="6"/>
        <v>3.9277978339350185E-2</v>
      </c>
      <c r="I30" s="18">
        <f t="shared" si="6"/>
        <v>2.9</v>
      </c>
      <c r="J30" s="56">
        <f t="shared" si="6"/>
        <v>4.2426813746287657E-2</v>
      </c>
      <c r="K30" s="56">
        <f t="shared" si="6"/>
        <v>4.3105034072620417E-2</v>
      </c>
    </row>
    <row r="31" spans="1:11" ht="16.5">
      <c r="A31" s="13"/>
      <c r="B31" s="13"/>
      <c r="D31" s="15" t="s">
        <v>413</v>
      </c>
      <c r="E31" s="22">
        <f t="shared" ref="E31:K31" si="7">AVERAGE(E16:E26)</f>
        <v>2.3609090909090913</v>
      </c>
      <c r="F31" s="58">
        <f t="shared" si="7"/>
        <v>3.7086780257526854E-2</v>
      </c>
      <c r="G31" s="22">
        <f t="shared" si="7"/>
        <v>2.4672727272727268</v>
      </c>
      <c r="H31" s="58">
        <f t="shared" si="7"/>
        <v>3.874820971019402E-2</v>
      </c>
      <c r="I31" s="22">
        <f t="shared" si="7"/>
        <v>2.8354545454545454</v>
      </c>
      <c r="J31" s="58">
        <f t="shared" si="7"/>
        <v>4.399478397098168E-2</v>
      </c>
      <c r="K31" s="58">
        <f t="shared" si="7"/>
        <v>4.3773518746457081E-2</v>
      </c>
    </row>
    <row r="32" spans="1:11" ht="16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26.25">
      <c r="A33" s="13"/>
      <c r="B33" s="13"/>
      <c r="C33" s="13"/>
      <c r="D33" s="13"/>
      <c r="E33" s="13"/>
      <c r="F33" s="50" t="s">
        <v>0</v>
      </c>
      <c r="G33" s="65" t="s">
        <v>0</v>
      </c>
      <c r="H33" s="13"/>
      <c r="I33" s="13"/>
      <c r="J33" s="13"/>
      <c r="K33" s="13"/>
    </row>
    <row r="34" spans="1:11" ht="18.75">
      <c r="A34" s="207" t="s">
        <v>272</v>
      </c>
    </row>
  </sheetData>
  <pageMargins left="0.25" right="0.25" top="0.75" bottom="0.75" header="0.3" footer="0.3"/>
  <pageSetup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>
    <tabColor rgb="FF92D050"/>
  </sheetPr>
  <dimension ref="A1:K34"/>
  <sheetViews>
    <sheetView view="pageBreakPreview" zoomScale="60" zoomScaleNormal="80" workbookViewId="0">
      <selection activeCell="K28" sqref="K28"/>
    </sheetView>
  </sheetViews>
  <sheetFormatPr defaultRowHeight="15"/>
  <cols>
    <col min="1" max="1" width="51.5703125" customWidth="1"/>
    <col min="2" max="2" width="10.85546875" bestFit="1" customWidth="1"/>
    <col min="3" max="3" width="23.7109375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16.5">
      <c r="A3" s="27" t="s">
        <v>444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16.5">
      <c r="A4" s="27"/>
      <c r="B4" s="13"/>
      <c r="C4" s="13"/>
      <c r="D4" s="13"/>
      <c r="E4" s="13"/>
      <c r="F4" s="13"/>
      <c r="G4" s="13"/>
      <c r="H4" s="13"/>
      <c r="I4" s="13"/>
      <c r="J4" s="13"/>
    </row>
    <row r="5" spans="1:11" ht="17.25" thickBot="1">
      <c r="A5" s="13"/>
      <c r="B5" s="13"/>
      <c r="C5" s="13"/>
      <c r="D5" s="13"/>
      <c r="E5" s="13"/>
      <c r="F5" s="13"/>
      <c r="G5" s="28"/>
      <c r="H5" s="13"/>
      <c r="I5" s="13"/>
      <c r="J5" s="13"/>
    </row>
    <row r="6" spans="1:11" ht="21" thickBot="1">
      <c r="A6" s="241" t="str">
        <f>+'S&amp;D'!A12</f>
        <v>Natural Gas Utility Distribution</v>
      </c>
      <c r="B6" s="179"/>
      <c r="C6" s="13"/>
      <c r="D6" s="30"/>
      <c r="E6" s="30"/>
      <c r="F6" s="31" t="s">
        <v>0</v>
      </c>
      <c r="G6" s="13"/>
      <c r="H6" s="13"/>
      <c r="I6" s="13"/>
      <c r="J6" s="13"/>
    </row>
    <row r="7" spans="1:11" ht="26.25">
      <c r="A7" s="32"/>
      <c r="B7" s="13"/>
      <c r="C7" s="13"/>
      <c r="D7" s="13"/>
      <c r="E7" s="33" t="s">
        <v>273</v>
      </c>
      <c r="F7" s="13"/>
      <c r="G7" s="13"/>
      <c r="H7" s="13"/>
      <c r="I7" s="13"/>
      <c r="J7" s="13"/>
    </row>
    <row r="8" spans="1:11" ht="21" thickBot="1">
      <c r="A8" s="32"/>
      <c r="B8" s="13"/>
      <c r="C8" s="13"/>
      <c r="D8" s="30"/>
      <c r="E8" s="38" t="s">
        <v>445</v>
      </c>
      <c r="F8" s="30"/>
      <c r="G8" s="13"/>
      <c r="H8" s="13"/>
      <c r="I8" s="13"/>
      <c r="J8" s="13"/>
    </row>
    <row r="9" spans="1:11" ht="17.25" thickBot="1">
      <c r="A9" s="35" t="s">
        <v>0</v>
      </c>
      <c r="B9" s="35" t="s">
        <v>0</v>
      </c>
      <c r="C9" s="35" t="s">
        <v>0</v>
      </c>
      <c r="D9" s="35" t="s">
        <v>0</v>
      </c>
      <c r="E9" s="35" t="s">
        <v>0</v>
      </c>
      <c r="F9" s="35"/>
      <c r="G9" s="30"/>
      <c r="H9" s="30"/>
      <c r="I9" s="30"/>
      <c r="J9" s="30"/>
      <c r="K9" s="150"/>
    </row>
    <row r="10" spans="1:11" ht="16.5">
      <c r="A10" s="36" t="s">
        <v>0</v>
      </c>
      <c r="B10" s="36" t="s">
        <v>3</v>
      </c>
      <c r="C10" s="36" t="s">
        <v>5</v>
      </c>
      <c r="D10" s="36" t="s">
        <v>175</v>
      </c>
      <c r="E10" s="36" t="s">
        <v>182</v>
      </c>
      <c r="F10" s="36" t="s">
        <v>182</v>
      </c>
      <c r="G10" s="36" t="s">
        <v>182</v>
      </c>
      <c r="H10" s="36" t="s">
        <v>182</v>
      </c>
      <c r="I10" s="36" t="s">
        <v>182</v>
      </c>
      <c r="J10" s="36" t="s">
        <v>182</v>
      </c>
      <c r="K10" s="36" t="s">
        <v>270</v>
      </c>
    </row>
    <row r="11" spans="1:11" ht="16.5">
      <c r="A11" s="36"/>
      <c r="B11" s="36" t="s">
        <v>4</v>
      </c>
      <c r="C11" s="36" t="s">
        <v>6</v>
      </c>
      <c r="D11" s="36" t="s">
        <v>28</v>
      </c>
      <c r="E11" s="36" t="s">
        <v>177</v>
      </c>
      <c r="F11" s="36" t="s">
        <v>135</v>
      </c>
      <c r="G11" s="36" t="s">
        <v>177</v>
      </c>
      <c r="H11" s="36" t="s">
        <v>135</v>
      </c>
      <c r="I11" s="36" t="s">
        <v>177</v>
      </c>
      <c r="J11" s="36" t="s">
        <v>135</v>
      </c>
      <c r="K11" s="36" t="s">
        <v>194</v>
      </c>
    </row>
    <row r="12" spans="1:11" ht="17.25" thickBot="1">
      <c r="A12" s="38" t="s">
        <v>2</v>
      </c>
      <c r="B12" s="38" t="s">
        <v>0</v>
      </c>
      <c r="C12" s="38" t="s">
        <v>0</v>
      </c>
      <c r="D12" s="38" t="s">
        <v>0</v>
      </c>
      <c r="E12" s="38" t="s">
        <v>179</v>
      </c>
      <c r="F12" s="38" t="s">
        <v>179</v>
      </c>
      <c r="G12" s="38" t="s">
        <v>268</v>
      </c>
      <c r="H12" s="38" t="s">
        <v>268</v>
      </c>
      <c r="I12" s="38" t="s">
        <v>269</v>
      </c>
      <c r="J12" s="38" t="s">
        <v>269</v>
      </c>
      <c r="K12" s="206" t="s">
        <v>271</v>
      </c>
    </row>
    <row r="13" spans="1:11">
      <c r="A13" s="40" t="s">
        <v>7</v>
      </c>
      <c r="B13" s="40" t="s">
        <v>7</v>
      </c>
      <c r="C13" s="40" t="s">
        <v>7</v>
      </c>
      <c r="D13" s="41" t="s">
        <v>131</v>
      </c>
      <c r="E13" s="40" t="s">
        <v>7</v>
      </c>
      <c r="F13" s="40" t="s">
        <v>0</v>
      </c>
      <c r="G13" s="40" t="s">
        <v>7</v>
      </c>
      <c r="H13" s="40" t="s">
        <v>0</v>
      </c>
      <c r="I13" s="40" t="s">
        <v>7</v>
      </c>
      <c r="J13" s="40" t="s">
        <v>0</v>
      </c>
      <c r="K13" s="40" t="s">
        <v>0</v>
      </c>
    </row>
    <row r="14" spans="1:11" ht="16.5">
      <c r="A14" s="36"/>
      <c r="B14" s="36"/>
      <c r="C14" s="36"/>
      <c r="D14" s="36"/>
      <c r="E14" s="36"/>
      <c r="F14" s="36"/>
      <c r="G14" s="13"/>
      <c r="H14" s="13"/>
      <c r="I14" s="13"/>
      <c r="J14" s="13"/>
      <c r="K14" s="13"/>
    </row>
    <row r="15" spans="1:11" ht="16.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7.25">
      <c r="A16" s="64" t="str">
        <f>+'S&amp;D'!A22</f>
        <v>Atmos Energy Corp</v>
      </c>
      <c r="B16" s="91" t="str">
        <f>+'S&amp;D'!B22</f>
        <v>ATO</v>
      </c>
      <c r="C16" s="91" t="str">
        <f>+'S&amp;D'!C22</f>
        <v>Gas Utility</v>
      </c>
      <c r="D16" s="61">
        <f>+'S&amp;D'!G22</f>
        <v>139.27000000000001</v>
      </c>
      <c r="E16" s="63">
        <v>7.2</v>
      </c>
      <c r="F16" s="67">
        <f>+E16/D16</f>
        <v>5.1698140303008545E-2</v>
      </c>
      <c r="G16" s="63">
        <v>7.6</v>
      </c>
      <c r="H16" s="67">
        <f>+G16/D16</f>
        <v>5.4570259208731237E-2</v>
      </c>
      <c r="I16" s="63">
        <v>8.65</v>
      </c>
      <c r="J16" s="67">
        <f>+I16/D16</f>
        <v>6.2109571336253319E-2</v>
      </c>
      <c r="K16" s="329">
        <f t="shared" ref="K16:K26" si="0">RATE(3,,-G16,I16)</f>
        <v>4.4080949772199722E-2</v>
      </c>
    </row>
    <row r="17" spans="1:11" ht="17.25">
      <c r="A17" s="64" t="str">
        <f>+'S&amp;D'!A23</f>
        <v>Black Hills Corporation</v>
      </c>
      <c r="B17" s="91" t="str">
        <f>+'S&amp;D'!B23</f>
        <v>BKH</v>
      </c>
      <c r="C17" s="91" t="str">
        <f>+'S&amp;D'!C23</f>
        <v>Electric Utility - West</v>
      </c>
      <c r="D17" s="61">
        <f>+'S&amp;D'!G23</f>
        <v>58.52</v>
      </c>
      <c r="E17" s="63">
        <v>5.7</v>
      </c>
      <c r="F17" s="67">
        <f t="shared" ref="F17:F26" si="1">+E17/D17</f>
        <v>9.7402597402597407E-2</v>
      </c>
      <c r="G17" s="63">
        <v>6.1</v>
      </c>
      <c r="H17" s="67">
        <f t="shared" ref="H17:H26" si="2">+G17/D17</f>
        <v>0.10423786739576212</v>
      </c>
      <c r="I17" s="63">
        <v>8</v>
      </c>
      <c r="J17" s="67">
        <f t="shared" ref="J17:J26" si="3">+I17/D17</f>
        <v>0.13670539986329458</v>
      </c>
      <c r="K17" s="329">
        <f t="shared" si="0"/>
        <v>9.459480844036687E-2</v>
      </c>
    </row>
    <row r="18" spans="1:11" ht="17.25">
      <c r="A18" s="64" t="str">
        <f>+'S&amp;D'!A24</f>
        <v>CenterPoint Energy Inc.</v>
      </c>
      <c r="B18" s="91" t="str">
        <f>+'S&amp;D'!B24</f>
        <v>CNP</v>
      </c>
      <c r="C18" s="91" t="str">
        <f>+'S&amp;D'!C24</f>
        <v>Electric Utility - Central</v>
      </c>
      <c r="D18" s="61">
        <f>+'S&amp;D'!G24</f>
        <v>31.73</v>
      </c>
      <c r="E18" s="63">
        <v>1.7</v>
      </c>
      <c r="F18" s="67">
        <f t="shared" si="1"/>
        <v>5.3577056413488811E-2</v>
      </c>
      <c r="G18" s="63">
        <v>1.8</v>
      </c>
      <c r="H18" s="67">
        <f t="shared" si="2"/>
        <v>5.6728647967223447E-2</v>
      </c>
      <c r="I18" s="63">
        <v>2</v>
      </c>
      <c r="J18" s="67">
        <f t="shared" si="3"/>
        <v>6.3031831074692721E-2</v>
      </c>
      <c r="K18" s="329">
        <f t="shared" si="0"/>
        <v>3.5744168651286462E-2</v>
      </c>
    </row>
    <row r="19" spans="1:11" ht="17.25">
      <c r="A19" s="64" t="str">
        <f>+'S&amp;D'!A25</f>
        <v>CMS Energy Corporation</v>
      </c>
      <c r="B19" s="91" t="str">
        <f>+'S&amp;D'!B25</f>
        <v>CMS</v>
      </c>
      <c r="C19" s="91" t="str">
        <f>+'S&amp;D'!C25</f>
        <v>Electric Utility - Central</v>
      </c>
      <c r="D19" s="61">
        <f>+'S&amp;D'!G25</f>
        <v>66.650000000000006</v>
      </c>
      <c r="E19" s="63">
        <v>3.6</v>
      </c>
      <c r="F19" s="67">
        <f t="shared" si="1"/>
        <v>5.4013503375843958E-2</v>
      </c>
      <c r="G19" s="63">
        <v>3.8</v>
      </c>
      <c r="H19" s="67">
        <f t="shared" si="2"/>
        <v>5.7014253563390842E-2</v>
      </c>
      <c r="I19" s="63">
        <v>4.2</v>
      </c>
      <c r="J19" s="67">
        <f t="shared" si="3"/>
        <v>6.3015753938484617E-2</v>
      </c>
      <c r="K19" s="329">
        <f t="shared" si="0"/>
        <v>3.3923876378405458E-2</v>
      </c>
    </row>
    <row r="20" spans="1:11" ht="17.25">
      <c r="A20" s="64" t="str">
        <f>+'S&amp;D'!A26</f>
        <v>New Jersey Resources Corp</v>
      </c>
      <c r="B20" s="91" t="str">
        <f>+'S&amp;D'!B26</f>
        <v>NJR</v>
      </c>
      <c r="C20" s="91" t="str">
        <f>+'S&amp;D'!C26</f>
        <v>Gas Utility</v>
      </c>
      <c r="D20" s="61">
        <f>+'S&amp;D'!G26</f>
        <v>46.65</v>
      </c>
      <c r="E20" s="63">
        <v>3.1</v>
      </c>
      <c r="F20" s="67">
        <f t="shared" si="1"/>
        <v>6.6452304394426578E-2</v>
      </c>
      <c r="G20" s="63">
        <v>3.2</v>
      </c>
      <c r="H20" s="67">
        <f t="shared" si="2"/>
        <v>6.8595927116827438E-2</v>
      </c>
      <c r="I20" s="63">
        <v>3.9</v>
      </c>
      <c r="J20" s="67">
        <f t="shared" si="3"/>
        <v>8.3601286173633438E-2</v>
      </c>
      <c r="K20" s="329">
        <f t="shared" si="0"/>
        <v>6.8164670425139615E-2</v>
      </c>
    </row>
    <row r="21" spans="1:11" ht="17.25">
      <c r="A21" s="64" t="str">
        <f>+'S&amp;D'!A27</f>
        <v>NISOURCE Inc.</v>
      </c>
      <c r="B21" s="91" t="str">
        <f>+'S&amp;D'!B27</f>
        <v>NI</v>
      </c>
      <c r="C21" s="91" t="str">
        <f>+'S&amp;D'!C27</f>
        <v>Gas Utility</v>
      </c>
      <c r="D21" s="61">
        <f>+'S&amp;D'!G27</f>
        <v>36.76</v>
      </c>
      <c r="E21" s="63">
        <v>1.9</v>
      </c>
      <c r="F21" s="67">
        <f t="shared" si="1"/>
        <v>5.1686615886833515E-2</v>
      </c>
      <c r="G21" s="63">
        <v>2</v>
      </c>
      <c r="H21" s="67">
        <f t="shared" si="2"/>
        <v>5.4406964091403699E-2</v>
      </c>
      <c r="I21" s="63">
        <v>2.5499999999999998</v>
      </c>
      <c r="J21" s="67">
        <f t="shared" si="3"/>
        <v>6.9368879216539711E-2</v>
      </c>
      <c r="K21" s="329">
        <f t="shared" si="0"/>
        <v>8.4351442625100914E-2</v>
      </c>
    </row>
    <row r="22" spans="1:11" ht="17.25">
      <c r="A22" s="64" t="str">
        <f>+'S&amp;D'!A28</f>
        <v xml:space="preserve">Northwest Natural Holding Company </v>
      </c>
      <c r="B22" s="91" t="str">
        <f>+'S&amp;D'!B28</f>
        <v>NWN</v>
      </c>
      <c r="C22" s="91" t="str">
        <f>+'S&amp;D'!C28</f>
        <v>Gas Utility</v>
      </c>
      <c r="D22" s="61">
        <f>+'S&amp;D'!G28</f>
        <v>39.56</v>
      </c>
      <c r="E22" s="63">
        <v>3</v>
      </c>
      <c r="F22" s="67">
        <f t="shared" si="1"/>
        <v>7.583417593528817E-2</v>
      </c>
      <c r="G22" s="63">
        <v>3.1</v>
      </c>
      <c r="H22" s="67">
        <f t="shared" si="2"/>
        <v>7.8361981799797767E-2</v>
      </c>
      <c r="I22" s="63">
        <v>3.45</v>
      </c>
      <c r="J22" s="67">
        <f t="shared" si="3"/>
        <v>8.7209302325581398E-2</v>
      </c>
      <c r="K22" s="329">
        <f t="shared" si="0"/>
        <v>3.6300721240201936E-2</v>
      </c>
    </row>
    <row r="23" spans="1:11" ht="17.25">
      <c r="A23" s="64" t="str">
        <f>+'S&amp;D'!A29</f>
        <v>One Gas INC</v>
      </c>
      <c r="B23" s="91" t="str">
        <f>+'S&amp;D'!B29</f>
        <v>OGS</v>
      </c>
      <c r="C23" s="91" t="str">
        <f>+'S&amp;D'!C29</f>
        <v>Gas Utility</v>
      </c>
      <c r="D23" s="61">
        <f>+'S&amp;D'!G29</f>
        <v>69.25</v>
      </c>
      <c r="E23" s="63">
        <v>4.3</v>
      </c>
      <c r="F23" s="67">
        <f t="shared" si="1"/>
        <v>6.2093862815884471E-2</v>
      </c>
      <c r="G23" s="63">
        <v>4.5</v>
      </c>
      <c r="H23" s="67">
        <f t="shared" si="2"/>
        <v>6.4981949458483748E-2</v>
      </c>
      <c r="I23" s="63">
        <v>5.25</v>
      </c>
      <c r="J23" s="67">
        <f t="shared" si="3"/>
        <v>7.5812274368231042E-2</v>
      </c>
      <c r="K23" s="329">
        <f t="shared" si="0"/>
        <v>5.272659960939647E-2</v>
      </c>
    </row>
    <row r="24" spans="1:11" ht="17.25">
      <c r="A24" s="64" t="str">
        <f>+'S&amp;D'!A30</f>
        <v>Southwest Gas Holdings, Inc</v>
      </c>
      <c r="B24" s="91" t="str">
        <f>+'S&amp;D'!B30</f>
        <v>SWX</v>
      </c>
      <c r="C24" s="91" t="str">
        <f>+'S&amp;D'!C30</f>
        <v>Gas Utility</v>
      </c>
      <c r="D24" s="61">
        <f>+'S&amp;D'!G30</f>
        <v>70.709999999999994</v>
      </c>
      <c r="E24" s="63">
        <v>3.5</v>
      </c>
      <c r="F24" s="67">
        <f t="shared" si="1"/>
        <v>4.9497949370668932E-2</v>
      </c>
      <c r="G24" s="63">
        <v>4</v>
      </c>
      <c r="H24" s="67">
        <f t="shared" si="2"/>
        <v>5.6569084995050208E-2</v>
      </c>
      <c r="I24" s="63">
        <v>5</v>
      </c>
      <c r="J24" s="67">
        <f t="shared" si="3"/>
        <v>7.0711356243812765E-2</v>
      </c>
      <c r="K24" s="329">
        <f t="shared" si="0"/>
        <v>7.7217345015989564E-2</v>
      </c>
    </row>
    <row r="25" spans="1:11" ht="17.25">
      <c r="A25" s="64" t="str">
        <f>+'S&amp;D'!A31</f>
        <v>Spire Inc / Laclede Group Inc</v>
      </c>
      <c r="B25" s="91" t="str">
        <f>+'S&amp;D'!B31</f>
        <v>SR</v>
      </c>
      <c r="C25" s="91" t="str">
        <f>+'S&amp;D'!C31</f>
        <v>Gas Utility</v>
      </c>
      <c r="D25" s="61">
        <f>+'S&amp;D'!G31</f>
        <v>67.83</v>
      </c>
      <c r="E25" s="63">
        <v>3.95</v>
      </c>
      <c r="F25" s="67">
        <f t="shared" si="1"/>
        <v>5.8233819843726969E-2</v>
      </c>
      <c r="G25" s="63">
        <v>4.1500000000000004</v>
      </c>
      <c r="H25" s="67">
        <f t="shared" si="2"/>
        <v>6.1182367683915675E-2</v>
      </c>
      <c r="I25" s="63">
        <v>5.25</v>
      </c>
      <c r="J25" s="67">
        <f t="shared" si="3"/>
        <v>7.7399380804953566E-2</v>
      </c>
      <c r="K25" s="329">
        <f t="shared" si="0"/>
        <v>8.1526260266463924E-2</v>
      </c>
    </row>
    <row r="26" spans="1:11" ht="17.25">
      <c r="A26" s="64" t="str">
        <f>+'S&amp;D'!A32</f>
        <v>WEC Energy Group</v>
      </c>
      <c r="B26" s="91" t="str">
        <f>+'S&amp;D'!B32</f>
        <v>WEC</v>
      </c>
      <c r="C26" s="91" t="str">
        <f>+'S&amp;D'!C32</f>
        <v>Electric Utility - Central</v>
      </c>
      <c r="D26" s="61">
        <f>+'S&amp;D'!G32</f>
        <v>94.04</v>
      </c>
      <c r="E26" s="63">
        <v>5.25</v>
      </c>
      <c r="F26" s="67">
        <f t="shared" si="1"/>
        <v>5.5827307528711186E-2</v>
      </c>
      <c r="G26" s="63">
        <v>5.6</v>
      </c>
      <c r="H26" s="67">
        <f t="shared" si="2"/>
        <v>5.9549128030625259E-2</v>
      </c>
      <c r="I26" s="63">
        <v>6.9</v>
      </c>
      <c r="J26" s="67">
        <f t="shared" si="3"/>
        <v>7.3373032752020409E-2</v>
      </c>
      <c r="K26" s="329">
        <f t="shared" si="0"/>
        <v>7.2063116185627135E-2</v>
      </c>
    </row>
    <row r="27" spans="1:11" ht="17.25" thickBot="1">
      <c r="A27" s="13"/>
      <c r="B27" s="13"/>
      <c r="C27" s="45"/>
      <c r="D27" s="48"/>
      <c r="E27" s="48"/>
      <c r="F27" s="48"/>
      <c r="G27" s="48"/>
      <c r="H27" s="48"/>
      <c r="I27" s="48"/>
      <c r="J27" s="48"/>
      <c r="K27" s="48"/>
    </row>
    <row r="28" spans="1:11" ht="17.25" thickTop="1">
      <c r="A28" s="13"/>
      <c r="B28" s="13"/>
      <c r="D28" s="15" t="s">
        <v>56</v>
      </c>
      <c r="E28" s="17">
        <f>MAX(E16:E26)</f>
        <v>7.2</v>
      </c>
      <c r="F28" s="270">
        <f t="shared" ref="F28:K28" si="4">MAX(F16:F26)</f>
        <v>9.7402597402597407E-2</v>
      </c>
      <c r="G28" s="17">
        <f t="shared" si="4"/>
        <v>7.6</v>
      </c>
      <c r="H28" s="270">
        <f t="shared" si="4"/>
        <v>0.10423786739576212</v>
      </c>
      <c r="I28" s="17">
        <f t="shared" si="4"/>
        <v>8.65</v>
      </c>
      <c r="J28" s="270">
        <f t="shared" si="4"/>
        <v>0.13670539986329458</v>
      </c>
      <c r="K28" s="270">
        <f t="shared" si="4"/>
        <v>9.459480844036687E-2</v>
      </c>
    </row>
    <row r="29" spans="1:11" ht="16.5">
      <c r="A29" s="13"/>
      <c r="B29" s="13"/>
      <c r="D29" s="15" t="s">
        <v>57</v>
      </c>
      <c r="E29" s="274">
        <f>MIN(E16:E26)</f>
        <v>1.7</v>
      </c>
      <c r="F29" s="271">
        <f t="shared" ref="F29:K29" si="5">MIN(F16:F26)</f>
        <v>4.9497949370668932E-2</v>
      </c>
      <c r="G29" s="274">
        <f t="shared" si="5"/>
        <v>1.8</v>
      </c>
      <c r="H29" s="271">
        <f t="shared" si="5"/>
        <v>5.4406964091403699E-2</v>
      </c>
      <c r="I29" s="274">
        <f t="shared" si="5"/>
        <v>2</v>
      </c>
      <c r="J29" s="271">
        <f t="shared" si="5"/>
        <v>6.2109571336253319E-2</v>
      </c>
      <c r="K29" s="271">
        <f t="shared" si="5"/>
        <v>3.3923876378405458E-2</v>
      </c>
    </row>
    <row r="30" spans="1:11" ht="16.5">
      <c r="A30" s="13"/>
      <c r="B30" s="13"/>
      <c r="D30" s="15" t="s">
        <v>18</v>
      </c>
      <c r="E30" s="18">
        <f t="shared" ref="E30:K30" si="6">MEDIAN(E16:E26)</f>
        <v>3.6</v>
      </c>
      <c r="F30" s="56">
        <f t="shared" si="6"/>
        <v>5.5827307528711186E-2</v>
      </c>
      <c r="G30" s="18">
        <f t="shared" si="6"/>
        <v>4</v>
      </c>
      <c r="H30" s="56">
        <f t="shared" si="6"/>
        <v>5.9549128030625259E-2</v>
      </c>
      <c r="I30" s="18">
        <f t="shared" si="6"/>
        <v>5</v>
      </c>
      <c r="J30" s="56">
        <f t="shared" si="6"/>
        <v>7.3373032752020409E-2</v>
      </c>
      <c r="K30" s="56">
        <f t="shared" si="6"/>
        <v>6.8164670425139615E-2</v>
      </c>
    </row>
    <row r="31" spans="1:11" ht="16.5">
      <c r="A31" s="13"/>
      <c r="B31" s="13"/>
      <c r="D31" s="15" t="s">
        <v>413</v>
      </c>
      <c r="E31" s="22">
        <f t="shared" ref="E31:K31" si="7">AVERAGE(E16:E26)</f>
        <v>3.9272727272727277</v>
      </c>
      <c r="F31" s="58">
        <f t="shared" si="7"/>
        <v>6.1483393933679874E-2</v>
      </c>
      <c r="G31" s="22">
        <f t="shared" si="7"/>
        <v>4.168181818181818</v>
      </c>
      <c r="H31" s="58">
        <f t="shared" si="7"/>
        <v>6.5108948301019223E-2</v>
      </c>
      <c r="I31" s="22">
        <f t="shared" si="7"/>
        <v>5.0136363636363637</v>
      </c>
      <c r="J31" s="58">
        <f t="shared" si="7"/>
        <v>7.8394369827045229E-2</v>
      </c>
      <c r="K31" s="58">
        <f t="shared" si="7"/>
        <v>6.1881268964561635E-2</v>
      </c>
    </row>
    <row r="32" spans="1:11" ht="16.5">
      <c r="A32" s="13"/>
      <c r="B32" s="13"/>
      <c r="D32" s="13"/>
      <c r="E32" s="13"/>
      <c r="F32" s="13"/>
      <c r="G32" s="13"/>
      <c r="H32" s="13"/>
      <c r="I32" s="13"/>
      <c r="J32" s="13"/>
      <c r="K32" s="13"/>
    </row>
    <row r="33" spans="1:11" ht="26.25">
      <c r="A33" s="13"/>
      <c r="B33" s="13"/>
      <c r="C33" s="13"/>
      <c r="D33" s="13"/>
      <c r="E33" s="13"/>
      <c r="F33" s="50" t="s">
        <v>0</v>
      </c>
      <c r="G33" s="65" t="s">
        <v>0</v>
      </c>
      <c r="H33" s="13"/>
      <c r="I33" s="13"/>
      <c r="J33" s="13"/>
      <c r="K33" s="13"/>
    </row>
    <row r="34" spans="1:11" ht="18.75">
      <c r="A34" s="207" t="s">
        <v>272</v>
      </c>
    </row>
  </sheetData>
  <pageMargins left="0.25" right="0.25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5B58CD-E241-4F7D-8D2A-1C12A3135236}"/>
</file>

<file path=customXml/itemProps2.xml><?xml version="1.0" encoding="utf-8"?>
<ds:datastoreItem xmlns:ds="http://schemas.openxmlformats.org/officeDocument/2006/customXml" ds:itemID="{85101216-D7E4-426E-964A-36493A049A4E}"/>
</file>

<file path=customXml/itemProps3.xml><?xml version="1.0" encoding="utf-8"?>
<ds:datastoreItem xmlns:ds="http://schemas.openxmlformats.org/officeDocument/2006/customXml" ds:itemID="{ED65B668-1001-4596-916D-E3CF3E0299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Dividends </vt:lpstr>
      <vt:lpstr>Earnings</vt:lpstr>
      <vt:lpstr>Debt</vt:lpstr>
      <vt:lpstr>Direct GCF</vt:lpstr>
      <vt:lpstr>Direct NOPAT</vt:lpstr>
      <vt:lpstr>CAPM</vt:lpstr>
      <vt:lpstr>Growth &amp; Inflation Rates</vt:lpstr>
      <vt:lpstr>Indicated Yield Equity Rates</vt:lpstr>
      <vt:lpstr>Single Stage Div Growth Model</vt:lpstr>
      <vt:lpstr>Two-Stage Dividend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Rates'!Print_Area</vt:lpstr>
      <vt:lpstr>'Indicated Yield Equity Rates'!Print_Area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Dividend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Natural Gas Utility Distribution</dc:title>
  <dc:creator>%USERNAME%</dc:creator>
  <cp:lastModifiedBy>Sheeks, Ashley (DOR)</cp:lastModifiedBy>
  <cp:lastPrinted>2023-05-30T16:50:43Z</cp:lastPrinted>
  <dcterms:created xsi:type="dcterms:W3CDTF">2016-02-12T19:29:24Z</dcterms:created>
  <dcterms:modified xsi:type="dcterms:W3CDTF">2025-10-01T15:56:29Z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