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06A11A10-3E59-4922-BE57-C4AD428EDB87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34" r:id="rId13"/>
    <sheet name="Growth &amp; Inflation Rates" sheetId="24" r:id="rId14"/>
    <sheet name="Indicated Yield Equity Rate " sheetId="33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CAPM'!$A$1:$H$34</definedName>
    <definedName name="_xlnm.Print_Area" localSheetId="12">CAPM!$A$1:$H$85</definedName>
    <definedName name="_xlnm.Print_Area" localSheetId="0">'Cover Sheet'!$A$1:$I$37</definedName>
    <definedName name="_xlnm.Print_Area" localSheetId="9">Debt!$A$1:$M$58</definedName>
    <definedName name="_xlnm.Print_Area" localSheetId="2">'Direct CapRates'!$A$1:$H$66</definedName>
    <definedName name="_xlnm.Print_Area" localSheetId="10">'Direct GCF'!$A$1:$N$37</definedName>
    <definedName name="_xlnm.Print_Area" localSheetId="11">'Direct NOPAT'!$A$1:$N$56</definedName>
    <definedName name="_xlnm.Print_Area" localSheetId="7">'Dividends '!$A$1:$K$29</definedName>
    <definedName name="_xlnm.Print_Area" localSheetId="8">Earnings!$A$1:$K$29</definedName>
    <definedName name="_xlnm.Print_Area" localSheetId="13">'Growth &amp; Inflation Rates'!$A$1:$I$109</definedName>
    <definedName name="_xlnm.Print_Area" localSheetId="14">'Indicated Yield Equity Rate '!$A$1:$F$54</definedName>
    <definedName name="_xlnm.Print_Area" localSheetId="5">'Maintenance CapEx'!$A$1:$L$74</definedName>
    <definedName name="_xlnm.Print_Area" localSheetId="4">'Market to Book Ratios'!$A$1:$G$56</definedName>
    <definedName name="_xlnm.Print_Area" localSheetId="17">Multiples!$A$1:$J$39</definedName>
    <definedName name="_xlnm.Print_Area" localSheetId="3">'S&amp;D'!$A$1:$L$71</definedName>
    <definedName name="_xlnm.Print_Area" localSheetId="15">'Single Stage Div Growth Model'!$A$1:$K$45</definedName>
    <definedName name="_xlnm.Print_Area" localSheetId="16">'Two-Stage Div Growth Model'!$A$1:$I$43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8" l="1"/>
  <c r="J17" i="8"/>
  <c r="J18" i="8"/>
  <c r="J19" i="8"/>
  <c r="J15" i="8"/>
  <c r="D49" i="33" l="1"/>
  <c r="D56" i="10" l="1"/>
  <c r="H30" i="5"/>
  <c r="G30" i="5"/>
  <c r="D58" i="10"/>
  <c r="D25" i="10"/>
  <c r="I16" i="8"/>
  <c r="I17" i="8"/>
  <c r="I18" i="8"/>
  <c r="I19" i="8"/>
  <c r="I15" i="8"/>
  <c r="E45" i="12" l="1"/>
  <c r="E46" i="12"/>
  <c r="E47" i="12"/>
  <c r="E48" i="12"/>
  <c r="E44" i="12"/>
  <c r="K17" i="12"/>
  <c r="K18" i="12"/>
  <c r="K19" i="12"/>
  <c r="K20" i="12"/>
  <c r="K16" i="12"/>
  <c r="E17" i="12"/>
  <c r="E18" i="12"/>
  <c r="E19" i="12"/>
  <c r="E20" i="12"/>
  <c r="E16" i="12"/>
  <c r="A43" i="34" l="1"/>
  <c r="A42" i="34"/>
  <c r="B46" i="34"/>
  <c r="E16" i="34"/>
  <c r="C24" i="11"/>
  <c r="C23" i="11"/>
  <c r="C22" i="11"/>
  <c r="C21" i="11"/>
  <c r="C20" i="11"/>
  <c r="F21" i="20"/>
  <c r="E54" i="24"/>
  <c r="D54" i="24"/>
  <c r="E53" i="24"/>
  <c r="D53" i="24"/>
  <c r="E52" i="24"/>
  <c r="D52" i="24"/>
  <c r="E51" i="24"/>
  <c r="D51" i="24"/>
  <c r="F50" i="24"/>
  <c r="F48" i="24"/>
  <c r="F47" i="24"/>
  <c r="F46" i="24"/>
  <c r="F45" i="24"/>
  <c r="F44" i="24"/>
  <c r="F43" i="24"/>
  <c r="F42" i="24"/>
  <c r="F54" i="24" l="1"/>
  <c r="F52" i="24"/>
  <c r="F51" i="24"/>
  <c r="F53" i="24"/>
  <c r="H38" i="3"/>
  <c r="H37" i="3"/>
  <c r="E24" i="29"/>
  <c r="G21" i="11" l="1"/>
  <c r="D21" i="11"/>
  <c r="E23" i="29"/>
  <c r="H36" i="3"/>
  <c r="F36" i="3"/>
  <c r="J23" i="3" l="1"/>
  <c r="G20" i="11"/>
  <c r="D20" i="11"/>
  <c r="E22" i="29"/>
  <c r="F35" i="3"/>
  <c r="H35" i="3"/>
  <c r="J22" i="3" l="1"/>
  <c r="E21" i="11" l="1"/>
  <c r="E20" i="11"/>
  <c r="J22" i="8" l="1"/>
  <c r="J21" i="8"/>
  <c r="I22" i="8"/>
  <c r="I21" i="8"/>
  <c r="G22" i="8"/>
  <c r="G21" i="8"/>
  <c r="H25" i="25"/>
  <c r="H24" i="25"/>
  <c r="E25" i="25"/>
  <c r="E24" i="25"/>
  <c r="H23" i="25"/>
  <c r="E23" i="25"/>
  <c r="H22" i="25"/>
  <c r="E22" i="25"/>
  <c r="H23" i="19"/>
  <c r="G23" i="19"/>
  <c r="H22" i="19"/>
  <c r="G22" i="19"/>
  <c r="E51" i="12"/>
  <c r="E50" i="12"/>
  <c r="K23" i="12"/>
  <c r="K22" i="12"/>
  <c r="E23" i="12"/>
  <c r="E22" i="12"/>
  <c r="J24" i="5"/>
  <c r="J23" i="5"/>
  <c r="D24" i="5"/>
  <c r="D23" i="5"/>
  <c r="I23" i="27"/>
  <c r="G23" i="27"/>
  <c r="I22" i="27"/>
  <c r="G22" i="27"/>
  <c r="E23" i="27"/>
  <c r="E22" i="27"/>
  <c r="I23" i="17"/>
  <c r="G23" i="17"/>
  <c r="I22" i="17"/>
  <c r="G22" i="17"/>
  <c r="E23" i="17"/>
  <c r="E22" i="17"/>
  <c r="H24" i="14" l="1"/>
  <c r="H23" i="14"/>
  <c r="A6" i="17" l="1"/>
  <c r="A48" i="34"/>
  <c r="A47" i="34"/>
  <c r="A46" i="34"/>
  <c r="A45" i="34"/>
  <c r="E46" i="34"/>
  <c r="B58" i="34"/>
  <c r="E58" i="34" s="1"/>
  <c r="B48" i="34"/>
  <c r="E48" i="34" s="1"/>
  <c r="B47" i="34"/>
  <c r="E47" i="34" s="1"/>
  <c r="A6" i="25"/>
  <c r="A6" i="20"/>
  <c r="A6" i="19"/>
  <c r="A6" i="34"/>
  <c r="A6" i="33"/>
  <c r="A7" i="24"/>
  <c r="A6" i="12"/>
  <c r="A6" i="5"/>
  <c r="A6" i="8"/>
  <c r="A6" i="27"/>
  <c r="A8" i="14"/>
  <c r="A8" i="11"/>
  <c r="A16" i="6"/>
  <c r="D16" i="7"/>
  <c r="D15" i="10"/>
  <c r="A9" i="29"/>
  <c r="B42" i="34"/>
  <c r="E42" i="34" s="1"/>
  <c r="B43" i="34"/>
  <c r="E43" i="34" s="1"/>
  <c r="D23" i="7"/>
  <c r="D44" i="33"/>
  <c r="D43" i="33"/>
  <c r="D42" i="33"/>
  <c r="D41" i="33"/>
  <c r="C16" i="34"/>
  <c r="C31" i="34" s="1"/>
  <c r="C57" i="34" s="1"/>
  <c r="B55" i="34"/>
  <c r="E55" i="34" s="1"/>
  <c r="B54" i="34"/>
  <c r="E54" i="34" s="1"/>
  <c r="B52" i="34"/>
  <c r="E52" i="34" s="1"/>
  <c r="B50" i="34"/>
  <c r="E50" i="34" s="1"/>
  <c r="B45" i="34"/>
  <c r="E45" i="34" s="1"/>
  <c r="B59" i="34"/>
  <c r="E59" i="34" s="1"/>
  <c r="B57" i="34"/>
  <c r="C20" i="34" l="1"/>
  <c r="C22" i="34"/>
  <c r="C32" i="34"/>
  <c r="C21" i="34"/>
  <c r="D21" i="34" s="1"/>
  <c r="C26" i="34"/>
  <c r="D26" i="34" s="1"/>
  <c r="C33" i="34"/>
  <c r="C59" i="34" s="1"/>
  <c r="C17" i="34"/>
  <c r="C29" i="34"/>
  <c r="D59" i="34" s="1"/>
  <c r="C42" i="34"/>
  <c r="D42" i="34" s="1"/>
  <c r="C28" i="34"/>
  <c r="C19" i="34"/>
  <c r="D16" i="34"/>
  <c r="C24" i="34"/>
  <c r="D57" i="34"/>
  <c r="E57" i="34"/>
  <c r="D31" i="34"/>
  <c r="D20" i="34" l="1"/>
  <c r="C46" i="34"/>
  <c r="D46" i="34" s="1"/>
  <c r="F16" i="34"/>
  <c r="D15" i="33" s="1"/>
  <c r="E33" i="34"/>
  <c r="F59" i="34" s="1"/>
  <c r="G59" i="34" s="1"/>
  <c r="D40" i="33" s="1"/>
  <c r="E21" i="34"/>
  <c r="F47" i="34" s="1"/>
  <c r="E26" i="34"/>
  <c r="F52" i="34" s="1"/>
  <c r="E24" i="34"/>
  <c r="F50" i="34" s="1"/>
  <c r="E32" i="34"/>
  <c r="F58" i="34" s="1"/>
  <c r="E20" i="34"/>
  <c r="E31" i="34"/>
  <c r="F57" i="34" s="1"/>
  <c r="G57" i="34" s="1"/>
  <c r="D38" i="33" s="1"/>
  <c r="E19" i="34"/>
  <c r="E29" i="34"/>
  <c r="F55" i="34" s="1"/>
  <c r="E17" i="34"/>
  <c r="F43" i="34" s="1"/>
  <c r="E28" i="34"/>
  <c r="F54" i="34" s="1"/>
  <c r="E22" i="34"/>
  <c r="F48" i="34" s="1"/>
  <c r="F42" i="34"/>
  <c r="G42" i="34" s="1"/>
  <c r="D28" i="33" s="1"/>
  <c r="F24" i="20"/>
  <c r="F22" i="20"/>
  <c r="F25" i="20"/>
  <c r="F23" i="20"/>
  <c r="D32" i="34"/>
  <c r="C58" i="34"/>
  <c r="D58" i="34" s="1"/>
  <c r="C47" i="34"/>
  <c r="D47" i="34" s="1"/>
  <c r="C48" i="34"/>
  <c r="D48" i="34" s="1"/>
  <c r="D22" i="34"/>
  <c r="C52" i="34"/>
  <c r="D52" i="34" s="1"/>
  <c r="D33" i="34"/>
  <c r="D19" i="34"/>
  <c r="C45" i="34"/>
  <c r="D45" i="34" s="1"/>
  <c r="D29" i="34"/>
  <c r="C55" i="34"/>
  <c r="D55" i="34" s="1"/>
  <c r="D24" i="34"/>
  <c r="C50" i="34"/>
  <c r="D50" i="34" s="1"/>
  <c r="C54" i="34"/>
  <c r="D54" i="34" s="1"/>
  <c r="D28" i="34"/>
  <c r="C43" i="34"/>
  <c r="D43" i="34" s="1"/>
  <c r="D17" i="34"/>
  <c r="F20" i="34" l="1"/>
  <c r="D18" i="33" s="1"/>
  <c r="F46" i="34"/>
  <c r="G50" i="34"/>
  <c r="D34" i="33" s="1"/>
  <c r="F32" i="34"/>
  <c r="D26" i="33" s="1"/>
  <c r="G58" i="34"/>
  <c r="D39" i="33" s="1"/>
  <c r="F24" i="34"/>
  <c r="D21" i="33" s="1"/>
  <c r="G55" i="34"/>
  <c r="D37" i="33" s="1"/>
  <c r="F22" i="34"/>
  <c r="D20" i="33" s="1"/>
  <c r="G48" i="34"/>
  <c r="D33" i="33" s="1"/>
  <c r="F45" i="34"/>
  <c r="G45" i="34" s="1"/>
  <c r="D30" i="33" s="1"/>
  <c r="G46" i="34"/>
  <c r="D31" i="33" s="1"/>
  <c r="F31" i="34"/>
  <c r="D25" i="33" s="1"/>
  <c r="F29" i="34"/>
  <c r="D24" i="33" s="1"/>
  <c r="F17" i="34"/>
  <c r="D16" i="33" s="1"/>
  <c r="G43" i="34"/>
  <c r="D29" i="33" s="1"/>
  <c r="F19" i="34"/>
  <c r="D17" i="33" s="1"/>
  <c r="F21" i="34"/>
  <c r="D19" i="33" s="1"/>
  <c r="F26" i="34"/>
  <c r="D22" i="33" s="1"/>
  <c r="G47" i="34"/>
  <c r="D32" i="33" s="1"/>
  <c r="F33" i="34"/>
  <c r="D27" i="33" s="1"/>
  <c r="F28" i="34"/>
  <c r="D23" i="33" s="1"/>
  <c r="G54" i="34"/>
  <c r="D36" i="33" s="1"/>
  <c r="G52" i="34"/>
  <c r="D35" i="33" s="1"/>
  <c r="D46" i="33" l="1"/>
  <c r="D47" i="33"/>
  <c r="D48" i="33"/>
  <c r="F26" i="3" l="1"/>
  <c r="F25" i="3"/>
  <c r="F24" i="3"/>
  <c r="F23" i="3"/>
  <c r="F22" i="3"/>
  <c r="E21" i="20"/>
  <c r="A44" i="12" l="1"/>
  <c r="C44" i="12"/>
  <c r="D44" i="12"/>
  <c r="A45" i="12"/>
  <c r="C45" i="12"/>
  <c r="D45" i="12"/>
  <c r="A46" i="12"/>
  <c r="C46" i="12"/>
  <c r="D46" i="12"/>
  <c r="A47" i="12"/>
  <c r="C47" i="12"/>
  <c r="D47" i="12"/>
  <c r="A48" i="12"/>
  <c r="C48" i="12"/>
  <c r="D48" i="12"/>
  <c r="E52" i="12" l="1"/>
  <c r="F48" i="12"/>
  <c r="G48" i="12" s="1"/>
  <c r="F47" i="12"/>
  <c r="G47" i="12" s="1"/>
  <c r="F46" i="12"/>
  <c r="G46" i="12" s="1"/>
  <c r="F45" i="12"/>
  <c r="G45" i="12" s="1"/>
  <c r="F44" i="12"/>
  <c r="E53" i="12"/>
  <c r="F50" i="12" l="1"/>
  <c r="F51" i="12"/>
  <c r="F53" i="12"/>
  <c r="F52" i="12"/>
  <c r="G44" i="12"/>
  <c r="G52" i="12" l="1"/>
  <c r="G50" i="12"/>
  <c r="G51" i="12"/>
  <c r="G53" i="12"/>
  <c r="D39" i="3" l="1"/>
  <c r="D20" i="25"/>
  <c r="C20" i="25"/>
  <c r="B20" i="25"/>
  <c r="D19" i="25"/>
  <c r="C19" i="25"/>
  <c r="B19" i="25"/>
  <c r="D18" i="25"/>
  <c r="C18" i="25"/>
  <c r="B18" i="25"/>
  <c r="D17" i="25"/>
  <c r="C17" i="25"/>
  <c r="B17" i="25"/>
  <c r="E25" i="20"/>
  <c r="C25" i="20"/>
  <c r="B25" i="20"/>
  <c r="A25" i="20"/>
  <c r="E24" i="20"/>
  <c r="C24" i="20"/>
  <c r="B24" i="20"/>
  <c r="A24" i="20"/>
  <c r="E23" i="20"/>
  <c r="C23" i="20"/>
  <c r="B23" i="20"/>
  <c r="A23" i="20"/>
  <c r="E22" i="20"/>
  <c r="C22" i="20"/>
  <c r="B22" i="20"/>
  <c r="A22" i="20"/>
  <c r="D21" i="19"/>
  <c r="C21" i="19"/>
  <c r="B21" i="19"/>
  <c r="A21" i="19"/>
  <c r="D20" i="19"/>
  <c r="C20" i="19"/>
  <c r="B20" i="19"/>
  <c r="A20" i="19"/>
  <c r="D19" i="19"/>
  <c r="C19" i="19"/>
  <c r="B19" i="19"/>
  <c r="A19" i="19"/>
  <c r="D18" i="19"/>
  <c r="C18" i="19"/>
  <c r="B18" i="19"/>
  <c r="A18" i="19"/>
  <c r="D20" i="12"/>
  <c r="J20" i="12" s="1"/>
  <c r="L20" i="12" s="1"/>
  <c r="M20" i="12" s="1"/>
  <c r="C20" i="12"/>
  <c r="I20" i="12" s="1"/>
  <c r="A20" i="12"/>
  <c r="D19" i="12"/>
  <c r="J19" i="12" s="1"/>
  <c r="L19" i="12" s="1"/>
  <c r="M19" i="12" s="1"/>
  <c r="C19" i="12"/>
  <c r="I19" i="12" s="1"/>
  <c r="A19" i="12"/>
  <c r="D18" i="12"/>
  <c r="F18" i="12" s="1"/>
  <c r="G18" i="12" s="1"/>
  <c r="C18" i="12"/>
  <c r="I18" i="12" s="1"/>
  <c r="A18" i="12"/>
  <c r="D17" i="12"/>
  <c r="J17" i="12" s="1"/>
  <c r="L17" i="12" s="1"/>
  <c r="M17" i="12" s="1"/>
  <c r="C17" i="12"/>
  <c r="I17" i="12" s="1"/>
  <c r="A17" i="12"/>
  <c r="C21" i="5"/>
  <c r="E21" i="5" s="1"/>
  <c r="F21" i="5" s="1"/>
  <c r="B21" i="5"/>
  <c r="H21" i="5" s="1"/>
  <c r="A21" i="5"/>
  <c r="C20" i="5"/>
  <c r="I20" i="5" s="1"/>
  <c r="L20" i="5" s="1"/>
  <c r="M20" i="5" s="1"/>
  <c r="B20" i="5"/>
  <c r="H20" i="5" s="1"/>
  <c r="A20" i="5"/>
  <c r="C19" i="5"/>
  <c r="I19" i="5" s="1"/>
  <c r="L19" i="5" s="1"/>
  <c r="M19" i="5" s="1"/>
  <c r="B19" i="5"/>
  <c r="H19" i="5" s="1"/>
  <c r="A19" i="5"/>
  <c r="C18" i="5"/>
  <c r="E18" i="5" s="1"/>
  <c r="F18" i="5" s="1"/>
  <c r="B18" i="5"/>
  <c r="H18" i="5" s="1"/>
  <c r="A18" i="5"/>
  <c r="E19" i="8"/>
  <c r="D19" i="8"/>
  <c r="C19" i="8"/>
  <c r="B19" i="8"/>
  <c r="A19" i="8"/>
  <c r="E18" i="8"/>
  <c r="D18" i="8"/>
  <c r="C18" i="8"/>
  <c r="B18" i="8"/>
  <c r="A18" i="8"/>
  <c r="E17" i="8"/>
  <c r="D17" i="8"/>
  <c r="C17" i="8"/>
  <c r="B17" i="8"/>
  <c r="A17" i="8"/>
  <c r="E16" i="8"/>
  <c r="D16" i="8"/>
  <c r="C16" i="8"/>
  <c r="B16" i="8"/>
  <c r="A16" i="8"/>
  <c r="K20" i="27"/>
  <c r="D20" i="27"/>
  <c r="J20" i="27" s="1"/>
  <c r="C20" i="27"/>
  <c r="B20" i="27"/>
  <c r="A20" i="27"/>
  <c r="K19" i="27"/>
  <c r="D19" i="27"/>
  <c r="J19" i="27" s="1"/>
  <c r="C19" i="27"/>
  <c r="B19" i="27"/>
  <c r="A19" i="27"/>
  <c r="K18" i="27"/>
  <c r="D18" i="27"/>
  <c r="J18" i="27" s="1"/>
  <c r="C18" i="27"/>
  <c r="B18" i="27"/>
  <c r="A18" i="27"/>
  <c r="K17" i="27"/>
  <c r="D17" i="27"/>
  <c r="J17" i="27" s="1"/>
  <c r="C17" i="27"/>
  <c r="B17" i="27"/>
  <c r="A17" i="27"/>
  <c r="K20" i="17"/>
  <c r="D20" i="17"/>
  <c r="J20" i="17" s="1"/>
  <c r="C20" i="17"/>
  <c r="B20" i="17"/>
  <c r="A20" i="17"/>
  <c r="K19" i="17"/>
  <c r="D19" i="17"/>
  <c r="J19" i="17" s="1"/>
  <c r="C19" i="17"/>
  <c r="B19" i="17"/>
  <c r="A19" i="17"/>
  <c r="K18" i="17"/>
  <c r="D18" i="17"/>
  <c r="J18" i="17" s="1"/>
  <c r="C18" i="17"/>
  <c r="B18" i="17"/>
  <c r="A18" i="17"/>
  <c r="K17" i="17"/>
  <c r="D17" i="17"/>
  <c r="J17" i="17" s="1"/>
  <c r="C17" i="17"/>
  <c r="B17" i="17"/>
  <c r="A17" i="17"/>
  <c r="C22" i="14"/>
  <c r="B22" i="14"/>
  <c r="A22" i="14"/>
  <c r="C21" i="14"/>
  <c r="B21" i="14"/>
  <c r="A21" i="14"/>
  <c r="C20" i="14"/>
  <c r="B20" i="14"/>
  <c r="A20" i="14"/>
  <c r="C19" i="14"/>
  <c r="B19" i="14"/>
  <c r="A19" i="14"/>
  <c r="F24" i="11"/>
  <c r="H24" i="11" s="1"/>
  <c r="B24" i="11"/>
  <c r="A24" i="11"/>
  <c r="F23" i="11"/>
  <c r="H23" i="11" s="1"/>
  <c r="J23" i="11" s="1"/>
  <c r="B23" i="11"/>
  <c r="A23" i="11"/>
  <c r="F22" i="11"/>
  <c r="H22" i="11" s="1"/>
  <c r="B22" i="11"/>
  <c r="A22" i="11"/>
  <c r="F21" i="11"/>
  <c r="H21" i="11" s="1"/>
  <c r="B21" i="11"/>
  <c r="A21" i="11"/>
  <c r="C26" i="29"/>
  <c r="C42" i="29" s="1"/>
  <c r="B26" i="29"/>
  <c r="B42" i="29" s="1"/>
  <c r="A26" i="29"/>
  <c r="A42" i="29" s="1"/>
  <c r="C25" i="29"/>
  <c r="C41" i="29" s="1"/>
  <c r="B25" i="29"/>
  <c r="B41" i="29" s="1"/>
  <c r="A25" i="29"/>
  <c r="A41" i="29" s="1"/>
  <c r="C24" i="29"/>
  <c r="C40" i="29" s="1"/>
  <c r="B24" i="29"/>
  <c r="B40" i="29" s="1"/>
  <c r="A24" i="29"/>
  <c r="A40" i="29" s="1"/>
  <c r="C23" i="29"/>
  <c r="C39" i="29" s="1"/>
  <c r="B23" i="29"/>
  <c r="B39" i="29" s="1"/>
  <c r="A23" i="29"/>
  <c r="A39" i="29" s="1"/>
  <c r="E39" i="3"/>
  <c r="E38" i="3"/>
  <c r="D38" i="3"/>
  <c r="E37" i="3"/>
  <c r="D37" i="3"/>
  <c r="E36" i="3"/>
  <c r="D36" i="3"/>
  <c r="I36" i="3" s="1"/>
  <c r="K36" i="3" s="1"/>
  <c r="E41" i="29"/>
  <c r="E40" i="29"/>
  <c r="C39" i="3"/>
  <c r="B39" i="3"/>
  <c r="A39" i="3"/>
  <c r="C38" i="3"/>
  <c r="B38" i="3"/>
  <c r="A38" i="3"/>
  <c r="C37" i="3"/>
  <c r="B37" i="3"/>
  <c r="A37" i="3"/>
  <c r="C36" i="3"/>
  <c r="B36" i="3"/>
  <c r="A36" i="3"/>
  <c r="E19" i="19" l="1"/>
  <c r="I37" i="3"/>
  <c r="K37" i="3" s="1"/>
  <c r="E20" i="19"/>
  <c r="I38" i="3"/>
  <c r="K38" i="3" s="1"/>
  <c r="I39" i="3"/>
  <c r="K39" i="3" s="1"/>
  <c r="F18" i="25"/>
  <c r="G18" i="25" s="1"/>
  <c r="I18" i="25"/>
  <c r="J18" i="25" s="1"/>
  <c r="F17" i="25"/>
  <c r="G17" i="25" s="1"/>
  <c r="I17" i="25"/>
  <c r="J17" i="25" s="1"/>
  <c r="F20" i="25"/>
  <c r="G20" i="25" s="1"/>
  <c r="I20" i="25"/>
  <c r="J20" i="25" s="1"/>
  <c r="F19" i="25"/>
  <c r="G19" i="25" s="1"/>
  <c r="I19" i="25"/>
  <c r="J19" i="25" s="1"/>
  <c r="J24" i="11"/>
  <c r="I23" i="11"/>
  <c r="K23" i="11" s="1"/>
  <c r="L23" i="11" s="1"/>
  <c r="I21" i="11"/>
  <c r="F19" i="17"/>
  <c r="E42" i="29"/>
  <c r="D39" i="29"/>
  <c r="F20" i="27"/>
  <c r="F18" i="17"/>
  <c r="F20" i="17"/>
  <c r="F18" i="27"/>
  <c r="E39" i="29"/>
  <c r="F19" i="12"/>
  <c r="G19" i="12" s="1"/>
  <c r="E19" i="5"/>
  <c r="F19" i="5" s="1"/>
  <c r="F17" i="27"/>
  <c r="F19" i="27"/>
  <c r="E20" i="5"/>
  <c r="F20" i="5" s="1"/>
  <c r="F17" i="17"/>
  <c r="F17" i="12"/>
  <c r="G17" i="12" s="1"/>
  <c r="E21" i="19"/>
  <c r="D26" i="29"/>
  <c r="F26" i="29" s="1"/>
  <c r="D23" i="29"/>
  <c r="F23" i="29" s="1"/>
  <c r="D24" i="29"/>
  <c r="F24" i="29" s="1"/>
  <c r="D25" i="29"/>
  <c r="F25" i="29" s="1"/>
  <c r="E18" i="19"/>
  <c r="F20" i="12"/>
  <c r="G20" i="12" s="1"/>
  <c r="J18" i="12"/>
  <c r="L18" i="12" s="1"/>
  <c r="M18" i="12" s="1"/>
  <c r="I21" i="5"/>
  <c r="L21" i="5" s="1"/>
  <c r="M21" i="5" s="1"/>
  <c r="I18" i="5"/>
  <c r="L18" i="5" s="1"/>
  <c r="M18" i="5" s="1"/>
  <c r="H17" i="27"/>
  <c r="H18" i="27"/>
  <c r="H19" i="27"/>
  <c r="H20" i="27"/>
  <c r="H17" i="17"/>
  <c r="H18" i="17"/>
  <c r="H19" i="17"/>
  <c r="H20" i="17"/>
  <c r="J21" i="11"/>
  <c r="I22" i="11"/>
  <c r="I24" i="11"/>
  <c r="J22" i="11"/>
  <c r="J36" i="3"/>
  <c r="J38" i="3" l="1"/>
  <c r="J39" i="3"/>
  <c r="D23" i="20"/>
  <c r="F19" i="19"/>
  <c r="J19" i="19" s="1"/>
  <c r="F18" i="19"/>
  <c r="D22" i="20"/>
  <c r="F21" i="19"/>
  <c r="J21" i="19" s="1"/>
  <c r="D25" i="20"/>
  <c r="D24" i="20"/>
  <c r="F20" i="19"/>
  <c r="J20" i="19" s="1"/>
  <c r="K24" i="11"/>
  <c r="L24" i="11" s="1"/>
  <c r="K21" i="11"/>
  <c r="L21" i="11" s="1"/>
  <c r="K22" i="11"/>
  <c r="L22" i="11" s="1"/>
  <c r="D41" i="29"/>
  <c r="F41" i="29" s="1"/>
  <c r="D40" i="29"/>
  <c r="F40" i="29" s="1"/>
  <c r="D42" i="29"/>
  <c r="F42" i="29" s="1"/>
  <c r="F39" i="29"/>
  <c r="I21" i="19" l="1"/>
  <c r="I19" i="19"/>
  <c r="I20" i="19"/>
  <c r="J37" i="3"/>
  <c r="J18" i="19"/>
  <c r="I18" i="19"/>
  <c r="G24" i="8"/>
  <c r="G23" i="8"/>
  <c r="A20" i="11" l="1"/>
  <c r="C21" i="20" l="1"/>
  <c r="B21" i="20"/>
  <c r="A21" i="20"/>
  <c r="C17" i="19"/>
  <c r="B17" i="19"/>
  <c r="A17" i="19"/>
  <c r="C16" i="12"/>
  <c r="I16" i="12" s="1"/>
  <c r="A16" i="12"/>
  <c r="B17" i="5"/>
  <c r="H17" i="5" s="1"/>
  <c r="A17" i="5"/>
  <c r="D15" i="8"/>
  <c r="C16" i="25" l="1"/>
  <c r="B16" i="25"/>
  <c r="C15" i="8"/>
  <c r="B15" i="8"/>
  <c r="A15" i="8"/>
  <c r="C16" i="27"/>
  <c r="B16" i="27"/>
  <c r="A16" i="27"/>
  <c r="C16" i="17"/>
  <c r="B16" i="17"/>
  <c r="A16" i="17"/>
  <c r="C18" i="14" l="1"/>
  <c r="B18" i="14"/>
  <c r="A18" i="14"/>
  <c r="B20" i="11" l="1"/>
  <c r="C22" i="29"/>
  <c r="C38" i="29" s="1"/>
  <c r="B22" i="29"/>
  <c r="B38" i="29" s="1"/>
  <c r="A22" i="29"/>
  <c r="A38" i="29" s="1"/>
  <c r="G64" i="10" l="1"/>
  <c r="K16" i="17"/>
  <c r="B51" i="29"/>
  <c r="I25" i="27"/>
  <c r="G25" i="27"/>
  <c r="E25" i="27"/>
  <c r="I24" i="27"/>
  <c r="G24" i="27"/>
  <c r="E24" i="27"/>
  <c r="K16" i="27"/>
  <c r="D16" i="27"/>
  <c r="J16" i="27" s="1"/>
  <c r="K23" i="27" l="1"/>
  <c r="K22" i="27"/>
  <c r="K23" i="17"/>
  <c r="K22" i="17"/>
  <c r="J22" i="27"/>
  <c r="J23" i="27"/>
  <c r="A15" i="24"/>
  <c r="G22" i="20"/>
  <c r="H22" i="20" s="1"/>
  <c r="G24" i="20"/>
  <c r="H24" i="20" s="1"/>
  <c r="G23" i="20"/>
  <c r="H23" i="20" s="1"/>
  <c r="G25" i="20"/>
  <c r="H25" i="20" s="1"/>
  <c r="D48" i="10"/>
  <c r="K25" i="27"/>
  <c r="K24" i="27"/>
  <c r="F16" i="27"/>
  <c r="H16" i="27"/>
  <c r="K24" i="17"/>
  <c r="K25" i="17"/>
  <c r="G15" i="24" l="1"/>
  <c r="G16" i="24"/>
  <c r="F15" i="24"/>
  <c r="F16" i="24"/>
  <c r="H22" i="27"/>
  <c r="H23" i="27"/>
  <c r="F23" i="27"/>
  <c r="F22" i="27"/>
  <c r="J25" i="27"/>
  <c r="J24" i="27"/>
  <c r="F25" i="27"/>
  <c r="F24" i="27"/>
  <c r="H25" i="27"/>
  <c r="H24" i="27"/>
  <c r="I25" i="17" l="1"/>
  <c r="I24" i="17"/>
  <c r="G31" i="10" l="1"/>
  <c r="D16" i="25"/>
  <c r="I16" i="25" s="1"/>
  <c r="J16" i="25" l="1"/>
  <c r="J24" i="25" s="1"/>
  <c r="I22" i="25"/>
  <c r="I23" i="25"/>
  <c r="J25" i="25"/>
  <c r="I25" i="25"/>
  <c r="I24" i="25"/>
  <c r="G21" i="20"/>
  <c r="F16" i="25"/>
  <c r="H25" i="19"/>
  <c r="G25" i="19"/>
  <c r="H24" i="19"/>
  <c r="G24" i="19"/>
  <c r="D17" i="19"/>
  <c r="G25" i="17"/>
  <c r="G24" i="17"/>
  <c r="D16" i="17"/>
  <c r="J16" i="17" s="1"/>
  <c r="E25" i="17"/>
  <c r="E24" i="17"/>
  <c r="H26" i="14"/>
  <c r="H25" i="14"/>
  <c r="I24" i="8"/>
  <c r="I23" i="8"/>
  <c r="F20" i="11"/>
  <c r="H20" i="11" s="1"/>
  <c r="E15" i="8"/>
  <c r="C17" i="5"/>
  <c r="I17" i="5" s="1"/>
  <c r="L17" i="5" s="1"/>
  <c r="J31" i="12"/>
  <c r="D23" i="10" s="1"/>
  <c r="I31" i="12"/>
  <c r="K25" i="12"/>
  <c r="E25" i="12"/>
  <c r="K24" i="12"/>
  <c r="E24" i="12"/>
  <c r="D16" i="12"/>
  <c r="J16" i="12" s="1"/>
  <c r="L24" i="5" l="1"/>
  <c r="L23" i="5"/>
  <c r="J22" i="17"/>
  <c r="J23" i="17"/>
  <c r="G16" i="25"/>
  <c r="G25" i="25" s="1"/>
  <c r="F22" i="25"/>
  <c r="F23" i="25"/>
  <c r="J22" i="25"/>
  <c r="J23" i="25"/>
  <c r="J25" i="17"/>
  <c r="J24" i="17"/>
  <c r="L16" i="12"/>
  <c r="H16" i="17"/>
  <c r="F16" i="17"/>
  <c r="F25" i="25"/>
  <c r="F24" i="25"/>
  <c r="F16" i="12"/>
  <c r="F22" i="17" l="1"/>
  <c r="F23" i="17"/>
  <c r="H22" i="17"/>
  <c r="H23" i="17"/>
  <c r="G24" i="25"/>
  <c r="L23" i="12"/>
  <c r="L22" i="12"/>
  <c r="G22" i="25"/>
  <c r="G23" i="25"/>
  <c r="G16" i="12"/>
  <c r="G25" i="12" s="1"/>
  <c r="F23" i="12"/>
  <c r="F22" i="12"/>
  <c r="F17" i="19"/>
  <c r="D21" i="20"/>
  <c r="H21" i="20" s="1"/>
  <c r="F24" i="17"/>
  <c r="F25" i="17"/>
  <c r="H24" i="17"/>
  <c r="H25" i="17"/>
  <c r="G24" i="12"/>
  <c r="F25" i="12"/>
  <c r="F24" i="12"/>
  <c r="M16" i="12"/>
  <c r="F23" i="19" l="1"/>
  <c r="F22" i="19"/>
  <c r="M23" i="12"/>
  <c r="M22" i="12"/>
  <c r="G23" i="12"/>
  <c r="G22" i="12"/>
  <c r="H27" i="20"/>
  <c r="H26" i="20"/>
  <c r="H29" i="20"/>
  <c r="H28" i="20"/>
  <c r="L25" i="12"/>
  <c r="L24" i="12"/>
  <c r="J17" i="19"/>
  <c r="F25" i="19"/>
  <c r="F24" i="19"/>
  <c r="I17" i="19"/>
  <c r="M25" i="12"/>
  <c r="M24" i="12"/>
  <c r="J23" i="19" l="1"/>
  <c r="J22" i="19"/>
  <c r="I23" i="19"/>
  <c r="I22" i="19"/>
  <c r="J25" i="19"/>
  <c r="J24" i="19"/>
  <c r="I25" i="19"/>
  <c r="I24" i="19"/>
  <c r="J26" i="5"/>
  <c r="J25" i="5"/>
  <c r="J20" i="11"/>
  <c r="I20" i="11"/>
  <c r="C58" i="10"/>
  <c r="C56" i="10"/>
  <c r="F58" i="10"/>
  <c r="F25" i="10"/>
  <c r="C25" i="10"/>
  <c r="F23" i="10"/>
  <c r="C23" i="10"/>
  <c r="K20" i="11" l="1"/>
  <c r="L20" i="11" s="1"/>
  <c r="G25" i="10"/>
  <c r="C27" i="10"/>
  <c r="C60" i="10"/>
  <c r="G23" i="10"/>
  <c r="G58" i="10"/>
  <c r="L26" i="11" l="1"/>
  <c r="L27" i="11"/>
  <c r="D38" i="29"/>
  <c r="E38" i="29"/>
  <c r="L28" i="11"/>
  <c r="L29" i="11"/>
  <c r="G27" i="10"/>
  <c r="F38" i="29" l="1"/>
  <c r="M17" i="5"/>
  <c r="L25" i="5"/>
  <c r="L26" i="5"/>
  <c r="M24" i="5" l="1"/>
  <c r="M23" i="5"/>
  <c r="F43" i="29"/>
  <c r="D51" i="29" s="1"/>
  <c r="M26" i="5"/>
  <c r="M25" i="5"/>
  <c r="E17" i="5" l="1"/>
  <c r="E23" i="5" l="1"/>
  <c r="E24" i="5"/>
  <c r="C23" i="7"/>
  <c r="C50" i="29" s="1"/>
  <c r="C25" i="7"/>
  <c r="C51" i="29" s="1"/>
  <c r="E51" i="29" s="1"/>
  <c r="D25" i="7" l="1"/>
  <c r="J23" i="8" l="1"/>
  <c r="J24" i="8" l="1"/>
  <c r="D35" i="3" l="1"/>
  <c r="E17" i="19" l="1"/>
  <c r="D22" i="29"/>
  <c r="F22" i="29" s="1"/>
  <c r="F27" i="29" s="1"/>
  <c r="D50" i="29" s="1"/>
  <c r="E50" i="29" s="1"/>
  <c r="E52" i="29" s="1"/>
  <c r="D26" i="5" l="1"/>
  <c r="D25" i="5"/>
  <c r="E35" i="3" l="1"/>
  <c r="I35" i="3" l="1"/>
  <c r="K35" i="3" s="1"/>
  <c r="J35" i="3" l="1"/>
  <c r="K41" i="3"/>
  <c r="K42" i="3"/>
  <c r="K44" i="3"/>
  <c r="J43" i="3"/>
  <c r="J41" i="3"/>
  <c r="J42" i="3"/>
  <c r="C35" i="3"/>
  <c r="B35" i="3" l="1"/>
  <c r="A35" i="3"/>
  <c r="E25" i="5" l="1"/>
  <c r="K43" i="3"/>
  <c r="E26" i="5"/>
  <c r="J44" i="3"/>
  <c r="F17" i="5"/>
  <c r="F25" i="5" l="1"/>
  <c r="F23" i="5"/>
  <c r="F24" i="5"/>
  <c r="F23" i="7"/>
  <c r="G23" i="7" s="1"/>
  <c r="F26" i="5"/>
  <c r="C27" i="7"/>
  <c r="F25" i="7"/>
  <c r="G25" i="7" s="1"/>
  <c r="F56" i="10" l="1"/>
  <c r="G56" i="10" s="1"/>
  <c r="G60" i="10" s="1"/>
  <c r="G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  <author>rev4287</author>
    <author>Baker, Mike A (DOR)</author>
    <author>rev4175</author>
    <author>rev3857</author>
  </authors>
  <commentList>
    <comment ref="J18" authorId="0" shapeId="0" xr:uid="{972DA2FB-7A83-4A04-9691-7A22BCBED2A1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H22" authorId="1" shapeId="0" xr:uid="{B4A28626-1652-4FB8-9EB9-E535E8F69B6C}">
      <text>
        <r>
          <rPr>
            <b/>
            <sz val="9"/>
            <color indexed="81"/>
            <rFont val="Tahoma"/>
            <family val="2"/>
          </rPr>
          <t>rev4287:</t>
        </r>
        <r>
          <rPr>
            <sz val="9"/>
            <color indexed="81"/>
            <rFont val="Tahoma"/>
            <family val="2"/>
          </rPr>
          <t xml:space="preserve">
Page 2 of 40-F</t>
        </r>
      </text>
    </comment>
    <comment ref="J22" authorId="2" shapeId="0" xr:uid="{FBE6CA57-1AFA-497C-A7DF-31F36E620913}">
      <text>
        <r>
          <rPr>
            <b/>
            <sz val="9"/>
            <color indexed="81"/>
            <rFont val="Tahoma"/>
            <family val="2"/>
          </rPr>
          <t>Justus, Elizabeth (DOR):</t>
        </r>
        <r>
          <rPr>
            <sz val="9"/>
            <color indexed="81"/>
            <rFont val="Tahoma"/>
            <family val="2"/>
          </rPr>
          <t>Page 7 of pdf annual financial statements</t>
        </r>
      </text>
    </comment>
    <comment ref="H23" authorId="1" shapeId="0" xr:uid="{67109EC3-A6F0-47FE-BBCB-763595EEFCB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Page 70 of pdf of 10-K</t>
        </r>
      </text>
    </comment>
    <comment ref="J23" authorId="1" shapeId="0" xr:uid="{8A7EB733-9536-44AD-AF69-996269ABE18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Page 73 of pdf of 10-K</t>
        </r>
      </text>
    </comment>
    <comment ref="H24" authorId="1" shapeId="0" xr:uid="{C545E967-A4AC-4260-A82A-069E3DD90599}">
      <text>
        <r>
          <rPr>
            <b/>
            <sz val="9"/>
            <color indexed="81"/>
            <rFont val="Tahoma"/>
            <family val="2"/>
          </rPr>
          <t>rev4175
10K page 65 of pdf</t>
        </r>
      </text>
    </comment>
    <comment ref="I24" authorId="1" shapeId="0" xr:uid="{005EB66D-1543-4D35-867F-98D440F0F2BB}">
      <text>
        <r>
          <rPr>
            <b/>
            <sz val="9"/>
            <color indexed="81"/>
            <rFont val="Tahoma"/>
            <family val="2"/>
          </rPr>
          <t>rev4175
10K page 65 of pdf</t>
        </r>
      </text>
    </comment>
    <comment ref="J24" authorId="2" shapeId="0" xr:uid="{0A1DB4DD-C5D8-4C7E-AD04-820ABB6CFAE8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10K page 96 of pdf
</t>
        </r>
      </text>
    </comment>
    <comment ref="H25" authorId="1" shapeId="0" xr:uid="{D5ADE54E-D721-434B-87FF-32D488A5E949}">
      <text>
        <r>
          <rPr>
            <b/>
            <sz val="9"/>
            <color indexed="81"/>
            <rFont val="Tahoma"/>
            <family val="2"/>
          </rPr>
          <t>rev4175</t>
        </r>
        <r>
          <rPr>
            <sz val="9"/>
            <color indexed="81"/>
            <rFont val="Tahoma"/>
            <family val="2"/>
          </rPr>
          <t xml:space="preserve">
Page 48 of pdf</t>
        </r>
      </text>
    </comment>
    <comment ref="J25" authorId="2" shapeId="0" xr:uid="{CA669990-4E17-457D-9DE4-3BC04DEB5E20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See 10K page 64 of pdf</t>
        </r>
      </text>
    </comment>
    <comment ref="H26" authorId="2" shapeId="0" xr:uid="{82FDFEC0-2F35-4E95-A1F2-7A7CC05E77BE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See 10K page 42 of pdf
</t>
        </r>
      </text>
    </comment>
    <comment ref="J26" authorId="3" shapeId="0" xr:uid="{C5479F24-7283-4C31-AD27-4D53C3BF15F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64 of pdf</t>
        </r>
      </text>
    </comment>
    <comment ref="F31" authorId="0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G31" authorId="0" shapeId="0" xr:uid="{DCA2A619-CEA3-4008-A38D-031363BDDC2B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35" authorId="2" shapeId="0" xr:uid="{5D3A7E9E-31FD-48DE-A814-52821D26E9B2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Page 26 OF PDF ANNUAL Financial statements</t>
        </r>
      </text>
    </comment>
    <comment ref="H35" authorId="4" shapeId="0" xr:uid="{32758C80-C783-4890-9BF5-A04AE5CA4564}">
      <text>
        <r>
          <rPr>
            <sz val="9"/>
            <color indexed="81"/>
            <rFont val="Tahoma"/>
            <family val="2"/>
          </rPr>
          <t>CN Financial statements pae 51 of pdf</t>
        </r>
      </text>
    </comment>
    <comment ref="F36" authorId="3" shapeId="0" xr:uid="{5CE8F03B-9088-4DBD-BDBE-CDCD9AC05ED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100 of pdf</t>
        </r>
      </text>
    </comment>
    <comment ref="H36" authorId="4" shapeId="0" xr:uid="{C67C4F7B-0191-4B81-B05E-7AAF2C5A5112}">
      <text>
        <r>
          <rPr>
            <sz val="9"/>
            <color indexed="81"/>
            <rFont val="Tahoma"/>
            <family val="2"/>
          </rPr>
          <t>Rev4175
10K page 97 of pdf</t>
        </r>
      </text>
    </comment>
    <comment ref="F37" authorId="2" shapeId="0" xr:uid="{1D90F27A-A7F2-471D-AF0F-0A07FE12A269}">
      <text>
        <r>
          <rPr>
            <b/>
            <sz val="9"/>
            <color indexed="81"/>
            <rFont val="Tahoma"/>
            <family val="2"/>
          </rPr>
          <t>Rev 4175(DOR):</t>
        </r>
        <r>
          <rPr>
            <sz val="9"/>
            <color indexed="81"/>
            <rFont val="Tahoma"/>
            <family val="2"/>
          </rPr>
          <t xml:space="preserve">
10K page 83 of pdf</t>
        </r>
      </text>
    </comment>
    <comment ref="H37" authorId="4" shapeId="0" xr:uid="{118A4245-1E4E-4489-9842-381063F6BE3C}">
      <text>
        <r>
          <rPr>
            <sz val="9"/>
            <color indexed="81"/>
            <rFont val="Tahoma"/>
            <family val="2"/>
          </rPr>
          <t>Page 107 of PDF, 10-K</t>
        </r>
      </text>
    </comment>
    <comment ref="F38" authorId="2" shapeId="0" xr:uid="{514262DD-9C63-49F2-975A-5F701A02C8C0}">
      <text>
        <r>
          <rPr>
            <b/>
            <sz val="9"/>
            <color indexed="81"/>
            <rFont val="Tahoma"/>
            <family val="2"/>
          </rPr>
          <t xml:space="preserve">Rev4175
10K Pgee 66 of pdf
</t>
        </r>
      </text>
    </comment>
    <comment ref="H38" authorId="4" shapeId="0" xr:uid="{24D5EDAA-506C-4DDE-B87B-860D8404FE6B}">
      <text>
        <r>
          <rPr>
            <sz val="9"/>
            <color indexed="81"/>
            <rFont val="Tahoma"/>
            <family val="2"/>
          </rPr>
          <t xml:space="preserve">See 10K page 56 of pdf
</t>
        </r>
      </text>
    </comment>
    <comment ref="F39" authorId="2" shapeId="0" xr:uid="{F024C223-BA72-4628-B239-44116A7A227B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66 of pdf
</t>
        </r>
      </text>
    </comment>
    <comment ref="H39" authorId="4" shapeId="0" xr:uid="{37C35D04-F59E-4873-B94D-D4BB678FFCAA}">
      <text>
        <r>
          <rPr>
            <sz val="9"/>
            <color indexed="81"/>
            <rFont val="Tahoma"/>
            <family val="2"/>
          </rPr>
          <t xml:space="preserve">10K page 63 of pdf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</authors>
  <commentList>
    <comment ref="E22" authorId="0" shapeId="0" xr:uid="{2F0FDA52-CB6F-4CD4-BF4C-4F5BF41A4A77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CN Financial Statements page 8 of pdf</t>
        </r>
      </text>
    </comment>
    <comment ref="E23" authorId="0" shapeId="0" xr:uid="{3944DC1D-226A-455A-BA5B-6EB06081F58F}">
      <text>
        <r>
          <rPr>
            <b/>
            <sz val="9"/>
            <color indexed="81"/>
            <rFont val="Tahoma"/>
            <family val="2"/>
          </rPr>
          <t>Rev 4175(DOR):</t>
        </r>
        <r>
          <rPr>
            <sz val="9"/>
            <color indexed="81"/>
            <rFont val="Tahoma"/>
            <family val="2"/>
          </rPr>
          <t xml:space="preserve">
See 10K page 74 of pdf</t>
        </r>
      </text>
    </comment>
    <comment ref="E24" authorId="0" shapeId="0" xr:uid="{1B3B2C9B-AFEF-47D6-BB11-E03F97DBCC00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See 10K page 58 of pdf
</t>
        </r>
      </text>
    </comment>
    <comment ref="E25" authorId="0" shapeId="0" xr:uid="{5459910F-46C2-4AE5-B03D-5D0CD02262E5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50 of pdf</t>
        </r>
      </text>
    </comment>
    <comment ref="E26" authorId="0" shapeId="0" xr:uid="{FA7B8A1A-ACB9-4BC9-8D87-C792654396BD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44 of pdf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</authors>
  <commentList>
    <comment ref="D20" authorId="0" shapeId="0" xr:uid="{6D4EDF53-C434-4993-AD79-C8F570F3F05C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CN Financial Statements page 24 of pdf</t>
        </r>
      </text>
    </comment>
    <comment ref="E20" authorId="0" shapeId="0" xr:uid="{D5187FDD-2E8E-4460-9938-9C76897F7128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CN Financial Statements page 24 of pdf
</t>
        </r>
      </text>
    </comment>
    <comment ref="G20" authorId="0" shapeId="0" xr:uid="{6D1B35E8-55E0-4CA4-9DDB-5C5203800B78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CN Financial Statements page 6 of pdf</t>
        </r>
      </text>
    </comment>
    <comment ref="D21" authorId="0" shapeId="0" xr:uid="{8124B00B-41E4-4DF3-B694-E8F5C21535AA}">
      <text>
        <r>
          <rPr>
            <b/>
            <sz val="9"/>
            <color indexed="81"/>
            <rFont val="Tahoma"/>
            <family val="2"/>
          </rPr>
          <t xml:space="preserve">REV4175
</t>
        </r>
        <r>
          <rPr>
            <sz val="9"/>
            <color indexed="81"/>
            <rFont val="Tahoma"/>
            <family val="2"/>
          </rPr>
          <t xml:space="preserve">10K page 92 of pdf
</t>
        </r>
      </text>
    </comment>
    <comment ref="E21" authorId="0" shapeId="0" xr:uid="{ACE58F65-3256-4BDF-A950-9822156B8674}">
      <text>
        <r>
          <rPr>
            <b/>
            <sz val="9"/>
            <color indexed="81"/>
            <rFont val="Tahoma"/>
            <family val="2"/>
          </rPr>
          <t xml:space="preserve">REV4175
</t>
        </r>
        <r>
          <rPr>
            <sz val="9"/>
            <color indexed="81"/>
            <rFont val="Tahoma"/>
            <family val="2"/>
          </rPr>
          <t xml:space="preserve">10K page 97 of pdf
</t>
        </r>
      </text>
    </comment>
    <comment ref="G21" authorId="0" shapeId="0" xr:uid="{E174D504-A3C6-47AF-A85B-B58B7663A27D}">
      <text>
        <r>
          <rPr>
            <b/>
            <sz val="9"/>
            <color indexed="81"/>
            <rFont val="Tahoma"/>
            <family val="2"/>
          </rPr>
          <t>Rev 4175 (DOR):</t>
        </r>
        <r>
          <rPr>
            <sz val="9"/>
            <color indexed="81"/>
            <rFont val="Tahoma"/>
            <family val="2"/>
          </rPr>
          <t xml:space="preserve">
See 10K page 71 of pdf reported in Canadian Dollars.</t>
        </r>
      </text>
    </comment>
    <comment ref="D22" authorId="0" shapeId="0" xr:uid="{64252B38-C287-420F-BB69-01D3EFD13653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76 of pdf
</t>
        </r>
      </text>
    </comment>
    <comment ref="E22" authorId="0" shapeId="0" xr:uid="{C659B634-1281-49D8-BC7F-703F6D46A8E4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74 of pdf
</t>
        </r>
      </text>
    </comment>
    <comment ref="G22" authorId="0" shapeId="0" xr:uid="{DD6A4E54-DB0F-42C4-A4EF-18C100227F26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54 of pdf</t>
        </r>
      </text>
    </comment>
    <comment ref="D23" authorId="0" shapeId="0" xr:uid="{AE6A0920-F7DF-4F4E-89B5-1EB21F92EC6E}">
      <text>
        <r>
          <rPr>
            <b/>
            <sz val="9"/>
            <color indexed="81"/>
            <rFont val="Tahoma"/>
            <family val="2"/>
          </rPr>
          <t>Rev 4175 (DOR):</t>
        </r>
        <r>
          <rPr>
            <sz val="9"/>
            <color indexed="81"/>
            <rFont val="Tahoma"/>
            <family val="2"/>
          </rPr>
          <t xml:space="preserve">
See 10K page 61 of pdf</t>
        </r>
      </text>
    </comment>
    <comment ref="E23" authorId="0" shapeId="0" xr:uid="{D35B8961-8629-4678-904C-D63CAEF88DEA}">
      <text>
        <r>
          <rPr>
            <b/>
            <sz val="9"/>
            <color indexed="81"/>
            <rFont val="Tahoma"/>
            <family val="2"/>
          </rPr>
          <t>Rev 4175 (DOR):</t>
        </r>
        <r>
          <rPr>
            <sz val="9"/>
            <color indexed="81"/>
            <rFont val="Tahoma"/>
            <family val="2"/>
          </rPr>
          <t xml:space="preserve">
See 10K page 58 of pdf</t>
        </r>
      </text>
    </comment>
    <comment ref="G23" authorId="0" shapeId="0" xr:uid="{586232E7-2617-42DD-BD71-400165FBC48A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10K page K32 page 32 of pdf
</t>
        </r>
      </text>
    </comment>
    <comment ref="D24" authorId="0" shapeId="0" xr:uid="{B632E231-4FEE-4792-A714-12CDA76C0DBC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61 of pdf
</t>
        </r>
      </text>
    </comment>
    <comment ref="E24" authorId="0" shapeId="0" xr:uid="{CD9589AC-4C3F-4C22-99EB-45999B8EC6EB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63 of pdf
</t>
        </r>
      </text>
    </comment>
    <comment ref="G24" authorId="0" shapeId="0" xr:uid="{47BE0292-C9A2-4290-8744-91A3C07C9CA2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41 of pdf
</t>
        </r>
      </text>
    </comment>
  </commentList>
</comments>
</file>

<file path=xl/sharedStrings.xml><?xml version="1.0" encoding="utf-8"?>
<sst xmlns="http://schemas.openxmlformats.org/spreadsheetml/2006/main" count="1450" uniqueCount="492">
  <si>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</si>
  <si>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</si>
  <si>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</si>
  <si>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</si>
  <si>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</si>
  <si>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</si>
  <si>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</si>
  <si>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</si>
  <si>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</si>
  <si>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</si>
  <si>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</si>
  <si>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</si>
  <si>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</si>
  <si>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</si>
  <si>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</si>
  <si>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</si>
  <si>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</si>
  <si>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</si>
  <si>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</si>
  <si>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</si>
  <si>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</si>
  <si>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</si>
  <si>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</si>
  <si>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</si>
  <si>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</si>
  <si>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</si>
  <si>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</si>
  <si>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</si>
  <si>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</si>
  <si>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</si>
  <si>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</si>
  <si>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</si>
  <si>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</si>
  <si>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</si>
  <si>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</si>
  <si>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</si>
  <si>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</si>
  <si>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</si>
  <si>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</si>
  <si>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</si>
  <si>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</si>
  <si>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</si>
  <si>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</si>
  <si>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Industry &gt; Electric Companies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</si>
  <si>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</si>
  <si>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</si>
  <si>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</si>
  <si>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</si>
  <si>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</si>
  <si>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</si>
  <si>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</si>
  <si>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</si>
  <si>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</si>
  <si>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</si>
  <si>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</si>
  <si>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</si>
  <si>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</si>
  <si>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</si>
  <si>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</si>
  <si>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</si>
  <si>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</si>
  <si>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</si>
  <si>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</si>
  <si>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</si>
  <si>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</si>
  <si>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</si>
  <si>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</si>
  <si>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</si>
  <si>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</si>
  <si>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</si>
  <si>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</si>
  <si>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</si>
  <si>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</si>
  <si>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</si>
  <si>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</si>
  <si>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</si>
  <si>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</si>
  <si>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</si>
  <si>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</si>
  <si>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</si>
  <si>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</si>
  <si>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</si>
  <si>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</si>
  <si>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</si>
  <si>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</si>
  <si>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</si>
  <si>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</si>
  <si>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</si>
  <si>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</si>
  <si>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</si>
  <si>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</si>
  <si>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</si>
  <si>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</si>
  <si>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</si>
  <si>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</si>
  <si>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</si>
  <si>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</si>
  <si>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</si>
  <si>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</si>
  <si>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</si>
  <si>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</si>
  <si>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</si>
  <si>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</si>
  <si>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</si>
  <si>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</si>
  <si>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</si>
  <si>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</si>
  <si>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</si>
  <si>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</si>
  <si>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</si>
  <si>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</si>
  <si>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</si>
  <si>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</si>
  <si>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</si>
  <si>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</si>
  <si>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</si>
  <si>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</si>
  <si>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</si>
  <si>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</si>
  <si>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</si>
  <si>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</si>
  <si>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</si>
  <si>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</si>
  <si>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</si>
  <si>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</si>
  <si>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</si>
  <si>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</si>
  <si>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</si>
  <si>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</si>
  <si>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</si>
  <si>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</si>
  <si>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</si>
  <si>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</si>
  <si>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</si>
  <si>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</si>
  <si>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</si>
  <si>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</si>
  <si>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</si>
  <si>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</si>
  <si>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</si>
  <si>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</si>
  <si>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</si>
  <si>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</si>
  <si>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</si>
  <si>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</si>
  <si>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</si>
  <si>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</si>
  <si>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</si>
  <si>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</si>
  <si>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</si>
  <si>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</si>
  <si>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</si>
  <si>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</si>
  <si>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</si>
  <si>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</si>
  <si>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</si>
  <si>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</si>
  <si>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</si>
  <si>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</si>
  <si>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</si>
  <si>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</si>
  <si>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</si>
  <si>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</si>
  <si>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</si>
  <si>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</si>
  <si>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</si>
  <si>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</si>
  <si>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</si>
  <si>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</si>
  <si>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</si>
  <si>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</si>
  <si>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</si>
  <si>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</si>
  <si>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</si>
  <si>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Earnings Per Share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</si>
  <si>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</si>
  <si>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</si>
  <si>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</si>
  <si>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</si>
  <si>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</si>
  <si>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</si>
  <si>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</si>
  <si>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</si>
  <si>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</si>
  <si>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</si>
  <si>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</si>
  <si>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</si>
  <si>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</si>
  <si>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</si>
  <si>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</si>
  <si>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</si>
  <si>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</si>
  <si>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</si>
  <si>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</si>
  <si>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</si>
  <si>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</si>
  <si>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</si>
  <si>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</si>
  <si>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</si>
  <si>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</si>
  <si>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</si>
  <si>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</si>
  <si>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</si>
  <si>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</si>
  <si>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</si>
  <si>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</si>
  <si>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</si>
  <si>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</si>
  <si>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</si>
  <si>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</si>
  <si>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</si>
  <si>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</si>
  <si>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</si>
  <si>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</si>
  <si>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</si>
  <si>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</si>
  <si>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</si>
  <si>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</si>
  <si>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</si>
  <si>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</si>
  <si>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</si>
  <si>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</si>
  <si>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</si>
  <si>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</si>
  <si>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</si>
  <si>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</si>
  <si>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</si>
  <si>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</si>
  <si>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</si>
  <si>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</si>
  <si>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</si>
  <si>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10K Income Statement</t>
  </si>
  <si>
    <t>10K Balance Sheet</t>
  </si>
  <si>
    <t>Indicated Rate of Equity Selected &gt;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</si>
  <si>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</si>
  <si>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</si>
  <si>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</si>
  <si>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</si>
  <si>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</si>
  <si>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</si>
  <si>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</si>
  <si>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</si>
  <si>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</si>
  <si>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</si>
  <si>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</si>
  <si>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</si>
  <si>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</si>
  <si>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</si>
  <si>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</si>
  <si>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</si>
  <si>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</si>
  <si>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</si>
  <si>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</si>
  <si>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</si>
  <si>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</si>
  <si>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</si>
  <si>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</si>
  <si>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</si>
  <si>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</si>
  <si>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</si>
  <si>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</si>
  <si>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</si>
  <si>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</si>
  <si>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</si>
  <si>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</si>
  <si>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</si>
  <si>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</si>
  <si>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</si>
  <si>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</si>
  <si>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</si>
  <si>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</si>
  <si>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</si>
  <si>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</si>
  <si>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</si>
  <si>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</si>
  <si>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</si>
  <si>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</si>
  <si>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</si>
  <si>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</si>
  <si>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</si>
  <si>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</si>
  <si>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</si>
  <si>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</si>
  <si>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</si>
  <si>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</si>
  <si>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</si>
  <si>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</si>
  <si>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</si>
  <si>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</si>
  <si>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</si>
  <si>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</si>
  <si>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</si>
  <si>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</si>
  <si>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</si>
  <si>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</si>
  <si>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</si>
  <si>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</si>
  <si>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</si>
  <si>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</si>
  <si>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</si>
  <si>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</si>
  <si>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</si>
  <si>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</si>
  <si>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</si>
  <si>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</si>
  <si>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</si>
  <si>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</si>
  <si>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</si>
  <si>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</si>
  <si>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</si>
  <si>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</si>
  <si>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</si>
  <si>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</si>
  <si>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</si>
  <si>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</si>
  <si>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</si>
  <si>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</si>
  <si>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</si>
  <si>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</si>
  <si>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</si>
  <si>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</si>
  <si>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</si>
  <si>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</si>
  <si>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</si>
  <si>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</si>
  <si>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</si>
  <si>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</si>
  <si>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</si>
  <si>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</si>
  <si>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</si>
  <si>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</si>
  <si>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&amp; Op Leases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</si>
  <si>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</si>
  <si>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</si>
  <si>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</si>
  <si>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</si>
  <si>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</si>
  <si>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</si>
  <si>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</si>
  <si>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General Partner Units</t>
  </si>
  <si>
    <t>Gross Book Value Equity</t>
  </si>
  <si>
    <t>GROSS REVENUE &amp; GROSS BOOK (EQUITY) MULTIPLES</t>
  </si>
  <si>
    <t>Multiple *</t>
  </si>
  <si>
    <t>* This multiple is applicable to service type companies, or those with few assets.  These companies sell at prices related to their revenues.</t>
  </si>
  <si>
    <t>** The book value, or common equity, per share is total owners' equity minus preferred stock divided by the number of common shares outstanding.</t>
  </si>
  <si>
    <t>Projected</t>
  </si>
  <si>
    <t xml:space="preserve">Property, Plant &amp; Equipment includes CWIP, but should exclude intangibles and the associated amortization.  </t>
  </si>
  <si>
    <t>Common Total Equity excludes 'noncontrolling interests' equity value.</t>
  </si>
  <si>
    <t xml:space="preserve">http://www.federalreserve.gov/Releases/H15/Current/ </t>
  </si>
  <si>
    <t>Railroad Carriers</t>
  </si>
  <si>
    <t>Canadian National</t>
  </si>
  <si>
    <t>CNI</t>
  </si>
  <si>
    <t>Railroad</t>
  </si>
  <si>
    <t>CP</t>
  </si>
  <si>
    <t>CSX Corp</t>
  </si>
  <si>
    <t>CSX</t>
  </si>
  <si>
    <t>Norfolk Southern</t>
  </si>
  <si>
    <t>NSC</t>
  </si>
  <si>
    <t>Union Pacific Railroad</t>
  </si>
  <si>
    <t>UNP</t>
  </si>
  <si>
    <t>CP completed acquisition of KCS on 12/14/21</t>
  </si>
  <si>
    <t>American Railcar Industries Inc -  Designer and manufacturer of railcars.  Not a railroad.</t>
  </si>
  <si>
    <t>GATX Corporation -  Railcar lessor.  Not a railroad.</t>
  </si>
  <si>
    <t>Genesee &amp; Wyoming- Removed, was sold to infastructure asset management firm Brookfield Infastructure in '19. No longer listed on stock indexes as separate entity.</t>
  </si>
  <si>
    <t>GreenBrier Companies Inc.  -  Designer, manufacturer, plus repairs of railcars.  Not a railroad.</t>
  </si>
  <si>
    <t>Trinity Industries Inc. -  Manufacturer of railcars and component parts.  Not a railroad.</t>
  </si>
  <si>
    <t>Kansas City Southern merged with CP in December 2021</t>
  </si>
  <si>
    <t>Companies added to the study &gt;</t>
  </si>
  <si>
    <t>Per Share **</t>
  </si>
  <si>
    <t xml:space="preserve">Risk Free Rate (Rf) </t>
  </si>
  <si>
    <t>Yield Equity Rate - DGM (Dividend Growth) &amp; DGM (Earnings Growth)  -- Gordon Growth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</si>
  <si>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</si>
  <si>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</si>
  <si>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</si>
  <si>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</si>
  <si>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Mean</t>
  </si>
  <si>
    <t xml:space="preserve">S&amp;P Rating </t>
  </si>
  <si>
    <t>https://www.bvresources.com/products/faqs/cost-of-capital-professional</t>
  </si>
  <si>
    <t>https://www.richmondfed.org/research/national_economy/cfo_survey</t>
  </si>
  <si>
    <t>http://pages.stern.nyu.edu/~adamodar/New_Home_Page/datacurrent.html</t>
  </si>
  <si>
    <t>A market to book ratio over one would be an indication of no obsolescence.</t>
  </si>
  <si>
    <t>.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</si>
  <si>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</si>
  <si>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</si>
  <si>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</si>
  <si>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</si>
  <si>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</si>
  <si>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</si>
  <si>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</si>
  <si>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</si>
  <si>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</si>
  <si>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</si>
  <si>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 KROLL ERP Supply Side</t>
  </si>
  <si>
    <t>CAPM - Ex Ante 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</si>
  <si>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</si>
  <si>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</si>
  <si>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</si>
  <si>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</si>
  <si>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 KROLL ERP Supply Side</t>
  </si>
  <si>
    <t>Empirical CAPM - Ex Ante  KROLL ERP Conditional</t>
  </si>
  <si>
    <t>P. Fernandez, T. Garcia de Santos &amp; J.F.Acin  (5)</t>
  </si>
  <si>
    <t>Damodaran Implied ERP Ex Ante   Avg CF Yield Last 10 Yrs (3)</t>
  </si>
  <si>
    <t>CAPM - Ex Ante  Damodaran Avg CF Yield Last 10 Yrs</t>
  </si>
  <si>
    <t>Empirical CAPM - Ex Ante  Damodaran Avg CF Yield Last 10 Yrs</t>
  </si>
  <si>
    <t>Canadian Conversion Rate = .73 US Dollars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</si>
  <si>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27-29 Yr Projected VL)</t>
    </r>
  </si>
  <si>
    <t>A- / AA-</t>
  </si>
  <si>
    <t xml:space="preserve">** Debt includes  LT Debt , Current portion of LT Debt  from 10K </t>
  </si>
  <si>
    <t xml:space="preserve">**** Market value of operating leases for all companies.  </t>
  </si>
  <si>
    <t>CS+PS+OL+VL+LTD</t>
  </si>
  <si>
    <t>plus Finance Leases</t>
  </si>
  <si>
    <t>Canadian Pacific Kansas City Limited  CPKC</t>
  </si>
  <si>
    <t>***** Market value of variable operating leases for all companies. Variable leases are not generally included in the ROU liability figure shown on the balance sheet.</t>
  </si>
  <si>
    <t>Corporate                          December Avg</t>
  </si>
  <si>
    <t>Utility                                                December Avg</t>
  </si>
  <si>
    <t>2025 CAPITALIZATION RATE STUDY</t>
  </si>
  <si>
    <t>2025 Tax Year</t>
  </si>
  <si>
    <t>YEAR END 12/31/2024</t>
  </si>
  <si>
    <t>Dec. 31, 2024</t>
  </si>
  <si>
    <t>Vl Projected 2025</t>
  </si>
  <si>
    <t>Canadian Conversion 12/31/2024 = 0.6948</t>
  </si>
  <si>
    <t>Dec. 31, 2023</t>
  </si>
  <si>
    <t>Variable Op Leases *****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</si>
  <si>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</si>
  <si>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</si>
  <si>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</si>
  <si>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</si>
  <si>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</si>
  <si>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</si>
  <si>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</si>
  <si>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</si>
  <si>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</si>
  <si>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</si>
  <si>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</si>
  <si>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</si>
  <si>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</si>
  <si>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</si>
  <si>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</si>
  <si>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</si>
  <si>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</si>
  <si>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</si>
  <si>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</si>
  <si>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</si>
  <si>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</si>
  <si>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</si>
  <si>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</si>
  <si>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</si>
  <si>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</si>
  <si>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</si>
  <si>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</si>
  <si>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</si>
  <si>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</si>
  <si>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</si>
  <si>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</si>
  <si>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</si>
  <si>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</si>
  <si>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</si>
  <si>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</si>
  <si>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</si>
  <si>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</si>
  <si>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</si>
  <si>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na</t>
  </si>
  <si>
    <t>January 2, 2025  Compare inflation indexed securities to non-inflation indexed securities.  The difference is the inflation rate.  See Minnesota study page 26 or Wsahington study page 6.</t>
  </si>
  <si>
    <t>RISK FREE RATE (Rf)</t>
  </si>
  <si>
    <t xml:space="preserve">10-year U.S. Treasury coupon bonds </t>
  </si>
  <si>
    <t xml:space="preserve">20-year U.S. Treasury coupon bonds (5 yr. monthly avg) </t>
  </si>
  <si>
    <t>30-year U.S. Treasury coupon bonds</t>
  </si>
  <si>
    <t>Value Line Investment Survey (January 10, 2025)  Selected Yields on Taxable U.S. Treasury Securities :</t>
  </si>
  <si>
    <t>20-year U.S. Treasury coupon bonds</t>
  </si>
  <si>
    <t>Federal Reserve Statistical Release (January 2, 2025)  Treasury Constant Maturities, Nominal (1) :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</si>
  <si>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</si>
  <si>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</si>
  <si>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Three Stage Ex Ante  Version 1  (1)</t>
  </si>
  <si>
    <t>Three Stage Ex Ante  Version 2   (2)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</si>
  <si>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</si>
  <si>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</si>
  <si>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KROLL Cost of Capital Navigator Risk-Free rate Ex Post  (January 1, 2025) :</t>
  </si>
  <si>
    <t>(7) Aswath Damoodaran</t>
  </si>
  <si>
    <t>Damodaran selected Risk-Free rate (January 1, 2025) (7) :</t>
  </si>
  <si>
    <t>http://pages.stern.nyu.edu/~adamodar/</t>
  </si>
  <si>
    <t>KDOR Selected Risk Free Rate (Rf) &gt;</t>
  </si>
  <si>
    <t>https://pages.stern.nyu.edu/~adamodar/pc/blog/S&amp;P500ValueJan2025.xlsx</t>
  </si>
  <si>
    <t>Estimated 22-24 to 28-30</t>
  </si>
  <si>
    <t>Moody's Rating</t>
  </si>
  <si>
    <t>Moody's Bond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</si>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</sst>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.000_);_(* \(#,##0.000\);_(* &quot;-&quot;??_);_(@_)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color rgb="FF0000CC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0"/>
      <color rgb="FF0000CC"/>
      <name val="Microsoft GothicNeo"/>
      <family val="2"/>
      <charset val="129"/>
    </font>
    <font>
      <b/>
      <sz val="9"/>
      <name val="Microsoft GothicNeo"/>
      <family val="2"/>
      <charset val="129"/>
    </font>
    <font>
      <sz val="12"/>
      <color rgb="FF000000"/>
      <name val="Arial"/>
      <family val="2"/>
    </font>
    <font>
      <i/>
      <sz val="11"/>
      <color theme="1"/>
      <name val="Microsoft GothicNeo"/>
      <family val="2"/>
      <charset val="129"/>
    </font>
    <font>
      <b/>
      <i/>
      <sz val="12"/>
      <color theme="1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b/>
      <sz val="11"/>
      <color theme="1"/>
      <name val="Microsoft GothicNeo Light"/>
      <family val="2"/>
      <charset val="129"/>
    </font>
    <font>
      <u/>
      <sz val="11"/>
      <color theme="10"/>
      <name val="Microsoft GothicNeo Light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i/>
      <sz val="12"/>
      <name val="Microsoft GothicNeo"/>
      <family val="2"/>
      <charset val="129"/>
    </font>
    <font>
      <b/>
      <i/>
      <sz val="14"/>
      <name val="Microsoft GothicNeo"/>
      <family val="2"/>
      <charset val="129"/>
    </font>
    <font>
      <u/>
      <sz val="12"/>
      <color rgb="FF0000CC"/>
      <name val="Microsoft GothicNeo"/>
      <family val="2"/>
      <charset val="129"/>
    </font>
    <font>
      <sz val="12"/>
      <color theme="1"/>
      <name val="Cordia New"/>
      <family val="2"/>
      <charset val="22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 applyNumberFormat="0" applyFill="0" applyBorder="0" applyAlignment="0" applyProtection="0"/>
  </cellStyleXfs>
  <cellXfs count="47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3" fontId="21" fillId="0" borderId="0" xfId="1" applyFont="1" applyAlignment="1">
      <alignment horizontal="right" vertical="center"/>
    </xf>
    <xf numFmtId="43" fontId="21" fillId="0" borderId="0" xfId="1" applyFont="1" applyFill="1" applyAlignment="1">
      <alignment horizontal="right" vertical="center"/>
    </xf>
    <xf numFmtId="43" fontId="20" fillId="0" borderId="0" xfId="1" applyFont="1" applyFill="1" applyAlignment="1">
      <alignment horizontal="right"/>
    </xf>
    <xf numFmtId="43" fontId="20" fillId="0" borderId="0" xfId="1" applyFont="1" applyFill="1" applyAlignment="1">
      <alignment horizontal="center"/>
    </xf>
    <xf numFmtId="43" fontId="20" fillId="0" borderId="0" xfId="1" applyFont="1" applyFill="1" applyAlignment="1">
      <alignment horizontal="center" vertical="center"/>
    </xf>
    <xf numFmtId="43" fontId="20" fillId="0" borderId="0" xfId="1" applyFont="1" applyFill="1" applyBorder="1" applyAlignment="1">
      <alignment horizontal="center" vertical="center"/>
    </xf>
    <xf numFmtId="43" fontId="20" fillId="0" borderId="0" xfId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16" xfId="0" applyFont="1" applyBorder="1"/>
    <xf numFmtId="0" fontId="18" fillId="0" borderId="2" xfId="0" applyFont="1" applyBorder="1"/>
    <xf numFmtId="0" fontId="26" fillId="0" borderId="2" xfId="0" applyFont="1" applyBorder="1"/>
    <xf numFmtId="0" fontId="27" fillId="0" borderId="0" xfId="0" applyFont="1"/>
    <xf numFmtId="0" fontId="23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2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0" fillId="0" borderId="0" xfId="0" applyFont="1"/>
    <xf numFmtId="166" fontId="21" fillId="0" borderId="0" xfId="1" applyNumberFormat="1" applyFont="1" applyFill="1" applyAlignment="1">
      <alignment horizontal="center"/>
    </xf>
    <xf numFmtId="166" fontId="21" fillId="0" borderId="0" xfId="1" applyNumberFormat="1" applyFont="1" applyFill="1"/>
    <xf numFmtId="0" fontId="20" fillId="0" borderId="4" xfId="0" applyFont="1" applyBorder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10" fontId="20" fillId="0" borderId="0" xfId="2" applyNumberFormat="1" applyFont="1" applyFill="1" applyAlignment="1">
      <alignment horizontal="center" vertical="center"/>
    </xf>
    <xf numFmtId="10" fontId="20" fillId="0" borderId="0" xfId="2" applyNumberFormat="1" applyFont="1" applyFill="1" applyBorder="1" applyAlignment="1">
      <alignment horizontal="center" vertical="center"/>
    </xf>
    <xf numFmtId="10" fontId="21" fillId="0" borderId="0" xfId="2" applyNumberFormat="1" applyFont="1" applyAlignment="1">
      <alignment horizontal="right" vertical="center"/>
    </xf>
    <xf numFmtId="10" fontId="21" fillId="0" borderId="0" xfId="2" applyNumberFormat="1" applyFont="1" applyFill="1" applyAlignment="1">
      <alignment horizontal="right"/>
    </xf>
    <xf numFmtId="10" fontId="20" fillId="0" borderId="0" xfId="2" applyNumberFormat="1" applyFont="1" applyFill="1" applyAlignment="1">
      <alignment horizontal="right"/>
    </xf>
    <xf numFmtId="10" fontId="20" fillId="0" borderId="0" xfId="2" applyNumberFormat="1" applyFont="1" applyFill="1" applyAlignment="1">
      <alignment horizontal="center"/>
    </xf>
    <xf numFmtId="10" fontId="20" fillId="0" borderId="0" xfId="2" applyNumberFormat="1" applyFont="1" applyFill="1"/>
    <xf numFmtId="0" fontId="18" fillId="2" borderId="19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2" fontId="37" fillId="0" borderId="0" xfId="0" applyNumberFormat="1" applyFont="1" applyAlignment="1">
      <alignment horizontal="center"/>
    </xf>
    <xf numFmtId="164" fontId="37" fillId="0" borderId="0" xfId="1" applyNumberFormat="1" applyFont="1" applyAlignment="1"/>
    <xf numFmtId="2" fontId="21" fillId="0" borderId="0" xfId="0" applyNumberFormat="1" applyFont="1" applyAlignment="1">
      <alignment horizontal="center"/>
    </xf>
    <xf numFmtId="0" fontId="33" fillId="0" borderId="0" xfId="0" applyFont="1"/>
    <xf numFmtId="43" fontId="23" fillId="0" borderId="0" xfId="1" applyFont="1" applyFill="1"/>
    <xf numFmtId="2" fontId="37" fillId="0" borderId="4" xfId="0" applyNumberFormat="1" applyFont="1" applyBorder="1" applyAlignment="1">
      <alignment horizontal="center"/>
    </xf>
    <xf numFmtId="10" fontId="21" fillId="0" borderId="0" xfId="2" applyNumberFormat="1" applyFont="1" applyFill="1" applyAlignment="1">
      <alignment horizontal="center"/>
    </xf>
    <xf numFmtId="0" fontId="18" fillId="0" borderId="2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8" fillId="0" borderId="4" xfId="0" applyFont="1" applyBorder="1"/>
    <xf numFmtId="2" fontId="21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horizontal="right"/>
    </xf>
    <xf numFmtId="10" fontId="20" fillId="0" borderId="0" xfId="0" applyNumberFormat="1" applyFont="1"/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10" fontId="20" fillId="0" borderId="0" xfId="2" applyNumberFormat="1" applyFont="1"/>
    <xf numFmtId="10" fontId="20" fillId="0" borderId="0" xfId="1" applyNumberFormat="1" applyFont="1" applyFill="1"/>
    <xf numFmtId="10" fontId="42" fillId="0" borderId="0" xfId="2" applyNumberFormat="1" applyFont="1" applyFill="1" applyAlignment="1">
      <alignment horizontal="center"/>
    </xf>
    <xf numFmtId="164" fontId="20" fillId="0" borderId="0" xfId="1" applyNumberFormat="1" applyFont="1"/>
    <xf numFmtId="0" fontId="18" fillId="0" borderId="0" xfId="0" applyFont="1" applyAlignment="1">
      <alignment horizontal="left"/>
    </xf>
    <xf numFmtId="0" fontId="20" fillId="0" borderId="2" xfId="0" applyFont="1" applyBorder="1"/>
    <xf numFmtId="0" fontId="33" fillId="0" borderId="7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0" xfId="0" applyFont="1" applyAlignment="1">
      <alignment horizontal="center"/>
    </xf>
    <xf numFmtId="15" fontId="33" fillId="0" borderId="10" xfId="0" applyNumberFormat="1" applyFont="1" applyBorder="1" applyAlignment="1">
      <alignment horizontal="center"/>
    </xf>
    <xf numFmtId="15" fontId="33" fillId="0" borderId="0" xfId="0" quotePrefix="1" applyNumberFormat="1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3" fillId="0" borderId="10" xfId="0" applyFont="1" applyBorder="1"/>
    <xf numFmtId="0" fontId="33" fillId="0" borderId="7" xfId="0" applyFont="1" applyBorder="1"/>
    <xf numFmtId="0" fontId="37" fillId="0" borderId="0" xfId="0" applyFont="1" applyAlignment="1">
      <alignment horizontal="center"/>
    </xf>
    <xf numFmtId="2" fontId="37" fillId="0" borderId="10" xfId="0" applyNumberFormat="1" applyFont="1" applyBorder="1" applyAlignment="1">
      <alignment horizontal="center"/>
    </xf>
    <xf numFmtId="0" fontId="36" fillId="0" borderId="0" xfId="0" applyFont="1"/>
    <xf numFmtId="0" fontId="43" fillId="0" borderId="2" xfId="0" applyFont="1" applyBorder="1"/>
    <xf numFmtId="0" fontId="36" fillId="0" borderId="2" xfId="0" applyFont="1" applyBorder="1"/>
    <xf numFmtId="0" fontId="18" fillId="0" borderId="6" xfId="0" applyFont="1" applyBorder="1"/>
    <xf numFmtId="0" fontId="33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164" fontId="37" fillId="0" borderId="0" xfId="1" applyNumberFormat="1" applyFont="1" applyFill="1" applyBorder="1"/>
    <xf numFmtId="0" fontId="36" fillId="0" borderId="8" xfId="0" applyFont="1" applyBorder="1"/>
    <xf numFmtId="0" fontId="36" fillId="0" borderId="14" xfId="0" applyFont="1" applyBorder="1"/>
    <xf numFmtId="0" fontId="33" fillId="0" borderId="0" xfId="0" applyFont="1" applyAlignment="1">
      <alignment horizontal="right"/>
    </xf>
    <xf numFmtId="10" fontId="33" fillId="0" borderId="0" xfId="0" applyNumberFormat="1" applyFont="1" applyAlignment="1">
      <alignment horizontal="right"/>
    </xf>
    <xf numFmtId="10" fontId="33" fillId="0" borderId="0" xfId="2" applyNumberFormat="1" applyFont="1" applyFill="1"/>
    <xf numFmtId="10" fontId="33" fillId="0" borderId="0" xfId="2" applyNumberFormat="1" applyFont="1"/>
    <xf numFmtId="2" fontId="18" fillId="0" borderId="0" xfId="0" applyNumberFormat="1" applyFont="1"/>
    <xf numFmtId="0" fontId="27" fillId="0" borderId="0" xfId="0" applyFont="1" applyAlignment="1">
      <alignment horizontal="right"/>
    </xf>
    <xf numFmtId="0" fontId="21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65" fontId="20" fillId="0" borderId="0" xfId="3" applyNumberFormat="1" applyFont="1" applyFill="1" applyAlignment="1">
      <alignment horizontal="center"/>
    </xf>
    <xf numFmtId="164" fontId="21" fillId="0" borderId="0" xfId="1" applyNumberFormat="1" applyFont="1" applyFill="1"/>
    <xf numFmtId="10" fontId="21" fillId="0" borderId="0" xfId="2" applyNumberFormat="1" applyFont="1" applyFill="1"/>
    <xf numFmtId="0" fontId="27" fillId="0" borderId="2" xfId="0" applyFont="1" applyBorder="1" applyAlignment="1">
      <alignment horizontal="center"/>
    </xf>
    <xf numFmtId="10" fontId="37" fillId="0" borderId="0" xfId="2" applyNumberFormat="1" applyFont="1" applyFill="1" applyAlignment="1">
      <alignment horizontal="center"/>
    </xf>
    <xf numFmtId="10" fontId="37" fillId="0" borderId="0" xfId="2" applyNumberFormat="1" applyFont="1" applyFill="1"/>
    <xf numFmtId="2" fontId="47" fillId="0" borderId="0" xfId="0" applyNumberFormat="1" applyFont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0" fontId="33" fillId="0" borderId="2" xfId="2" applyNumberFormat="1" applyFont="1" applyBorder="1"/>
    <xf numFmtId="10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7" fillId="0" borderId="0" xfId="0" applyFont="1"/>
    <xf numFmtId="0" fontId="33" fillId="0" borderId="0" xfId="0" applyFont="1" applyAlignment="1">
      <alignment horizontal="left"/>
    </xf>
    <xf numFmtId="10" fontId="18" fillId="0" borderId="0" xfId="0" applyNumberFormat="1" applyFont="1"/>
    <xf numFmtId="0" fontId="48" fillId="0" borderId="2" xfId="0" applyFont="1" applyBorder="1"/>
    <xf numFmtId="0" fontId="0" fillId="0" borderId="2" xfId="0" applyBorder="1"/>
    <xf numFmtId="0" fontId="27" fillId="0" borderId="2" xfId="0" applyFont="1" applyBorder="1"/>
    <xf numFmtId="0" fontId="18" fillId="0" borderId="5" xfId="0" applyFont="1" applyBorder="1"/>
    <xf numFmtId="0" fontId="18" fillId="0" borderId="12" xfId="0" applyFont="1" applyBorder="1"/>
    <xf numFmtId="0" fontId="20" fillId="0" borderId="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8" fillId="0" borderId="32" xfId="0" applyFont="1" applyBorder="1"/>
    <xf numFmtId="0" fontId="33" fillId="0" borderId="30" xfId="0" applyFont="1" applyBorder="1"/>
    <xf numFmtId="0" fontId="33" fillId="0" borderId="1" xfId="0" applyFont="1" applyBorder="1"/>
    <xf numFmtId="10" fontId="37" fillId="0" borderId="0" xfId="2" applyNumberFormat="1" applyFont="1" applyAlignment="1">
      <alignment horizontal="right" vertical="center"/>
    </xf>
    <xf numFmtId="43" fontId="37" fillId="0" borderId="0" xfId="1" applyFont="1" applyAlignment="1">
      <alignment horizontal="right" vertical="center"/>
    </xf>
    <xf numFmtId="10" fontId="33" fillId="0" borderId="0" xfId="2" applyNumberFormat="1" applyFont="1" applyFill="1" applyAlignment="1">
      <alignment horizontal="right"/>
    </xf>
    <xf numFmtId="43" fontId="33" fillId="0" borderId="0" xfId="1" applyFont="1" applyFill="1" applyAlignment="1">
      <alignment horizontal="right"/>
    </xf>
    <xf numFmtId="43" fontId="33" fillId="0" borderId="0" xfId="1" applyFont="1" applyFill="1"/>
    <xf numFmtId="0" fontId="33" fillId="0" borderId="0" xfId="0" applyFont="1" applyAlignment="1">
      <alignment horizontal="center" vertical="center"/>
    </xf>
    <xf numFmtId="44" fontId="37" fillId="0" borderId="0" xfId="3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0" fillId="0" borderId="33" xfId="0" applyBorder="1"/>
    <xf numFmtId="0" fontId="18" fillId="0" borderId="31" xfId="0" applyFont="1" applyBorder="1"/>
    <xf numFmtId="0" fontId="23" fillId="0" borderId="33" xfId="0" applyFont="1" applyBorder="1" applyAlignment="1">
      <alignment horizontal="right"/>
    </xf>
    <xf numFmtId="10" fontId="23" fillId="0" borderId="16" xfId="2" applyNumberFormat="1" applyFont="1" applyFill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22" fillId="0" borderId="31" xfId="0" applyFont="1" applyBorder="1"/>
    <xf numFmtId="0" fontId="22" fillId="0" borderId="33" xfId="0" applyFont="1" applyBorder="1" applyAlignment="1">
      <alignment horizontal="right"/>
    </xf>
    <xf numFmtId="0" fontId="22" fillId="0" borderId="33" xfId="0" applyFont="1" applyBorder="1"/>
    <xf numFmtId="0" fontId="18" fillId="0" borderId="33" xfId="0" applyFont="1" applyBorder="1"/>
    <xf numFmtId="0" fontId="33" fillId="0" borderId="7" xfId="0" applyFont="1" applyBorder="1" applyAlignment="1">
      <alignment horizontal="center" vertical="center"/>
    </xf>
    <xf numFmtId="10" fontId="33" fillId="0" borderId="0" xfId="2" applyNumberFormat="1" applyFont="1" applyBorder="1" applyAlignment="1">
      <alignment horizontal="center" vertical="center"/>
    </xf>
    <xf numFmtId="10" fontId="33" fillId="0" borderId="13" xfId="2" applyNumberFormat="1" applyFont="1" applyBorder="1" applyAlignment="1">
      <alignment horizontal="center" vertical="center"/>
    </xf>
    <xf numFmtId="0" fontId="36" fillId="0" borderId="7" xfId="0" applyFont="1" applyBorder="1"/>
    <xf numFmtId="0" fontId="36" fillId="0" borderId="13" xfId="0" applyFont="1" applyBorder="1"/>
    <xf numFmtId="0" fontId="23" fillId="0" borderId="16" xfId="0" applyFont="1" applyBorder="1" applyAlignment="1">
      <alignment horizontal="center" vertical="center"/>
    </xf>
    <xf numFmtId="0" fontId="51" fillId="0" borderId="0" xfId="0" applyFont="1"/>
    <xf numFmtId="0" fontId="23" fillId="0" borderId="16" xfId="0" applyFont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43" fontId="33" fillId="0" borderId="0" xfId="1" applyFont="1" applyBorder="1" applyAlignment="1">
      <alignment horizontal="center" vertical="center"/>
    </xf>
    <xf numFmtId="43" fontId="33" fillId="0" borderId="0" xfId="1" applyFont="1" applyBorder="1" applyAlignment="1">
      <alignment vertical="center"/>
    </xf>
    <xf numFmtId="10" fontId="33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3" fillId="0" borderId="0" xfId="2" applyNumberFormat="1" applyFont="1" applyFill="1" applyBorder="1" applyAlignment="1">
      <alignment horizontal="center" vertical="center"/>
    </xf>
    <xf numFmtId="0" fontId="33" fillId="0" borderId="29" xfId="0" applyFont="1" applyBorder="1"/>
    <xf numFmtId="0" fontId="33" fillId="0" borderId="20" xfId="0" applyFont="1" applyBorder="1"/>
    <xf numFmtId="0" fontId="33" fillId="0" borderId="22" xfId="0" applyFont="1" applyBorder="1"/>
    <xf numFmtId="10" fontId="37" fillId="2" borderId="25" xfId="2" applyNumberFormat="1" applyFont="1" applyFill="1" applyBorder="1" applyAlignment="1">
      <alignment horizontal="center"/>
    </xf>
    <xf numFmtId="0" fontId="18" fillId="0" borderId="23" xfId="0" applyFont="1" applyBorder="1"/>
    <xf numFmtId="10" fontId="27" fillId="0" borderId="3" xfId="2" applyNumberFormat="1" applyFont="1" applyBorder="1" applyAlignment="1">
      <alignment horizontal="center" vertical="center"/>
    </xf>
    <xf numFmtId="164" fontId="20" fillId="0" borderId="0" xfId="1" applyNumberFormat="1" applyFont="1" applyFill="1" applyAlignment="1"/>
    <xf numFmtId="2" fontId="23" fillId="0" borderId="16" xfId="0" applyNumberFormat="1" applyFont="1" applyBorder="1" applyAlignment="1">
      <alignment horizontal="center"/>
    </xf>
    <xf numFmtId="10" fontId="23" fillId="0" borderId="16" xfId="2" applyNumberFormat="1" applyFont="1" applyBorder="1" applyAlignment="1">
      <alignment horizontal="center"/>
    </xf>
    <xf numFmtId="2" fontId="23" fillId="0" borderId="16" xfId="0" applyNumberFormat="1" applyFont="1" applyBorder="1" applyAlignment="1">
      <alignment horizontal="center" vertical="center"/>
    </xf>
    <xf numFmtId="10" fontId="23" fillId="0" borderId="16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center"/>
    </xf>
    <xf numFmtId="0" fontId="29" fillId="0" borderId="17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0" fontId="5" fillId="0" borderId="0" xfId="0" applyFont="1"/>
    <xf numFmtId="0" fontId="5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3" fillId="0" borderId="0" xfId="0" applyFont="1"/>
    <xf numFmtId="0" fontId="36" fillId="0" borderId="0" xfId="0" applyFont="1" applyAlignment="1">
      <alignment horizontal="right"/>
    </xf>
    <xf numFmtId="0" fontId="36" fillId="0" borderId="2" xfId="0" applyFont="1" applyBorder="1" applyAlignment="1">
      <alignment horizontal="center"/>
    </xf>
    <xf numFmtId="0" fontId="50" fillId="0" borderId="0" xfId="0" applyFont="1"/>
    <xf numFmtId="10" fontId="27" fillId="0" borderId="10" xfId="2" applyNumberFormat="1" applyFont="1" applyFill="1" applyBorder="1" applyAlignment="1">
      <alignment horizontal="center" vertical="center"/>
    </xf>
    <xf numFmtId="43" fontId="23" fillId="0" borderId="16" xfId="1" applyFont="1" applyBorder="1" applyAlignment="1">
      <alignment horizontal="center" vertical="center"/>
    </xf>
    <xf numFmtId="167" fontId="37" fillId="0" borderId="16" xfId="1" applyNumberFormat="1" applyFont="1" applyFill="1" applyBorder="1"/>
    <xf numFmtId="15" fontId="33" fillId="0" borderId="23" xfId="0" applyNumberFormat="1" applyFont="1" applyBorder="1" applyAlignment="1">
      <alignment horizontal="center"/>
    </xf>
    <xf numFmtId="15" fontId="33" fillId="0" borderId="12" xfId="0" applyNumberFormat="1" applyFont="1" applyBorder="1" applyAlignment="1">
      <alignment horizontal="center"/>
    </xf>
    <xf numFmtId="15" fontId="33" fillId="0" borderId="13" xfId="0" applyNumberFormat="1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0" fillId="0" borderId="1" xfId="0" applyBorder="1"/>
    <xf numFmtId="0" fontId="33" fillId="0" borderId="1" xfId="0" applyFont="1" applyBorder="1" applyAlignment="1">
      <alignment horizontal="center"/>
    </xf>
    <xf numFmtId="10" fontId="37" fillId="0" borderId="1" xfId="2" applyNumberFormat="1" applyFont="1" applyFill="1" applyBorder="1" applyAlignment="1">
      <alignment horizontal="center"/>
    </xf>
    <xf numFmtId="43" fontId="37" fillId="0" borderId="1" xfId="1" applyFont="1" applyFill="1" applyBorder="1" applyAlignment="1">
      <alignment horizontal="center"/>
    </xf>
    <xf numFmtId="43" fontId="37" fillId="0" borderId="0" xfId="1" applyFont="1" applyAlignment="1">
      <alignment horizontal="center"/>
    </xf>
    <xf numFmtId="43" fontId="37" fillId="0" borderId="0" xfId="1" applyFont="1" applyFill="1" applyAlignment="1">
      <alignment horizontal="center"/>
    </xf>
    <xf numFmtId="0" fontId="49" fillId="0" borderId="0" xfId="0" applyFont="1" applyAlignment="1">
      <alignment horizontal="right"/>
    </xf>
    <xf numFmtId="43" fontId="49" fillId="0" borderId="0" xfId="0" applyNumberFormat="1" applyFont="1"/>
    <xf numFmtId="2" fontId="49" fillId="0" borderId="0" xfId="0" applyNumberFormat="1" applyFont="1"/>
    <xf numFmtId="0" fontId="33" fillId="0" borderId="5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164" fontId="37" fillId="0" borderId="10" xfId="1" applyNumberFormat="1" applyFont="1" applyFill="1" applyBorder="1" applyAlignment="1">
      <alignment horizontal="center"/>
    </xf>
    <xf numFmtId="164" fontId="37" fillId="0" borderId="13" xfId="1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0" fontId="37" fillId="0" borderId="0" xfId="2" applyNumberFormat="1" applyFont="1" applyFill="1" applyBorder="1" applyAlignment="1">
      <alignment horizontal="center"/>
    </xf>
    <xf numFmtId="10" fontId="37" fillId="0" borderId="0" xfId="2" applyNumberFormat="1" applyFont="1" applyBorder="1" applyAlignment="1">
      <alignment horizontal="center" vertical="center"/>
    </xf>
    <xf numFmtId="10" fontId="27" fillId="0" borderId="3" xfId="2" applyNumberFormat="1" applyFont="1" applyFill="1" applyBorder="1" applyAlignment="1">
      <alignment horizontal="center" vertical="center"/>
    </xf>
    <xf numFmtId="0" fontId="27" fillId="0" borderId="31" xfId="0" applyFont="1" applyBorder="1"/>
    <xf numFmtId="0" fontId="18" fillId="0" borderId="32" xfId="0" applyFont="1" applyBorder="1"/>
    <xf numFmtId="0" fontId="33" fillId="0" borderId="31" xfId="0" applyFont="1" applyBorder="1"/>
    <xf numFmtId="0" fontId="33" fillId="0" borderId="33" xfId="0" applyFont="1" applyBorder="1"/>
    <xf numFmtId="15" fontId="33" fillId="0" borderId="6" xfId="0" applyNumberFormat="1" applyFont="1" applyBorder="1" applyAlignment="1">
      <alignment horizontal="center"/>
    </xf>
    <xf numFmtId="15" fontId="33" fillId="0" borderId="0" xfId="0" applyNumberFormat="1" applyFont="1" applyAlignment="1">
      <alignment horizontal="center"/>
    </xf>
    <xf numFmtId="0" fontId="56" fillId="0" borderId="0" xfId="0" applyFont="1"/>
    <xf numFmtId="0" fontId="33" fillId="0" borderId="12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10" fontId="35" fillId="0" borderId="0" xfId="2" applyNumberFormat="1" applyFont="1" applyFill="1" applyBorder="1"/>
    <xf numFmtId="0" fontId="33" fillId="3" borderId="34" xfId="0" applyFont="1" applyFill="1" applyBorder="1"/>
    <xf numFmtId="0" fontId="33" fillId="3" borderId="19" xfId="0" applyFont="1" applyFill="1" applyBorder="1"/>
    <xf numFmtId="0" fontId="37" fillId="3" borderId="19" xfId="0" applyFont="1" applyFill="1" applyBorder="1"/>
    <xf numFmtId="0" fontId="37" fillId="2" borderId="19" xfId="0" applyFont="1" applyFill="1" applyBorder="1"/>
    <xf numFmtId="0" fontId="27" fillId="0" borderId="27" xfId="0" applyFont="1" applyBorder="1" applyAlignment="1">
      <alignment horizontal="center"/>
    </xf>
    <xf numFmtId="0" fontId="36" fillId="2" borderId="25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36" fillId="2" borderId="26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43" fontId="23" fillId="0" borderId="0" xfId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33" fillId="0" borderId="16" xfId="0" applyFont="1" applyBorder="1" applyAlignment="1">
      <alignment horizontal="right"/>
    </xf>
    <xf numFmtId="0" fontId="33" fillId="0" borderId="8" xfId="0" applyFont="1" applyBorder="1"/>
    <xf numFmtId="164" fontId="37" fillId="0" borderId="3" xfId="1" applyNumberFormat="1" applyFont="1" applyFill="1" applyBorder="1" applyAlignment="1">
      <alignment horizontal="center"/>
    </xf>
    <xf numFmtId="165" fontId="21" fillId="0" borderId="0" xfId="3" applyNumberFormat="1" applyFont="1" applyFill="1" applyAlignment="1">
      <alignment horizontal="right"/>
    </xf>
    <xf numFmtId="2" fontId="14" fillId="0" borderId="4" xfId="0" applyNumberFormat="1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164" fontId="44" fillId="0" borderId="0" xfId="1" applyNumberFormat="1" applyFont="1" applyFill="1" applyBorder="1"/>
    <xf numFmtId="10" fontId="23" fillId="0" borderId="31" xfId="2" applyNumberFormat="1" applyFont="1" applyFill="1" applyBorder="1" applyAlignment="1">
      <alignment horizontal="right"/>
    </xf>
    <xf numFmtId="10" fontId="23" fillId="0" borderId="33" xfId="0" applyNumberFormat="1" applyFont="1" applyBorder="1"/>
    <xf numFmtId="10" fontId="37" fillId="0" borderId="16" xfId="2" applyNumberFormat="1" applyFont="1" applyFill="1" applyBorder="1"/>
    <xf numFmtId="43" fontId="23" fillId="0" borderId="16" xfId="1" applyFont="1" applyFill="1" applyBorder="1" applyAlignment="1">
      <alignment horizontal="center" vertical="center"/>
    </xf>
    <xf numFmtId="0" fontId="0" fillId="0" borderId="6" xfId="0" applyBorder="1"/>
    <xf numFmtId="10" fontId="37" fillId="0" borderId="0" xfId="2" applyNumberFormat="1" applyFont="1" applyFill="1" applyBorder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1" xfId="2" applyNumberFormat="1" applyFont="1" applyFill="1" applyBorder="1" applyAlignment="1">
      <alignment horizontal="center" vertical="center"/>
    </xf>
    <xf numFmtId="10" fontId="21" fillId="0" borderId="0" xfId="2" applyNumberFormat="1" applyFont="1" applyFill="1" applyAlignment="1">
      <alignment horizontal="right" vertical="center"/>
    </xf>
    <xf numFmtId="10" fontId="35" fillId="0" borderId="27" xfId="2" applyNumberFormat="1" applyFont="1" applyFill="1" applyBorder="1"/>
    <xf numFmtId="43" fontId="35" fillId="0" borderId="27" xfId="1" applyFont="1" applyFill="1" applyBorder="1"/>
    <xf numFmtId="2" fontId="35" fillId="0" borderId="27" xfId="0" applyNumberFormat="1" applyFont="1" applyBorder="1"/>
    <xf numFmtId="10" fontId="20" fillId="0" borderId="0" xfId="2" applyNumberFormat="1" applyFont="1" applyFill="1" applyAlignment="1">
      <alignment horizontal="right" vertical="center"/>
    </xf>
    <xf numFmtId="10" fontId="20" fillId="0" borderId="0" xfId="2" applyNumberFormat="1" applyFont="1" applyFill="1" applyBorder="1" applyAlignment="1">
      <alignment horizontal="right" vertical="center"/>
    </xf>
    <xf numFmtId="10" fontId="22" fillId="0" borderId="16" xfId="2" applyNumberFormat="1" applyFont="1" applyFill="1" applyBorder="1"/>
    <xf numFmtId="10" fontId="22" fillId="0" borderId="16" xfId="2" applyNumberFormat="1" applyFont="1" applyFill="1" applyBorder="1" applyAlignment="1">
      <alignment horizontal="center"/>
    </xf>
    <xf numFmtId="0" fontId="0" fillId="0" borderId="32" xfId="0" applyBorder="1"/>
    <xf numFmtId="10" fontId="21" fillId="0" borderId="0" xfId="2" applyNumberFormat="1" applyFont="1" applyAlignment="1">
      <alignment horizontal="right"/>
    </xf>
    <xf numFmtId="164" fontId="21" fillId="0" borderId="0" xfId="1" applyNumberFormat="1" applyFont="1" applyFill="1" applyAlignment="1"/>
    <xf numFmtId="164" fontId="21" fillId="0" borderId="1" xfId="1" applyNumberFormat="1" applyFont="1" applyFill="1" applyBorder="1" applyAlignment="1"/>
    <xf numFmtId="43" fontId="21" fillId="0" borderId="1" xfId="1" applyFont="1" applyFill="1" applyBorder="1" applyAlignment="1">
      <alignment horizontal="right" vertical="center"/>
    </xf>
    <xf numFmtId="10" fontId="21" fillId="0" borderId="1" xfId="2" applyNumberFormat="1" applyFont="1" applyFill="1" applyBorder="1" applyAlignment="1">
      <alignment horizontal="right" vertical="center"/>
    </xf>
    <xf numFmtId="43" fontId="37" fillId="0" borderId="1" xfId="1" applyFont="1" applyBorder="1" applyAlignment="1">
      <alignment horizontal="right" vertical="center"/>
    </xf>
    <xf numFmtId="0" fontId="20" fillId="0" borderId="1" xfId="0" applyFont="1" applyBorder="1" applyAlignment="1">
      <alignment horizontal="right"/>
    </xf>
    <xf numFmtId="10" fontId="21" fillId="0" borderId="1" xfId="2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right"/>
    </xf>
    <xf numFmtId="10" fontId="33" fillId="0" borderId="1" xfId="2" applyNumberFormat="1" applyFont="1" applyFill="1" applyBorder="1"/>
    <xf numFmtId="2" fontId="21" fillId="0" borderId="1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37" fillId="0" borderId="7" xfId="0" applyFont="1" applyBorder="1"/>
    <xf numFmtId="164" fontId="49" fillId="0" borderId="0" xfId="0" applyNumberFormat="1" applyFont="1"/>
    <xf numFmtId="0" fontId="59" fillId="0" borderId="0" xfId="0" applyFont="1"/>
    <xf numFmtId="0" fontId="60" fillId="0" borderId="0" xfId="0" applyFont="1"/>
    <xf numFmtId="0" fontId="33" fillId="0" borderId="3" xfId="0" applyFont="1" applyBorder="1" applyAlignment="1">
      <alignment horizontal="right"/>
    </xf>
    <xf numFmtId="164" fontId="37" fillId="0" borderId="14" xfId="1" applyNumberFormat="1" applyFont="1" applyFill="1" applyBorder="1" applyAlignment="1">
      <alignment horizontal="center"/>
    </xf>
    <xf numFmtId="3" fontId="37" fillId="0" borderId="3" xfId="0" applyNumberFormat="1" applyFont="1" applyBorder="1"/>
    <xf numFmtId="3" fontId="37" fillId="0" borderId="10" xfId="0" applyNumberFormat="1" applyFont="1" applyBorder="1"/>
    <xf numFmtId="165" fontId="37" fillId="0" borderId="10" xfId="3" applyNumberFormat="1" applyFont="1" applyFill="1" applyBorder="1"/>
    <xf numFmtId="165" fontId="37" fillId="0" borderId="0" xfId="3" applyNumberFormat="1" applyFont="1" applyFill="1"/>
    <xf numFmtId="165" fontId="37" fillId="0" borderId="2" xfId="3" applyNumberFormat="1" applyFont="1" applyFill="1" applyBorder="1"/>
    <xf numFmtId="165" fontId="37" fillId="0" borderId="3" xfId="3" applyNumberFormat="1" applyFont="1" applyFill="1" applyBorder="1"/>
    <xf numFmtId="165" fontId="37" fillId="0" borderId="0" xfId="3" applyNumberFormat="1" applyFont="1" applyFill="1" applyBorder="1"/>
    <xf numFmtId="10" fontId="21" fillId="0" borderId="4" xfId="2" applyNumberFormat="1" applyFont="1" applyFill="1" applyBorder="1" applyAlignment="1">
      <alignment horizontal="right"/>
    </xf>
    <xf numFmtId="10" fontId="21" fillId="0" borderId="4" xfId="2" applyNumberFormat="1" applyFont="1" applyBorder="1" applyAlignment="1">
      <alignment horizontal="right"/>
    </xf>
    <xf numFmtId="10" fontId="21" fillId="0" borderId="4" xfId="2" applyNumberFormat="1" applyFont="1" applyFill="1" applyBorder="1" applyAlignment="1">
      <alignment horizontal="center"/>
    </xf>
    <xf numFmtId="10" fontId="27" fillId="0" borderId="0" xfId="2" applyNumberFormat="1" applyFont="1" applyFill="1" applyBorder="1" applyAlignment="1">
      <alignment horizontal="center" vertical="center"/>
    </xf>
    <xf numFmtId="10" fontId="27" fillId="0" borderId="2" xfId="2" applyNumberFormat="1" applyFont="1" applyBorder="1" applyAlignment="1">
      <alignment horizontal="center" vertical="center"/>
    </xf>
    <xf numFmtId="0" fontId="62" fillId="0" borderId="0" xfId="0" applyFont="1" applyAlignment="1">
      <alignment horizontal="left" vertical="top"/>
    </xf>
    <xf numFmtId="44" fontId="37" fillId="0" borderId="10" xfId="3" applyFont="1" applyFill="1" applyBorder="1" applyAlignment="1">
      <alignment horizontal="center"/>
    </xf>
    <xf numFmtId="44" fontId="37" fillId="0" borderId="0" xfId="3" applyFont="1" applyFill="1" applyAlignment="1">
      <alignment horizontal="center"/>
    </xf>
    <xf numFmtId="44" fontId="37" fillId="0" borderId="3" xfId="3" applyFont="1" applyFill="1" applyBorder="1" applyAlignment="1">
      <alignment horizontal="center"/>
    </xf>
    <xf numFmtId="44" fontId="37" fillId="0" borderId="2" xfId="3" applyFont="1" applyFill="1" applyBorder="1" applyAlignment="1">
      <alignment horizontal="center"/>
    </xf>
    <xf numFmtId="0" fontId="37" fillId="0" borderId="18" xfId="0" applyFont="1" applyBorder="1"/>
    <xf numFmtId="10" fontId="37" fillId="0" borderId="27" xfId="2" applyNumberFormat="1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10" fontId="37" fillId="3" borderId="34" xfId="2" applyNumberFormat="1" applyFont="1" applyFill="1" applyBorder="1" applyAlignment="1">
      <alignment horizontal="center"/>
    </xf>
    <xf numFmtId="10" fontId="37" fillId="3" borderId="19" xfId="2" applyNumberFormat="1" applyFont="1" applyFill="1" applyBorder="1" applyAlignment="1">
      <alignment horizontal="center"/>
    </xf>
    <xf numFmtId="0" fontId="18" fillId="0" borderId="19" xfId="0" applyFont="1" applyBorder="1"/>
    <xf numFmtId="10" fontId="18" fillId="0" borderId="19" xfId="0" applyNumberFormat="1" applyFont="1" applyBorder="1"/>
    <xf numFmtId="0" fontId="20" fillId="0" borderId="28" xfId="0" applyFont="1" applyBorder="1" applyAlignment="1">
      <alignment horizontal="center"/>
    </xf>
    <xf numFmtId="44" fontId="21" fillId="0" borderId="19" xfId="3" applyFont="1" applyFill="1" applyBorder="1" applyAlignment="1">
      <alignment horizontal="center"/>
    </xf>
    <xf numFmtId="0" fontId="18" fillId="0" borderId="39" xfId="0" applyFont="1" applyBorder="1"/>
    <xf numFmtId="2" fontId="21" fillId="0" borderId="19" xfId="0" applyNumberFormat="1" applyFont="1" applyBorder="1" applyAlignment="1">
      <alignment horizontal="right" vertical="center"/>
    </xf>
    <xf numFmtId="2" fontId="21" fillId="0" borderId="21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2" fontId="21" fillId="0" borderId="0" xfId="0" applyNumberFormat="1" applyFont="1" applyAlignment="1">
      <alignment horizontal="right"/>
    </xf>
    <xf numFmtId="0" fontId="18" fillId="0" borderId="4" xfId="0" applyFont="1" applyBorder="1" applyAlignment="1">
      <alignment horizontal="right"/>
    </xf>
    <xf numFmtId="0" fontId="0" fillId="0" borderId="4" xfId="0" applyBorder="1"/>
    <xf numFmtId="10" fontId="18" fillId="0" borderId="19" xfId="2" applyNumberFormat="1" applyFont="1" applyFill="1" applyBorder="1"/>
    <xf numFmtId="0" fontId="37" fillId="2" borderId="21" xfId="0" applyFont="1" applyFill="1" applyBorder="1"/>
    <xf numFmtId="10" fontId="37" fillId="2" borderId="26" xfId="2" applyNumberFormat="1" applyFont="1" applyFill="1" applyBorder="1" applyAlignment="1">
      <alignment horizontal="center"/>
    </xf>
    <xf numFmtId="0" fontId="63" fillId="0" borderId="0" xfId="0" applyFont="1"/>
    <xf numFmtId="2" fontId="37" fillId="0" borderId="13" xfId="0" applyNumberFormat="1" applyFont="1" applyBorder="1" applyAlignment="1">
      <alignment horizontal="right"/>
    </xf>
    <xf numFmtId="2" fontId="37" fillId="0" borderId="38" xfId="0" applyNumberFormat="1" applyFont="1" applyBorder="1" applyAlignment="1">
      <alignment horizontal="right"/>
    </xf>
    <xf numFmtId="10" fontId="20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right"/>
    </xf>
    <xf numFmtId="1" fontId="21" fillId="0" borderId="0" xfId="0" applyNumberFormat="1" applyFont="1"/>
    <xf numFmtId="0" fontId="18" fillId="0" borderId="8" xfId="0" applyFont="1" applyBorder="1"/>
    <xf numFmtId="0" fontId="18" fillId="0" borderId="14" xfId="0" applyFont="1" applyBorder="1"/>
    <xf numFmtId="10" fontId="41" fillId="0" borderId="16" xfId="2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36" fillId="2" borderId="21" xfId="0" applyFont="1" applyFill="1" applyBorder="1" applyAlignment="1">
      <alignment horizontal="center"/>
    </xf>
    <xf numFmtId="10" fontId="23" fillId="0" borderId="16" xfId="2" applyNumberFormat="1" applyFont="1" applyFill="1" applyBorder="1" applyAlignment="1">
      <alignment horizontal="center" vertical="center"/>
    </xf>
    <xf numFmtId="0" fontId="0" fillId="0" borderId="19" xfId="0" applyBorder="1"/>
    <xf numFmtId="0" fontId="64" fillId="0" borderId="0" xfId="0" applyFont="1"/>
    <xf numFmtId="43" fontId="35" fillId="0" borderId="18" xfId="0" applyNumberFormat="1" applyFont="1" applyBorder="1"/>
    <xf numFmtId="10" fontId="21" fillId="0" borderId="1" xfId="1" applyNumberFormat="1" applyFont="1" applyFill="1" applyBorder="1" applyAlignment="1"/>
    <xf numFmtId="10" fontId="21" fillId="0" borderId="0" xfId="1" applyNumberFormat="1" applyFont="1" applyFill="1" applyAlignment="1"/>
    <xf numFmtId="0" fontId="46" fillId="0" borderId="0" xfId="6" applyFont="1"/>
    <xf numFmtId="0" fontId="66" fillId="0" borderId="0" xfId="0" applyFont="1"/>
    <xf numFmtId="0" fontId="67" fillId="0" borderId="0" xfId="6" applyFont="1"/>
    <xf numFmtId="0" fontId="44" fillId="0" borderId="7" xfId="0" applyFont="1" applyBorder="1" applyAlignment="1">
      <alignment horizontal="center" vertical="center"/>
    </xf>
    <xf numFmtId="10" fontId="44" fillId="0" borderId="0" xfId="2" applyNumberFormat="1" applyFont="1" applyFill="1" applyBorder="1" applyAlignment="1">
      <alignment horizontal="center" vertical="center"/>
    </xf>
    <xf numFmtId="44" fontId="37" fillId="0" borderId="8" xfId="3" applyFont="1" applyFill="1" applyBorder="1" applyAlignment="1">
      <alignment horizontal="center"/>
    </xf>
    <xf numFmtId="15" fontId="33" fillId="0" borderId="23" xfId="0" quotePrefix="1" applyNumberFormat="1" applyFont="1" applyBorder="1" applyAlignment="1">
      <alignment horizontal="center"/>
    </xf>
    <xf numFmtId="10" fontId="37" fillId="0" borderId="10" xfId="2" applyNumberFormat="1" applyFont="1" applyFill="1" applyBorder="1"/>
    <xf numFmtId="0" fontId="36" fillId="0" borderId="3" xfId="0" applyFont="1" applyBorder="1"/>
    <xf numFmtId="0" fontId="36" fillId="0" borderId="10" xfId="0" applyFont="1" applyBorder="1"/>
    <xf numFmtId="165" fontId="37" fillId="0" borderId="10" xfId="3" applyNumberFormat="1" applyFont="1" applyBorder="1"/>
    <xf numFmtId="164" fontId="33" fillId="0" borderId="10" xfId="1" applyNumberFormat="1" applyFont="1" applyBorder="1"/>
    <xf numFmtId="0" fontId="27" fillId="2" borderId="24" xfId="0" applyFont="1" applyFill="1" applyBorder="1" applyAlignment="1">
      <alignment horizontal="center"/>
    </xf>
    <xf numFmtId="10" fontId="21" fillId="2" borderId="10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/>
    </xf>
    <xf numFmtId="10" fontId="21" fillId="2" borderId="3" xfId="1" applyNumberFormat="1" applyFont="1" applyFill="1" applyBorder="1" applyAlignment="1">
      <alignment horizontal="center"/>
    </xf>
    <xf numFmtId="10" fontId="21" fillId="2" borderId="23" xfId="1" applyNumberFormat="1" applyFont="1" applyFill="1" applyBorder="1" applyAlignment="1">
      <alignment horizontal="center"/>
    </xf>
    <xf numFmtId="10" fontId="21" fillId="2" borderId="10" xfId="1" applyNumberFormat="1" applyFont="1" applyFill="1" applyBorder="1" applyAlignment="1">
      <alignment horizontal="center"/>
    </xf>
    <xf numFmtId="0" fontId="36" fillId="2" borderId="28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/>
    </xf>
    <xf numFmtId="0" fontId="58" fillId="2" borderId="16" xfId="0" applyFont="1" applyFill="1" applyBorder="1"/>
    <xf numFmtId="0" fontId="68" fillId="3" borderId="0" xfId="0" applyFont="1" applyFill="1" applyAlignment="1">
      <alignment horizontal="center"/>
    </xf>
    <xf numFmtId="164" fontId="20" fillId="3" borderId="0" xfId="0" applyNumberFormat="1" applyFont="1" applyFill="1" applyAlignment="1">
      <alignment horizontal="center"/>
    </xf>
    <xf numFmtId="164" fontId="20" fillId="3" borderId="0" xfId="0" applyNumberFormat="1" applyFont="1" applyFill="1" applyAlignment="1">
      <alignment horizontal="right"/>
    </xf>
    <xf numFmtId="164" fontId="20" fillId="3" borderId="0" xfId="0" applyNumberFormat="1" applyFont="1" applyFill="1"/>
    <xf numFmtId="165" fontId="37" fillId="3" borderId="0" xfId="3" applyNumberFormat="1" applyFont="1" applyFill="1" applyBorder="1"/>
    <xf numFmtId="0" fontId="61" fillId="2" borderId="23" xfId="0" applyFont="1" applyFill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0" fontId="0" fillId="0" borderId="3" xfId="0" applyBorder="1"/>
    <xf numFmtId="15" fontId="33" fillId="0" borderId="10" xfId="0" quotePrefix="1" applyNumberFormat="1" applyFont="1" applyBorder="1" applyAlignment="1">
      <alignment horizontal="center"/>
    </xf>
    <xf numFmtId="15" fontId="33" fillId="0" borderId="2" xfId="0" quotePrefix="1" applyNumberFormat="1" applyFont="1" applyBorder="1" applyAlignment="1">
      <alignment horizontal="center"/>
    </xf>
    <xf numFmtId="0" fontId="45" fillId="4" borderId="24" xfId="0" applyFont="1" applyFill="1" applyBorder="1" applyAlignment="1">
      <alignment horizontal="center"/>
    </xf>
    <xf numFmtId="0" fontId="45" fillId="4" borderId="26" xfId="0" applyFont="1" applyFill="1" applyBorder="1" applyAlignment="1">
      <alignment horizontal="center"/>
    </xf>
    <xf numFmtId="0" fontId="27" fillId="0" borderId="28" xfId="0" applyFont="1" applyBorder="1"/>
    <xf numFmtId="10" fontId="45" fillId="0" borderId="24" xfId="2" applyNumberFormat="1" applyFont="1" applyFill="1" applyBorder="1" applyAlignment="1">
      <alignment horizontal="center"/>
    </xf>
    <xf numFmtId="0" fontId="27" fillId="0" borderId="19" xfId="0" applyFont="1" applyBorder="1"/>
    <xf numFmtId="10" fontId="45" fillId="0" borderId="25" xfId="2" applyNumberFormat="1" applyFont="1" applyFill="1" applyBorder="1" applyAlignment="1">
      <alignment horizontal="center"/>
    </xf>
    <xf numFmtId="0" fontId="27" fillId="0" borderId="21" xfId="0" applyFont="1" applyBorder="1"/>
    <xf numFmtId="10" fontId="45" fillId="0" borderId="26" xfId="2" applyNumberFormat="1" applyFont="1" applyFill="1" applyBorder="1" applyAlignment="1">
      <alignment horizontal="center"/>
    </xf>
    <xf numFmtId="10" fontId="27" fillId="0" borderId="25" xfId="2" applyNumberFormat="1" applyFont="1" applyFill="1" applyBorder="1" applyAlignment="1">
      <alignment horizontal="center"/>
    </xf>
    <xf numFmtId="10" fontId="27" fillId="0" borderId="26" xfId="2" applyNumberFormat="1" applyFont="1" applyFill="1" applyBorder="1" applyAlignment="1">
      <alignment horizontal="center"/>
    </xf>
    <xf numFmtId="10" fontId="45" fillId="0" borderId="25" xfId="2" applyNumberFormat="1" applyFont="1" applyBorder="1" applyAlignment="1">
      <alignment horizontal="center" vertical="center"/>
    </xf>
    <xf numFmtId="10" fontId="45" fillId="0" borderId="26" xfId="2" applyNumberFormat="1" applyFont="1" applyBorder="1" applyAlignment="1">
      <alignment horizontal="center" vertical="center"/>
    </xf>
    <xf numFmtId="10" fontId="27" fillId="0" borderId="24" xfId="2" applyNumberFormat="1" applyFont="1" applyFill="1" applyBorder="1" applyAlignment="1">
      <alignment horizontal="center"/>
    </xf>
    <xf numFmtId="0" fontId="18" fillId="0" borderId="30" xfId="0" applyFont="1" applyBorder="1"/>
    <xf numFmtId="0" fontId="18" fillId="0" borderId="29" xfId="0" applyFont="1" applyBorder="1"/>
    <xf numFmtId="0" fontId="18" fillId="0" borderId="20" xfId="0" applyFont="1" applyBorder="1"/>
    <xf numFmtId="0" fontId="18" fillId="0" borderId="1" xfId="0" applyFont="1" applyBorder="1"/>
    <xf numFmtId="0" fontId="18" fillId="0" borderId="22" xfId="0" applyFont="1" applyBorder="1"/>
    <xf numFmtId="0" fontId="0" fillId="0" borderId="30" xfId="0" applyBorder="1"/>
    <xf numFmtId="0" fontId="69" fillId="0" borderId="0" xfId="0" applyFont="1" applyAlignment="1">
      <alignment vertical="center"/>
    </xf>
    <xf numFmtId="15" fontId="70" fillId="0" borderId="0" xfId="0" quotePrefix="1" applyNumberFormat="1" applyFont="1" applyAlignment="1">
      <alignment horizontal="left"/>
    </xf>
    <xf numFmtId="0" fontId="71" fillId="0" borderId="0" xfId="6" applyFont="1"/>
    <xf numFmtId="0" fontId="65" fillId="0" borderId="0" xfId="0" applyFont="1"/>
    <xf numFmtId="0" fontId="72" fillId="0" borderId="0" xfId="0" applyFont="1" applyAlignment="1">
      <alignment vertical="center"/>
    </xf>
    <xf numFmtId="0" fontId="74" fillId="0" borderId="0" xfId="6" applyFont="1" applyAlignment="1">
      <alignment vertical="center"/>
    </xf>
    <xf numFmtId="0" fontId="71" fillId="0" borderId="0" xfId="6" applyFont="1" applyAlignment="1">
      <alignment vertical="center"/>
    </xf>
    <xf numFmtId="0" fontId="17" fillId="0" borderId="0" xfId="6"/>
    <xf numFmtId="0" fontId="70" fillId="0" borderId="0" xfId="6" applyFont="1"/>
    <xf numFmtId="17" fontId="72" fillId="0" borderId="0" xfId="0" quotePrefix="1" applyNumberFormat="1" applyFont="1" applyAlignment="1">
      <alignment vertical="center"/>
    </xf>
    <xf numFmtId="0" fontId="75" fillId="0" borderId="0" xfId="6" applyFont="1" applyAlignment="1">
      <alignment vertical="center"/>
    </xf>
    <xf numFmtId="0" fontId="75" fillId="0" borderId="0" xfId="0" applyFont="1"/>
    <xf numFmtId="0" fontId="76" fillId="0" borderId="0" xfId="0" applyFont="1" applyAlignment="1">
      <alignment vertical="center"/>
    </xf>
    <xf numFmtId="10" fontId="77" fillId="0" borderId="0" xfId="2" applyNumberFormat="1" applyFont="1" applyFill="1" applyBorder="1" applyAlignment="1">
      <alignment horizontal="left"/>
    </xf>
    <xf numFmtId="0" fontId="4" fillId="0" borderId="0" xfId="0" applyFont="1"/>
    <xf numFmtId="10" fontId="78" fillId="0" borderId="24" xfId="2" applyNumberFormat="1" applyFont="1" applyFill="1" applyBorder="1" applyAlignment="1">
      <alignment horizontal="center"/>
    </xf>
    <xf numFmtId="10" fontId="78" fillId="0" borderId="25" xfId="2" applyNumberFormat="1" applyFont="1" applyFill="1" applyBorder="1" applyAlignment="1">
      <alignment horizontal="center"/>
    </xf>
    <xf numFmtId="10" fontId="78" fillId="0" borderId="26" xfId="2" applyNumberFormat="1" applyFont="1" applyFill="1" applyBorder="1" applyAlignment="1">
      <alignment horizontal="center"/>
    </xf>
    <xf numFmtId="0" fontId="37" fillId="0" borderId="28" xfId="0" applyFont="1" applyBorder="1"/>
    <xf numFmtId="0" fontId="0" fillId="0" borderId="29" xfId="0" applyBorder="1"/>
    <xf numFmtId="0" fontId="37" fillId="0" borderId="19" xfId="0" applyFont="1" applyBorder="1"/>
    <xf numFmtId="0" fontId="0" fillId="0" borderId="20" xfId="0" applyBorder="1"/>
    <xf numFmtId="0" fontId="37" fillId="0" borderId="21" xfId="0" applyFont="1" applyBorder="1"/>
    <xf numFmtId="0" fontId="0" fillId="0" borderId="22" xfId="0" applyBorder="1"/>
    <xf numFmtId="10" fontId="33" fillId="0" borderId="28" xfId="2" applyNumberFormat="1" applyFont="1" applyBorder="1" applyAlignment="1">
      <alignment horizontal="left"/>
    </xf>
    <xf numFmtId="0" fontId="33" fillId="0" borderId="19" xfId="0" applyFont="1" applyBorder="1"/>
    <xf numFmtId="0" fontId="79" fillId="0" borderId="21" xfId="6" applyFont="1" applyBorder="1"/>
    <xf numFmtId="1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1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50" fillId="0" borderId="0" xfId="0" applyNumberFormat="1" applyFont="1" applyAlignment="1">
      <alignment horizontal="left"/>
    </xf>
    <xf numFmtId="0" fontId="80" fillId="0" borderId="0" xfId="0" applyFont="1" applyAlignment="1">
      <alignment horizontal="left"/>
    </xf>
    <xf numFmtId="0" fontId="27" fillId="0" borderId="0" xfId="0" applyFont="1" applyAlignment="1">
      <alignment horizontal="right" indent="1"/>
    </xf>
    <xf numFmtId="0" fontId="0" fillId="0" borderId="24" xfId="0" applyBorder="1"/>
    <xf numFmtId="10" fontId="27" fillId="0" borderId="25" xfId="2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10" fontId="81" fillId="0" borderId="26" xfId="0" applyNumberFormat="1" applyFont="1" applyBorder="1" applyAlignment="1">
      <alignment horizontal="center"/>
    </xf>
    <xf numFmtId="0" fontId="0" fillId="0" borderId="28" xfId="0" applyBorder="1"/>
    <xf numFmtId="0" fontId="0" fillId="0" borderId="21" xfId="0" applyBorder="1"/>
    <xf numFmtId="0" fontId="27" fillId="4" borderId="27" xfId="0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81" fillId="0" borderId="30" xfId="0" applyFont="1" applyBorder="1" applyAlignment="1">
      <alignment horizontal="right"/>
    </xf>
    <xf numFmtId="0" fontId="82" fillId="0" borderId="0" xfId="0" applyFont="1" applyAlignment="1">
      <alignment horizontal="right"/>
    </xf>
    <xf numFmtId="0" fontId="81" fillId="0" borderId="0" xfId="0" applyFont="1" applyAlignment="1">
      <alignment horizontal="right"/>
    </xf>
    <xf numFmtId="0" fontId="81" fillId="0" borderId="1" xfId="0" applyFont="1" applyBorder="1" applyAlignment="1">
      <alignment horizontal="right" vertical="center"/>
    </xf>
    <xf numFmtId="10" fontId="81" fillId="0" borderId="25" xfId="0" applyNumberFormat="1" applyFont="1" applyBorder="1" applyAlignment="1">
      <alignment horizontal="center"/>
    </xf>
    <xf numFmtId="10" fontId="23" fillId="5" borderId="16" xfId="2" applyNumberFormat="1" applyFont="1" applyFill="1" applyBorder="1" applyAlignment="1">
      <alignment horizontal="center"/>
    </xf>
    <xf numFmtId="10" fontId="41" fillId="5" borderId="16" xfId="2" applyNumberFormat="1" applyFont="1" applyFill="1" applyBorder="1" applyAlignment="1">
      <alignment horizontal="center"/>
    </xf>
    <xf numFmtId="10" fontId="21" fillId="0" borderId="0" xfId="0" applyNumberFormat="1" applyFont="1" applyAlignment="1">
      <alignment horizontal="right"/>
    </xf>
    <xf numFmtId="0" fontId="49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7" fillId="4" borderId="18" xfId="0" applyFont="1" applyFill="1" applyBorder="1" applyAlignment="1">
      <alignment horizontal="center"/>
    </xf>
    <xf numFmtId="0" fontId="27" fillId="4" borderId="44" xfId="0" applyFont="1" applyFill="1" applyBorder="1" applyAlignment="1">
      <alignment horizontal="center"/>
    </xf>
    <xf numFmtId="0" fontId="27" fillId="4" borderId="45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180975</xdr:colOff>
      <xdr:row>46</xdr:row>
      <xdr:rowOff>104775</xdr:rowOff>
    </xdr:to>
    <xdr:pic>
      <xdr:nvPicPr>
        <xdr:cNvPr id="27649" name="Picture 1">
          <a:extLst>
            <a:ext uri="{FF2B5EF4-FFF2-40B4-BE49-F238E27FC236}">
              <a16:creationId xmlns:a16="http://schemas.microsoft.com/office/drawing/2014/main" id="{BEB2BE47-A356-7986-3597-1A570D6A7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86575" cy="886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E20" sqref="E20"/>
    </sheetView>
  </sheetViews>
  <sheetFormatPr defaultRowHeight="15"/>
  <cols>
    <col min="5" max="5" width="12.28515625" customWidth="1"/>
    <col min="9" max="9" width="16.42578125" customWidth="1"/>
  </cols>
  <sheetData>
    <row r="1" spans="1:13" ht="18.75">
      <c r="A1" s="468" t="s">
        <v>0</v>
      </c>
      <c r="B1" s="469"/>
      <c r="C1" s="469"/>
      <c r="D1" s="469"/>
      <c r="E1" s="469"/>
      <c r="F1" s="469"/>
      <c r="G1" s="469"/>
      <c r="H1" s="469"/>
      <c r="I1" s="469"/>
    </row>
    <row r="5" spans="1:13" ht="27">
      <c r="E5" s="470" t="s">
        <v>0</v>
      </c>
      <c r="F5" s="471"/>
      <c r="G5" s="471"/>
      <c r="H5" s="471"/>
      <c r="I5" s="471"/>
      <c r="J5" s="471"/>
      <c r="K5" s="471"/>
      <c r="L5" s="471"/>
      <c r="M5" s="471"/>
    </row>
    <row r="7" spans="1:13" ht="27">
      <c r="A7" s="472" t="s">
        <v>30</v>
      </c>
      <c r="B7" s="473"/>
      <c r="C7" s="473"/>
      <c r="D7" s="473"/>
      <c r="E7" s="473"/>
      <c r="F7" s="473"/>
      <c r="G7" s="473"/>
      <c r="H7" s="473"/>
      <c r="I7" s="473"/>
    </row>
    <row r="8" spans="1:13" ht="27">
      <c r="A8" s="4"/>
      <c r="B8" s="5"/>
      <c r="C8" s="5"/>
      <c r="D8" s="5"/>
      <c r="E8" s="470" t="s">
        <v>0</v>
      </c>
      <c r="F8" s="471"/>
      <c r="G8" s="471"/>
      <c r="H8" s="471"/>
      <c r="I8" s="471"/>
      <c r="J8" s="471"/>
      <c r="K8" s="471"/>
      <c r="L8" s="471"/>
      <c r="M8" s="471"/>
    </row>
    <row r="9" spans="1:13" ht="27">
      <c r="A9" s="470" t="s">
        <v>415</v>
      </c>
      <c r="B9" s="471"/>
      <c r="C9" s="471"/>
      <c r="D9" s="471"/>
      <c r="E9" s="471"/>
      <c r="F9" s="471"/>
      <c r="G9" s="471"/>
      <c r="H9" s="471"/>
      <c r="I9" s="471"/>
    </row>
    <row r="15" spans="1:13">
      <c r="A15" s="465" t="s">
        <v>0</v>
      </c>
      <c r="B15" s="466"/>
      <c r="C15" s="466"/>
      <c r="D15" s="466"/>
      <c r="E15" s="466"/>
      <c r="F15" s="466"/>
      <c r="G15" s="466"/>
      <c r="H15" s="466"/>
      <c r="I15" s="466"/>
    </row>
    <row r="16" spans="1:13" ht="33.75">
      <c r="A16" s="463" t="str">
        <f>+'S&amp;D'!A12</f>
        <v>Railroad Carriers</v>
      </c>
      <c r="B16" s="464"/>
      <c r="C16" s="464"/>
      <c r="D16" s="464"/>
      <c r="E16" s="464"/>
      <c r="F16" s="464"/>
      <c r="G16" s="464"/>
      <c r="H16" s="464"/>
      <c r="I16" s="464"/>
    </row>
    <row r="17" spans="1:9">
      <c r="A17" s="465" t="s">
        <v>0</v>
      </c>
      <c r="B17" s="466"/>
      <c r="C17" s="466"/>
      <c r="D17" s="466"/>
      <c r="E17" s="466"/>
      <c r="F17" s="466"/>
      <c r="G17" s="466"/>
      <c r="H17" s="466"/>
      <c r="I17" s="466"/>
    </row>
    <row r="18" spans="1:9">
      <c r="A18" s="6"/>
      <c r="B18" s="7"/>
      <c r="C18" s="7"/>
      <c r="D18" s="7"/>
      <c r="E18" s="7"/>
      <c r="F18" s="7"/>
      <c r="G18" s="7"/>
      <c r="H18" s="7"/>
      <c r="I18" s="7"/>
    </row>
    <row r="19" spans="1:9">
      <c r="A19" s="6"/>
      <c r="B19" s="7"/>
      <c r="C19" s="7"/>
      <c r="D19" s="7"/>
      <c r="E19" s="7"/>
      <c r="F19" s="7"/>
      <c r="G19" s="7"/>
      <c r="H19" s="7"/>
      <c r="I19" s="7"/>
    </row>
    <row r="20" spans="1:9">
      <c r="A20" s="6"/>
      <c r="B20" s="7"/>
      <c r="C20" s="7"/>
      <c r="D20" s="7"/>
      <c r="E20" s="7"/>
      <c r="F20" s="7"/>
      <c r="G20" s="7"/>
      <c r="H20" s="7"/>
      <c r="I20" s="7"/>
    </row>
    <row r="21" spans="1:9">
      <c r="A21" s="6"/>
      <c r="B21" s="7"/>
      <c r="C21" s="7"/>
      <c r="D21" s="7"/>
      <c r="E21" s="7"/>
      <c r="F21" s="7"/>
      <c r="G21" s="7"/>
      <c r="H21" s="7"/>
      <c r="I21" s="7"/>
    </row>
    <row r="22" spans="1:9">
      <c r="A22" s="6"/>
      <c r="B22" s="7"/>
      <c r="C22" s="7"/>
      <c r="D22" s="7"/>
      <c r="E22" s="7"/>
      <c r="F22" s="7"/>
      <c r="G22" s="7"/>
      <c r="H22" s="7"/>
      <c r="I22" s="7"/>
    </row>
    <row r="23" spans="1:9">
      <c r="A23" s="6"/>
      <c r="B23" s="7"/>
      <c r="C23" s="7"/>
      <c r="D23" s="7"/>
      <c r="E23" s="7"/>
      <c r="F23" s="7"/>
      <c r="G23" s="7"/>
      <c r="H23" s="7"/>
      <c r="I23" s="7"/>
    </row>
    <row r="24" spans="1:9">
      <c r="A24" s="6"/>
      <c r="B24" s="7"/>
      <c r="C24" s="7"/>
      <c r="D24" s="7"/>
      <c r="E24" s="7"/>
      <c r="F24" s="7"/>
      <c r="G24" s="7"/>
      <c r="H24" s="7"/>
      <c r="I24" s="7"/>
    </row>
    <row r="25" spans="1:9">
      <c r="A25" s="6"/>
      <c r="B25" s="7"/>
      <c r="C25" s="7"/>
      <c r="D25" s="7"/>
      <c r="E25" s="7"/>
      <c r="F25" s="7"/>
      <c r="G25" s="7"/>
      <c r="H25" s="7"/>
      <c r="I25" s="7"/>
    </row>
    <row r="26" spans="1:9">
      <c r="A26" s="6"/>
      <c r="B26" s="7"/>
      <c r="C26" s="7"/>
      <c r="D26" s="7"/>
      <c r="E26" s="7"/>
      <c r="F26" s="7"/>
      <c r="G26" s="7"/>
      <c r="H26" s="7"/>
      <c r="I26" s="7"/>
    </row>
    <row r="27" spans="1:9">
      <c r="A27" s="6"/>
      <c r="B27" s="7"/>
      <c r="C27" s="7"/>
      <c r="D27" s="7"/>
      <c r="E27" s="7"/>
      <c r="F27" s="7"/>
      <c r="G27" s="7"/>
      <c r="H27" s="7"/>
      <c r="I27" s="7"/>
    </row>
    <row r="28" spans="1:9">
      <c r="A28" s="6"/>
      <c r="B28" s="7"/>
      <c r="C28" s="7"/>
      <c r="D28" s="7"/>
      <c r="E28" s="7"/>
      <c r="F28" s="7"/>
      <c r="G28" s="7"/>
      <c r="H28" s="7"/>
      <c r="I28" s="7"/>
    </row>
    <row r="29" spans="1:9">
      <c r="A29" s="465" t="s">
        <v>0</v>
      </c>
      <c r="B29" s="466"/>
      <c r="C29" s="466"/>
      <c r="D29" s="466"/>
      <c r="E29" s="466"/>
      <c r="F29" s="466"/>
      <c r="G29" s="466"/>
      <c r="H29" s="466"/>
      <c r="I29" s="466"/>
    </row>
    <row r="34" spans="1:9">
      <c r="A34" s="467"/>
      <c r="B34" s="467"/>
      <c r="C34" s="467"/>
      <c r="D34" s="467"/>
      <c r="E34" s="467"/>
      <c r="F34" s="467"/>
      <c r="G34" s="467"/>
      <c r="H34" s="467"/>
      <c r="I34" s="467"/>
    </row>
    <row r="35" spans="1:9">
      <c r="A35" s="467"/>
      <c r="B35" s="467"/>
      <c r="C35" s="467"/>
      <c r="D35" s="467"/>
      <c r="E35" s="467"/>
      <c r="F35" s="467"/>
      <c r="G35" s="467"/>
      <c r="H35" s="467"/>
      <c r="I35" s="467"/>
    </row>
    <row r="36" spans="1:9">
      <c r="A36" s="467"/>
      <c r="B36" s="467"/>
      <c r="C36" s="467"/>
      <c r="D36" s="467"/>
      <c r="E36" s="467"/>
      <c r="F36" s="467"/>
      <c r="G36" s="467"/>
      <c r="H36" s="467"/>
      <c r="I36" s="467"/>
    </row>
    <row r="37" spans="1:9">
      <c r="A37" s="467"/>
      <c r="B37" s="467"/>
      <c r="C37" s="467"/>
      <c r="D37" s="467"/>
      <c r="E37" s="467"/>
      <c r="F37" s="467"/>
      <c r="G37" s="467"/>
      <c r="H37" s="467"/>
      <c r="I37" s="467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7"/>
  <sheetViews>
    <sheetView view="pageBreakPreview" topLeftCell="A3" zoomScale="60" zoomScaleNormal="80" workbookViewId="0">
      <selection activeCell="K17" sqref="K17"/>
    </sheetView>
  </sheetViews>
  <sheetFormatPr defaultRowHeight="15"/>
  <cols>
    <col min="1" max="1" width="39.7109375" customWidth="1"/>
    <col min="2" max="2" width="13.42578125" customWidth="1"/>
    <col min="3" max="3" width="19.140625" bestFit="1" customWidth="1"/>
    <col min="4" max="4" width="20.85546875" customWidth="1"/>
    <col min="5" max="5" width="21.85546875" customWidth="1"/>
    <col min="6" max="6" width="16.140625" customWidth="1"/>
    <col min="7" max="7" width="12.140625" customWidth="1"/>
    <col min="8" max="8" width="18.5703125" customWidth="1"/>
    <col min="9" max="9" width="15.5703125" customWidth="1"/>
    <col min="10" max="11" width="20.5703125" customWidth="1"/>
    <col min="12" max="12" width="26.5703125" customWidth="1"/>
    <col min="13" max="13" width="6.5703125" customWidth="1"/>
  </cols>
  <sheetData>
    <row r="1" spans="1:13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6.5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7.25" thickBot="1">
      <c r="A5" s="8"/>
      <c r="B5" s="8"/>
      <c r="C5" s="8"/>
      <c r="D5" s="8"/>
      <c r="E5" s="8"/>
      <c r="F5" s="8"/>
      <c r="G5" s="22"/>
      <c r="H5" s="22"/>
      <c r="I5" s="8"/>
      <c r="J5" s="8"/>
      <c r="K5" s="8"/>
      <c r="L5" s="8"/>
      <c r="M5" s="8"/>
    </row>
    <row r="6" spans="1:13" ht="21" thickBot="1">
      <c r="A6" s="227" t="str">
        <f>+'S&amp;D'!A12</f>
        <v>Railroad Carriers</v>
      </c>
      <c r="B6" s="163"/>
      <c r="C6" s="8"/>
      <c r="D6" s="24"/>
      <c r="E6" s="24"/>
      <c r="F6" s="25" t="s">
        <v>0</v>
      </c>
      <c r="G6" s="8"/>
      <c r="H6" s="8"/>
      <c r="I6" s="8"/>
      <c r="J6" s="8"/>
      <c r="K6" s="8"/>
      <c r="L6" s="8"/>
      <c r="M6" s="8"/>
    </row>
    <row r="7" spans="1:13" ht="26.25">
      <c r="A7" s="26"/>
      <c r="B7" s="8"/>
      <c r="C7" s="8"/>
      <c r="D7" s="8"/>
      <c r="E7" s="27" t="s">
        <v>491</v>
      </c>
      <c r="F7" s="8"/>
      <c r="G7" s="8"/>
      <c r="H7" s="8"/>
      <c r="I7" s="8"/>
      <c r="J7" s="8"/>
      <c r="K7" s="8"/>
      <c r="L7" s="8"/>
      <c r="M7" s="8"/>
    </row>
    <row r="8" spans="1:13" ht="21" thickBot="1">
      <c r="A8" s="26"/>
      <c r="B8" s="8"/>
      <c r="C8" s="8"/>
      <c r="D8" s="24"/>
      <c r="E8" s="28" t="s">
        <v>417</v>
      </c>
      <c r="F8" s="24"/>
      <c r="G8" s="8"/>
      <c r="H8" s="8"/>
      <c r="I8" s="8"/>
      <c r="J8" s="8"/>
      <c r="K8" s="8"/>
      <c r="L8" s="8"/>
      <c r="M8" s="8"/>
    </row>
    <row r="9" spans="1:13" ht="17.25" thickBot="1">
      <c r="A9" s="29" t="s">
        <v>0</v>
      </c>
      <c r="B9" s="29" t="s">
        <v>0</v>
      </c>
      <c r="C9" s="29" t="s">
        <v>0</v>
      </c>
      <c r="D9" s="29" t="s">
        <v>0</v>
      </c>
      <c r="E9" s="29" t="s">
        <v>0</v>
      </c>
      <c r="F9" s="29" t="s">
        <v>0</v>
      </c>
      <c r="G9" s="29"/>
      <c r="H9" s="29"/>
      <c r="I9" s="29" t="s">
        <v>0</v>
      </c>
      <c r="J9" s="24"/>
      <c r="L9" s="8"/>
      <c r="M9" s="8"/>
    </row>
    <row r="10" spans="1:13" ht="16.5">
      <c r="A10" s="30" t="s">
        <v>0</v>
      </c>
      <c r="B10" s="30" t="s">
        <v>3</v>
      </c>
      <c r="C10" s="30" t="s">
        <v>5</v>
      </c>
      <c r="D10" s="30" t="s">
        <v>21</v>
      </c>
      <c r="E10" s="30" t="s">
        <v>20</v>
      </c>
      <c r="F10" s="30" t="s">
        <v>51</v>
      </c>
      <c r="G10" s="30" t="s">
        <v>125</v>
      </c>
      <c r="H10" s="30" t="s">
        <v>484</v>
      </c>
      <c r="I10" s="30" t="s">
        <v>125</v>
      </c>
      <c r="J10" s="30" t="s">
        <v>48</v>
      </c>
      <c r="L10" s="8"/>
      <c r="M10" s="8"/>
    </row>
    <row r="11" spans="1:13" ht="17.25" thickBot="1">
      <c r="A11" s="32" t="s">
        <v>2</v>
      </c>
      <c r="B11" s="32" t="s">
        <v>4</v>
      </c>
      <c r="C11" s="32" t="s">
        <v>6</v>
      </c>
      <c r="D11" s="32" t="s">
        <v>23</v>
      </c>
      <c r="E11" s="32" t="s">
        <v>22</v>
      </c>
      <c r="F11" s="32" t="s">
        <v>49</v>
      </c>
      <c r="G11" s="32" t="s">
        <v>49</v>
      </c>
      <c r="H11" s="32" t="s">
        <v>49</v>
      </c>
      <c r="I11" s="32" t="s">
        <v>49</v>
      </c>
      <c r="J11" s="32" t="s">
        <v>50</v>
      </c>
      <c r="L11" s="8"/>
      <c r="M11" s="8"/>
    </row>
    <row r="12" spans="1:13" ht="16.5">
      <c r="A12" s="34" t="s">
        <v>7</v>
      </c>
      <c r="B12" s="34" t="s">
        <v>7</v>
      </c>
      <c r="C12" s="34" t="s">
        <v>7</v>
      </c>
      <c r="D12" s="34" t="s">
        <v>7</v>
      </c>
      <c r="E12" s="34" t="s">
        <v>7</v>
      </c>
      <c r="F12" s="34" t="s">
        <v>0</v>
      </c>
      <c r="G12" s="34" t="s">
        <v>0</v>
      </c>
      <c r="H12" s="34" t="s">
        <v>0</v>
      </c>
      <c r="I12" s="34" t="s">
        <v>0</v>
      </c>
      <c r="J12" s="34" t="s">
        <v>0</v>
      </c>
      <c r="L12" s="8"/>
      <c r="M12" s="8"/>
    </row>
    <row r="13" spans="1:13" ht="16.5">
      <c r="A13" s="30"/>
      <c r="B13" s="30"/>
      <c r="C13" s="30"/>
      <c r="D13" s="30"/>
      <c r="E13" s="30"/>
      <c r="F13" s="30"/>
      <c r="G13" s="30"/>
      <c r="H13" s="30"/>
      <c r="I13" s="30"/>
      <c r="J13" s="30"/>
      <c r="L13" s="8"/>
      <c r="M13" s="8"/>
    </row>
    <row r="14" spans="1:13" ht="16.5">
      <c r="A14" s="8"/>
      <c r="B14" s="8"/>
      <c r="C14" s="8"/>
      <c r="D14" s="8"/>
      <c r="E14" s="8"/>
      <c r="F14" s="8"/>
      <c r="G14" s="8"/>
      <c r="H14" s="8"/>
      <c r="I14" s="8"/>
      <c r="J14" s="8"/>
      <c r="L14" s="8"/>
      <c r="M14" s="8"/>
    </row>
    <row r="15" spans="1:13" ht="17.25">
      <c r="A15" s="57" t="str">
        <f>+'S&amp;D'!A22</f>
        <v>Canadian National</v>
      </c>
      <c r="B15" s="84" t="str">
        <f>+'S&amp;D'!B22</f>
        <v>CNI</v>
      </c>
      <c r="C15" s="30" t="str">
        <f>+'S&amp;D'!C22</f>
        <v>Railroad</v>
      </c>
      <c r="D15" s="48">
        <f>+'Beta for CAPM'!D18</f>
        <v>0.25</v>
      </c>
      <c r="E15" s="30" t="str">
        <f>+'Beta for CAPM'!G18</f>
        <v>A+</v>
      </c>
      <c r="F15" s="30" t="s">
        <v>60</v>
      </c>
      <c r="G15" s="344">
        <v>9</v>
      </c>
      <c r="H15" s="56" t="s">
        <v>134</v>
      </c>
      <c r="I15" s="343">
        <f>VLOOKUP(H15,$A$33:$E$56,2,0)</f>
        <v>8</v>
      </c>
      <c r="J15" s="461">
        <f>VLOOKUP(I15,$B$33:$E$56,3,0)</f>
        <v>5.5300000000000002E-2</v>
      </c>
      <c r="L15" s="8"/>
      <c r="M15" s="8"/>
    </row>
    <row r="16" spans="1:13" ht="17.25">
      <c r="A16" s="57" t="str">
        <f>+'S&amp;D'!A23</f>
        <v>Canadian Pacific Kansas City Limited  CPKC</v>
      </c>
      <c r="B16" s="84" t="str">
        <f>+'S&amp;D'!B23</f>
        <v>CP</v>
      </c>
      <c r="C16" s="30" t="str">
        <f>+'S&amp;D'!C23</f>
        <v>Railroad</v>
      </c>
      <c r="D16" s="48">
        <f>+'Beta for CAPM'!D19</f>
        <v>0.24</v>
      </c>
      <c r="E16" s="30" t="str">
        <f>+'Beta for CAPM'!G19</f>
        <v>A</v>
      </c>
      <c r="F16" s="30" t="s">
        <v>295</v>
      </c>
      <c r="G16" s="344">
        <v>10</v>
      </c>
      <c r="H16" s="56" t="s">
        <v>53</v>
      </c>
      <c r="I16" s="343">
        <f t="shared" ref="I16:I19" si="0">VLOOKUP(H16,$A$33:$E$56,2,0)</f>
        <v>10</v>
      </c>
      <c r="J16" s="461">
        <f t="shared" ref="J16:J19" si="1">VLOOKUP(I16,$B$33:$E$56,3,0)</f>
        <v>5.8000000000000003E-2</v>
      </c>
      <c r="L16" s="8"/>
      <c r="M16" s="8"/>
    </row>
    <row r="17" spans="1:13" ht="17.25">
      <c r="A17" s="57" t="str">
        <f>+'S&amp;D'!A24</f>
        <v>CSX Corp</v>
      </c>
      <c r="B17" s="84" t="str">
        <f>+'S&amp;D'!B24</f>
        <v>CSX</v>
      </c>
      <c r="C17" s="30" t="str">
        <f>+'S&amp;D'!C24</f>
        <v>Railroad</v>
      </c>
      <c r="D17" s="48">
        <f>+'Beta for CAPM'!D20</f>
        <v>0.24</v>
      </c>
      <c r="E17" s="30" t="str">
        <f>+'Beta for CAPM'!G20</f>
        <v>A</v>
      </c>
      <c r="F17" s="30" t="s">
        <v>295</v>
      </c>
      <c r="G17" s="344">
        <v>10</v>
      </c>
      <c r="H17" s="56" t="s">
        <v>58</v>
      </c>
      <c r="I17" s="343">
        <f t="shared" si="0"/>
        <v>9</v>
      </c>
      <c r="J17" s="461">
        <f t="shared" si="1"/>
        <v>5.5300000000000002E-2</v>
      </c>
      <c r="L17" s="8"/>
      <c r="M17" s="8"/>
    </row>
    <row r="18" spans="1:13" ht="17.25">
      <c r="A18" s="57" t="str">
        <f>+'S&amp;D'!A25</f>
        <v>Norfolk Southern</v>
      </c>
      <c r="B18" s="84" t="str">
        <f>+'S&amp;D'!B25</f>
        <v>NSC</v>
      </c>
      <c r="C18" s="30" t="str">
        <f>+'S&amp;D'!C25</f>
        <v>Railroad</v>
      </c>
      <c r="D18" s="48">
        <f>+'Beta for CAPM'!D21</f>
        <v>0.23</v>
      </c>
      <c r="E18" s="30" t="str">
        <f>+'Beta for CAPM'!G21</f>
        <v>A+</v>
      </c>
      <c r="F18" s="223" t="s">
        <v>295</v>
      </c>
      <c r="G18" s="344">
        <v>10</v>
      </c>
      <c r="H18" s="56" t="s">
        <v>53</v>
      </c>
      <c r="I18" s="343">
        <f t="shared" si="0"/>
        <v>10</v>
      </c>
      <c r="J18" s="461">
        <f t="shared" si="1"/>
        <v>5.8000000000000003E-2</v>
      </c>
      <c r="L18" s="8"/>
      <c r="M18" s="8"/>
    </row>
    <row r="19" spans="1:13" ht="17.25">
      <c r="A19" s="57" t="str">
        <f>+'S&amp;D'!A26</f>
        <v>Union Pacific Railroad</v>
      </c>
      <c r="B19" s="84" t="str">
        <f>+'S&amp;D'!B26</f>
        <v>UNP</v>
      </c>
      <c r="C19" s="30" t="str">
        <f>+'S&amp;D'!C26</f>
        <v>Railroad</v>
      </c>
      <c r="D19" s="48">
        <f>+'Beta for CAPM'!D22</f>
        <v>0.24</v>
      </c>
      <c r="E19" s="30" t="str">
        <f>+'Beta for CAPM'!G22</f>
        <v>A+</v>
      </c>
      <c r="F19" s="30" t="s">
        <v>406</v>
      </c>
      <c r="G19" s="344">
        <v>9</v>
      </c>
      <c r="H19" s="56" t="s">
        <v>58</v>
      </c>
      <c r="I19" s="343">
        <f t="shared" si="0"/>
        <v>9</v>
      </c>
      <c r="J19" s="461">
        <f t="shared" si="1"/>
        <v>5.5300000000000002E-2</v>
      </c>
      <c r="L19" s="8"/>
      <c r="M19" s="8"/>
    </row>
    <row r="20" spans="1:13" ht="17.25" thickBot="1">
      <c r="A20" s="8"/>
      <c r="B20" s="8"/>
      <c r="C20" s="39"/>
      <c r="D20" s="42"/>
      <c r="E20" s="42"/>
      <c r="F20" s="42"/>
      <c r="G20" s="42"/>
      <c r="H20" s="42" t="s">
        <v>45</v>
      </c>
      <c r="I20" s="42"/>
      <c r="J20" s="42"/>
      <c r="L20" s="8"/>
      <c r="M20" s="8"/>
    </row>
    <row r="21" spans="1:13" ht="17.25" thickTop="1">
      <c r="A21" s="8"/>
      <c r="B21" s="8"/>
      <c r="E21" s="10" t="s">
        <v>46</v>
      </c>
      <c r="G21" s="283">
        <f>MAX(G15:G19)</f>
        <v>10</v>
      </c>
      <c r="H21" s="271"/>
      <c r="I21" s="283">
        <f>MAX(I15:I19)</f>
        <v>10</v>
      </c>
      <c r="J21" s="271">
        <f>MAX(J15:J19)</f>
        <v>5.8000000000000003E-2</v>
      </c>
      <c r="L21" s="8"/>
      <c r="M21" s="8"/>
    </row>
    <row r="22" spans="1:13" ht="16.5">
      <c r="A22" s="8"/>
      <c r="B22" s="8"/>
      <c r="E22" s="288" t="s">
        <v>47</v>
      </c>
      <c r="F22" s="209"/>
      <c r="G22" s="284">
        <f>MIN(G15:G19)</f>
        <v>9</v>
      </c>
      <c r="H22" s="272"/>
      <c r="I22" s="284">
        <f>MIN(I15:I19)</f>
        <v>8</v>
      </c>
      <c r="J22" s="272">
        <f>MIN(J15:J19)</f>
        <v>5.5300000000000002E-2</v>
      </c>
      <c r="L22" s="8"/>
      <c r="M22" s="8"/>
    </row>
    <row r="23" spans="1:13" ht="16.5">
      <c r="A23" s="8"/>
      <c r="B23" s="8"/>
      <c r="E23" s="10" t="s">
        <v>18</v>
      </c>
      <c r="G23" s="184">
        <f>MEDIAN(G15:G19)</f>
        <v>10</v>
      </c>
      <c r="H23" s="50" t="s">
        <v>0</v>
      </c>
      <c r="I23" s="184">
        <f>MEDIAN(I15:I19)</f>
        <v>9</v>
      </c>
      <c r="J23" s="50">
        <f>MEDIAN(J15:J19)</f>
        <v>5.5300000000000002E-2</v>
      </c>
      <c r="L23" s="8"/>
      <c r="M23" s="8"/>
    </row>
    <row r="24" spans="1:13" ht="16.5">
      <c r="A24" s="8"/>
      <c r="B24" s="8"/>
      <c r="D24" s="10" t="s">
        <v>0</v>
      </c>
      <c r="E24" s="10" t="s">
        <v>375</v>
      </c>
      <c r="G24" s="184">
        <f>AVERAGE(G15:G19)</f>
        <v>9.6</v>
      </c>
      <c r="H24" s="50" t="s">
        <v>0</v>
      </c>
      <c r="I24" s="184">
        <f>AVERAGE(I15:I19)</f>
        <v>9.1999999999999993</v>
      </c>
      <c r="J24" s="50">
        <f>AVERAGE(J15:J19)</f>
        <v>5.6380000000000006E-2</v>
      </c>
      <c r="L24" s="8"/>
      <c r="M24" s="8"/>
    </row>
    <row r="25" spans="1:13" ht="16.5">
      <c r="A25" s="8"/>
      <c r="B25" s="8"/>
      <c r="D25" s="51"/>
      <c r="E25" s="10"/>
      <c r="G25" s="184"/>
      <c r="H25" s="50"/>
      <c r="I25" s="184"/>
      <c r="J25" s="50"/>
      <c r="L25" s="8"/>
      <c r="M25" s="8"/>
    </row>
    <row r="26" spans="1:13" ht="17.25" thickBot="1">
      <c r="A26" s="8"/>
      <c r="B26" s="8"/>
      <c r="C26" s="8"/>
      <c r="D26" s="8"/>
      <c r="E26" s="10"/>
      <c r="F26" s="51"/>
      <c r="H26" s="8"/>
      <c r="I26" s="8"/>
      <c r="J26" s="8"/>
      <c r="K26" s="8"/>
      <c r="L26" s="8"/>
      <c r="M26" s="8"/>
    </row>
    <row r="27" spans="1:13" ht="27" thickBot="1">
      <c r="A27" s="8"/>
      <c r="B27" s="8"/>
      <c r="C27" s="8"/>
      <c r="D27" s="8"/>
      <c r="E27" s="8"/>
      <c r="F27" s="156"/>
      <c r="G27" s="281"/>
      <c r="H27" s="157" t="s">
        <v>229</v>
      </c>
      <c r="I27" s="159"/>
      <c r="J27" s="158">
        <v>5.6399999999999999E-2</v>
      </c>
      <c r="K27" s="8"/>
      <c r="L27" s="8"/>
      <c r="M27" s="8"/>
    </row>
    <row r="28" spans="1:13" ht="16.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6.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6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ht="21" thickBot="1">
      <c r="A31" s="241" t="s">
        <v>138</v>
      </c>
      <c r="B31" s="8"/>
      <c r="G31" s="8"/>
      <c r="H31" s="8"/>
      <c r="I31" s="8"/>
      <c r="J31" s="8"/>
      <c r="K31" s="8"/>
      <c r="L31" s="8"/>
      <c r="M31" s="8"/>
    </row>
    <row r="32" spans="1:13" ht="27.6" customHeight="1">
      <c r="A32" s="370" t="s">
        <v>483</v>
      </c>
      <c r="B32" s="370" t="s">
        <v>306</v>
      </c>
      <c r="C32" s="370" t="s">
        <v>376</v>
      </c>
      <c r="D32" s="386" t="s">
        <v>413</v>
      </c>
      <c r="E32" s="386" t="s">
        <v>414</v>
      </c>
      <c r="F32" s="8"/>
      <c r="G32" s="8"/>
      <c r="H32" s="8"/>
      <c r="I32" s="8"/>
      <c r="M32" s="8"/>
    </row>
    <row r="33" spans="1:13" ht="17.25">
      <c r="A33" s="247" t="s">
        <v>318</v>
      </c>
      <c r="B33" s="251">
        <v>1</v>
      </c>
      <c r="C33" s="248" t="s">
        <v>317</v>
      </c>
      <c r="D33" s="371">
        <v>5.1999999999999998E-2</v>
      </c>
      <c r="E33" s="371">
        <v>5.1999999999999998E-2</v>
      </c>
      <c r="F33" s="8"/>
      <c r="G33" s="8"/>
      <c r="H33" s="8"/>
      <c r="I33" s="8"/>
      <c r="M33" s="8"/>
    </row>
    <row r="34" spans="1:13" ht="17.25">
      <c r="A34" s="52" t="s">
        <v>319</v>
      </c>
      <c r="B34" s="242">
        <v>2</v>
      </c>
      <c r="C34" s="249" t="s">
        <v>291</v>
      </c>
      <c r="D34" s="371">
        <v>5.1999999999999998E-2</v>
      </c>
      <c r="E34" s="371">
        <v>5.1999999999999998E-2</v>
      </c>
      <c r="F34" s="8" t="s">
        <v>186</v>
      </c>
      <c r="H34" s="8"/>
      <c r="I34" s="8"/>
      <c r="J34" s="8"/>
      <c r="M34" s="8"/>
    </row>
    <row r="35" spans="1:13" ht="18" thickBot="1">
      <c r="A35" s="53" t="s">
        <v>320</v>
      </c>
      <c r="B35" s="244">
        <v>3</v>
      </c>
      <c r="C35" s="250" t="s">
        <v>316</v>
      </c>
      <c r="D35" s="372">
        <v>5.1999999999999998E-2</v>
      </c>
      <c r="E35" s="371">
        <v>5.1999999999999998E-2</v>
      </c>
      <c r="F35" s="8"/>
      <c r="H35" s="8"/>
      <c r="I35" s="8"/>
      <c r="J35" s="8"/>
      <c r="M35" s="8"/>
    </row>
    <row r="36" spans="1:13" ht="17.25">
      <c r="A36" s="52" t="s">
        <v>137</v>
      </c>
      <c r="B36" s="242">
        <v>4</v>
      </c>
      <c r="C36" s="243" t="s">
        <v>290</v>
      </c>
      <c r="D36" s="371">
        <v>5.3699999999999998E-2</v>
      </c>
      <c r="E36" s="371">
        <v>5.45E-2</v>
      </c>
      <c r="F36" s="8"/>
      <c r="H36" s="8"/>
      <c r="I36" s="8"/>
      <c r="J36" s="8"/>
      <c r="M36" s="8"/>
    </row>
    <row r="37" spans="1:13" ht="17.25">
      <c r="A37" s="52" t="s">
        <v>136</v>
      </c>
      <c r="B37" s="242">
        <v>5</v>
      </c>
      <c r="C37" s="243" t="s">
        <v>292</v>
      </c>
      <c r="D37" s="371">
        <v>5.3699999999999998E-2</v>
      </c>
      <c r="E37" s="371">
        <v>5.45E-2</v>
      </c>
      <c r="F37" s="8" t="s">
        <v>293</v>
      </c>
      <c r="H37" s="8"/>
      <c r="I37" s="8"/>
      <c r="J37" s="8"/>
      <c r="M37" s="8"/>
    </row>
    <row r="38" spans="1:13" ht="18" thickBot="1">
      <c r="A38" s="53" t="s">
        <v>135</v>
      </c>
      <c r="B38" s="244">
        <v>6</v>
      </c>
      <c r="C38" s="245" t="s">
        <v>294</v>
      </c>
      <c r="D38" s="373">
        <v>5.3699999999999998E-2</v>
      </c>
      <c r="E38" s="371">
        <v>5.45E-2</v>
      </c>
      <c r="F38" s="8"/>
      <c r="H38" s="8"/>
      <c r="I38" s="8"/>
      <c r="J38" s="8"/>
      <c r="M38" s="8"/>
    </row>
    <row r="39" spans="1:13" ht="17.25">
      <c r="A39" s="52" t="s">
        <v>56</v>
      </c>
      <c r="B39" s="242">
        <v>7</v>
      </c>
      <c r="C39" s="243" t="s">
        <v>44</v>
      </c>
      <c r="D39" s="374">
        <v>5.5300000000000002E-2</v>
      </c>
      <c r="E39" s="375">
        <v>5.5800000000000002E-2</v>
      </c>
      <c r="H39" s="8"/>
      <c r="I39" s="8"/>
      <c r="J39" s="8"/>
      <c r="M39" s="8"/>
    </row>
    <row r="40" spans="1:13" ht="17.25">
      <c r="A40" s="52" t="s">
        <v>134</v>
      </c>
      <c r="B40" s="242">
        <v>8</v>
      </c>
      <c r="C40" s="243" t="s">
        <v>24</v>
      </c>
      <c r="D40" s="375">
        <v>5.5300000000000002E-2</v>
      </c>
      <c r="E40" s="375">
        <v>5.5800000000000002E-2</v>
      </c>
      <c r="F40" s="8" t="s">
        <v>187</v>
      </c>
      <c r="H40" s="8"/>
      <c r="I40" s="8"/>
      <c r="J40" s="8"/>
      <c r="M40" s="8"/>
    </row>
    <row r="41" spans="1:13" ht="18" thickBot="1">
      <c r="A41" s="53" t="s">
        <v>58</v>
      </c>
      <c r="B41" s="244">
        <v>9</v>
      </c>
      <c r="C41" s="245" t="s">
        <v>60</v>
      </c>
      <c r="D41" s="373">
        <v>5.5300000000000002E-2</v>
      </c>
      <c r="E41" s="375">
        <v>5.5800000000000002E-2</v>
      </c>
      <c r="F41" s="8"/>
      <c r="H41" s="8"/>
      <c r="I41" s="8"/>
      <c r="J41" s="8"/>
      <c r="M41" s="8"/>
    </row>
    <row r="42" spans="1:13" ht="17.25">
      <c r="A42" s="52" t="s">
        <v>53</v>
      </c>
      <c r="B42" s="242">
        <v>10</v>
      </c>
      <c r="C42" s="243" t="s">
        <v>295</v>
      </c>
      <c r="D42" s="375">
        <v>5.8000000000000003E-2</v>
      </c>
      <c r="E42" s="375">
        <v>5.7700000000000001E-2</v>
      </c>
      <c r="H42" s="8"/>
      <c r="I42" s="8"/>
      <c r="J42" s="8"/>
      <c r="K42" s="8"/>
      <c r="L42" s="8"/>
      <c r="M42" s="8"/>
    </row>
    <row r="43" spans="1:13" ht="17.25">
      <c r="A43" s="52" t="s">
        <v>54</v>
      </c>
      <c r="B43" s="242">
        <v>11</v>
      </c>
      <c r="C43" s="243" t="s">
        <v>296</v>
      </c>
      <c r="D43" s="375">
        <v>5.8000000000000003E-2</v>
      </c>
      <c r="E43" s="375">
        <v>5.7700000000000001E-2</v>
      </c>
      <c r="F43" s="8" t="s">
        <v>190</v>
      </c>
      <c r="H43" s="8"/>
      <c r="I43" s="8"/>
      <c r="J43" s="8"/>
      <c r="K43" s="8"/>
      <c r="L43" s="8"/>
      <c r="M43" s="8"/>
    </row>
    <row r="44" spans="1:13" ht="18" thickBot="1">
      <c r="A44" s="53" t="s">
        <v>59</v>
      </c>
      <c r="B44" s="244">
        <v>12</v>
      </c>
      <c r="C44" s="245" t="s">
        <v>297</v>
      </c>
      <c r="D44" s="375">
        <v>5.8000000000000003E-2</v>
      </c>
      <c r="E44" s="375">
        <v>5.7700000000000001E-2</v>
      </c>
      <c r="F44" s="8"/>
      <c r="H44" s="8"/>
      <c r="I44" s="8"/>
      <c r="J44" s="8"/>
      <c r="K44" s="8"/>
      <c r="L44" s="8"/>
      <c r="M44" s="8"/>
    </row>
    <row r="45" spans="1:13" ht="17.25">
      <c r="A45" s="52" t="s">
        <v>57</v>
      </c>
      <c r="B45" s="242">
        <v>13</v>
      </c>
      <c r="C45" s="243" t="s">
        <v>298</v>
      </c>
      <c r="D45" s="374">
        <v>6.8400000000000002E-2</v>
      </c>
      <c r="E45" s="371">
        <v>6.8099999999999994E-2</v>
      </c>
      <c r="H45" s="8"/>
      <c r="I45" s="8"/>
      <c r="J45" s="8"/>
      <c r="K45" s="8"/>
      <c r="L45" s="8"/>
      <c r="M45" s="8"/>
    </row>
    <row r="46" spans="1:13" ht="17.25">
      <c r="A46" s="52" t="s">
        <v>133</v>
      </c>
      <c r="B46" s="242">
        <v>14</v>
      </c>
      <c r="C46" s="243" t="s">
        <v>299</v>
      </c>
      <c r="D46" s="371">
        <v>6.8400000000000002E-2</v>
      </c>
      <c r="E46" s="371">
        <v>6.8099999999999994E-2</v>
      </c>
      <c r="F46" s="8" t="s">
        <v>189</v>
      </c>
      <c r="H46" s="8"/>
      <c r="I46" s="8"/>
      <c r="J46" s="8"/>
      <c r="K46" s="8"/>
      <c r="L46" s="8"/>
      <c r="M46" s="8"/>
    </row>
    <row r="47" spans="1:13" ht="18" thickBot="1">
      <c r="A47" s="53" t="s">
        <v>132</v>
      </c>
      <c r="B47" s="244">
        <v>15</v>
      </c>
      <c r="C47" s="245" t="s">
        <v>300</v>
      </c>
      <c r="D47" s="372">
        <v>6.8400000000000002E-2</v>
      </c>
      <c r="E47" s="371">
        <v>6.8099999999999994E-2</v>
      </c>
      <c r="F47" s="8"/>
      <c r="H47" s="8"/>
      <c r="I47" s="8"/>
      <c r="J47" s="8"/>
      <c r="K47" s="8"/>
      <c r="L47" s="8"/>
      <c r="M47" s="8"/>
    </row>
    <row r="48" spans="1:13" ht="17.25">
      <c r="A48" s="52" t="s">
        <v>131</v>
      </c>
      <c r="B48" s="242">
        <v>16</v>
      </c>
      <c r="C48" s="243" t="s">
        <v>25</v>
      </c>
      <c r="D48" s="374">
        <v>7.3300000000000004E-2</v>
      </c>
      <c r="E48" s="375">
        <v>7.2999999999999995E-2</v>
      </c>
      <c r="H48" s="8"/>
      <c r="I48" s="8"/>
      <c r="J48" s="8"/>
      <c r="K48" s="8"/>
      <c r="L48" s="8"/>
      <c r="M48" s="8"/>
    </row>
    <row r="49" spans="1:13" ht="17.25">
      <c r="A49" s="52" t="s">
        <v>130</v>
      </c>
      <c r="B49" s="242">
        <v>17</v>
      </c>
      <c r="C49" s="243" t="s">
        <v>89</v>
      </c>
      <c r="D49" s="375">
        <v>7.3300000000000004E-2</v>
      </c>
      <c r="E49" s="375">
        <v>7.2999999999999995E-2</v>
      </c>
      <c r="F49" s="8" t="s">
        <v>188</v>
      </c>
      <c r="H49" s="8"/>
      <c r="I49" s="8"/>
      <c r="J49" s="8"/>
      <c r="K49" s="8"/>
      <c r="L49" s="8"/>
      <c r="M49" s="8"/>
    </row>
    <row r="50" spans="1:13" ht="18" thickBot="1">
      <c r="A50" s="53" t="s">
        <v>129</v>
      </c>
      <c r="B50" s="244">
        <v>18</v>
      </c>
      <c r="C50" s="245" t="s">
        <v>301</v>
      </c>
      <c r="D50" s="372">
        <v>7.3300000000000004E-2</v>
      </c>
      <c r="E50" s="375">
        <v>7.2999999999999995E-2</v>
      </c>
      <c r="F50" s="8"/>
      <c r="H50" s="8"/>
      <c r="I50" s="8"/>
      <c r="J50" s="8"/>
      <c r="K50" s="8"/>
      <c r="L50" s="8"/>
      <c r="M50" s="8"/>
    </row>
    <row r="51" spans="1:13" ht="17.25">
      <c r="A51" s="52" t="s">
        <v>128</v>
      </c>
      <c r="B51" s="242">
        <v>19</v>
      </c>
      <c r="C51" s="243" t="s">
        <v>302</v>
      </c>
      <c r="D51" s="375">
        <v>7.8200000000000006E-2</v>
      </c>
      <c r="E51" s="375">
        <v>7.7899999999999997E-2</v>
      </c>
      <c r="H51" s="8"/>
      <c r="I51" s="8"/>
      <c r="J51" s="8"/>
      <c r="K51" s="8"/>
      <c r="L51" s="8"/>
      <c r="M51" s="8"/>
    </row>
    <row r="52" spans="1:13" ht="17.25">
      <c r="A52" s="52" t="s">
        <v>127</v>
      </c>
      <c r="B52" s="242">
        <v>20</v>
      </c>
      <c r="C52" s="243" t="s">
        <v>303</v>
      </c>
      <c r="D52" s="375">
        <v>7.8200000000000006E-2</v>
      </c>
      <c r="E52" s="375">
        <v>7.7899999999999997E-2</v>
      </c>
      <c r="F52" s="8" t="s">
        <v>185</v>
      </c>
      <c r="H52" s="8"/>
      <c r="I52" s="8"/>
      <c r="J52" s="8"/>
      <c r="K52" s="8"/>
      <c r="L52" s="8"/>
      <c r="M52" s="8"/>
    </row>
    <row r="53" spans="1:13" ht="18" thickBot="1">
      <c r="A53" s="53" t="s">
        <v>126</v>
      </c>
      <c r="B53" s="244">
        <v>21</v>
      </c>
      <c r="C53" s="350" t="s">
        <v>304</v>
      </c>
      <c r="D53" s="373">
        <v>7.8200000000000006E-2</v>
      </c>
      <c r="E53" s="375">
        <v>7.7899999999999997E-2</v>
      </c>
      <c r="F53" s="8"/>
      <c r="H53" s="8"/>
      <c r="I53" s="8"/>
      <c r="J53" s="8"/>
      <c r="K53" s="8"/>
      <c r="L53" s="8"/>
      <c r="M53" s="8"/>
    </row>
    <row r="54" spans="1:13" ht="17.25">
      <c r="A54" s="348" t="s">
        <v>311</v>
      </c>
      <c r="B54" s="376">
        <v>22</v>
      </c>
      <c r="C54" s="377" t="s">
        <v>314</v>
      </c>
      <c r="D54" s="375">
        <v>8.3099999999999993E-2</v>
      </c>
      <c r="E54" s="375">
        <v>8.2799999999999999E-2</v>
      </c>
      <c r="H54" s="8"/>
      <c r="I54" s="8"/>
      <c r="J54" s="8"/>
      <c r="K54" s="8"/>
      <c r="L54" s="8"/>
      <c r="M54" s="8"/>
    </row>
    <row r="55" spans="1:13" ht="17.25">
      <c r="A55" s="348" t="s">
        <v>312</v>
      </c>
      <c r="B55" s="378">
        <v>23</v>
      </c>
      <c r="C55" s="379" t="s">
        <v>305</v>
      </c>
      <c r="D55" s="375">
        <v>8.3099999999999993E-2</v>
      </c>
      <c r="E55" s="375">
        <v>8.2799999999999999E-2</v>
      </c>
      <c r="F55" s="8" t="s">
        <v>183</v>
      </c>
      <c r="H55" s="8"/>
      <c r="I55" s="8"/>
      <c r="J55" s="8"/>
      <c r="K55" s="8"/>
      <c r="L55" s="8"/>
      <c r="M55" s="8"/>
    </row>
    <row r="56" spans="1:13" ht="18" thickBot="1">
      <c r="A56" s="349" t="s">
        <v>313</v>
      </c>
      <c r="B56" s="351">
        <v>24</v>
      </c>
      <c r="C56" s="350" t="s">
        <v>315</v>
      </c>
      <c r="D56" s="375">
        <v>8.3099999999999993E-2</v>
      </c>
      <c r="E56" s="375">
        <v>8.2799999999999999E-2</v>
      </c>
      <c r="F56" s="8"/>
      <c r="H56" s="8"/>
      <c r="I56" s="8"/>
      <c r="J56" s="8"/>
      <c r="K56" s="8"/>
      <c r="L56" s="8"/>
      <c r="M56" s="8"/>
    </row>
    <row r="57" spans="1:13" ht="18" thickBot="1">
      <c r="A57" s="53" t="s">
        <v>244</v>
      </c>
      <c r="B57" s="244">
        <v>25</v>
      </c>
      <c r="C57" s="53" t="s">
        <v>90</v>
      </c>
      <c r="D57" s="380"/>
      <c r="E57" s="380"/>
      <c r="F57" s="8" t="s">
        <v>184</v>
      </c>
      <c r="H57" s="8"/>
      <c r="I57" s="8"/>
      <c r="J57" s="8"/>
      <c r="K57" s="8"/>
      <c r="L57" s="8"/>
    </row>
  </sheetData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6"/>
  <sheetViews>
    <sheetView view="pageBreakPreview" zoomScale="60" zoomScaleNormal="80" workbookViewId="0">
      <selection activeCell="G30" sqref="G30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2.42578125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7.25">
      <c r="A2" s="57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8"/>
      <c r="B4" s="8"/>
      <c r="C4" s="8"/>
      <c r="D4" s="22" t="s">
        <v>0</v>
      </c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8" thickBot="1">
      <c r="A5" s="5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thickBot="1">
      <c r="A6" s="229" t="str">
        <f>+'S&amp;D'!A12</f>
        <v>Railroad Carriers</v>
      </c>
      <c r="B6" s="16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7.25">
      <c r="A7" s="5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" thickBot="1">
      <c r="A8" s="57"/>
      <c r="B8" s="8"/>
      <c r="C8" s="24"/>
      <c r="D8" s="24"/>
      <c r="E8" s="24"/>
      <c r="F8" s="8"/>
      <c r="G8" s="8"/>
      <c r="H8" s="24"/>
      <c r="I8" s="24"/>
      <c r="J8" s="24"/>
      <c r="K8" s="24"/>
      <c r="L8" s="24"/>
      <c r="M8" s="24"/>
      <c r="N8" s="8"/>
    </row>
    <row r="9" spans="1:14" ht="26.25">
      <c r="B9" s="8"/>
      <c r="C9" s="8"/>
      <c r="D9" s="27" t="s">
        <v>280</v>
      </c>
      <c r="E9" s="8"/>
      <c r="F9" s="8"/>
      <c r="G9" s="8"/>
      <c r="H9" s="8"/>
      <c r="I9" s="8"/>
      <c r="J9" s="8"/>
      <c r="K9" s="63" t="s">
        <v>281</v>
      </c>
      <c r="L9" s="8"/>
      <c r="M9" s="8"/>
      <c r="N9" s="8"/>
    </row>
    <row r="10" spans="1:14" ht="21" thickBot="1">
      <c r="A10" s="26"/>
      <c r="B10" s="8"/>
      <c r="C10" s="24"/>
      <c r="D10" s="28" t="s">
        <v>417</v>
      </c>
      <c r="E10" s="24"/>
      <c r="F10" s="8"/>
      <c r="G10" s="8"/>
      <c r="H10" s="24"/>
      <c r="I10" s="24"/>
      <c r="J10" s="24"/>
      <c r="K10" s="28" t="s">
        <v>417</v>
      </c>
      <c r="L10" s="24"/>
      <c r="M10" s="24"/>
      <c r="N10" s="8"/>
    </row>
    <row r="11" spans="1:14" ht="17.25" thickBot="1">
      <c r="A11" s="29" t="s">
        <v>0</v>
      </c>
      <c r="B11" s="29" t="s">
        <v>0</v>
      </c>
      <c r="C11" s="29" t="s">
        <v>0</v>
      </c>
      <c r="D11" s="29" t="s">
        <v>0</v>
      </c>
      <c r="E11" s="29" t="s">
        <v>0</v>
      </c>
      <c r="F11" s="29" t="s">
        <v>0</v>
      </c>
      <c r="G11" s="36"/>
      <c r="H11" s="24"/>
      <c r="I11" s="29" t="s">
        <v>0</v>
      </c>
      <c r="J11" s="24"/>
      <c r="K11" s="24"/>
      <c r="L11" s="24"/>
      <c r="M11" s="24"/>
      <c r="N11" s="8"/>
    </row>
    <row r="12" spans="1:14" ht="16.5">
      <c r="A12" s="30" t="s">
        <v>0</v>
      </c>
      <c r="B12" s="30" t="s">
        <v>3</v>
      </c>
      <c r="C12" s="30" t="s">
        <v>321</v>
      </c>
      <c r="D12" s="30" t="s">
        <v>110</v>
      </c>
      <c r="E12" s="30" t="s">
        <v>110</v>
      </c>
      <c r="F12" s="30" t="s">
        <v>26</v>
      </c>
      <c r="G12" s="30"/>
      <c r="H12" s="30" t="s">
        <v>3</v>
      </c>
      <c r="I12" s="30" t="s">
        <v>321</v>
      </c>
      <c r="J12" s="30" t="s">
        <v>110</v>
      </c>
      <c r="K12" s="30"/>
      <c r="L12" s="30" t="s">
        <v>110</v>
      </c>
      <c r="M12" s="30" t="s">
        <v>26</v>
      </c>
      <c r="N12" s="8"/>
    </row>
    <row r="13" spans="1:14" ht="17.25" thickBot="1">
      <c r="A13" s="32" t="s">
        <v>2</v>
      </c>
      <c r="B13" s="32" t="s">
        <v>4</v>
      </c>
      <c r="C13" s="32" t="s">
        <v>27</v>
      </c>
      <c r="D13" s="32" t="s">
        <v>158</v>
      </c>
      <c r="E13" s="32" t="s">
        <v>28</v>
      </c>
      <c r="F13" s="32" t="s">
        <v>29</v>
      </c>
      <c r="G13" s="30"/>
      <c r="H13" s="32" t="s">
        <v>4</v>
      </c>
      <c r="I13" s="32" t="s">
        <v>27</v>
      </c>
      <c r="J13" s="32" t="s">
        <v>158</v>
      </c>
      <c r="K13" s="32"/>
      <c r="L13" s="32" t="s">
        <v>28</v>
      </c>
      <c r="M13" s="32" t="s">
        <v>29</v>
      </c>
      <c r="N13" s="8"/>
    </row>
    <row r="14" spans="1:14" ht="16.5">
      <c r="A14" s="34" t="s">
        <v>0</v>
      </c>
      <c r="B14" s="34" t="s">
        <v>0</v>
      </c>
      <c r="C14" s="35" t="s">
        <v>113</v>
      </c>
      <c r="D14" s="34" t="s">
        <v>114</v>
      </c>
      <c r="E14" s="34" t="s">
        <v>0</v>
      </c>
      <c r="F14" s="34" t="s">
        <v>0</v>
      </c>
      <c r="G14" s="36"/>
      <c r="H14" s="34" t="s">
        <v>0</v>
      </c>
      <c r="I14" s="35" t="s">
        <v>113</v>
      </c>
      <c r="J14" s="34" t="s">
        <v>115</v>
      </c>
      <c r="K14" s="34"/>
      <c r="L14" s="34" t="s">
        <v>0</v>
      </c>
      <c r="M14" s="34" t="s">
        <v>0</v>
      </c>
      <c r="N14" s="8"/>
    </row>
    <row r="15" spans="1:14" ht="16.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8"/>
    </row>
    <row r="16" spans="1:14" ht="16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7.25">
      <c r="A17" s="57" t="str">
        <f>+'S&amp;D'!A22</f>
        <v>Canadian National</v>
      </c>
      <c r="B17" s="84" t="str">
        <f>+'S&amp;D'!B22</f>
        <v>CNI</v>
      </c>
      <c r="C17" s="54">
        <f>+'S&amp;D'!G22</f>
        <v>101.51</v>
      </c>
      <c r="D17" s="333">
        <v>8.15</v>
      </c>
      <c r="E17" s="66">
        <f>C17/D17</f>
        <v>12.45521472392638</v>
      </c>
      <c r="F17" s="51">
        <f t="shared" ref="F17" si="0">1/E17</f>
        <v>8.0287656388533149E-2</v>
      </c>
      <c r="G17" s="51"/>
      <c r="H17" s="84" t="str">
        <f>+B17</f>
        <v>CNI</v>
      </c>
      <c r="I17" s="54">
        <f>+C17</f>
        <v>101.51</v>
      </c>
      <c r="J17" s="333">
        <v>9.0500000000000007</v>
      </c>
      <c r="K17" s="56"/>
      <c r="L17" s="66">
        <f>I17/J17</f>
        <v>11.216574585635358</v>
      </c>
      <c r="M17" s="51">
        <f t="shared" ref="M17" si="1">1/L17</f>
        <v>8.9153777952911045E-2</v>
      </c>
      <c r="N17" s="8"/>
    </row>
    <row r="18" spans="1:14" ht="17.25">
      <c r="A18" s="57" t="str">
        <f>+'S&amp;D'!A23</f>
        <v>Canadian Pacific Kansas City Limited  CPKC</v>
      </c>
      <c r="B18" s="84" t="str">
        <f>+'S&amp;D'!B23</f>
        <v>CP</v>
      </c>
      <c r="C18" s="54">
        <f>+'S&amp;D'!G23</f>
        <v>72.37</v>
      </c>
      <c r="D18" s="333">
        <v>5.25</v>
      </c>
      <c r="E18" s="66">
        <f t="shared" ref="E18:E21" si="2">C18/D18</f>
        <v>13.784761904761906</v>
      </c>
      <c r="F18" s="51">
        <f t="shared" ref="F18:F21" si="3">1/E18</f>
        <v>7.2543871770070462E-2</v>
      </c>
      <c r="G18" s="51"/>
      <c r="H18" s="84" t="str">
        <f t="shared" ref="H18:H21" si="4">+B18</f>
        <v>CP</v>
      </c>
      <c r="I18" s="54">
        <f t="shared" ref="I18:I21" si="5">+C18</f>
        <v>72.37</v>
      </c>
      <c r="J18" s="333">
        <v>5.8</v>
      </c>
      <c r="K18" s="56"/>
      <c r="L18" s="66">
        <f t="shared" ref="L18:L21" si="6">I18/J18</f>
        <v>12.477586206896554</v>
      </c>
      <c r="M18" s="51">
        <f t="shared" ref="M18:M21" si="7">1/L18</f>
        <v>8.0143705955506406E-2</v>
      </c>
      <c r="N18" s="8"/>
    </row>
    <row r="19" spans="1:14" ht="17.25">
      <c r="A19" s="57" t="str">
        <f>+'S&amp;D'!A24</f>
        <v>CSX Corp</v>
      </c>
      <c r="B19" s="84" t="str">
        <f>+'S&amp;D'!B24</f>
        <v>CSX</v>
      </c>
      <c r="C19" s="54">
        <f>+'S&amp;D'!G24</f>
        <v>32.369999999999997</v>
      </c>
      <c r="D19" s="333">
        <v>2.8</v>
      </c>
      <c r="E19" s="66">
        <f t="shared" si="2"/>
        <v>11.560714285714285</v>
      </c>
      <c r="F19" s="51">
        <f t="shared" si="3"/>
        <v>8.6499845535990119E-2</v>
      </c>
      <c r="G19" s="51"/>
      <c r="H19" s="84" t="str">
        <f t="shared" si="4"/>
        <v>CSX</v>
      </c>
      <c r="I19" s="54">
        <f t="shared" si="5"/>
        <v>32.369999999999997</v>
      </c>
      <c r="J19" s="333">
        <v>3.2</v>
      </c>
      <c r="K19" s="56"/>
      <c r="L19" s="66">
        <f t="shared" si="6"/>
        <v>10.115624999999998</v>
      </c>
      <c r="M19" s="51">
        <f t="shared" si="7"/>
        <v>9.885696632684586E-2</v>
      </c>
      <c r="N19" s="8"/>
    </row>
    <row r="20" spans="1:14" ht="17.25">
      <c r="A20" s="57" t="str">
        <f>+'S&amp;D'!A25</f>
        <v>Norfolk Southern</v>
      </c>
      <c r="B20" s="84" t="str">
        <f>+'S&amp;D'!B25</f>
        <v>NSC</v>
      </c>
      <c r="C20" s="54">
        <f>+'S&amp;D'!G25</f>
        <v>234.7</v>
      </c>
      <c r="D20" s="333">
        <v>19.3</v>
      </c>
      <c r="E20" s="66">
        <f t="shared" si="2"/>
        <v>12.16062176165803</v>
      </c>
      <c r="F20" s="51">
        <f t="shared" si="3"/>
        <v>8.2232637409458895E-2</v>
      </c>
      <c r="G20" s="51"/>
      <c r="H20" s="84" t="str">
        <f t="shared" si="4"/>
        <v>NSC</v>
      </c>
      <c r="I20" s="54">
        <f t="shared" si="5"/>
        <v>234.7</v>
      </c>
      <c r="J20" s="333">
        <v>21.6</v>
      </c>
      <c r="K20" s="56"/>
      <c r="L20" s="66">
        <f t="shared" si="6"/>
        <v>10.865740740740739</v>
      </c>
      <c r="M20" s="51">
        <f t="shared" si="7"/>
        <v>9.2032381763954008E-2</v>
      </c>
      <c r="N20" s="8"/>
    </row>
    <row r="21" spans="1:14" ht="17.25">
      <c r="A21" s="57" t="str">
        <f>+'S&amp;D'!A26</f>
        <v>Union Pacific Railroad</v>
      </c>
      <c r="B21" s="84" t="str">
        <f>+'S&amp;D'!B26</f>
        <v>UNP</v>
      </c>
      <c r="C21" s="54">
        <f>+'S&amp;D'!G26</f>
        <v>228.04</v>
      </c>
      <c r="D21" s="333">
        <v>16.25</v>
      </c>
      <c r="E21" s="66">
        <f t="shared" si="2"/>
        <v>14.033230769230769</v>
      </c>
      <c r="F21" s="51">
        <f t="shared" si="3"/>
        <v>7.1259428170496408E-2</v>
      </c>
      <c r="G21" s="51"/>
      <c r="H21" s="84" t="str">
        <f t="shared" si="4"/>
        <v>UNP</v>
      </c>
      <c r="I21" s="54">
        <f t="shared" si="5"/>
        <v>228.04</v>
      </c>
      <c r="J21" s="333">
        <v>17.75</v>
      </c>
      <c r="K21" s="56"/>
      <c r="L21" s="66">
        <f t="shared" si="6"/>
        <v>12.847323943661971</v>
      </c>
      <c r="M21" s="51">
        <f t="shared" si="7"/>
        <v>7.7837221540080687E-2</v>
      </c>
      <c r="N21" s="8"/>
    </row>
    <row r="22" spans="1:14" ht="17.25" thickBot="1">
      <c r="A22" s="8"/>
      <c r="B22" s="64"/>
      <c r="C22" s="64"/>
      <c r="D22" s="64"/>
      <c r="E22" s="64"/>
      <c r="F22" s="64"/>
      <c r="G22" s="8"/>
      <c r="H22" s="64"/>
      <c r="I22" s="64"/>
      <c r="J22" s="262" t="s">
        <v>0</v>
      </c>
      <c r="K22" s="64"/>
      <c r="L22" s="64"/>
      <c r="M22" s="64"/>
      <c r="N22" s="8"/>
    </row>
    <row r="23" spans="1:14" ht="17.25" thickTop="1">
      <c r="A23" s="8"/>
      <c r="C23" s="10" t="s">
        <v>46</v>
      </c>
      <c r="D23" s="65">
        <f>MAX(D17:D21)</f>
        <v>19.3</v>
      </c>
      <c r="E23" s="65">
        <f t="shared" ref="E23:F23" si="8">MAX(E17:E21)</f>
        <v>14.033230769230769</v>
      </c>
      <c r="F23" s="273">
        <f t="shared" si="8"/>
        <v>8.6499845535990119E-2</v>
      </c>
      <c r="I23" s="10" t="s">
        <v>46</v>
      </c>
      <c r="J23" s="65">
        <f t="shared" ref="J23:M23" si="9">MAX(J17:J21)</f>
        <v>21.6</v>
      </c>
      <c r="K23" s="65"/>
      <c r="L23" s="65">
        <f t="shared" si="9"/>
        <v>12.847323943661971</v>
      </c>
      <c r="M23" s="273">
        <f t="shared" si="9"/>
        <v>9.885696632684586E-2</v>
      </c>
      <c r="N23" s="8"/>
    </row>
    <row r="24" spans="1:14" ht="16.5">
      <c r="A24" s="8"/>
      <c r="C24" s="288" t="s">
        <v>47</v>
      </c>
      <c r="D24" s="292">
        <f>MIN(D17:D21)</f>
        <v>2.8</v>
      </c>
      <c r="E24" s="292">
        <f t="shared" ref="E24:F24" si="10">MIN(E17:E21)</f>
        <v>11.560714285714285</v>
      </c>
      <c r="F24" s="286">
        <f t="shared" si="10"/>
        <v>7.1259428170496408E-2</v>
      </c>
      <c r="I24" s="288" t="s">
        <v>47</v>
      </c>
      <c r="J24" s="292">
        <f t="shared" ref="J24:M24" si="11">MIN(J17:J21)</f>
        <v>3.2</v>
      </c>
      <c r="K24" s="292"/>
      <c r="L24" s="292">
        <f t="shared" si="11"/>
        <v>10.115624999999998</v>
      </c>
      <c r="M24" s="286">
        <f t="shared" si="11"/>
        <v>7.7837221540080687E-2</v>
      </c>
      <c r="N24" s="8"/>
    </row>
    <row r="25" spans="1:14" ht="16.5">
      <c r="A25" s="8"/>
      <c r="C25" s="10" t="s">
        <v>18</v>
      </c>
      <c r="D25" s="66">
        <f>MEDIAN(D17:D21)</f>
        <v>8.15</v>
      </c>
      <c r="E25" s="17">
        <f>MEDIAN(E17:E21)</f>
        <v>12.45521472392638</v>
      </c>
      <c r="F25" s="51">
        <f>MEDIAN(F17:F21)</f>
        <v>8.0287656388533149E-2</v>
      </c>
      <c r="G25" s="51"/>
      <c r="I25" s="10" t="s">
        <v>18</v>
      </c>
      <c r="J25" s="66">
        <f>MEDIAN(J17:J21)</f>
        <v>9.0500000000000007</v>
      </c>
      <c r="K25" s="66"/>
      <c r="L25" s="17">
        <f>MEDIAN(L17:L21)</f>
        <v>11.216574585635358</v>
      </c>
      <c r="M25" s="51">
        <f>MEDIAN(M17:M21)</f>
        <v>8.9153777952911045E-2</v>
      </c>
      <c r="N25" s="8"/>
    </row>
    <row r="26" spans="1:14" ht="16.5">
      <c r="A26" s="8"/>
      <c r="C26" s="10" t="s">
        <v>375</v>
      </c>
      <c r="D26" s="13">
        <f>AVERAGE(D17:D21)</f>
        <v>10.35</v>
      </c>
      <c r="E26" s="17">
        <f>AVERAGE(E17:E21)</f>
        <v>12.798908689058274</v>
      </c>
      <c r="F26" s="67">
        <f>AVERAGE(F17:F21)</f>
        <v>7.8564687854909804E-2</v>
      </c>
      <c r="G26" s="67"/>
      <c r="I26" s="10" t="s">
        <v>375</v>
      </c>
      <c r="J26" s="13">
        <f>AVERAGE(J17:J21)</f>
        <v>11.48</v>
      </c>
      <c r="K26" s="13"/>
      <c r="L26" s="17">
        <f>AVERAGE(L17:L21)</f>
        <v>11.504570095386924</v>
      </c>
      <c r="M26" s="67">
        <f>AVERAGE(M17:M21)</f>
        <v>8.7604810707859596E-2</v>
      </c>
      <c r="N26" s="8"/>
    </row>
    <row r="27" spans="1:14" ht="16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6.25">
      <c r="A28" s="8"/>
      <c r="B28" s="8"/>
      <c r="C28" s="8"/>
      <c r="D28" s="71" t="s">
        <v>74</v>
      </c>
      <c r="E28" s="355">
        <v>12.8</v>
      </c>
      <c r="F28" s="274">
        <v>7.8600000000000003E-2</v>
      </c>
      <c r="G28" s="236"/>
      <c r="H28" s="8"/>
      <c r="I28" s="8"/>
      <c r="J28" s="71" t="s">
        <v>74</v>
      </c>
      <c r="K28" s="44">
        <v>0</v>
      </c>
      <c r="L28" s="275">
        <v>11.5</v>
      </c>
      <c r="M28" s="274">
        <v>8.7599999999999997E-2</v>
      </c>
      <c r="N28" s="8"/>
    </row>
    <row r="29" spans="1:14" ht="30" customHeight="1" thickBot="1">
      <c r="A29" s="8"/>
      <c r="B29" s="8"/>
      <c r="C29" s="8"/>
      <c r="D29" s="8"/>
      <c r="E29" s="8"/>
      <c r="G29" s="68"/>
      <c r="H29" s="8"/>
      <c r="I29" s="8"/>
      <c r="J29" s="8"/>
      <c r="K29" s="8"/>
      <c r="L29" s="8"/>
      <c r="M29" s="8"/>
      <c r="N29" s="8"/>
    </row>
    <row r="30" spans="1:14" ht="27" thickBot="1">
      <c r="A30" s="69" t="s">
        <v>0</v>
      </c>
      <c r="B30" s="8"/>
      <c r="C30" s="8"/>
      <c r="D30" s="8"/>
      <c r="E30" s="19" t="s">
        <v>119</v>
      </c>
      <c r="F30" s="19"/>
      <c r="G30" s="185">
        <f>(+E28+L28)/2</f>
        <v>12.15</v>
      </c>
      <c r="H30" s="186">
        <f>(+F28+M28)/2</f>
        <v>8.3100000000000007E-2</v>
      </c>
      <c r="K30" s="8"/>
      <c r="N30" s="8"/>
    </row>
    <row r="31" spans="1:14" ht="16.5">
      <c r="A31" s="69" t="s">
        <v>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6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6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7.25">
      <c r="A34" s="99" t="s">
        <v>327</v>
      </c>
    </row>
    <row r="35" spans="1:14" ht="17.25">
      <c r="A35" s="99" t="s">
        <v>328</v>
      </c>
    </row>
    <row r="36" spans="1:14" ht="17.25">
      <c r="A36" s="99" t="s">
        <v>329</v>
      </c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55"/>
  <sheetViews>
    <sheetView view="pageBreakPreview" topLeftCell="A8" zoomScale="60" zoomScaleNormal="80" workbookViewId="0">
      <selection activeCell="J31" sqref="J31"/>
    </sheetView>
  </sheetViews>
  <sheetFormatPr defaultRowHeight="15"/>
  <cols>
    <col min="1" max="1" width="53.85546875" customWidth="1"/>
    <col min="2" max="2" width="8" customWidth="1"/>
    <col min="3" max="3" width="12.285156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19" t="s">
        <v>1</v>
      </c>
      <c r="B1" s="1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7.25">
      <c r="A2" s="57" t="s">
        <v>9</v>
      </c>
      <c r="B2" s="5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6.5">
      <c r="A3" s="21" t="s">
        <v>416</v>
      </c>
      <c r="B3" s="3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6.5">
      <c r="A4" s="8"/>
      <c r="B4" s="8"/>
      <c r="C4" s="8"/>
      <c r="D4" s="8"/>
      <c r="E4" s="22" t="s">
        <v>0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8" thickBot="1">
      <c r="A5" s="57"/>
      <c r="B5" s="5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21" thickBot="1">
      <c r="A6" s="227" t="str">
        <f>+'S&amp;D'!A12</f>
        <v>Railroad Carriers</v>
      </c>
      <c r="B6" s="2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8" thickBot="1">
      <c r="A7" s="57"/>
      <c r="B7" s="57"/>
      <c r="C7" s="24"/>
      <c r="D7" s="24"/>
      <c r="E7" s="24"/>
      <c r="F7" s="24"/>
      <c r="G7" s="24"/>
      <c r="H7" s="8"/>
      <c r="I7" s="24"/>
      <c r="J7" s="24"/>
      <c r="K7" s="24"/>
      <c r="L7" s="24"/>
      <c r="M7" s="24"/>
      <c r="N7" s="8"/>
      <c r="O7" s="8"/>
    </row>
    <row r="8" spans="1:15" ht="26.25">
      <c r="B8" s="26"/>
      <c r="C8" s="8"/>
      <c r="D8" s="8"/>
      <c r="E8" s="27" t="s">
        <v>222</v>
      </c>
      <c r="F8" s="8"/>
      <c r="G8" s="8"/>
      <c r="H8" s="8"/>
      <c r="I8" s="8"/>
      <c r="J8" s="8"/>
      <c r="K8" s="27" t="s">
        <v>223</v>
      </c>
      <c r="L8" s="8"/>
      <c r="M8" s="8"/>
      <c r="N8" s="8"/>
      <c r="O8" s="8"/>
    </row>
    <row r="9" spans="1:15" ht="21" thickBot="1">
      <c r="A9" s="26"/>
      <c r="B9" s="26"/>
      <c r="C9" s="24"/>
      <c r="D9" s="24"/>
      <c r="E9" s="32" t="s">
        <v>417</v>
      </c>
      <c r="F9" s="24"/>
      <c r="G9" s="24"/>
      <c r="H9" s="8"/>
      <c r="I9" s="24"/>
      <c r="J9" s="24"/>
      <c r="K9" s="32" t="s">
        <v>417</v>
      </c>
      <c r="L9" s="24"/>
      <c r="M9" s="24"/>
      <c r="N9" s="8"/>
      <c r="O9" s="8"/>
    </row>
    <row r="10" spans="1:15" ht="17.25" thickBot="1">
      <c r="A10" s="29" t="s">
        <v>0</v>
      </c>
      <c r="B10" s="29"/>
      <c r="C10" s="29" t="s">
        <v>0</v>
      </c>
      <c r="D10" s="29" t="s">
        <v>0</v>
      </c>
      <c r="E10" s="29" t="s">
        <v>0</v>
      </c>
      <c r="F10" s="29" t="s">
        <v>0</v>
      </c>
      <c r="G10" s="29" t="s">
        <v>0</v>
      </c>
      <c r="H10" s="8"/>
      <c r="I10" s="24"/>
      <c r="J10" s="24"/>
      <c r="K10" s="24"/>
      <c r="L10" s="24"/>
      <c r="M10" s="24"/>
      <c r="N10" s="8"/>
      <c r="O10" s="8"/>
    </row>
    <row r="11" spans="1:15" ht="16.5">
      <c r="A11" s="30" t="s">
        <v>0</v>
      </c>
      <c r="B11" s="30"/>
      <c r="C11" s="30" t="s">
        <v>3</v>
      </c>
      <c r="D11" s="30" t="s">
        <v>321</v>
      </c>
      <c r="E11" s="30" t="s">
        <v>323</v>
      </c>
      <c r="F11" s="30" t="s">
        <v>111</v>
      </c>
      <c r="G11" s="30" t="s">
        <v>26</v>
      </c>
      <c r="H11" s="8"/>
      <c r="I11" s="30" t="s">
        <v>3</v>
      </c>
      <c r="J11" s="30" t="s">
        <v>321</v>
      </c>
      <c r="K11" s="30" t="s">
        <v>323</v>
      </c>
      <c r="L11" s="30" t="s">
        <v>111</v>
      </c>
      <c r="M11" s="30" t="s">
        <v>26</v>
      </c>
      <c r="N11" s="8"/>
      <c r="O11" s="8"/>
    </row>
    <row r="12" spans="1:15" ht="17.25" thickBot="1">
      <c r="A12" s="32" t="s">
        <v>2</v>
      </c>
      <c r="B12" s="32"/>
      <c r="C12" s="32" t="s">
        <v>4</v>
      </c>
      <c r="D12" s="32" t="s">
        <v>27</v>
      </c>
      <c r="E12" s="32" t="s">
        <v>158</v>
      </c>
      <c r="F12" s="32" t="s">
        <v>28</v>
      </c>
      <c r="G12" s="32" t="s">
        <v>29</v>
      </c>
      <c r="H12" s="8"/>
      <c r="I12" s="32" t="s">
        <v>4</v>
      </c>
      <c r="J12" s="32" t="s">
        <v>27</v>
      </c>
      <c r="K12" s="32" t="s">
        <v>158</v>
      </c>
      <c r="L12" s="32" t="s">
        <v>28</v>
      </c>
      <c r="M12" s="32" t="s">
        <v>29</v>
      </c>
      <c r="N12" s="8"/>
      <c r="O12" s="8"/>
    </row>
    <row r="13" spans="1:15" ht="16.5">
      <c r="A13" s="34" t="s">
        <v>0</v>
      </c>
      <c r="B13" s="34"/>
      <c r="C13" s="34" t="s">
        <v>0</v>
      </c>
      <c r="D13" s="35" t="s">
        <v>113</v>
      </c>
      <c r="E13" s="70" t="s">
        <v>114</v>
      </c>
      <c r="F13" s="34" t="s">
        <v>0</v>
      </c>
      <c r="G13" s="34" t="s">
        <v>0</v>
      </c>
      <c r="H13" s="8"/>
      <c r="I13" s="34" t="s">
        <v>0</v>
      </c>
      <c r="J13" s="35" t="s">
        <v>113</v>
      </c>
      <c r="K13" s="70" t="s">
        <v>112</v>
      </c>
      <c r="L13" s="34" t="s">
        <v>0</v>
      </c>
      <c r="M13" s="34" t="s">
        <v>0</v>
      </c>
      <c r="N13" s="8"/>
      <c r="O13" s="8"/>
    </row>
    <row r="14" spans="1:15" ht="16.5">
      <c r="A14" s="30"/>
      <c r="B14" s="30"/>
      <c r="C14" s="30"/>
      <c r="D14" s="30"/>
      <c r="E14" s="30"/>
      <c r="F14" s="30"/>
      <c r="G14" s="30"/>
      <c r="H14" s="8"/>
      <c r="I14" s="30"/>
      <c r="J14" s="30"/>
      <c r="K14" s="30"/>
      <c r="L14" s="30"/>
      <c r="M14" s="30"/>
      <c r="N14" s="8"/>
      <c r="O14" s="8"/>
    </row>
    <row r="15" spans="1:15" ht="16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17.25">
      <c r="A16" s="57" t="str">
        <f>+'S&amp;D'!A22</f>
        <v>Canadian National</v>
      </c>
      <c r="B16" s="57"/>
      <c r="C16" s="84" t="str">
        <f>+'S&amp;D'!B22</f>
        <v>CNI</v>
      </c>
      <c r="D16" s="54">
        <f>'S&amp;D'!G22</f>
        <v>101.51</v>
      </c>
      <c r="E16" s="333">
        <f>+Earnings!E16</f>
        <v>5.8</v>
      </c>
      <c r="F16" s="66">
        <f>D16/E16</f>
        <v>17.501724137931035</v>
      </c>
      <c r="G16" s="51">
        <f t="shared" ref="G16" si="0">1/F16</f>
        <v>5.7137227859324201E-2</v>
      </c>
      <c r="H16" s="8"/>
      <c r="I16" s="30" t="str">
        <f>+C16</f>
        <v>CNI</v>
      </c>
      <c r="J16" s="54">
        <f>+D16</f>
        <v>101.51</v>
      </c>
      <c r="K16" s="333">
        <f>+Earnings!G16</f>
        <v>6.5</v>
      </c>
      <c r="L16" s="66">
        <f>J16/K16</f>
        <v>15.616923076923078</v>
      </c>
      <c r="M16" s="51">
        <f t="shared" ref="M16" si="1">1/L16</f>
        <v>6.4033100187173675E-2</v>
      </c>
      <c r="N16" s="8"/>
      <c r="O16" s="8"/>
    </row>
    <row r="17" spans="1:15" ht="17.25">
      <c r="A17" s="57" t="str">
        <f>+'S&amp;D'!A23</f>
        <v>Canadian Pacific Kansas City Limited  CPKC</v>
      </c>
      <c r="B17" s="57"/>
      <c r="C17" s="84" t="str">
        <f>+'S&amp;D'!B23</f>
        <v>CP</v>
      </c>
      <c r="D17" s="54">
        <f>'S&amp;D'!G23</f>
        <v>72.37</v>
      </c>
      <c r="E17" s="333">
        <f>+Earnings!E17</f>
        <v>3.7</v>
      </c>
      <c r="F17" s="66">
        <f t="shared" ref="F17:F20" si="2">D17/E17</f>
        <v>19.559459459459461</v>
      </c>
      <c r="G17" s="51">
        <f t="shared" ref="G17:G20" si="3">1/F17</f>
        <v>5.1126157247478231E-2</v>
      </c>
      <c r="H17" s="8"/>
      <c r="I17" s="30" t="str">
        <f t="shared" ref="I17:I20" si="4">+C17</f>
        <v>CP</v>
      </c>
      <c r="J17" s="54">
        <f t="shared" ref="J17:J20" si="5">+D17</f>
        <v>72.37</v>
      </c>
      <c r="K17" s="333">
        <f>+Earnings!G17</f>
        <v>4.25</v>
      </c>
      <c r="L17" s="66">
        <f t="shared" ref="L17:L20" si="6">J17/K17</f>
        <v>17.02823529411765</v>
      </c>
      <c r="M17" s="51">
        <f t="shared" ref="M17:M20" si="7">1/L17</f>
        <v>5.8725991432914182E-2</v>
      </c>
      <c r="N17" s="8"/>
      <c r="O17" s="8"/>
    </row>
    <row r="18" spans="1:15" ht="17.25">
      <c r="A18" s="57" t="str">
        <f>+'S&amp;D'!A24</f>
        <v>CSX Corp</v>
      </c>
      <c r="B18" s="57"/>
      <c r="C18" s="84" t="str">
        <f>+'S&amp;D'!B24</f>
        <v>CSX</v>
      </c>
      <c r="D18" s="54">
        <f>'S&amp;D'!G24</f>
        <v>32.369999999999997</v>
      </c>
      <c r="E18" s="333">
        <f>+Earnings!E18</f>
        <v>1.85</v>
      </c>
      <c r="F18" s="66">
        <f t="shared" si="2"/>
        <v>17.497297297297294</v>
      </c>
      <c r="G18" s="51">
        <f t="shared" si="3"/>
        <v>5.7151683657707765E-2</v>
      </c>
      <c r="H18" s="8"/>
      <c r="I18" s="30" t="str">
        <f t="shared" si="4"/>
        <v>CSX</v>
      </c>
      <c r="J18" s="54">
        <f t="shared" si="5"/>
        <v>32.369999999999997</v>
      </c>
      <c r="K18" s="333">
        <f>+Earnings!G18</f>
        <v>2.15</v>
      </c>
      <c r="L18" s="66">
        <f t="shared" si="6"/>
        <v>15.055813953488371</v>
      </c>
      <c r="M18" s="51">
        <f t="shared" si="7"/>
        <v>6.6419524250849557E-2</v>
      </c>
      <c r="N18" s="8"/>
      <c r="O18" s="8"/>
    </row>
    <row r="19" spans="1:15" ht="17.25">
      <c r="A19" s="57" t="str">
        <f>+'S&amp;D'!A25</f>
        <v>Norfolk Southern</v>
      </c>
      <c r="B19" s="57"/>
      <c r="C19" s="84" t="str">
        <f>+'S&amp;D'!B25</f>
        <v>NSC</v>
      </c>
      <c r="D19" s="54">
        <f>'S&amp;D'!G25</f>
        <v>234.7</v>
      </c>
      <c r="E19" s="333">
        <f>+Earnings!E19</f>
        <v>13</v>
      </c>
      <c r="F19" s="66">
        <f t="shared" si="2"/>
        <v>18.053846153846152</v>
      </c>
      <c r="G19" s="51">
        <f t="shared" si="3"/>
        <v>5.5389859394972311E-2</v>
      </c>
      <c r="H19" s="8"/>
      <c r="I19" s="30" t="str">
        <f t="shared" si="4"/>
        <v>NSC</v>
      </c>
      <c r="J19" s="54">
        <f t="shared" si="5"/>
        <v>234.7</v>
      </c>
      <c r="K19" s="333">
        <f>+Earnings!G19</f>
        <v>15</v>
      </c>
      <c r="L19" s="66">
        <f t="shared" si="6"/>
        <v>15.646666666666667</v>
      </c>
      <c r="M19" s="51">
        <f t="shared" si="7"/>
        <v>6.391137622496805E-2</v>
      </c>
      <c r="N19" s="8"/>
      <c r="O19" s="8"/>
    </row>
    <row r="20" spans="1:15" ht="17.25">
      <c r="A20" s="57" t="str">
        <f>+'S&amp;D'!A26</f>
        <v>Union Pacific Railroad</v>
      </c>
      <c r="B20" s="57"/>
      <c r="C20" s="84" t="str">
        <f>+'S&amp;D'!B26</f>
        <v>UNP</v>
      </c>
      <c r="D20" s="54">
        <f>'S&amp;D'!G26</f>
        <v>228.04</v>
      </c>
      <c r="E20" s="333">
        <f>+Earnings!E20</f>
        <v>12.1</v>
      </c>
      <c r="F20" s="66">
        <f t="shared" si="2"/>
        <v>18.846280991735537</v>
      </c>
      <c r="G20" s="51">
        <f t="shared" si="3"/>
        <v>5.3060866514646553E-2</v>
      </c>
      <c r="H20" s="8"/>
      <c r="I20" s="30" t="str">
        <f t="shared" si="4"/>
        <v>UNP</v>
      </c>
      <c r="J20" s="54">
        <f t="shared" si="5"/>
        <v>228.04</v>
      </c>
      <c r="K20" s="333">
        <f>+Earnings!G20</f>
        <v>13.35</v>
      </c>
      <c r="L20" s="66">
        <f t="shared" si="6"/>
        <v>17.081647940074905</v>
      </c>
      <c r="M20" s="51">
        <f t="shared" si="7"/>
        <v>5.854236098930013E-2</v>
      </c>
      <c r="N20" s="8"/>
      <c r="O20" s="8"/>
    </row>
    <row r="21" spans="1:15" ht="18" thickBot="1">
      <c r="A21" s="8"/>
      <c r="B21" s="8"/>
      <c r="C21" s="64"/>
      <c r="D21" s="64"/>
      <c r="E21" s="64"/>
      <c r="F21" s="64"/>
      <c r="G21" s="64"/>
      <c r="H21" s="8"/>
      <c r="I21" s="64"/>
      <c r="J21" s="59" t="s">
        <v>0</v>
      </c>
      <c r="K21" s="64"/>
      <c r="L21" s="64"/>
      <c r="M21" s="64"/>
      <c r="N21" s="8"/>
      <c r="O21" s="8"/>
    </row>
    <row r="22" spans="1:15" ht="17.25" thickTop="1">
      <c r="A22" s="8"/>
      <c r="B22" s="8"/>
      <c r="D22" s="10" t="s">
        <v>46</v>
      </c>
      <c r="E22" s="65">
        <f>MAX(E16:E20)</f>
        <v>13</v>
      </c>
      <c r="F22" s="65">
        <f t="shared" ref="F22:G22" si="8">MAX(F16:F20)</f>
        <v>19.559459459459461</v>
      </c>
      <c r="G22" s="273">
        <f t="shared" si="8"/>
        <v>5.7151683657707765E-2</v>
      </c>
      <c r="H22" s="8"/>
      <c r="J22" s="10" t="s">
        <v>46</v>
      </c>
      <c r="K22" s="65">
        <f t="shared" ref="K22:M22" si="9">MAX(K16:K20)</f>
        <v>15</v>
      </c>
      <c r="L22" s="65">
        <f t="shared" si="9"/>
        <v>17.081647940074905</v>
      </c>
      <c r="M22" s="273">
        <f t="shared" si="9"/>
        <v>6.6419524250849557E-2</v>
      </c>
      <c r="N22" s="8"/>
      <c r="O22" s="8"/>
    </row>
    <row r="23" spans="1:15" ht="16.5">
      <c r="A23" s="8"/>
      <c r="B23" s="8"/>
      <c r="D23" s="288" t="s">
        <v>47</v>
      </c>
      <c r="E23" s="292">
        <f>MIN(E16:E20)</f>
        <v>1.85</v>
      </c>
      <c r="F23" s="292">
        <f t="shared" ref="F23:G23" si="10">MIN(F16:F20)</f>
        <v>17.497297297297294</v>
      </c>
      <c r="G23" s="286">
        <f t="shared" si="10"/>
        <v>5.1126157247478231E-2</v>
      </c>
      <c r="H23" s="8"/>
      <c r="J23" s="288" t="s">
        <v>47</v>
      </c>
      <c r="K23" s="292">
        <f t="shared" ref="K23:M23" si="11">MIN(K16:K20)</f>
        <v>2.15</v>
      </c>
      <c r="L23" s="292">
        <f t="shared" si="11"/>
        <v>15.055813953488371</v>
      </c>
      <c r="M23" s="286">
        <f t="shared" si="11"/>
        <v>5.854236098930013E-2</v>
      </c>
      <c r="N23" s="8"/>
      <c r="O23" s="8"/>
    </row>
    <row r="24" spans="1:15" ht="16.5">
      <c r="A24" s="8"/>
      <c r="B24" s="8"/>
      <c r="D24" s="10" t="s">
        <v>18</v>
      </c>
      <c r="E24" s="66">
        <f>MEDIAN(E16:E20)</f>
        <v>5.8</v>
      </c>
      <c r="F24" s="17">
        <f>MEDIAN(F16:F20)</f>
        <v>18.053846153846152</v>
      </c>
      <c r="G24" s="51">
        <f>MEDIAN(G16:G20)</f>
        <v>5.5389859394972311E-2</v>
      </c>
      <c r="H24" s="8"/>
      <c r="J24" s="10" t="s">
        <v>18</v>
      </c>
      <c r="K24" s="66">
        <f>MEDIAN(K16:K20)</f>
        <v>6.5</v>
      </c>
      <c r="L24" s="17">
        <f>MEDIAN(L16:L20)</f>
        <v>15.646666666666667</v>
      </c>
      <c r="M24" s="51">
        <f>MEDIAN(M16:M20)</f>
        <v>6.391137622496805E-2</v>
      </c>
      <c r="N24" s="8"/>
      <c r="O24" s="8"/>
    </row>
    <row r="25" spans="1:15" ht="16.5">
      <c r="A25" s="8"/>
      <c r="B25" s="8"/>
      <c r="D25" s="10" t="s">
        <v>375</v>
      </c>
      <c r="E25" s="13">
        <f>AVERAGE(E16:E20)</f>
        <v>7.2900000000000009</v>
      </c>
      <c r="F25" s="17">
        <f>AVERAGE(F16:F20)</f>
        <v>18.291721608053898</v>
      </c>
      <c r="G25" s="67">
        <f>AVERAGE(G16:G20)</f>
        <v>5.4773158934825816E-2</v>
      </c>
      <c r="H25" s="8"/>
      <c r="J25" s="10" t="s">
        <v>375</v>
      </c>
      <c r="K25" s="13">
        <f>AVERAGE(K16:K20)</f>
        <v>8.25</v>
      </c>
      <c r="L25" s="17">
        <f>AVERAGE(L16:L20)</f>
        <v>16.085857386254137</v>
      </c>
      <c r="M25" s="67">
        <f>AVERAGE(M16:M20)</f>
        <v>6.2326470617041128E-2</v>
      </c>
      <c r="N25" s="8"/>
      <c r="O25" s="8"/>
    </row>
    <row r="26" spans="1:15" ht="16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26.25">
      <c r="A27" s="8"/>
      <c r="B27" s="8"/>
      <c r="C27" s="8"/>
      <c r="D27" s="8"/>
      <c r="E27" s="71" t="s">
        <v>74</v>
      </c>
      <c r="F27" s="276">
        <v>18.29</v>
      </c>
      <c r="G27" s="274">
        <v>5.4800000000000001E-2</v>
      </c>
      <c r="H27" s="8"/>
      <c r="I27" s="8"/>
      <c r="J27" s="8"/>
      <c r="K27" s="71" t="s">
        <v>74</v>
      </c>
      <c r="L27" s="276">
        <v>16.09</v>
      </c>
      <c r="M27" s="274">
        <v>6.2300000000000001E-2</v>
      </c>
      <c r="N27" s="8"/>
      <c r="O27" s="8"/>
    </row>
    <row r="28" spans="1:15" ht="16.5">
      <c r="A28" s="8"/>
      <c r="B28" s="8"/>
      <c r="C28" s="8"/>
      <c r="D28" s="8"/>
      <c r="E28" s="8"/>
      <c r="F28" s="8"/>
      <c r="K28" s="8"/>
      <c r="L28" s="8"/>
      <c r="M28" s="8"/>
      <c r="N28" s="8"/>
      <c r="O28" s="8"/>
    </row>
    <row r="29" spans="1:15" ht="30" customHeight="1">
      <c r="A29" s="8"/>
      <c r="B29" s="8"/>
      <c r="C29" s="8"/>
      <c r="D29" s="8"/>
      <c r="E29" s="8"/>
      <c r="F29" s="8"/>
      <c r="K29" s="8"/>
      <c r="L29" s="8"/>
      <c r="M29" s="8"/>
      <c r="N29" s="8"/>
      <c r="O29" s="8"/>
    </row>
    <row r="30" spans="1:15" ht="17.25" thickBot="1">
      <c r="A30" s="8"/>
      <c r="B30" s="8"/>
      <c r="C30" s="8"/>
      <c r="D30" s="8"/>
      <c r="E30" s="8"/>
      <c r="F30" s="8"/>
      <c r="K30" s="8"/>
      <c r="L30" s="8"/>
      <c r="M30" s="8"/>
      <c r="N30" s="8"/>
      <c r="O30" s="8"/>
    </row>
    <row r="31" spans="1:15" ht="30.75" customHeight="1" thickBot="1">
      <c r="A31" s="69" t="s">
        <v>0</v>
      </c>
      <c r="B31" s="69"/>
      <c r="C31" s="8"/>
      <c r="D31" s="8"/>
      <c r="E31" s="8"/>
      <c r="G31" s="19" t="s">
        <v>119</v>
      </c>
      <c r="H31" s="8"/>
      <c r="I31" s="187">
        <f>(+F27+L27)/2</f>
        <v>17.189999999999998</v>
      </c>
      <c r="J31" s="188">
        <f>(+G27+M27)/2</f>
        <v>5.8550000000000005E-2</v>
      </c>
      <c r="N31" s="8"/>
      <c r="O31" s="8"/>
    </row>
    <row r="32" spans="1:15" ht="16.5">
      <c r="A32" s="69" t="s">
        <v>0</v>
      </c>
      <c r="B32" s="6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6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6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5.75" thickBot="1">
      <c r="B35" s="132"/>
      <c r="C35" s="132"/>
      <c r="D35" s="132"/>
      <c r="E35" s="132"/>
      <c r="F35" s="132"/>
      <c r="G35" s="132"/>
    </row>
    <row r="36" spans="1:15" ht="26.25">
      <c r="C36" s="8"/>
      <c r="D36" s="8"/>
      <c r="E36" s="27" t="s">
        <v>405</v>
      </c>
      <c r="F36" s="8"/>
      <c r="G36" s="8"/>
    </row>
    <row r="37" spans="1:15" ht="21" thickBot="1">
      <c r="A37" s="26"/>
      <c r="B37" s="132"/>
      <c r="C37" s="24"/>
      <c r="D37" s="24"/>
      <c r="E37" s="32" t="s">
        <v>417</v>
      </c>
      <c r="F37" s="24"/>
      <c r="G37" s="24"/>
    </row>
    <row r="38" spans="1:15" ht="15.75" thickBot="1">
      <c r="A38" s="29" t="s">
        <v>0</v>
      </c>
      <c r="B38" s="132"/>
      <c r="C38" s="29" t="s">
        <v>0</v>
      </c>
      <c r="D38" s="29" t="s">
        <v>0</v>
      </c>
      <c r="E38" s="29" t="s">
        <v>0</v>
      </c>
      <c r="F38" s="29" t="s">
        <v>0</v>
      </c>
      <c r="G38" s="29" t="s">
        <v>0</v>
      </c>
    </row>
    <row r="39" spans="1:15" ht="16.5">
      <c r="A39" s="30" t="s">
        <v>0</v>
      </c>
      <c r="C39" s="30" t="s">
        <v>3</v>
      </c>
      <c r="D39" s="30" t="s">
        <v>321</v>
      </c>
      <c r="E39" s="30" t="s">
        <v>323</v>
      </c>
      <c r="F39" s="30" t="s">
        <v>111</v>
      </c>
      <c r="G39" s="30" t="s">
        <v>26</v>
      </c>
    </row>
    <row r="40" spans="1:15" ht="17.25" thickBot="1">
      <c r="A40" s="32" t="s">
        <v>2</v>
      </c>
      <c r="B40" s="132"/>
      <c r="C40" s="32" t="s">
        <v>4</v>
      </c>
      <c r="D40" s="32" t="s">
        <v>27</v>
      </c>
      <c r="E40" s="32" t="s">
        <v>158</v>
      </c>
      <c r="F40" s="32" t="s">
        <v>28</v>
      </c>
      <c r="G40" s="32" t="s">
        <v>29</v>
      </c>
    </row>
    <row r="41" spans="1:15">
      <c r="A41" s="34" t="s">
        <v>0</v>
      </c>
      <c r="C41" s="34" t="s">
        <v>0</v>
      </c>
      <c r="D41" s="35" t="s">
        <v>113</v>
      </c>
      <c r="E41" s="70" t="s">
        <v>228</v>
      </c>
      <c r="F41" s="34" t="s">
        <v>0</v>
      </c>
      <c r="G41" s="34" t="s">
        <v>0</v>
      </c>
    </row>
    <row r="42" spans="1:15" ht="16.5">
      <c r="A42" s="30"/>
      <c r="C42" s="30"/>
      <c r="D42" s="30"/>
      <c r="E42" s="30"/>
      <c r="F42" s="30"/>
      <c r="G42" s="30"/>
    </row>
    <row r="43" spans="1:15" ht="16.5">
      <c r="A43" s="8"/>
      <c r="C43" s="8"/>
      <c r="D43" s="8"/>
      <c r="E43" s="8"/>
      <c r="F43" s="8"/>
      <c r="G43" s="8"/>
    </row>
    <row r="44" spans="1:15" ht="17.25">
      <c r="A44" s="57" t="str">
        <f>+'S&amp;D'!A22</f>
        <v>Canadian National</v>
      </c>
      <c r="C44" s="84" t="str">
        <f>+'S&amp;D'!B22</f>
        <v>CNI</v>
      </c>
      <c r="D44" s="54">
        <f>'S&amp;D'!G22</f>
        <v>101.51</v>
      </c>
      <c r="E44" s="333">
        <f>+Earnings!I16</f>
        <v>9</v>
      </c>
      <c r="F44" s="66">
        <f t="shared" ref="F44:F48" si="12">D44/E44</f>
        <v>11.27888888888889</v>
      </c>
      <c r="G44" s="51">
        <f t="shared" ref="G44:G48" si="13">1/F44</f>
        <v>8.8661215643778934E-2</v>
      </c>
    </row>
    <row r="45" spans="1:15" ht="17.25">
      <c r="A45" s="57" t="str">
        <f>+'S&amp;D'!A23</f>
        <v>Canadian Pacific Kansas City Limited  CPKC</v>
      </c>
      <c r="C45" s="84" t="str">
        <f>+'S&amp;D'!B23</f>
        <v>CP</v>
      </c>
      <c r="D45" s="54">
        <f>'S&amp;D'!G23</f>
        <v>72.37</v>
      </c>
      <c r="E45" s="333">
        <f>+Earnings!I17</f>
        <v>5</v>
      </c>
      <c r="F45" s="66">
        <f t="shared" si="12"/>
        <v>14.474</v>
      </c>
      <c r="G45" s="51">
        <f t="shared" si="13"/>
        <v>6.9089401685781399E-2</v>
      </c>
    </row>
    <row r="46" spans="1:15" ht="17.25">
      <c r="A46" s="57" t="str">
        <f>+'S&amp;D'!A24</f>
        <v>CSX Corp</v>
      </c>
      <c r="C46" s="84" t="str">
        <f>+'S&amp;D'!B24</f>
        <v>CSX</v>
      </c>
      <c r="D46" s="54">
        <f>'S&amp;D'!G24</f>
        <v>32.369999999999997</v>
      </c>
      <c r="E46" s="333">
        <f>+Earnings!I18</f>
        <v>3</v>
      </c>
      <c r="F46" s="66">
        <f t="shared" si="12"/>
        <v>10.79</v>
      </c>
      <c r="G46" s="51">
        <f t="shared" si="13"/>
        <v>9.267840593141799E-2</v>
      </c>
    </row>
    <row r="47" spans="1:15" ht="17.25">
      <c r="A47" s="57" t="str">
        <f>+'S&amp;D'!A25</f>
        <v>Norfolk Southern</v>
      </c>
      <c r="C47" s="84" t="str">
        <f>+'S&amp;D'!B25</f>
        <v>NSC</v>
      </c>
      <c r="D47" s="54">
        <f>'S&amp;D'!G25</f>
        <v>234.7</v>
      </c>
      <c r="E47" s="333">
        <f>+Earnings!I19</f>
        <v>20</v>
      </c>
      <c r="F47" s="66">
        <f t="shared" si="12"/>
        <v>11.734999999999999</v>
      </c>
      <c r="G47" s="51">
        <f t="shared" si="13"/>
        <v>8.52151682999574E-2</v>
      </c>
    </row>
    <row r="48" spans="1:15" ht="17.25">
      <c r="A48" s="57" t="str">
        <f>+'S&amp;D'!A26</f>
        <v>Union Pacific Railroad</v>
      </c>
      <c r="C48" s="84" t="str">
        <f>+'S&amp;D'!B26</f>
        <v>UNP</v>
      </c>
      <c r="D48" s="54">
        <f>'S&amp;D'!G26</f>
        <v>228.04</v>
      </c>
      <c r="E48" s="333">
        <f>+Earnings!I20</f>
        <v>16</v>
      </c>
      <c r="F48" s="66">
        <f t="shared" si="12"/>
        <v>14.2525</v>
      </c>
      <c r="G48" s="51">
        <f t="shared" si="13"/>
        <v>7.0163129275565686E-2</v>
      </c>
    </row>
    <row r="49" spans="1:7" ht="17.25" thickBot="1">
      <c r="A49" s="8"/>
      <c r="D49" s="64"/>
      <c r="E49" s="64"/>
      <c r="F49" s="64"/>
      <c r="G49" s="64"/>
    </row>
    <row r="50" spans="1:7" ht="17.25" thickTop="1">
      <c r="A50" s="8"/>
      <c r="D50" s="10" t="s">
        <v>46</v>
      </c>
      <c r="E50" s="65">
        <f t="shared" ref="E50:G50" si="14">MAX(E44:E48)</f>
        <v>20</v>
      </c>
      <c r="F50" s="65">
        <f t="shared" si="14"/>
        <v>14.474</v>
      </c>
      <c r="G50" s="273">
        <f t="shared" si="14"/>
        <v>9.267840593141799E-2</v>
      </c>
    </row>
    <row r="51" spans="1:7" ht="16.5">
      <c r="A51" s="8"/>
      <c r="D51" s="10" t="s">
        <v>47</v>
      </c>
      <c r="E51" s="292">
        <f t="shared" ref="E51:G51" si="15">MIN(E44:E48)</f>
        <v>3</v>
      </c>
      <c r="F51" s="292">
        <f t="shared" si="15"/>
        <v>10.79</v>
      </c>
      <c r="G51" s="286">
        <f t="shared" si="15"/>
        <v>6.9089401685781399E-2</v>
      </c>
    </row>
    <row r="52" spans="1:7" ht="16.5">
      <c r="A52" s="8"/>
      <c r="D52" s="10" t="s">
        <v>18</v>
      </c>
      <c r="E52" s="66">
        <f>MEDIAN(E44:E48)</f>
        <v>9</v>
      </c>
      <c r="F52" s="17">
        <f>MEDIAN(F44:F48)</f>
        <v>11.734999999999999</v>
      </c>
      <c r="G52" s="51">
        <f>MEDIAN(G44:G48)</f>
        <v>8.52151682999574E-2</v>
      </c>
    </row>
    <row r="53" spans="1:7" ht="16.5">
      <c r="A53" s="8"/>
      <c r="D53" s="10" t="s">
        <v>375</v>
      </c>
      <c r="E53" s="13">
        <f>AVERAGE(E44:E48)</f>
        <v>10.6</v>
      </c>
      <c r="F53" s="17">
        <f>AVERAGE(F44:F48)</f>
        <v>12.506077777777778</v>
      </c>
      <c r="G53" s="67">
        <f>AVERAGE(G44:G48)</f>
        <v>8.1161464167300273E-2</v>
      </c>
    </row>
    <row r="54" spans="1:7" ht="16.5">
      <c r="A54" s="8"/>
      <c r="C54" s="8"/>
      <c r="D54" s="8"/>
      <c r="E54" s="8"/>
      <c r="F54" s="8"/>
      <c r="G54" s="8"/>
    </row>
    <row r="55" spans="1:7" ht="26.25">
      <c r="A55" s="8"/>
      <c r="C55" s="8"/>
      <c r="D55" s="8"/>
      <c r="E55" s="71" t="s">
        <v>74</v>
      </c>
      <c r="F55" s="276">
        <v>12.51</v>
      </c>
      <c r="G55" s="274">
        <v>8.1199999999999994E-2</v>
      </c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5D29-F7AC-49AA-AB69-67F9FC9054F9}">
  <sheetPr>
    <tabColor rgb="FF92D050"/>
    <pageSetUpPr fitToPage="1"/>
  </sheetPr>
  <dimension ref="A1:J85"/>
  <sheetViews>
    <sheetView view="pageBreakPreview" zoomScale="60" zoomScaleNormal="80" workbookViewId="0">
      <selection activeCell="D81" sqref="D81"/>
    </sheetView>
  </sheetViews>
  <sheetFormatPr defaultRowHeight="15"/>
  <cols>
    <col min="1" max="1" width="74.57031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19" t="s">
        <v>1</v>
      </c>
      <c r="B1" s="19"/>
      <c r="C1" s="19"/>
      <c r="D1" s="8"/>
      <c r="E1" s="8"/>
      <c r="F1" s="8"/>
      <c r="G1" s="8"/>
      <c r="H1" s="8"/>
      <c r="I1" s="8"/>
      <c r="J1" s="8"/>
    </row>
    <row r="2" spans="1:10" ht="17.25">
      <c r="A2" s="20" t="s">
        <v>9</v>
      </c>
      <c r="B2" s="20"/>
      <c r="C2" s="20"/>
      <c r="D2" s="8"/>
      <c r="E2" s="8"/>
      <c r="F2" s="8"/>
      <c r="G2" s="8"/>
      <c r="H2" s="8"/>
      <c r="I2" s="8"/>
      <c r="J2" s="8"/>
    </row>
    <row r="3" spans="1:10" ht="16.5">
      <c r="A3" s="21" t="s">
        <v>416</v>
      </c>
      <c r="B3" s="21"/>
      <c r="C3" s="21"/>
      <c r="D3" s="8"/>
      <c r="E3" s="8"/>
      <c r="F3" s="8"/>
      <c r="G3" s="8"/>
      <c r="H3" s="8"/>
      <c r="I3" s="8"/>
      <c r="J3" s="8"/>
    </row>
    <row r="4" spans="1:10" ht="16.5">
      <c r="A4" s="21"/>
      <c r="B4" s="21"/>
      <c r="C4" s="21"/>
      <c r="D4" s="8"/>
      <c r="E4" s="8"/>
      <c r="F4" s="8"/>
      <c r="G4" s="8"/>
      <c r="H4" s="8"/>
      <c r="I4" s="8"/>
      <c r="J4" s="8"/>
    </row>
    <row r="5" spans="1:10" ht="17.25" thickBot="1">
      <c r="A5" s="8"/>
      <c r="B5" s="8"/>
      <c r="C5" s="8"/>
      <c r="D5" s="8"/>
      <c r="E5" s="8"/>
      <c r="F5" s="8"/>
      <c r="G5" s="8"/>
      <c r="H5" s="22" t="s">
        <v>0</v>
      </c>
      <c r="I5" s="22"/>
      <c r="J5" s="8"/>
    </row>
    <row r="6" spans="1:10" ht="21" thickBot="1">
      <c r="A6" s="23" t="str">
        <f>+'S&amp;D'!A12</f>
        <v>Railroad Carriers</v>
      </c>
      <c r="B6" s="8"/>
      <c r="C6" s="8"/>
      <c r="D6" s="24"/>
      <c r="E6" s="24"/>
      <c r="F6" s="24"/>
      <c r="G6" s="8"/>
      <c r="H6" s="8"/>
      <c r="I6" s="8"/>
      <c r="J6" s="8"/>
    </row>
    <row r="7" spans="1:10" ht="26.25">
      <c r="B7" s="26"/>
      <c r="C7" s="26"/>
      <c r="D7" s="8"/>
      <c r="E7" s="27" t="s">
        <v>199</v>
      </c>
      <c r="F7" s="8"/>
      <c r="G7" s="8"/>
      <c r="H7" s="8"/>
      <c r="I7" s="8"/>
      <c r="J7" s="8"/>
    </row>
    <row r="8" spans="1:10" ht="21" thickBot="1">
      <c r="A8" s="26"/>
      <c r="B8" s="26"/>
      <c r="C8" s="26"/>
      <c r="D8" s="24"/>
      <c r="E8" s="32" t="s">
        <v>417</v>
      </c>
      <c r="F8" s="24"/>
      <c r="G8" s="8"/>
      <c r="H8" s="8"/>
      <c r="I8" s="8"/>
      <c r="J8" s="8"/>
    </row>
    <row r="9" spans="1:10" ht="20.25">
      <c r="A9" s="26"/>
      <c r="B9" s="26"/>
      <c r="C9" s="26"/>
      <c r="D9" s="8"/>
      <c r="E9" s="30"/>
      <c r="F9" s="8"/>
      <c r="G9" s="8"/>
      <c r="H9" s="8"/>
      <c r="I9" s="8"/>
      <c r="J9" s="8"/>
    </row>
    <row r="10" spans="1:10" ht="20.25">
      <c r="A10" s="26"/>
      <c r="B10" s="26"/>
      <c r="H10" s="8"/>
      <c r="I10" s="8"/>
      <c r="J10" s="8"/>
    </row>
    <row r="11" spans="1:10" ht="20.25">
      <c r="A11" s="26"/>
      <c r="B11" s="26"/>
      <c r="H11" s="8"/>
      <c r="I11" s="8"/>
      <c r="J11" s="8"/>
    </row>
    <row r="12" spans="1:10" ht="30" customHeight="1" thickBot="1">
      <c r="A12" s="26"/>
      <c r="B12" s="26"/>
      <c r="C12" t="s">
        <v>0</v>
      </c>
      <c r="H12" s="8"/>
      <c r="I12" s="8"/>
      <c r="J12" s="8"/>
    </row>
    <row r="13" spans="1:10" ht="26.25" customHeight="1" thickBot="1">
      <c r="A13" s="141" t="s">
        <v>214</v>
      </c>
      <c r="B13" s="8" t="s">
        <v>0</v>
      </c>
      <c r="C13" s="8"/>
      <c r="D13" s="8"/>
      <c r="E13" s="8"/>
      <c r="F13" s="8"/>
      <c r="G13" s="8"/>
      <c r="H13" s="8"/>
      <c r="I13" s="8"/>
      <c r="J13" s="8"/>
    </row>
    <row r="14" spans="1:10" ht="42" customHeight="1" thickBot="1">
      <c r="A14" s="140" t="s">
        <v>212</v>
      </c>
      <c r="B14" s="139" t="s">
        <v>203</v>
      </c>
      <c r="C14" s="138" t="s">
        <v>215</v>
      </c>
      <c r="D14" s="139" t="s">
        <v>205</v>
      </c>
      <c r="E14" s="139" t="s">
        <v>369</v>
      </c>
      <c r="F14" s="137" t="s">
        <v>204</v>
      </c>
      <c r="G14" s="8"/>
      <c r="H14" s="8"/>
      <c r="I14" s="8"/>
      <c r="J14" s="8"/>
    </row>
    <row r="15" spans="1:10" ht="16.5">
      <c r="A15" s="134"/>
      <c r="B15" s="102"/>
      <c r="C15" s="102"/>
      <c r="D15" s="102"/>
      <c r="E15" s="102"/>
      <c r="F15" s="135"/>
      <c r="G15" s="8"/>
      <c r="H15" s="8"/>
      <c r="I15" s="8"/>
      <c r="J15" s="8"/>
    </row>
    <row r="16" spans="1:10" ht="17.25">
      <c r="A16" s="164" t="s">
        <v>472</v>
      </c>
      <c r="B16" s="177">
        <v>2.3300000000000001E-2</v>
      </c>
      <c r="C16" s="174">
        <f>+'Beta for CAPM'!H29</f>
        <v>0.98</v>
      </c>
      <c r="D16" s="165">
        <f>+B16*C16</f>
        <v>2.2834E-2</v>
      </c>
      <c r="E16" s="165">
        <f>+'Growth &amp; Inflation Rates'!G25</f>
        <v>4.8599999999999997E-2</v>
      </c>
      <c r="F16" s="166">
        <f>+D16+E16</f>
        <v>7.1433999999999997E-2</v>
      </c>
      <c r="G16" s="8"/>
      <c r="H16" s="8"/>
      <c r="I16" s="8"/>
      <c r="J16" s="8"/>
    </row>
    <row r="17" spans="1:10" ht="17.25">
      <c r="A17" s="164" t="s">
        <v>473</v>
      </c>
      <c r="B17" s="177">
        <v>3.04E-2</v>
      </c>
      <c r="C17" s="174">
        <f>+C16</f>
        <v>0.98</v>
      </c>
      <c r="D17" s="165">
        <f>+B17*C17</f>
        <v>2.9791999999999999E-2</v>
      </c>
      <c r="E17" s="165">
        <f>+E16</f>
        <v>4.8599999999999997E-2</v>
      </c>
      <c r="F17" s="166">
        <f>+D17+E17</f>
        <v>7.8391999999999989E-2</v>
      </c>
      <c r="G17" s="8"/>
      <c r="H17" s="8"/>
      <c r="I17" s="8"/>
      <c r="J17" s="8"/>
    </row>
    <row r="18" spans="1:10" ht="17.25">
      <c r="A18" s="167"/>
      <c r="B18" s="99"/>
      <c r="C18" s="99"/>
      <c r="D18" s="99"/>
      <c r="E18" s="99"/>
      <c r="F18" s="168"/>
      <c r="G18" s="8"/>
      <c r="H18" s="8"/>
      <c r="I18" s="8"/>
      <c r="J18" s="8"/>
    </row>
    <row r="19" spans="1:10" ht="17.25">
      <c r="A19" s="164" t="s">
        <v>382</v>
      </c>
      <c r="B19" s="177">
        <v>4.3299999999999998E-2</v>
      </c>
      <c r="C19" s="174">
        <f>+C16</f>
        <v>0.98</v>
      </c>
      <c r="D19" s="165">
        <f>+B19*C19</f>
        <v>4.2433999999999999E-2</v>
      </c>
      <c r="E19" s="165">
        <f>+E16</f>
        <v>4.8599999999999997E-2</v>
      </c>
      <c r="F19" s="166">
        <f>+D19+E19</f>
        <v>9.1034000000000004E-2</v>
      </c>
      <c r="G19" s="8"/>
      <c r="H19" s="8"/>
      <c r="I19" s="8"/>
      <c r="J19" s="8"/>
    </row>
    <row r="20" spans="1:10" ht="17.25">
      <c r="A20" s="164" t="s">
        <v>401</v>
      </c>
      <c r="B20" s="177">
        <v>6.1499999999999999E-2</v>
      </c>
      <c r="C20" s="174">
        <f>+C16</f>
        <v>0.98</v>
      </c>
      <c r="D20" s="165">
        <f>+B20*C20</f>
        <v>6.0269999999999997E-2</v>
      </c>
      <c r="E20" s="165">
        <f>+E16</f>
        <v>4.8599999999999997E-2</v>
      </c>
      <c r="F20" s="166">
        <f>+D20+E20</f>
        <v>0.10886999999999999</v>
      </c>
      <c r="G20" s="8"/>
      <c r="H20" s="8"/>
      <c r="I20" s="8"/>
      <c r="J20" s="8"/>
    </row>
    <row r="21" spans="1:10" ht="17.25">
      <c r="A21" s="164" t="s">
        <v>383</v>
      </c>
      <c r="B21" s="177">
        <v>4.1500000000000002E-2</v>
      </c>
      <c r="C21" s="174">
        <f>+C16</f>
        <v>0.98</v>
      </c>
      <c r="D21" s="165">
        <f>+B21*C21</f>
        <v>4.0670000000000005E-2</v>
      </c>
      <c r="E21" s="165">
        <f>+E16</f>
        <v>4.8599999999999997E-2</v>
      </c>
      <c r="F21" s="166">
        <f>+D21+E21</f>
        <v>8.9270000000000002E-2</v>
      </c>
      <c r="G21" s="8"/>
      <c r="H21" s="8"/>
      <c r="I21" s="8"/>
      <c r="J21" s="8"/>
    </row>
    <row r="22" spans="1:10" ht="17.25">
      <c r="A22" s="164" t="s">
        <v>384</v>
      </c>
      <c r="B22" s="177">
        <v>3.8100000000000002E-2</v>
      </c>
      <c r="C22" s="174">
        <f>+C16</f>
        <v>0.98</v>
      </c>
      <c r="D22" s="165">
        <f>+B22*C22</f>
        <v>3.7338000000000003E-2</v>
      </c>
      <c r="E22" s="165">
        <f>+E16</f>
        <v>4.8599999999999997E-2</v>
      </c>
      <c r="F22" s="166">
        <f>+D22+E22</f>
        <v>8.5938000000000001E-2</v>
      </c>
      <c r="G22" s="8"/>
      <c r="H22" s="8"/>
      <c r="I22" s="8"/>
      <c r="J22" s="8"/>
    </row>
    <row r="23" spans="1:10" ht="17.25">
      <c r="A23" s="164" t="s">
        <v>0</v>
      </c>
      <c r="B23" s="177"/>
      <c r="C23" s="175" t="s">
        <v>0</v>
      </c>
      <c r="D23" s="165" t="s">
        <v>0</v>
      </c>
      <c r="E23" s="165" t="s">
        <v>0</v>
      </c>
      <c r="F23" s="166" t="s">
        <v>0</v>
      </c>
      <c r="G23" s="8"/>
      <c r="H23" s="8"/>
      <c r="I23" s="8"/>
      <c r="J23" s="8"/>
    </row>
    <row r="24" spans="1:10" ht="17.25">
      <c r="A24" s="164" t="s">
        <v>208</v>
      </c>
      <c r="B24" s="177">
        <v>5.3900000000000003E-2</v>
      </c>
      <c r="C24" s="174">
        <f>+C16</f>
        <v>0.98</v>
      </c>
      <c r="D24" s="165">
        <f>+B24*C24</f>
        <v>5.2822000000000001E-2</v>
      </c>
      <c r="E24" s="165">
        <f>+E16</f>
        <v>4.8599999999999997E-2</v>
      </c>
      <c r="F24" s="166">
        <f>+D24+E24</f>
        <v>0.101422</v>
      </c>
      <c r="G24" s="8"/>
      <c r="H24" s="8"/>
      <c r="I24" s="8"/>
      <c r="J24" s="8"/>
    </row>
    <row r="25" spans="1:10" ht="17.25">
      <c r="A25" s="164" t="s">
        <v>0</v>
      </c>
      <c r="B25" s="177"/>
      <c r="C25" s="175" t="s">
        <v>0</v>
      </c>
      <c r="D25" s="165" t="s">
        <v>0</v>
      </c>
      <c r="E25" s="165" t="s">
        <v>0</v>
      </c>
      <c r="F25" s="166" t="s">
        <v>0</v>
      </c>
      <c r="G25" s="8"/>
      <c r="H25" s="8"/>
      <c r="I25" s="8"/>
      <c r="J25" s="8"/>
    </row>
    <row r="26" spans="1:10" ht="17.25">
      <c r="A26" s="164" t="s">
        <v>400</v>
      </c>
      <c r="B26" s="177">
        <v>5.5E-2</v>
      </c>
      <c r="C26" s="174">
        <f>+C16</f>
        <v>0.98</v>
      </c>
      <c r="D26" s="165">
        <f>+B26*C26</f>
        <v>5.3899999999999997E-2</v>
      </c>
      <c r="E26" s="165">
        <f>+E16</f>
        <v>4.8599999999999997E-2</v>
      </c>
      <c r="F26" s="166">
        <f>+D26+E26</f>
        <v>0.10249999999999999</v>
      </c>
      <c r="G26" s="8"/>
      <c r="H26" s="8"/>
      <c r="I26" s="8"/>
      <c r="J26" s="8"/>
    </row>
    <row r="27" spans="1:10" ht="17.25">
      <c r="A27" s="164" t="s">
        <v>0</v>
      </c>
      <c r="B27" s="177"/>
      <c r="C27" s="175" t="s">
        <v>0</v>
      </c>
      <c r="D27" s="165" t="s">
        <v>0</v>
      </c>
      <c r="E27" s="165" t="s">
        <v>0</v>
      </c>
      <c r="F27" s="166" t="s">
        <v>0</v>
      </c>
      <c r="G27" s="8"/>
      <c r="H27" s="8"/>
      <c r="I27" s="8"/>
      <c r="J27" s="8"/>
    </row>
    <row r="28" spans="1:10" ht="17.25">
      <c r="A28" s="164" t="s">
        <v>209</v>
      </c>
      <c r="B28" s="177">
        <v>6.7100000000000007E-2</v>
      </c>
      <c r="C28" s="174">
        <f>+C16</f>
        <v>0.98</v>
      </c>
      <c r="D28" s="165">
        <f>+B28*C28</f>
        <v>6.5758000000000011E-2</v>
      </c>
      <c r="E28" s="165">
        <f>+E16</f>
        <v>4.8599999999999997E-2</v>
      </c>
      <c r="F28" s="166">
        <f>+D28+E28</f>
        <v>0.11435800000000002</v>
      </c>
      <c r="G28" s="8"/>
      <c r="H28" s="8"/>
      <c r="I28" s="8"/>
      <c r="J28" s="8"/>
    </row>
    <row r="29" spans="1:10" ht="17.25">
      <c r="A29" s="164" t="s">
        <v>210</v>
      </c>
      <c r="B29" s="177">
        <v>5.4600000000000003E-2</v>
      </c>
      <c r="C29" s="174">
        <f>+C16</f>
        <v>0.98</v>
      </c>
      <c r="D29" s="165">
        <f>+B29*C29</f>
        <v>5.3508E-2</v>
      </c>
      <c r="E29" s="165">
        <f>+E16</f>
        <v>4.8599999999999997E-2</v>
      </c>
      <c r="F29" s="166">
        <f>+D29+E29</f>
        <v>0.102108</v>
      </c>
      <c r="G29" s="8"/>
      <c r="H29" s="8"/>
      <c r="I29" s="8"/>
      <c r="J29" s="8"/>
    </row>
    <row r="30" spans="1:10" ht="17.25">
      <c r="A30" s="164"/>
      <c r="B30" s="177"/>
      <c r="C30" s="174"/>
      <c r="D30" s="165"/>
      <c r="E30" s="165"/>
      <c r="F30" s="166"/>
      <c r="G30" s="8"/>
      <c r="H30" s="8"/>
      <c r="I30" s="8"/>
      <c r="J30" s="8"/>
    </row>
    <row r="31" spans="1:10" ht="17.25">
      <c r="A31" s="164" t="s">
        <v>385</v>
      </c>
      <c r="B31" s="177">
        <v>7.3099999999999998E-2</v>
      </c>
      <c r="C31" s="174">
        <f>+C16</f>
        <v>0.98</v>
      </c>
      <c r="D31" s="165">
        <f>+B31*C31</f>
        <v>7.1637999999999993E-2</v>
      </c>
      <c r="E31" s="165">
        <f>+E16</f>
        <v>4.8599999999999997E-2</v>
      </c>
      <c r="F31" s="166">
        <f>+D31+E31</f>
        <v>0.12023799999999998</v>
      </c>
      <c r="G31" s="8"/>
      <c r="H31" s="8"/>
      <c r="I31" s="8"/>
      <c r="J31" s="8"/>
    </row>
    <row r="32" spans="1:10" ht="17.25">
      <c r="A32" s="164" t="s">
        <v>386</v>
      </c>
      <c r="B32" s="177">
        <v>6.2600000000000003E-2</v>
      </c>
      <c r="C32" s="174">
        <f>+C16</f>
        <v>0.98</v>
      </c>
      <c r="D32" s="165">
        <f>+B32*C32</f>
        <v>6.1348E-2</v>
      </c>
      <c r="E32" s="165">
        <f>+E16</f>
        <v>4.8599999999999997E-2</v>
      </c>
      <c r="F32" s="166">
        <f>+D32+E32</f>
        <v>0.10994799999999999</v>
      </c>
      <c r="G32" s="8"/>
      <c r="H32" s="8"/>
      <c r="I32" s="8"/>
      <c r="J32" s="8"/>
    </row>
    <row r="33" spans="1:10" ht="17.25">
      <c r="A33" s="164" t="s">
        <v>387</v>
      </c>
      <c r="B33" s="177">
        <v>0.05</v>
      </c>
      <c r="C33" s="174">
        <f>+C16</f>
        <v>0.98</v>
      </c>
      <c r="D33" s="165">
        <f>+B33*C33</f>
        <v>4.9000000000000002E-2</v>
      </c>
      <c r="E33" s="165">
        <f>+E16</f>
        <v>4.8599999999999997E-2</v>
      </c>
      <c r="F33" s="166">
        <f>+D33+E33</f>
        <v>9.7599999999999992E-2</v>
      </c>
      <c r="G33" s="8"/>
      <c r="H33" s="8"/>
      <c r="I33" s="8"/>
      <c r="J33" s="8"/>
    </row>
    <row r="34" spans="1:10" ht="17.25">
      <c r="A34" s="164"/>
      <c r="B34" s="177"/>
      <c r="C34" s="174"/>
      <c r="D34" s="165"/>
      <c r="E34" s="165"/>
      <c r="F34" s="166"/>
      <c r="G34" s="8"/>
      <c r="H34" s="8"/>
      <c r="I34" s="8"/>
      <c r="J34" s="8"/>
    </row>
    <row r="35" spans="1:10" ht="17.25">
      <c r="A35" s="361" t="s">
        <v>0</v>
      </c>
      <c r="B35" s="362" t="s">
        <v>0</v>
      </c>
      <c r="C35" s="174" t="s">
        <v>0</v>
      </c>
      <c r="D35" s="165" t="s">
        <v>0</v>
      </c>
      <c r="E35" s="165" t="s">
        <v>0</v>
      </c>
      <c r="F35" s="166" t="s">
        <v>0</v>
      </c>
      <c r="G35" s="8"/>
      <c r="H35" s="8"/>
      <c r="I35" s="8"/>
      <c r="J35" s="8"/>
    </row>
    <row r="36" spans="1:10" ht="17.25" thickBot="1">
      <c r="A36" s="345"/>
      <c r="B36" s="24"/>
      <c r="C36" s="24"/>
      <c r="D36" s="24"/>
      <c r="E36" s="24"/>
      <c r="F36" s="346"/>
      <c r="G36" s="8"/>
      <c r="H36" s="8"/>
      <c r="I36" s="8"/>
      <c r="J36" s="8"/>
    </row>
    <row r="37" spans="1:10" ht="16.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7.25" thickBot="1">
      <c r="A38" s="8"/>
      <c r="B38" s="8"/>
      <c r="C38" s="8"/>
      <c r="D38" s="8"/>
      <c r="E38" s="8"/>
      <c r="F38" s="8"/>
      <c r="G38" s="8" t="s">
        <v>0</v>
      </c>
      <c r="H38" s="8"/>
      <c r="I38" s="8"/>
      <c r="J38" s="8"/>
    </row>
    <row r="39" spans="1:10" ht="27" customHeight="1" thickBot="1">
      <c r="A39" s="141" t="s">
        <v>213</v>
      </c>
      <c r="B39" s="8"/>
      <c r="C39" s="8"/>
      <c r="D39" s="8"/>
      <c r="E39" s="8"/>
      <c r="F39" s="8"/>
      <c r="G39" s="8"/>
      <c r="H39" s="8"/>
      <c r="I39" s="8"/>
      <c r="J39" s="8"/>
    </row>
    <row r="40" spans="1:10" ht="44.25" customHeight="1" thickBot="1">
      <c r="A40" s="140" t="s">
        <v>211</v>
      </c>
      <c r="B40" s="139" t="s">
        <v>203</v>
      </c>
      <c r="C40" s="138" t="s">
        <v>215</v>
      </c>
      <c r="D40" s="139" t="s">
        <v>206</v>
      </c>
      <c r="E40" s="139" t="s">
        <v>207</v>
      </c>
      <c r="F40" s="139" t="s">
        <v>369</v>
      </c>
      <c r="G40" s="137" t="s">
        <v>204</v>
      </c>
      <c r="H40" s="8"/>
      <c r="I40" s="8"/>
      <c r="J40" s="8"/>
    </row>
    <row r="41" spans="1:10" ht="16.5">
      <c r="A41" s="134"/>
      <c r="B41" s="102"/>
      <c r="C41" s="102"/>
      <c r="D41" s="102"/>
      <c r="E41" s="102"/>
      <c r="F41" s="102"/>
      <c r="G41" s="135"/>
      <c r="H41" s="8"/>
      <c r="I41" s="8"/>
      <c r="J41" s="8"/>
    </row>
    <row r="42" spans="1:10" ht="17.25">
      <c r="A42" s="164" t="str">
        <f t="shared" ref="A42:C43" si="0">+A16</f>
        <v>Three Stage Ex Ante  Version 1  (1)</v>
      </c>
      <c r="B42" s="177">
        <f t="shared" si="0"/>
        <v>2.3300000000000001E-2</v>
      </c>
      <c r="C42" s="173">
        <f t="shared" si="0"/>
        <v>0.98</v>
      </c>
      <c r="D42" s="165">
        <f>+B42*C42*0.75</f>
        <v>1.7125500000000002E-2</v>
      </c>
      <c r="E42" s="177">
        <f>+B42*0.25</f>
        <v>5.8250000000000003E-3</v>
      </c>
      <c r="F42" s="165">
        <f>+E16</f>
        <v>4.8599999999999997E-2</v>
      </c>
      <c r="G42" s="166">
        <f>+D42+E42+F42</f>
        <v>7.1550500000000003E-2</v>
      </c>
      <c r="H42" s="8"/>
      <c r="I42" s="8"/>
      <c r="J42" s="8"/>
    </row>
    <row r="43" spans="1:10" ht="17.25">
      <c r="A43" s="164" t="str">
        <f t="shared" si="0"/>
        <v>Three Stage Ex Ante  Version 2   (2)</v>
      </c>
      <c r="B43" s="177">
        <f t="shared" si="0"/>
        <v>3.04E-2</v>
      </c>
      <c r="C43" s="173">
        <f t="shared" si="0"/>
        <v>0.98</v>
      </c>
      <c r="D43" s="165">
        <f>+B43*C43*0.75</f>
        <v>2.2343999999999999E-2</v>
      </c>
      <c r="E43" s="177">
        <f>+B43*0.25</f>
        <v>7.6E-3</v>
      </c>
      <c r="F43" s="165">
        <f>+E17</f>
        <v>4.8599999999999997E-2</v>
      </c>
      <c r="G43" s="166">
        <f>+D43+E43+F43</f>
        <v>7.8544000000000003E-2</v>
      </c>
      <c r="H43" s="8"/>
      <c r="I43" s="8"/>
      <c r="J43" s="8"/>
    </row>
    <row r="44" spans="1:10" ht="17.25">
      <c r="A44" s="167"/>
      <c r="B44" s="99"/>
      <c r="C44" s="99"/>
      <c r="D44" s="99"/>
      <c r="E44" s="99"/>
      <c r="F44" s="99"/>
      <c r="G44" s="168"/>
      <c r="H44" s="8"/>
      <c r="I44" s="8"/>
      <c r="J44" s="8"/>
    </row>
    <row r="45" spans="1:10" ht="17.25">
      <c r="A45" s="164" t="str">
        <f>+A19</f>
        <v>Damodaran Implied ERP Ex Ante   Trailing 12 mo Cash Yield (3)</v>
      </c>
      <c r="B45" s="177">
        <f t="shared" ref="B45:C46" si="1">+B19</f>
        <v>4.3299999999999998E-2</v>
      </c>
      <c r="C45" s="173">
        <f t="shared" si="1"/>
        <v>0.98</v>
      </c>
      <c r="D45" s="165">
        <f>+B45*C45*0.75</f>
        <v>3.18255E-2</v>
      </c>
      <c r="E45" s="177">
        <f>+B45*0.25</f>
        <v>1.0825E-2</v>
      </c>
      <c r="F45" s="165">
        <f>+E19</f>
        <v>4.8599999999999997E-2</v>
      </c>
      <c r="G45" s="166">
        <f>+D45+E45+F45</f>
        <v>9.1250499999999998E-2</v>
      </c>
      <c r="H45" s="8"/>
      <c r="I45" s="8"/>
      <c r="J45" s="8"/>
    </row>
    <row r="46" spans="1:10" ht="17.25">
      <c r="A46" s="164" t="str">
        <f>+A20</f>
        <v>Damodaran Implied ERP Ex Ante   Avg CF Yield Last 10 Yrs (3)</v>
      </c>
      <c r="B46" s="177">
        <f t="shared" si="1"/>
        <v>6.1499999999999999E-2</v>
      </c>
      <c r="C46" s="173">
        <f>+C20</f>
        <v>0.98</v>
      </c>
      <c r="D46" s="165">
        <f>+B46*C46*0.75</f>
        <v>4.52025E-2</v>
      </c>
      <c r="E46" s="177">
        <f>+B46*0.25</f>
        <v>1.5375E-2</v>
      </c>
      <c r="F46" s="165">
        <f>+E20</f>
        <v>4.8599999999999997E-2</v>
      </c>
      <c r="G46" s="166">
        <f>+D46+E46+F46</f>
        <v>0.1091775</v>
      </c>
      <c r="H46" s="8"/>
      <c r="I46" s="8"/>
      <c r="J46" s="8"/>
    </row>
    <row r="47" spans="1:10" ht="17.25">
      <c r="A47" s="164" t="str">
        <f>+A21</f>
        <v>Damodaran Implied ERP Ex Ante   Net Cash Yield (3)</v>
      </c>
      <c r="B47" s="177">
        <f>+B21</f>
        <v>4.1500000000000002E-2</v>
      </c>
      <c r="C47" s="173">
        <f>+C21</f>
        <v>0.98</v>
      </c>
      <c r="D47" s="165">
        <f>+B47*C47*0.75</f>
        <v>3.0502500000000002E-2</v>
      </c>
      <c r="E47" s="177">
        <f>+B47*0.25</f>
        <v>1.0375000000000001E-2</v>
      </c>
      <c r="F47" s="165">
        <f>+E21</f>
        <v>4.8599999999999997E-2</v>
      </c>
      <c r="G47" s="166">
        <f>+D47+E47+F47</f>
        <v>8.9477500000000001E-2</v>
      </c>
      <c r="H47" s="8"/>
      <c r="I47" s="8"/>
      <c r="J47" s="8"/>
    </row>
    <row r="48" spans="1:10" ht="17.25">
      <c r="A48" s="164" t="str">
        <f>+A22</f>
        <v>Damodaran Implied ERP Ex Ante   Norm. Earnings &amp; Payout (3)</v>
      </c>
      <c r="B48" s="177">
        <f>+B22</f>
        <v>3.8100000000000002E-2</v>
      </c>
      <c r="C48" s="173">
        <f>+C22</f>
        <v>0.98</v>
      </c>
      <c r="D48" s="165">
        <f>+B48*C48*0.75</f>
        <v>2.8003500000000001E-2</v>
      </c>
      <c r="E48" s="177">
        <f>+B48*0.25</f>
        <v>9.5250000000000005E-3</v>
      </c>
      <c r="F48" s="165">
        <f>+E22</f>
        <v>4.8599999999999997E-2</v>
      </c>
      <c r="G48" s="166">
        <f>+D48+E48+F48</f>
        <v>8.6128499999999997E-2</v>
      </c>
      <c r="H48" s="8"/>
      <c r="I48" s="8"/>
      <c r="J48" s="8"/>
    </row>
    <row r="49" spans="1:10" ht="17.25">
      <c r="A49" s="164" t="s">
        <v>0</v>
      </c>
      <c r="B49" s="177" t="s">
        <v>0</v>
      </c>
      <c r="C49" s="165" t="s">
        <v>0</v>
      </c>
      <c r="D49" s="165" t="s">
        <v>0</v>
      </c>
      <c r="E49" s="177" t="s">
        <v>0</v>
      </c>
      <c r="F49" s="165" t="s">
        <v>0</v>
      </c>
      <c r="G49" s="166" t="s">
        <v>0</v>
      </c>
      <c r="H49" s="8"/>
      <c r="I49" s="8"/>
      <c r="J49" s="8"/>
    </row>
    <row r="50" spans="1:10" ht="17.25">
      <c r="A50" s="164" t="s">
        <v>208</v>
      </c>
      <c r="B50" s="177">
        <f>+B24</f>
        <v>5.3900000000000003E-2</v>
      </c>
      <c r="C50" s="173">
        <f>+C24</f>
        <v>0.98</v>
      </c>
      <c r="D50" s="165">
        <f>+B50*C50*0.75</f>
        <v>3.9616499999999999E-2</v>
      </c>
      <c r="E50" s="177">
        <f>+B50*0.25</f>
        <v>1.3475000000000001E-2</v>
      </c>
      <c r="F50" s="165">
        <f>+E24</f>
        <v>4.8599999999999997E-2</v>
      </c>
      <c r="G50" s="166">
        <f>+D50+E50+F50</f>
        <v>0.10169149999999999</v>
      </c>
      <c r="H50" s="8"/>
      <c r="I50" s="8"/>
      <c r="J50" s="8"/>
    </row>
    <row r="51" spans="1:10" ht="17.25">
      <c r="A51" s="164" t="s">
        <v>0</v>
      </c>
      <c r="B51" s="177" t="s">
        <v>0</v>
      </c>
      <c r="C51" s="165" t="s">
        <v>0</v>
      </c>
      <c r="D51" s="165" t="s">
        <v>0</v>
      </c>
      <c r="E51" s="177" t="s">
        <v>0</v>
      </c>
      <c r="F51" s="165" t="s">
        <v>0</v>
      </c>
      <c r="G51" s="166" t="s">
        <v>0</v>
      </c>
    </row>
    <row r="52" spans="1:10" ht="17.25">
      <c r="A52" s="164" t="s">
        <v>400</v>
      </c>
      <c r="B52" s="177">
        <f>+B26</f>
        <v>5.5E-2</v>
      </c>
      <c r="C52" s="173">
        <f>+C26</f>
        <v>0.98</v>
      </c>
      <c r="D52" s="165">
        <f>+B52*C52*0.75</f>
        <v>4.0424999999999996E-2</v>
      </c>
      <c r="E52" s="177">
        <f>+B52*0.25</f>
        <v>1.375E-2</v>
      </c>
      <c r="F52" s="165">
        <f>+E26</f>
        <v>4.8599999999999997E-2</v>
      </c>
      <c r="G52" s="166">
        <f>+D52+E52+F52</f>
        <v>0.10277499999999999</v>
      </c>
    </row>
    <row r="53" spans="1:10" ht="17.25">
      <c r="A53" s="164" t="s">
        <v>0</v>
      </c>
      <c r="B53" s="177" t="s">
        <v>0</v>
      </c>
      <c r="C53" s="165" t="s">
        <v>0</v>
      </c>
      <c r="D53" s="165" t="s">
        <v>0</v>
      </c>
      <c r="E53" s="177" t="s">
        <v>0</v>
      </c>
      <c r="F53" s="165" t="s">
        <v>0</v>
      </c>
      <c r="G53" s="166" t="s">
        <v>0</v>
      </c>
    </row>
    <row r="54" spans="1:10" ht="17.25">
      <c r="A54" s="164" t="s">
        <v>209</v>
      </c>
      <c r="B54" s="177">
        <f>+B28</f>
        <v>6.7100000000000007E-2</v>
      </c>
      <c r="C54" s="173">
        <f>+C28</f>
        <v>0.98</v>
      </c>
      <c r="D54" s="165">
        <f>+B54*C54*0.75</f>
        <v>4.9318500000000008E-2</v>
      </c>
      <c r="E54" s="177">
        <f>+B54*0.25</f>
        <v>1.6775000000000002E-2</v>
      </c>
      <c r="F54" s="165">
        <f>+E28</f>
        <v>4.8599999999999997E-2</v>
      </c>
      <c r="G54" s="166">
        <f>+D54+E54+F54</f>
        <v>0.1146935</v>
      </c>
    </row>
    <row r="55" spans="1:10" ht="17.25">
      <c r="A55" s="164" t="s">
        <v>210</v>
      </c>
      <c r="B55" s="177">
        <f>+B29</f>
        <v>5.4600000000000003E-2</v>
      </c>
      <c r="C55" s="173">
        <f>+C29</f>
        <v>0.98</v>
      </c>
      <c r="D55" s="165">
        <f>+B55*C55*0.75</f>
        <v>4.0131E-2</v>
      </c>
      <c r="E55" s="177">
        <f>+B55*0.25</f>
        <v>1.3650000000000001E-2</v>
      </c>
      <c r="F55" s="165">
        <f>+E29</f>
        <v>4.8599999999999997E-2</v>
      </c>
      <c r="G55" s="166">
        <f>+D55+E55+F55</f>
        <v>0.102381</v>
      </c>
    </row>
    <row r="56" spans="1:10" ht="17.25">
      <c r="A56" s="164"/>
      <c r="B56" s="177"/>
      <c r="C56" s="173"/>
      <c r="D56" s="165"/>
      <c r="E56" s="177"/>
      <c r="F56" s="165"/>
      <c r="G56" s="166"/>
    </row>
    <row r="57" spans="1:10" ht="17.25">
      <c r="A57" s="164" t="s">
        <v>385</v>
      </c>
      <c r="B57" s="177">
        <f t="shared" ref="B57:C59" si="2">+B31</f>
        <v>7.3099999999999998E-2</v>
      </c>
      <c r="C57" s="173">
        <f t="shared" si="2"/>
        <v>0.98</v>
      </c>
      <c r="D57" s="165">
        <f>+B57*C57*0.75</f>
        <v>5.3728499999999998E-2</v>
      </c>
      <c r="E57" s="177">
        <f>+B57*0.25</f>
        <v>1.8275E-2</v>
      </c>
      <c r="F57" s="165">
        <f>+E31</f>
        <v>4.8599999999999997E-2</v>
      </c>
      <c r="G57" s="166">
        <f>+D57+E57+F57</f>
        <v>0.1206035</v>
      </c>
    </row>
    <row r="58" spans="1:10" ht="17.25">
      <c r="A58" s="164" t="s">
        <v>386</v>
      </c>
      <c r="B58" s="177">
        <f t="shared" si="2"/>
        <v>6.2600000000000003E-2</v>
      </c>
      <c r="C58" s="173">
        <f t="shared" si="2"/>
        <v>0.98</v>
      </c>
      <c r="D58" s="165">
        <f>+B58*C58*0.75</f>
        <v>4.6010999999999996E-2</v>
      </c>
      <c r="E58" s="177">
        <f>+B58*0.25</f>
        <v>1.5650000000000001E-2</v>
      </c>
      <c r="F58" s="165">
        <f>+E32</f>
        <v>4.8599999999999997E-2</v>
      </c>
      <c r="G58" s="166">
        <f>+D58+E58+F58</f>
        <v>0.110261</v>
      </c>
    </row>
    <row r="59" spans="1:10" ht="17.25">
      <c r="A59" s="164" t="s">
        <v>387</v>
      </c>
      <c r="B59" s="177">
        <f t="shared" si="2"/>
        <v>0.05</v>
      </c>
      <c r="C59" s="173">
        <f t="shared" si="2"/>
        <v>0.98</v>
      </c>
      <c r="D59" s="165">
        <f>+B59*C59*0.75</f>
        <v>3.6750000000000005E-2</v>
      </c>
      <c r="E59" s="177">
        <f>+B59*0.25</f>
        <v>1.2500000000000001E-2</v>
      </c>
      <c r="F59" s="165">
        <f>+E33</f>
        <v>4.8599999999999997E-2</v>
      </c>
      <c r="G59" s="166">
        <f>+D59+E59+F59</f>
        <v>9.7849999999999993E-2</v>
      </c>
    </row>
    <row r="60" spans="1:10" ht="17.25">
      <c r="A60" s="164"/>
      <c r="B60" s="177"/>
      <c r="C60" s="173"/>
      <c r="D60" s="165"/>
      <c r="E60" s="177"/>
      <c r="F60" s="165"/>
      <c r="G60" s="166"/>
    </row>
    <row r="61" spans="1:10" ht="17.25">
      <c r="A61" s="361" t="s">
        <v>0</v>
      </c>
      <c r="B61" s="362" t="s">
        <v>0</v>
      </c>
      <c r="C61" s="173" t="s">
        <v>0</v>
      </c>
      <c r="D61" s="165" t="s">
        <v>0</v>
      </c>
      <c r="E61" s="177" t="s">
        <v>0</v>
      </c>
      <c r="F61" s="165" t="s">
        <v>0</v>
      </c>
      <c r="G61" s="166" t="s">
        <v>0</v>
      </c>
    </row>
    <row r="62" spans="1:10" ht="15.75" thickBot="1">
      <c r="A62" s="256"/>
      <c r="B62" s="132"/>
      <c r="C62" s="132"/>
      <c r="D62" s="132"/>
      <c r="E62" s="132"/>
      <c r="F62" s="132"/>
      <c r="G62" s="257"/>
    </row>
    <row r="64" spans="1:10" ht="17.25">
      <c r="A64" s="57" t="s">
        <v>72</v>
      </c>
      <c r="E64" s="176" t="s">
        <v>0</v>
      </c>
    </row>
    <row r="65" spans="1:7">
      <c r="A65" s="462" t="s">
        <v>0</v>
      </c>
      <c r="E65" s="176" t="s">
        <v>0</v>
      </c>
    </row>
    <row r="66" spans="1:7" ht="16.5">
      <c r="A66" s="359" t="s">
        <v>474</v>
      </c>
      <c r="B66" s="8"/>
      <c r="C66" s="8"/>
      <c r="D66" s="8"/>
      <c r="E66" s="8"/>
      <c r="F66" s="8"/>
      <c r="G66" s="8"/>
    </row>
    <row r="67" spans="1:7" ht="16.5">
      <c r="A67" s="359" t="s">
        <v>475</v>
      </c>
      <c r="B67" s="8"/>
      <c r="C67" s="8"/>
      <c r="D67" s="8"/>
      <c r="E67" s="8"/>
      <c r="F67" s="8"/>
      <c r="G67" s="8"/>
    </row>
    <row r="68" spans="1:7" ht="16.5">
      <c r="A68" s="39" t="s">
        <v>0</v>
      </c>
      <c r="B68" s="8"/>
      <c r="C68" s="8"/>
      <c r="D68" s="8"/>
      <c r="E68" s="8"/>
      <c r="F68" s="8"/>
      <c r="G68" s="8"/>
    </row>
    <row r="69" spans="1:7" ht="16.5">
      <c r="A69" s="39" t="s">
        <v>485</v>
      </c>
      <c r="B69" s="8"/>
      <c r="C69" s="8"/>
      <c r="D69" s="8"/>
      <c r="E69" s="8"/>
      <c r="F69" s="8"/>
      <c r="G69" s="8"/>
    </row>
    <row r="70" spans="1:7" ht="16.5">
      <c r="A70" s="418" t="s">
        <v>379</v>
      </c>
      <c r="C70" s="8"/>
      <c r="D70" s="8"/>
      <c r="E70" s="8"/>
      <c r="F70" s="8"/>
      <c r="G70" s="8"/>
    </row>
    <row r="71" spans="1:7" ht="16.5">
      <c r="A71" s="39" t="s">
        <v>0</v>
      </c>
      <c r="B71" s="8"/>
      <c r="C71" s="8"/>
      <c r="D71" s="8"/>
      <c r="E71" s="8"/>
      <c r="F71" s="8"/>
      <c r="G71" s="8"/>
    </row>
    <row r="72" spans="1:7" ht="16.5">
      <c r="A72" s="39" t="s">
        <v>486</v>
      </c>
      <c r="B72" s="8"/>
      <c r="C72" s="8"/>
      <c r="D72" s="8"/>
      <c r="E72" s="8"/>
      <c r="F72" s="8"/>
      <c r="G72" s="8"/>
    </row>
    <row r="73" spans="1:7" ht="16.5">
      <c r="A73" s="418" t="s">
        <v>378</v>
      </c>
      <c r="B73" s="8"/>
      <c r="C73" s="8"/>
      <c r="D73" s="8"/>
      <c r="E73" s="8"/>
      <c r="F73" s="8"/>
      <c r="G73" s="8"/>
    </row>
    <row r="74" spans="1:7" ht="16.5">
      <c r="A74" s="39"/>
      <c r="B74" s="8"/>
      <c r="C74" s="8"/>
      <c r="D74" s="8"/>
      <c r="E74" s="8"/>
      <c r="F74" s="8"/>
      <c r="G74" s="8"/>
    </row>
    <row r="75" spans="1:7" ht="16.5">
      <c r="A75" s="39" t="s">
        <v>487</v>
      </c>
      <c r="B75" s="8"/>
      <c r="C75" s="8"/>
      <c r="D75" s="8"/>
      <c r="E75" s="8"/>
      <c r="F75" s="8"/>
      <c r="G75" s="8"/>
    </row>
    <row r="76" spans="1:7" ht="16.5">
      <c r="A76" s="418" t="s">
        <v>488</v>
      </c>
      <c r="B76" s="8"/>
      <c r="C76" s="8"/>
      <c r="D76" s="8"/>
      <c r="E76" s="8"/>
      <c r="F76" s="8"/>
      <c r="G76" s="8"/>
    </row>
    <row r="77" spans="1:7" ht="16.5">
      <c r="A77" s="39"/>
      <c r="B77" s="8"/>
      <c r="C77" s="8"/>
      <c r="D77" s="8"/>
      <c r="E77" s="8"/>
      <c r="F77" s="8"/>
      <c r="G77" s="8"/>
    </row>
    <row r="78" spans="1:7" ht="16.5">
      <c r="A78" s="39" t="s">
        <v>489</v>
      </c>
      <c r="B78" s="8"/>
      <c r="C78" s="8"/>
      <c r="D78" s="8"/>
      <c r="E78" s="8"/>
      <c r="F78" s="8"/>
      <c r="G78" s="8"/>
    </row>
    <row r="79" spans="1:7" ht="16.5">
      <c r="A79" s="418" t="s">
        <v>377</v>
      </c>
      <c r="B79" s="8"/>
      <c r="C79" s="8"/>
      <c r="D79" s="8"/>
      <c r="E79" s="8"/>
      <c r="F79" s="8"/>
      <c r="G79" s="8"/>
    </row>
    <row r="80" spans="1:7">
      <c r="A80" s="462"/>
    </row>
    <row r="81" spans="1:7" ht="16.5">
      <c r="A81" s="39" t="s">
        <v>490</v>
      </c>
    </row>
    <row r="82" spans="1:7" ht="16.5">
      <c r="A82" s="39" t="s">
        <v>0</v>
      </c>
    </row>
    <row r="83" spans="1:7" ht="16.5">
      <c r="A83" s="359" t="s">
        <v>0</v>
      </c>
    </row>
    <row r="84" spans="1:7" ht="16.5">
      <c r="A84" s="360" t="s">
        <v>0</v>
      </c>
    </row>
    <row r="85" spans="1:7" ht="21" thickBot="1">
      <c r="A85" s="133"/>
      <c r="B85" s="133"/>
      <c r="C85" s="133"/>
      <c r="D85" s="24"/>
      <c r="E85" s="32"/>
      <c r="F85" s="24"/>
      <c r="G85" s="132"/>
    </row>
  </sheetData>
  <hyperlinks>
    <hyperlink ref="A84" r:id="rId1" display="https://simplywall.st/stocks/us/transportation" xr:uid="{DD278B30-47A8-4C40-9DA9-F26B0BE64D77}"/>
    <hyperlink ref="A79" r:id="rId2" xr:uid="{A66B62A3-8B39-4F67-BD10-F12D786BA53B}"/>
    <hyperlink ref="A70" r:id="rId3" xr:uid="{22170784-25D9-4198-89AC-B64896447971}"/>
    <hyperlink ref="A73" r:id="rId4" xr:uid="{D19A88CF-FCA5-4DCE-B5BF-3DEC961CAE68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A241-0A64-46CC-9E60-C6F323522AA0}">
  <sheetPr>
    <tabColor rgb="FF92D050"/>
  </sheetPr>
  <dimension ref="A1:R108"/>
  <sheetViews>
    <sheetView view="pageBreakPreview" zoomScale="50" zoomScaleNormal="80" zoomScaleSheetLayoutView="50" workbookViewId="0">
      <selection activeCell="H16" sqref="H16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19" t="s">
        <v>1</v>
      </c>
      <c r="C1" s="19"/>
      <c r="D1" s="19"/>
      <c r="E1" s="8"/>
      <c r="F1" s="8"/>
      <c r="G1" s="8"/>
      <c r="H1" s="8"/>
      <c r="I1" s="8"/>
      <c r="J1" s="8"/>
      <c r="K1" s="8"/>
    </row>
    <row r="2" spans="1:11" ht="17.25">
      <c r="A2" s="20" t="s">
        <v>9</v>
      </c>
      <c r="C2" s="20"/>
      <c r="D2" s="20"/>
      <c r="E2" s="8"/>
      <c r="F2" s="8"/>
      <c r="G2" s="8"/>
      <c r="H2" s="8"/>
      <c r="I2" s="8"/>
      <c r="J2" s="8"/>
      <c r="K2" s="8"/>
    </row>
    <row r="3" spans="1:11" ht="16.5">
      <c r="A3" s="21" t="s">
        <v>416</v>
      </c>
      <c r="C3" s="21"/>
      <c r="D3" s="21"/>
      <c r="E3" s="8"/>
      <c r="F3" s="8"/>
      <c r="G3" s="8"/>
      <c r="H3" s="8"/>
      <c r="I3" s="8"/>
      <c r="J3" s="8"/>
      <c r="K3" s="8"/>
    </row>
    <row r="4" spans="1:11" ht="16.5">
      <c r="B4" s="21"/>
      <c r="C4" s="21"/>
      <c r="D4" s="21"/>
      <c r="E4" s="8"/>
      <c r="F4" s="8"/>
      <c r="G4" s="8"/>
      <c r="H4" s="8"/>
      <c r="I4" s="8"/>
      <c r="J4" s="8"/>
      <c r="K4" s="8"/>
    </row>
    <row r="5" spans="1:11" ht="16.5">
      <c r="B5" s="8"/>
      <c r="C5" s="8"/>
      <c r="D5" s="8"/>
      <c r="E5" s="8"/>
      <c r="F5" s="8"/>
      <c r="G5" s="8"/>
      <c r="H5" s="8"/>
      <c r="I5" s="22" t="s">
        <v>0</v>
      </c>
      <c r="J5" s="22"/>
      <c r="K5" s="8"/>
    </row>
    <row r="6" spans="1:11" ht="17.25" thickBot="1">
      <c r="B6" s="8"/>
      <c r="C6" s="8"/>
      <c r="D6" s="24"/>
      <c r="E6" s="24"/>
      <c r="F6" s="132"/>
      <c r="H6" s="8"/>
      <c r="I6" s="8"/>
      <c r="J6" s="8"/>
    </row>
    <row r="7" spans="1:11" ht="27" thickBot="1">
      <c r="A7" s="23" t="str">
        <f>+'S&amp;D'!A12</f>
        <v>Railroad Carriers</v>
      </c>
      <c r="C7" s="26"/>
      <c r="D7" s="26"/>
      <c r="E7" s="27" t="s">
        <v>235</v>
      </c>
      <c r="H7" s="8"/>
      <c r="I7" s="8"/>
      <c r="J7" s="8"/>
    </row>
    <row r="8" spans="1:11" ht="21" thickBot="1">
      <c r="B8" s="26"/>
      <c r="C8" s="26"/>
      <c r="D8" s="133"/>
      <c r="E8" s="32" t="s">
        <v>417</v>
      </c>
      <c r="F8" s="132"/>
      <c r="H8" s="8"/>
      <c r="I8" s="8"/>
    </row>
    <row r="9" spans="1:11" ht="20.25">
      <c r="B9" s="26"/>
      <c r="C9" s="26"/>
      <c r="D9" s="26"/>
      <c r="E9" s="30"/>
      <c r="H9" s="8"/>
      <c r="I9" s="8"/>
    </row>
    <row r="10" spans="1:11" ht="29.1" customHeight="1" thickBot="1">
      <c r="A10" s="133"/>
      <c r="B10" s="26"/>
      <c r="I10" s="8"/>
    </row>
    <row r="11" spans="1:11" ht="22.5" customHeight="1" thickBot="1">
      <c r="A11" s="144" t="s">
        <v>234</v>
      </c>
      <c r="B11" s="26"/>
      <c r="I11" s="8"/>
    </row>
    <row r="12" spans="1:11" ht="20.100000000000001" customHeight="1" thickBot="1">
      <c r="A12" s="143" t="s">
        <v>0</v>
      </c>
      <c r="B12" s="8"/>
      <c r="C12" s="8"/>
      <c r="D12" s="8"/>
      <c r="E12" s="8"/>
      <c r="F12" s="8"/>
      <c r="G12" s="8"/>
      <c r="H12" s="8"/>
      <c r="I12" s="8"/>
    </row>
    <row r="13" spans="1:11" ht="60.6" customHeight="1" thickBot="1">
      <c r="A13" s="189" t="s">
        <v>0</v>
      </c>
      <c r="B13" s="139" t="s">
        <v>283</v>
      </c>
      <c r="C13" s="139" t="s">
        <v>282</v>
      </c>
      <c r="D13" s="138" t="s">
        <v>216</v>
      </c>
      <c r="E13" s="139" t="s">
        <v>217</v>
      </c>
      <c r="F13" s="139" t="s">
        <v>252</v>
      </c>
      <c r="G13" s="139" t="s">
        <v>251</v>
      </c>
      <c r="H13" s="139" t="s">
        <v>218</v>
      </c>
    </row>
    <row r="14" spans="1:11" ht="16.5">
      <c r="A14" s="134"/>
      <c r="B14" s="182"/>
      <c r="C14" s="182"/>
      <c r="D14" s="102"/>
      <c r="E14" s="182"/>
      <c r="F14" s="182"/>
      <c r="G14" s="182"/>
      <c r="H14" s="182"/>
    </row>
    <row r="15" spans="1:11" ht="20.25">
      <c r="A15" s="142" t="str">
        <f>+A7</f>
        <v>Railroad Carriers</v>
      </c>
      <c r="B15" s="200">
        <v>0</v>
      </c>
      <c r="C15" s="200">
        <v>0</v>
      </c>
      <c r="D15" s="310">
        <v>0</v>
      </c>
      <c r="E15" s="200">
        <v>0</v>
      </c>
      <c r="F15" s="200">
        <f>+'Dividends '!K24</f>
        <v>9.7356897001566411E-2</v>
      </c>
      <c r="G15" s="200">
        <f>+Earnings!K24</f>
        <v>0.10064241629820769</v>
      </c>
      <c r="H15" s="200">
        <v>0</v>
      </c>
    </row>
    <row r="16" spans="1:11" ht="21" thickBot="1">
      <c r="A16" s="136" t="s">
        <v>0</v>
      </c>
      <c r="B16" s="183" t="s">
        <v>0</v>
      </c>
      <c r="C16" s="183"/>
      <c r="D16" s="311"/>
      <c r="E16" s="183"/>
      <c r="F16" s="226">
        <f>+'Dividends '!K25</f>
        <v>8.7762964486186465E-2</v>
      </c>
      <c r="G16" s="226">
        <f>+Earnings!K25</f>
        <v>9.0110111811683408E-2</v>
      </c>
      <c r="H16" s="183"/>
    </row>
    <row r="17" spans="1:18" ht="57.95" customHeight="1" thickBot="1">
      <c r="A17" s="8"/>
      <c r="B17" s="8"/>
      <c r="C17" s="8"/>
      <c r="D17" s="8"/>
      <c r="E17" s="8"/>
      <c r="F17" s="8"/>
      <c r="G17" s="8"/>
      <c r="H17" s="8"/>
      <c r="I17" s="8"/>
    </row>
    <row r="18" spans="1:18" ht="24.95" customHeight="1" thickBot="1">
      <c r="A18" s="144" t="s">
        <v>463</v>
      </c>
      <c r="B18" s="8"/>
      <c r="C18" s="8"/>
      <c r="D18" s="408"/>
      <c r="E18" s="8"/>
      <c r="F18" s="8"/>
      <c r="G18" s="8"/>
      <c r="H18" s="8"/>
      <c r="I18" s="8"/>
    </row>
    <row r="19" spans="1:18" ht="20.100000000000001" customHeight="1">
      <c r="A19" s="8"/>
      <c r="B19" s="8"/>
      <c r="C19" s="8"/>
      <c r="D19" s="452" t="s">
        <v>463</v>
      </c>
      <c r="E19" s="8"/>
      <c r="F19" s="8"/>
      <c r="G19" s="8"/>
      <c r="H19" s="8"/>
      <c r="I19" s="8"/>
    </row>
    <row r="20" spans="1:18" ht="27.95" customHeight="1">
      <c r="A20" s="450"/>
      <c r="B20" s="405"/>
      <c r="C20" s="454" t="s">
        <v>469</v>
      </c>
      <c r="D20" s="446"/>
      <c r="E20" s="8"/>
      <c r="F20" s="8"/>
      <c r="G20" s="8"/>
      <c r="H20" s="8"/>
      <c r="I20" s="8"/>
    </row>
    <row r="21" spans="1:18" ht="27.95" customHeight="1">
      <c r="A21" s="353"/>
      <c r="C21" s="455" t="s">
        <v>464</v>
      </c>
      <c r="D21" s="447">
        <v>4.5699999999999998E-2</v>
      </c>
      <c r="E21" s="8"/>
      <c r="F21" s="8"/>
      <c r="G21" s="8"/>
      <c r="H21" s="8"/>
      <c r="I21" s="8"/>
    </row>
    <row r="22" spans="1:18" ht="27.95" customHeight="1">
      <c r="A22" s="353"/>
      <c r="C22" s="455" t="s">
        <v>465</v>
      </c>
      <c r="D22" s="447">
        <v>4.6600000000000003E-2</v>
      </c>
      <c r="E22" s="8"/>
      <c r="F22" s="8"/>
      <c r="G22" s="8"/>
      <c r="H22" s="8"/>
      <c r="I22" s="8"/>
    </row>
    <row r="23" spans="1:18" ht="27" customHeight="1">
      <c r="A23" s="353"/>
      <c r="C23" s="455" t="s">
        <v>470</v>
      </c>
      <c r="D23" s="447">
        <v>4.8599999999999997E-2</v>
      </c>
      <c r="E23" s="8"/>
      <c r="F23" s="8"/>
      <c r="G23" s="8"/>
      <c r="H23" s="8"/>
      <c r="I23" s="8"/>
    </row>
    <row r="24" spans="1:18" ht="27" customHeight="1" thickBot="1">
      <c r="A24" s="353"/>
      <c r="C24" s="455" t="s">
        <v>466</v>
      </c>
      <c r="D24" s="447">
        <v>4.7899999999999998E-2</v>
      </c>
      <c r="E24" s="8"/>
      <c r="F24" s="8"/>
      <c r="G24" s="445" t="s">
        <v>480</v>
      </c>
      <c r="I24" s="8"/>
    </row>
    <row r="25" spans="1:18" ht="27" customHeight="1" thickBot="1">
      <c r="A25" s="353"/>
      <c r="B25" s="8"/>
      <c r="C25" s="456" t="s">
        <v>467</v>
      </c>
      <c r="D25" s="448"/>
      <c r="E25" s="8"/>
      <c r="F25" s="8"/>
      <c r="G25" s="459">
        <v>4.8599999999999997E-2</v>
      </c>
      <c r="H25" s="8"/>
      <c r="I25" s="8"/>
    </row>
    <row r="26" spans="1:18" ht="27" customHeight="1">
      <c r="A26" s="353"/>
      <c r="C26" s="455" t="s">
        <v>464</v>
      </c>
      <c r="D26" s="447">
        <v>4.5499999999999999E-2</v>
      </c>
      <c r="E26" s="8"/>
      <c r="F26" s="8"/>
      <c r="G26" s="8"/>
      <c r="H26" s="8"/>
      <c r="I26" s="8"/>
    </row>
    <row r="27" spans="1:18" ht="27" customHeight="1">
      <c r="A27" s="353"/>
      <c r="C27" s="455" t="s">
        <v>468</v>
      </c>
      <c r="D27" s="447">
        <v>0</v>
      </c>
      <c r="E27" s="8"/>
      <c r="F27" s="8"/>
      <c r="G27" s="8"/>
      <c r="H27" s="8"/>
      <c r="I27" s="8"/>
    </row>
    <row r="28" spans="1:18" ht="27" customHeight="1">
      <c r="A28" s="353"/>
      <c r="C28" s="455" t="s">
        <v>471</v>
      </c>
      <c r="D28" s="447">
        <v>4.7699999999999999E-2</v>
      </c>
      <c r="E28" s="8"/>
      <c r="F28" s="8"/>
      <c r="G28" s="8"/>
      <c r="H28" s="8"/>
      <c r="I28" s="8"/>
    </row>
    <row r="29" spans="1:18" ht="27" customHeight="1">
      <c r="A29" s="353"/>
      <c r="C29" s="453" t="s">
        <v>478</v>
      </c>
      <c r="D29" s="458">
        <v>4.58E-2</v>
      </c>
      <c r="E29" s="8"/>
      <c r="F29" s="8"/>
      <c r="G29" s="8"/>
      <c r="H29" s="8"/>
      <c r="I29" s="8"/>
    </row>
    <row r="30" spans="1:18" ht="20.25">
      <c r="A30" s="451"/>
      <c r="B30" s="209"/>
      <c r="C30" s="457" t="s">
        <v>476</v>
      </c>
      <c r="D30" s="449">
        <v>4.8599999999999997E-2</v>
      </c>
      <c r="L30" s="8"/>
    </row>
    <row r="31" spans="1:18" ht="63.6" customHeight="1" thickBot="1">
      <c r="B31" s="8"/>
      <c r="C31" s="8"/>
      <c r="D31" s="24"/>
      <c r="E31" s="24"/>
      <c r="F31" s="24"/>
      <c r="G31" s="8"/>
      <c r="H31" s="8"/>
      <c r="I31" s="8"/>
      <c r="L31" s="8"/>
    </row>
    <row r="32" spans="1:18" ht="26.25">
      <c r="B32" s="26"/>
      <c r="C32" s="26"/>
      <c r="D32" s="8"/>
      <c r="E32" s="27" t="s">
        <v>201</v>
      </c>
      <c r="F32" s="8"/>
      <c r="G32" s="8"/>
      <c r="H32" s="8"/>
      <c r="I32" s="8"/>
      <c r="J32" s="438" t="s">
        <v>0</v>
      </c>
      <c r="K32" s="80"/>
      <c r="L32" s="80"/>
      <c r="M32" s="80"/>
      <c r="N32" s="80"/>
      <c r="O32" s="8"/>
      <c r="P32" s="8"/>
      <c r="Q32" s="8"/>
      <c r="R32" s="8"/>
    </row>
    <row r="33" spans="1:18" ht="21" thickBot="1">
      <c r="A33" s="132"/>
      <c r="B33" s="26"/>
      <c r="C33" s="26"/>
      <c r="D33" s="24"/>
      <c r="E33" s="32" t="s">
        <v>417</v>
      </c>
      <c r="F33" s="24"/>
      <c r="G33" s="8"/>
      <c r="H33" s="8"/>
      <c r="I33" s="8"/>
      <c r="J33" s="439"/>
      <c r="K33" s="440"/>
      <c r="L33" s="440"/>
      <c r="M33" s="80"/>
      <c r="N33" s="80"/>
      <c r="O33" s="8"/>
      <c r="P33" s="8"/>
      <c r="Q33" s="8"/>
      <c r="R33" s="8"/>
    </row>
    <row r="34" spans="1:18" ht="21" thickBot="1">
      <c r="A34" s="131" t="s">
        <v>423</v>
      </c>
      <c r="B34" s="26"/>
      <c r="C34" s="26"/>
      <c r="D34" s="30"/>
      <c r="E34" s="130"/>
      <c r="F34" s="8"/>
      <c r="G34" s="8"/>
      <c r="H34" s="8"/>
      <c r="I34" s="8"/>
      <c r="J34" s="439"/>
      <c r="K34" s="439"/>
      <c r="L34" s="439"/>
      <c r="M34" s="440"/>
      <c r="N34" s="441" t="s">
        <v>0</v>
      </c>
      <c r="O34" s="8"/>
      <c r="P34" s="8"/>
      <c r="Q34" s="8"/>
      <c r="R34" s="8"/>
    </row>
    <row r="35" spans="1:18" ht="18.75">
      <c r="A35" s="36" t="s">
        <v>0</v>
      </c>
      <c r="B35" s="36"/>
      <c r="C35" s="36"/>
      <c r="D35" s="36" t="s">
        <v>0</v>
      </c>
      <c r="E35" s="36" t="s">
        <v>0</v>
      </c>
      <c r="F35" s="36" t="s">
        <v>0</v>
      </c>
      <c r="G35" s="36"/>
      <c r="H35" s="8"/>
      <c r="I35" s="8"/>
      <c r="J35" s="439"/>
      <c r="K35" s="442"/>
      <c r="L35" s="439"/>
      <c r="M35" s="440"/>
      <c r="N35" s="80"/>
      <c r="O35" s="8"/>
      <c r="P35" s="8"/>
      <c r="Q35" s="8"/>
      <c r="R35" s="8"/>
    </row>
    <row r="36" spans="1:18" ht="20.25">
      <c r="A36" s="30" t="s">
        <v>0</v>
      </c>
      <c r="B36" s="30"/>
      <c r="C36" s="30"/>
      <c r="D36" s="392" t="s">
        <v>78</v>
      </c>
      <c r="E36" s="392" t="s">
        <v>236</v>
      </c>
      <c r="F36" s="392" t="s">
        <v>122</v>
      </c>
      <c r="G36" s="223"/>
      <c r="H36" s="8"/>
      <c r="I36" s="8"/>
      <c r="J36" s="439"/>
      <c r="K36" s="439"/>
      <c r="L36" s="439"/>
      <c r="M36" s="440"/>
      <c r="N36" s="80"/>
      <c r="O36" s="8"/>
      <c r="P36" s="8"/>
      <c r="Q36" s="8"/>
      <c r="R36" s="8"/>
    </row>
    <row r="37" spans="1:18" ht="20.25">
      <c r="A37" s="474" t="s">
        <v>120</v>
      </c>
      <c r="B37" s="475"/>
      <c r="C37" s="476"/>
      <c r="D37" s="393" t="s">
        <v>80</v>
      </c>
      <c r="E37" s="393" t="s">
        <v>121</v>
      </c>
      <c r="F37" s="393" t="s">
        <v>123</v>
      </c>
      <c r="G37" s="223"/>
      <c r="H37" s="8"/>
      <c r="I37" s="8"/>
      <c r="J37" s="440"/>
      <c r="K37" s="440"/>
      <c r="L37" s="443"/>
      <c r="M37" s="440"/>
      <c r="N37" s="80"/>
      <c r="O37" s="8"/>
      <c r="P37" s="8"/>
      <c r="Q37" s="8"/>
      <c r="R37" s="8"/>
    </row>
    <row r="38" spans="1:18" ht="18.75">
      <c r="H38" s="425"/>
      <c r="J38" s="440"/>
      <c r="K38" s="440"/>
      <c r="L38" s="80"/>
      <c r="M38" s="80"/>
      <c r="N38" s="80"/>
      <c r="O38" s="8"/>
      <c r="P38" s="8"/>
      <c r="Q38" s="8"/>
      <c r="R38" s="8"/>
    </row>
    <row r="39" spans="1:18" ht="20.25">
      <c r="A39" s="394" t="s">
        <v>237</v>
      </c>
      <c r="B39" s="145"/>
      <c r="C39" s="178"/>
      <c r="D39" s="395">
        <v>2.3300000000000001E-2</v>
      </c>
      <c r="E39" s="426" t="s">
        <v>461</v>
      </c>
      <c r="F39" s="426" t="s">
        <v>461</v>
      </c>
      <c r="H39" s="425" t="s">
        <v>0</v>
      </c>
      <c r="J39" s="424"/>
      <c r="K39" s="440"/>
      <c r="L39" s="440"/>
      <c r="M39" s="80"/>
      <c r="N39" s="80"/>
      <c r="O39" s="8"/>
      <c r="P39" s="8"/>
      <c r="Q39" s="8"/>
      <c r="R39" s="8"/>
    </row>
    <row r="40" spans="1:18" ht="20.25">
      <c r="A40" s="396" t="s">
        <v>238</v>
      </c>
      <c r="B40" s="57"/>
      <c r="C40" s="179"/>
      <c r="D40" s="397">
        <v>2.46E-2</v>
      </c>
      <c r="E40" s="427" t="s">
        <v>461</v>
      </c>
      <c r="F40" s="427" t="s">
        <v>461</v>
      </c>
      <c r="H40" s="26" t="s">
        <v>0</v>
      </c>
      <c r="I40" s="8"/>
      <c r="J40" s="424"/>
      <c r="K40" s="440"/>
      <c r="L40" s="440"/>
      <c r="M40" s="80"/>
      <c r="N40" s="80"/>
      <c r="O40" s="8"/>
      <c r="P40" s="8"/>
      <c r="Q40" s="8"/>
      <c r="R40" s="8"/>
    </row>
    <row r="41" spans="1:18" ht="20.25">
      <c r="A41" s="398" t="s">
        <v>239</v>
      </c>
      <c r="B41" s="146"/>
      <c r="C41" s="180"/>
      <c r="D41" s="399">
        <v>2.3099999999999999E-2</v>
      </c>
      <c r="E41" s="428" t="s">
        <v>461</v>
      </c>
      <c r="F41" s="428" t="s">
        <v>461</v>
      </c>
      <c r="H41" s="113" t="s">
        <v>0</v>
      </c>
      <c r="I41" s="8"/>
      <c r="J41" s="424"/>
      <c r="K41" s="440"/>
      <c r="L41" s="440"/>
      <c r="M41" s="80"/>
      <c r="N41" s="80"/>
      <c r="O41" s="8"/>
      <c r="P41" s="8"/>
      <c r="Q41" s="8"/>
      <c r="R41" s="8"/>
    </row>
    <row r="42" spans="1:18" ht="20.25">
      <c r="A42" s="396" t="s">
        <v>240</v>
      </c>
      <c r="B42" s="57"/>
      <c r="C42" s="179"/>
      <c r="D42" s="400">
        <v>2.29E-2</v>
      </c>
      <c r="E42" s="400">
        <v>2.1100000000000001E-2</v>
      </c>
      <c r="F42" s="397">
        <f t="shared" ref="F42:F50" si="0">+D42+E42</f>
        <v>4.3999999999999997E-2</v>
      </c>
      <c r="H42" s="8" t="s">
        <v>0</v>
      </c>
      <c r="I42" s="8"/>
      <c r="J42" s="424"/>
      <c r="K42" s="440"/>
      <c r="L42" s="440"/>
      <c r="M42" s="80"/>
      <c r="N42" s="80"/>
      <c r="O42" s="8"/>
      <c r="P42" s="8"/>
      <c r="Q42" s="8"/>
      <c r="R42" s="8"/>
    </row>
    <row r="43" spans="1:18" ht="20.25">
      <c r="A43" s="396" t="s">
        <v>424</v>
      </c>
      <c r="B43" s="57"/>
      <c r="C43" s="179"/>
      <c r="D43" s="400">
        <v>2.2800000000000001E-2</v>
      </c>
      <c r="E43" s="400">
        <v>2.0500000000000001E-2</v>
      </c>
      <c r="F43" s="397">
        <f t="shared" si="0"/>
        <v>4.3300000000000005E-2</v>
      </c>
      <c r="H43" s="8"/>
      <c r="I43" s="8"/>
      <c r="J43" s="424"/>
      <c r="K43" s="440"/>
      <c r="L43" s="80"/>
      <c r="M43" s="80"/>
      <c r="N43" s="80"/>
      <c r="O43" s="8"/>
      <c r="P43" s="8"/>
      <c r="Q43" s="8"/>
      <c r="R43" s="8"/>
    </row>
    <row r="44" spans="1:18" ht="20.25">
      <c r="A44" s="398" t="s">
        <v>425</v>
      </c>
      <c r="B44" s="146"/>
      <c r="C44" s="180"/>
      <c r="D44" s="401">
        <v>2.3800000000000002E-2</v>
      </c>
      <c r="E44" s="401">
        <v>2.1000000000000001E-2</v>
      </c>
      <c r="F44" s="399">
        <f t="shared" si="0"/>
        <v>4.4800000000000006E-2</v>
      </c>
      <c r="H44" s="8"/>
      <c r="I44" s="8"/>
      <c r="J44" s="424"/>
      <c r="K44" s="440"/>
      <c r="L44" s="80"/>
      <c r="M44" s="80"/>
      <c r="N44" s="80"/>
      <c r="O44" s="8"/>
      <c r="P44" s="8"/>
      <c r="Q44" s="8"/>
      <c r="R44" s="8"/>
    </row>
    <row r="45" spans="1:18" ht="20.25">
      <c r="A45" s="396" t="s">
        <v>426</v>
      </c>
      <c r="B45" s="57"/>
      <c r="C45" s="179"/>
      <c r="D45" s="397">
        <v>2.3E-2</v>
      </c>
      <c r="E45" s="400">
        <v>1.7999999999999999E-2</v>
      </c>
      <c r="F45" s="397">
        <f t="shared" si="0"/>
        <v>4.0999999999999995E-2</v>
      </c>
      <c r="H45" s="112" t="s">
        <v>0</v>
      </c>
      <c r="I45" s="8"/>
      <c r="J45" s="424"/>
      <c r="K45" s="440"/>
      <c r="L45" s="80"/>
      <c r="M45" s="80"/>
      <c r="N45" s="80"/>
      <c r="O45" s="8"/>
      <c r="P45" s="8"/>
      <c r="Q45" s="8"/>
      <c r="R45" s="8"/>
    </row>
    <row r="46" spans="1:18" ht="20.25">
      <c r="A46" s="396" t="s">
        <v>427</v>
      </c>
      <c r="B46" s="57"/>
      <c r="C46" s="179"/>
      <c r="D46" s="397">
        <v>2.3E-2</v>
      </c>
      <c r="E46" s="400">
        <v>2.1999999999999999E-2</v>
      </c>
      <c r="F46" s="397">
        <f t="shared" si="0"/>
        <v>4.4999999999999998E-2</v>
      </c>
      <c r="H46" s="112" t="s">
        <v>0</v>
      </c>
      <c r="I46" s="8"/>
      <c r="J46" s="424"/>
      <c r="K46" s="440"/>
      <c r="L46" s="80"/>
      <c r="M46" s="80"/>
      <c r="N46" s="80"/>
      <c r="O46" s="8"/>
      <c r="P46" s="8"/>
      <c r="Q46" s="8"/>
      <c r="R46" s="8"/>
    </row>
    <row r="47" spans="1:18" ht="20.25">
      <c r="A47" s="398" t="s">
        <v>428</v>
      </c>
      <c r="B47" s="146"/>
      <c r="C47" s="180"/>
      <c r="D47" s="399">
        <v>2.3E-2</v>
      </c>
      <c r="E47" s="401">
        <v>1.9E-2</v>
      </c>
      <c r="F47" s="399">
        <f t="shared" si="0"/>
        <v>4.1999999999999996E-2</v>
      </c>
      <c r="H47" s="8"/>
      <c r="I47" s="8"/>
      <c r="J47" s="424"/>
      <c r="K47" s="440"/>
      <c r="L47" s="80"/>
      <c r="M47" s="80"/>
      <c r="N47" s="80"/>
      <c r="O47" s="8"/>
      <c r="P47" s="8"/>
      <c r="Q47" s="8"/>
      <c r="R47" s="8"/>
    </row>
    <row r="48" spans="1:18" ht="20.25">
      <c r="A48" s="396" t="s">
        <v>429</v>
      </c>
      <c r="B48" s="57"/>
      <c r="C48" s="179"/>
      <c r="D48" s="397">
        <v>2.3E-2</v>
      </c>
      <c r="E48" s="400">
        <v>2.1000000000000001E-2</v>
      </c>
      <c r="F48" s="397">
        <f t="shared" si="0"/>
        <v>4.3999999999999997E-2</v>
      </c>
      <c r="H48" s="8"/>
      <c r="I48" s="8"/>
      <c r="J48" s="424"/>
      <c r="K48" s="440"/>
      <c r="L48" s="80"/>
      <c r="M48" s="80"/>
      <c r="N48" s="80"/>
      <c r="O48" s="8"/>
      <c r="P48" s="8"/>
      <c r="Q48" s="8"/>
      <c r="R48" s="8"/>
    </row>
    <row r="49" spans="1:18" ht="20.25">
      <c r="A49" s="396" t="s">
        <v>430</v>
      </c>
      <c r="B49" s="57"/>
      <c r="C49" s="179"/>
      <c r="D49" s="427" t="s">
        <v>461</v>
      </c>
      <c r="E49" s="400">
        <v>2.3E-2</v>
      </c>
      <c r="F49" s="427" t="s">
        <v>461</v>
      </c>
      <c r="H49" s="8"/>
      <c r="I49" s="8"/>
      <c r="J49" s="424"/>
      <c r="K49" s="440"/>
      <c r="L49" s="80"/>
      <c r="M49" s="80"/>
      <c r="N49" s="80"/>
      <c r="O49" s="8"/>
      <c r="P49" s="8"/>
      <c r="Q49" s="8"/>
      <c r="R49" s="8"/>
    </row>
    <row r="50" spans="1:18" ht="20.25">
      <c r="A50" s="398" t="s">
        <v>431</v>
      </c>
      <c r="B50" s="146"/>
      <c r="C50" s="180"/>
      <c r="D50" s="399">
        <v>0.02</v>
      </c>
      <c r="E50" s="399">
        <v>1.7999999999999999E-2</v>
      </c>
      <c r="F50" s="399">
        <f t="shared" si="0"/>
        <v>3.7999999999999999E-2</v>
      </c>
      <c r="H50" s="8"/>
      <c r="I50" s="8"/>
      <c r="J50" s="424"/>
      <c r="K50" s="444"/>
      <c r="L50" s="80"/>
      <c r="M50" s="80"/>
      <c r="N50" s="80"/>
      <c r="O50" s="8"/>
      <c r="P50" s="8"/>
      <c r="Q50" s="8"/>
      <c r="R50" s="8"/>
    </row>
    <row r="51" spans="1:18" ht="20.25">
      <c r="A51" s="99"/>
      <c r="B51" s="108"/>
      <c r="C51" s="108" t="s">
        <v>46</v>
      </c>
      <c r="D51" s="402">
        <f>MAX(D39:D50)</f>
        <v>2.46E-2</v>
      </c>
      <c r="E51" s="402">
        <f>MAX(E39:E50)</f>
        <v>2.3E-2</v>
      </c>
      <c r="F51" s="402">
        <f>MAX(F39:F50)</f>
        <v>4.4999999999999998E-2</v>
      </c>
      <c r="G51" s="224"/>
      <c r="H51" s="8"/>
      <c r="I51" s="8"/>
      <c r="L51" s="8"/>
      <c r="M51" s="8"/>
      <c r="N51" s="8"/>
      <c r="Q51" s="8"/>
      <c r="R51" s="8"/>
    </row>
    <row r="52" spans="1:18" ht="18.75" customHeight="1">
      <c r="A52" s="99"/>
      <c r="B52" s="108"/>
      <c r="C52" s="108" t="s">
        <v>47</v>
      </c>
      <c r="D52" s="402">
        <f>MIN(D39:D50)</f>
        <v>0.02</v>
      </c>
      <c r="E52" s="402">
        <f>MIN(E39:E50)</f>
        <v>1.7999999999999999E-2</v>
      </c>
      <c r="F52" s="403">
        <f>MIN(F39:F50)</f>
        <v>3.7999999999999999E-2</v>
      </c>
      <c r="G52" s="225"/>
      <c r="H52" s="8"/>
      <c r="I52" s="8"/>
      <c r="L52" s="8"/>
      <c r="M52" s="8"/>
      <c r="N52" s="8"/>
      <c r="O52" s="8"/>
      <c r="R52" s="8"/>
    </row>
    <row r="53" spans="1:18" ht="20.25">
      <c r="A53" s="99"/>
      <c r="B53" s="108"/>
      <c r="C53" s="108" t="s">
        <v>18</v>
      </c>
      <c r="D53" s="404">
        <f>MEDIAN(D39:D50)</f>
        <v>2.3E-2</v>
      </c>
      <c r="E53" s="404">
        <f>MEDIAN(E39:E50)</f>
        <v>2.1000000000000001E-2</v>
      </c>
      <c r="F53" s="397">
        <f t="shared" ref="F53:F54" si="1">+D53+E53</f>
        <v>4.3999999999999997E-2</v>
      </c>
      <c r="G53" s="225"/>
      <c r="H53" s="8"/>
      <c r="I53" s="8"/>
      <c r="L53" s="8"/>
      <c r="M53" s="8"/>
      <c r="N53" s="8"/>
      <c r="O53" s="8"/>
      <c r="R53" s="8"/>
    </row>
    <row r="54" spans="1:18" ht="20.25">
      <c r="A54" s="99"/>
      <c r="B54" s="108"/>
      <c r="C54" s="108" t="s">
        <v>19</v>
      </c>
      <c r="D54" s="401">
        <f>AVERAGE(D39:D50)</f>
        <v>2.2954545454545453E-2</v>
      </c>
      <c r="E54" s="401">
        <f>AVERAGE(E39:E50)</f>
        <v>2.0399999999999998E-2</v>
      </c>
      <c r="F54" s="399">
        <f t="shared" si="1"/>
        <v>4.3354545454545451E-2</v>
      </c>
      <c r="G54" s="224"/>
      <c r="H54" s="8"/>
      <c r="I54" s="8"/>
      <c r="L54" s="8"/>
      <c r="M54" s="8"/>
      <c r="N54" s="8"/>
      <c r="O54" s="8"/>
      <c r="R54" s="8"/>
    </row>
    <row r="55" spans="1:18" ht="18.75">
      <c r="A55" s="8"/>
      <c r="B55" s="10"/>
      <c r="D55" s="192"/>
      <c r="E55" s="192"/>
      <c r="F55" s="192"/>
      <c r="G55" s="224"/>
      <c r="H55" s="8"/>
      <c r="I55" s="8"/>
      <c r="L55" s="8"/>
      <c r="M55" s="8"/>
      <c r="N55" s="8"/>
      <c r="O55" s="8"/>
    </row>
    <row r="56" spans="1:18" ht="16.5" customHeight="1" thickBot="1">
      <c r="A56" s="8"/>
      <c r="B56" s="10"/>
      <c r="D56" s="192"/>
      <c r="E56" s="192"/>
      <c r="F56" s="192"/>
      <c r="L56" s="8"/>
      <c r="M56" s="8"/>
      <c r="N56" s="8"/>
      <c r="O56" s="8"/>
    </row>
    <row r="57" spans="1:18" ht="27" thickBot="1">
      <c r="A57" s="8"/>
      <c r="B57" s="113"/>
      <c r="C57" s="44" t="s">
        <v>202</v>
      </c>
      <c r="D57" s="459">
        <v>2.3E-2</v>
      </c>
      <c r="E57" s="459">
        <v>2.0400000000000001E-2</v>
      </c>
      <c r="F57" s="460">
        <v>4.3400000000000001E-2</v>
      </c>
      <c r="L57" s="8"/>
      <c r="M57" s="8"/>
      <c r="N57" s="8"/>
      <c r="O57" s="8"/>
    </row>
    <row r="58" spans="1:18" ht="16.5" customHeight="1">
      <c r="L58" s="8"/>
      <c r="N58" s="8"/>
    </row>
    <row r="59" spans="1:18" ht="16.5">
      <c r="A59" s="8"/>
      <c r="B59" s="8"/>
      <c r="C59" s="8"/>
      <c r="D59" s="8"/>
      <c r="E59" s="8"/>
      <c r="F59" s="8"/>
      <c r="G59" s="8"/>
      <c r="I59" s="8"/>
      <c r="L59" s="8"/>
      <c r="N59" s="8"/>
    </row>
    <row r="60" spans="1:18" ht="19.5" customHeight="1">
      <c r="A60" s="429" t="s">
        <v>432</v>
      </c>
      <c r="B60" s="405"/>
      <c r="C60" s="406"/>
      <c r="D60" s="8"/>
      <c r="E60" s="8"/>
      <c r="F60" s="8"/>
      <c r="I60" s="8"/>
      <c r="L60" s="8"/>
      <c r="M60" s="8"/>
      <c r="N60" s="8"/>
    </row>
    <row r="61" spans="1:18" ht="19.5" customHeight="1">
      <c r="A61" s="429" t="s">
        <v>433</v>
      </c>
      <c r="B61" s="405"/>
      <c r="C61" s="405"/>
      <c r="D61" s="405"/>
      <c r="E61" s="405"/>
      <c r="F61" s="405"/>
      <c r="G61" s="430"/>
      <c r="I61" s="8"/>
      <c r="L61" s="8"/>
      <c r="M61" s="8"/>
      <c r="N61" s="8"/>
    </row>
    <row r="62" spans="1:18" ht="19.5" customHeight="1">
      <c r="A62" s="431" t="s">
        <v>434</v>
      </c>
      <c r="B62" s="8"/>
      <c r="C62" s="8"/>
      <c r="D62" s="8"/>
      <c r="E62" s="8"/>
      <c r="F62" s="8"/>
      <c r="G62" s="432"/>
      <c r="I62" s="8"/>
      <c r="L62" s="8"/>
      <c r="M62" s="8"/>
      <c r="N62" s="8"/>
      <c r="O62" s="293"/>
    </row>
    <row r="63" spans="1:18" ht="19.5" customHeight="1">
      <c r="A63" s="431" t="s">
        <v>435</v>
      </c>
      <c r="B63" s="8"/>
      <c r="C63" s="8"/>
      <c r="D63" s="8"/>
      <c r="E63" s="8"/>
      <c r="F63" s="8"/>
      <c r="G63" s="432"/>
      <c r="I63" s="8"/>
      <c r="L63" s="8"/>
      <c r="M63" s="8"/>
      <c r="N63" s="8"/>
      <c r="O63" s="293"/>
      <c r="P63" s="80"/>
      <c r="Q63" s="8"/>
      <c r="R63" s="8"/>
    </row>
    <row r="64" spans="1:18" ht="19.5" customHeight="1">
      <c r="A64" s="433" t="s">
        <v>436</v>
      </c>
      <c r="B64" s="408"/>
      <c r="C64" s="408"/>
      <c r="D64" s="408"/>
      <c r="E64" s="408"/>
      <c r="F64" s="408"/>
      <c r="G64" s="434"/>
      <c r="I64" s="8"/>
      <c r="L64" s="8"/>
      <c r="M64" s="8"/>
      <c r="N64" s="8"/>
      <c r="O64" s="293"/>
      <c r="P64" s="80"/>
      <c r="Q64" s="8"/>
      <c r="R64" s="8"/>
    </row>
    <row r="65" spans="1:18" ht="17.25">
      <c r="A65" s="99"/>
      <c r="B65" s="8"/>
      <c r="C65" s="8"/>
      <c r="D65" s="8"/>
      <c r="E65" s="8"/>
      <c r="F65" s="8"/>
      <c r="I65" s="8"/>
      <c r="L65" s="8"/>
      <c r="M65" s="8"/>
      <c r="N65" s="8"/>
      <c r="O65" s="8"/>
      <c r="P65" s="8"/>
      <c r="Q65" s="8"/>
      <c r="R65" s="8"/>
    </row>
    <row r="66" spans="1:18" ht="15.6" customHeight="1">
      <c r="A66" s="435" t="s">
        <v>241</v>
      </c>
      <c r="B66" s="410"/>
      <c r="C66" s="405"/>
      <c r="D66" s="405"/>
      <c r="E66" s="405"/>
      <c r="F66" s="406"/>
      <c r="G66" s="8"/>
      <c r="I66" s="8"/>
      <c r="L66" s="8"/>
      <c r="M66" s="8"/>
      <c r="N66" s="8"/>
      <c r="O66" s="8"/>
      <c r="P66" s="8"/>
      <c r="Q66" s="8"/>
      <c r="R66" s="8"/>
    </row>
    <row r="67" spans="1:18" ht="15.6" customHeight="1">
      <c r="A67" s="436" t="s">
        <v>437</v>
      </c>
      <c r="B67" s="8"/>
      <c r="C67" s="8"/>
      <c r="E67" s="8"/>
      <c r="F67" s="407"/>
      <c r="G67" s="8"/>
      <c r="I67" s="8"/>
      <c r="L67" s="8"/>
      <c r="M67" s="8"/>
      <c r="N67" s="8"/>
      <c r="O67" s="8"/>
      <c r="P67" s="8"/>
      <c r="Q67" s="8"/>
      <c r="R67" s="8"/>
    </row>
    <row r="68" spans="1:18" ht="15.6" customHeight="1">
      <c r="A68" s="437" t="s">
        <v>242</v>
      </c>
      <c r="B68" s="408"/>
      <c r="C68" s="408"/>
      <c r="D68" s="408"/>
      <c r="E68" s="408"/>
      <c r="F68" s="409"/>
      <c r="G68" s="8"/>
      <c r="I68" s="8" t="s">
        <v>0</v>
      </c>
      <c r="L68" s="8"/>
      <c r="M68" s="8"/>
      <c r="N68" s="8"/>
      <c r="O68" s="8"/>
      <c r="P68" s="8"/>
      <c r="Q68" s="8"/>
      <c r="R68" s="8"/>
    </row>
    <row r="69" spans="1:18" ht="16.5">
      <c r="A69" s="358"/>
      <c r="B69" s="8"/>
      <c r="C69" s="8"/>
      <c r="D69" s="8"/>
      <c r="E69" s="8"/>
      <c r="F69" s="8"/>
      <c r="G69" s="8"/>
      <c r="I69" s="8"/>
      <c r="L69" s="8"/>
      <c r="M69" s="8"/>
      <c r="N69" s="8"/>
      <c r="O69" s="8"/>
      <c r="P69" s="8"/>
      <c r="Q69" s="8"/>
      <c r="R69" s="8"/>
    </row>
    <row r="70" spans="1:18" ht="17.25">
      <c r="A70" s="128" t="s">
        <v>438</v>
      </c>
      <c r="B70" s="115"/>
      <c r="C70" s="115"/>
      <c r="D70" s="115"/>
      <c r="E70" s="116"/>
      <c r="F70" s="115"/>
      <c r="G70" s="115"/>
      <c r="H70" s="115"/>
      <c r="I70" s="8"/>
      <c r="L70" s="8"/>
      <c r="M70" s="8"/>
      <c r="N70" s="8"/>
      <c r="O70" s="8"/>
      <c r="P70" s="8"/>
      <c r="Q70" s="8"/>
      <c r="R70" s="8"/>
    </row>
    <row r="71" spans="1:18" ht="17.25">
      <c r="A71" s="128"/>
      <c r="B71" s="115"/>
      <c r="C71" s="115"/>
      <c r="D71" s="115"/>
      <c r="E71" s="116"/>
      <c r="F71" s="115"/>
      <c r="G71" s="115"/>
      <c r="H71" s="115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16.5">
      <c r="A72" s="411" t="s">
        <v>439</v>
      </c>
      <c r="B72" s="115"/>
      <c r="C72" s="115"/>
      <c r="D72" s="115"/>
      <c r="E72" s="116"/>
      <c r="F72" s="115"/>
      <c r="G72" s="115"/>
      <c r="H72" s="115"/>
      <c r="I72" s="8"/>
    </row>
    <row r="73" spans="1:18" ht="16.5">
      <c r="A73" s="412" t="s">
        <v>462</v>
      </c>
      <c r="B73" s="115"/>
      <c r="C73" s="115"/>
      <c r="D73" s="115"/>
      <c r="E73" s="116"/>
      <c r="F73" s="115"/>
      <c r="G73" s="115"/>
      <c r="H73" s="115"/>
      <c r="I73" s="8"/>
    </row>
    <row r="74" spans="1:18" ht="16.5">
      <c r="A74" s="413" t="s">
        <v>348</v>
      </c>
      <c r="B74" s="414"/>
      <c r="C74" s="115"/>
      <c r="D74" s="115"/>
      <c r="E74" s="116"/>
      <c r="F74" s="115"/>
      <c r="G74" s="115"/>
      <c r="H74" s="115"/>
      <c r="I74" s="8"/>
    </row>
    <row r="75" spans="1:18" ht="16.5">
      <c r="A75" s="114"/>
      <c r="B75" s="115"/>
      <c r="C75" s="115"/>
      <c r="D75" s="115"/>
      <c r="E75" s="116"/>
      <c r="F75" s="115"/>
      <c r="G75" s="115"/>
      <c r="H75" s="115"/>
      <c r="I75" s="8"/>
    </row>
    <row r="76" spans="1:18" ht="16.5">
      <c r="A76" s="411" t="s">
        <v>440</v>
      </c>
    </row>
    <row r="77" spans="1:18">
      <c r="A77" s="415" t="s">
        <v>441</v>
      </c>
    </row>
    <row r="78" spans="1:18">
      <c r="A78" s="415" t="s">
        <v>442</v>
      </c>
    </row>
    <row r="79" spans="1:18" ht="16.5">
      <c r="A79" s="416" t="s">
        <v>140</v>
      </c>
      <c r="B79" s="387"/>
    </row>
    <row r="80" spans="1:18" ht="16.5">
      <c r="A80" s="114"/>
      <c r="B80" s="115"/>
      <c r="C80" s="115"/>
      <c r="D80" s="115"/>
      <c r="E80" s="116"/>
      <c r="F80" s="115"/>
      <c r="G80" s="115"/>
      <c r="H80" s="115"/>
      <c r="I80" s="8"/>
    </row>
    <row r="81" spans="1:9" ht="16.5">
      <c r="A81" s="411" t="s">
        <v>443</v>
      </c>
      <c r="B81" s="115"/>
      <c r="C81" s="115"/>
      <c r="D81" s="115"/>
      <c r="E81" s="116"/>
      <c r="F81" s="115"/>
      <c r="G81" s="115"/>
      <c r="H81" s="115"/>
      <c r="I81" s="8"/>
    </row>
    <row r="82" spans="1:9" ht="16.5">
      <c r="A82" s="415" t="s">
        <v>444</v>
      </c>
      <c r="B82" s="115"/>
      <c r="C82" s="115"/>
      <c r="D82" s="115"/>
      <c r="E82" s="116"/>
      <c r="F82" s="115"/>
      <c r="G82" s="115"/>
      <c r="H82" s="115"/>
      <c r="I82" s="8"/>
    </row>
    <row r="83" spans="1:9" ht="16.5">
      <c r="A83" s="417" t="s">
        <v>141</v>
      </c>
      <c r="B83" s="414"/>
      <c r="C83" s="414"/>
      <c r="D83" s="115"/>
      <c r="E83" s="116"/>
      <c r="F83" s="115"/>
      <c r="G83" s="115"/>
      <c r="H83" s="115"/>
      <c r="I83" s="8"/>
    </row>
    <row r="84" spans="1:9" ht="16.5">
      <c r="A84" s="418"/>
      <c r="B84" s="115"/>
      <c r="C84" s="115"/>
      <c r="D84" s="115"/>
      <c r="E84" s="116"/>
      <c r="F84" s="115"/>
      <c r="G84" s="115"/>
      <c r="H84" s="115"/>
      <c r="I84" s="8"/>
    </row>
    <row r="85" spans="1:9" ht="16.5">
      <c r="A85" s="411" t="s">
        <v>445</v>
      </c>
      <c r="B85" s="115"/>
      <c r="C85" s="115"/>
      <c r="D85" s="115"/>
      <c r="E85" s="116"/>
      <c r="F85" s="115"/>
      <c r="G85" s="115"/>
      <c r="H85" s="115"/>
      <c r="I85" s="8"/>
    </row>
    <row r="86" spans="1:9" ht="16.5">
      <c r="A86" s="419" t="s">
        <v>446</v>
      </c>
      <c r="B86" s="115"/>
      <c r="D86" s="115" t="s">
        <v>0</v>
      </c>
      <c r="E86" s="116"/>
      <c r="F86" s="115"/>
      <c r="G86" s="115"/>
      <c r="H86" s="115"/>
      <c r="I86" s="8"/>
    </row>
    <row r="87" spans="1:9" ht="16.5">
      <c r="A87" s="413" t="s">
        <v>447</v>
      </c>
      <c r="G87" s="115"/>
      <c r="H87" s="115"/>
      <c r="I87" s="115"/>
    </row>
    <row r="88" spans="1:9" ht="16.5">
      <c r="A88" s="417" t="s">
        <v>448</v>
      </c>
      <c r="C88" s="115"/>
      <c r="E88" s="116"/>
      <c r="F88" s="115"/>
      <c r="G88" s="115"/>
      <c r="H88" s="115"/>
      <c r="I88" s="8"/>
    </row>
    <row r="89" spans="1:9" ht="16.5">
      <c r="A89" s="417" t="s">
        <v>449</v>
      </c>
      <c r="B89" s="417"/>
      <c r="C89" s="115"/>
      <c r="D89" s="417"/>
      <c r="E89" s="116"/>
      <c r="F89" s="115"/>
      <c r="G89" s="115"/>
      <c r="H89" s="115"/>
      <c r="I89" s="8"/>
    </row>
    <row r="90" spans="1:9" ht="16.5">
      <c r="A90" s="417" t="s">
        <v>450</v>
      </c>
      <c r="B90" s="417"/>
      <c r="C90" s="115"/>
      <c r="D90" s="417"/>
      <c r="E90" s="116"/>
      <c r="F90" s="115"/>
      <c r="G90" s="115"/>
      <c r="H90" s="115"/>
      <c r="I90" s="8"/>
    </row>
    <row r="91" spans="1:9" ht="16.5">
      <c r="A91" s="418"/>
      <c r="B91" s="115"/>
      <c r="C91" s="115"/>
      <c r="D91" s="115"/>
      <c r="E91" s="116"/>
      <c r="F91" s="115"/>
      <c r="G91" s="115"/>
      <c r="H91" s="115"/>
      <c r="I91" s="8"/>
    </row>
    <row r="92" spans="1:9" ht="16.5">
      <c r="A92" s="411" t="s">
        <v>451</v>
      </c>
      <c r="B92" s="115"/>
      <c r="D92" s="115"/>
      <c r="E92" s="116"/>
      <c r="F92" s="115"/>
      <c r="G92" s="115"/>
      <c r="H92" s="115"/>
      <c r="I92" s="8"/>
    </row>
    <row r="93" spans="1:9" ht="16.5">
      <c r="A93" s="415" t="s">
        <v>452</v>
      </c>
      <c r="B93" s="115"/>
      <c r="D93" s="115"/>
      <c r="E93" s="116"/>
      <c r="F93" s="115"/>
      <c r="G93" s="115"/>
      <c r="H93" s="115"/>
      <c r="I93" s="8"/>
    </row>
    <row r="94" spans="1:9" ht="16.5">
      <c r="A94" s="417" t="s">
        <v>453</v>
      </c>
      <c r="B94" s="115"/>
      <c r="D94" s="115"/>
      <c r="E94" s="116"/>
      <c r="F94" s="115"/>
      <c r="G94" s="115"/>
      <c r="H94" s="115"/>
      <c r="I94" s="8"/>
    </row>
    <row r="95" spans="1:9" ht="16.5">
      <c r="A95" s="416"/>
      <c r="B95" s="115"/>
      <c r="C95" s="115"/>
      <c r="D95" s="115"/>
      <c r="E95" s="116"/>
      <c r="F95" s="115"/>
      <c r="G95" s="115"/>
      <c r="H95" s="115"/>
      <c r="I95" s="8"/>
    </row>
    <row r="96" spans="1:9" ht="16.5">
      <c r="A96" s="411" t="s">
        <v>454</v>
      </c>
      <c r="C96" s="115"/>
      <c r="D96" s="115"/>
      <c r="E96" s="116"/>
      <c r="F96" s="115"/>
      <c r="G96" s="115"/>
      <c r="H96" s="115"/>
      <c r="I96" s="8"/>
    </row>
    <row r="97" spans="1:9" ht="16.5">
      <c r="A97" s="420" t="s">
        <v>455</v>
      </c>
      <c r="B97" s="115"/>
      <c r="C97" s="115"/>
      <c r="D97" s="115"/>
      <c r="E97" s="116"/>
      <c r="F97" s="115"/>
      <c r="G97" s="115"/>
      <c r="H97" s="115"/>
      <c r="I97" s="8"/>
    </row>
    <row r="98" spans="1:9" ht="16.5">
      <c r="A98" s="421" t="s">
        <v>456</v>
      </c>
      <c r="B98" s="115"/>
      <c r="C98" s="115"/>
      <c r="D98" s="115"/>
      <c r="E98" s="116"/>
      <c r="F98" s="115"/>
      <c r="G98" s="115"/>
      <c r="H98" s="115"/>
      <c r="I98" s="8"/>
    </row>
    <row r="99" spans="1:9" ht="16.5">
      <c r="A99" s="417" t="s">
        <v>457</v>
      </c>
      <c r="B99" s="422"/>
      <c r="C99" s="115"/>
      <c r="D99" s="115"/>
      <c r="E99" s="116"/>
      <c r="F99" s="115"/>
      <c r="G99" s="115"/>
      <c r="H99" s="115"/>
      <c r="I99" s="8"/>
    </row>
    <row r="100" spans="1:9" ht="16.5">
      <c r="A100" s="423"/>
      <c r="B100" s="115"/>
      <c r="C100" s="115"/>
      <c r="D100" s="115"/>
      <c r="E100" s="116"/>
      <c r="F100" s="115"/>
      <c r="G100" s="115"/>
      <c r="H100" s="115"/>
      <c r="I100" s="8"/>
    </row>
    <row r="101" spans="1:9" ht="16.5">
      <c r="A101" s="411" t="s">
        <v>458</v>
      </c>
      <c r="B101" s="115"/>
      <c r="C101" s="115"/>
      <c r="D101" s="115"/>
      <c r="E101" s="116"/>
      <c r="F101" s="115"/>
      <c r="G101" s="115"/>
      <c r="H101" s="115"/>
      <c r="I101" s="8"/>
    </row>
    <row r="102" spans="1:9" ht="16.5">
      <c r="A102" s="420" t="s">
        <v>455</v>
      </c>
      <c r="B102" s="115"/>
      <c r="C102" s="115"/>
      <c r="D102" s="115"/>
      <c r="E102" s="116"/>
      <c r="F102" s="115"/>
      <c r="G102" s="115"/>
      <c r="H102" s="115"/>
      <c r="I102" s="8"/>
    </row>
    <row r="103" spans="1:9" ht="16.5">
      <c r="A103" s="421" t="s">
        <v>459</v>
      </c>
      <c r="B103" s="115"/>
      <c r="C103" s="115"/>
      <c r="D103" s="115"/>
      <c r="E103" s="116"/>
      <c r="F103" s="115"/>
      <c r="G103" s="115"/>
      <c r="H103" s="115"/>
      <c r="I103" s="8"/>
    </row>
    <row r="104" spans="1:9" ht="16.5">
      <c r="A104" s="417" t="s">
        <v>460</v>
      </c>
      <c r="B104" s="115"/>
      <c r="C104" s="115"/>
      <c r="D104" s="115"/>
      <c r="E104" s="116"/>
      <c r="F104" s="115"/>
      <c r="G104" s="115"/>
      <c r="H104" s="115"/>
      <c r="I104" s="8"/>
    </row>
    <row r="105" spans="1:9" ht="16.5">
      <c r="A105" s="423"/>
      <c r="B105" s="115"/>
      <c r="C105" s="115"/>
      <c r="D105" s="115"/>
      <c r="E105" s="116"/>
      <c r="F105" s="115"/>
      <c r="G105" s="115"/>
      <c r="H105" s="115"/>
      <c r="I105" s="8"/>
    </row>
    <row r="106" spans="1:9" ht="16.5">
      <c r="A106" s="388" t="s">
        <v>477</v>
      </c>
    </row>
    <row r="107" spans="1:9" ht="16.5">
      <c r="A107" s="417" t="s">
        <v>479</v>
      </c>
    </row>
    <row r="108" spans="1:9" ht="16.5">
      <c r="A108" s="416" t="s">
        <v>481</v>
      </c>
    </row>
  </sheetData>
  <mergeCells count="1">
    <mergeCell ref="A37:C37"/>
  </mergeCells>
  <hyperlinks>
    <hyperlink ref="A74" r:id="rId1" xr:uid="{C9799E41-1F72-44C4-B792-BB766DAF0FB8}"/>
    <hyperlink ref="A79" r:id="rId2" xr:uid="{48D7EF1A-073C-405C-9331-7D714DC520E6}"/>
    <hyperlink ref="A83" r:id="rId3" xr:uid="{072EDA01-984F-4F06-9654-B84C79343F70}"/>
    <hyperlink ref="A94" r:id="rId4" xr:uid="{771FD4F6-D6E6-4E42-9199-6D87B20CFDED}"/>
    <hyperlink ref="A99" r:id="rId5" xr:uid="{14EEC9DE-6888-43BC-97E3-C7803F7A6A7D}"/>
    <hyperlink ref="A104" r:id="rId6" xr:uid="{5B6AF14B-0D65-409A-AEEE-586BF4457153}"/>
    <hyperlink ref="A89" r:id="rId7" xr:uid="{589C6D9F-5040-4335-81CC-5421CB38A491}"/>
    <hyperlink ref="A88" r:id="rId8" display="https://www.cbo.gov/system/files/2025-01/60870-Outlook-2025.pdf" xr:uid="{1C01E27B-E304-42B2-B700-8C753EEA75A0}"/>
    <hyperlink ref="A90" r:id="rId9" xr:uid="{4A7822D1-0123-426C-AD00-D8CF0523707F}"/>
    <hyperlink ref="A87" r:id="rId10" location="4" display="https://www.cbo.gov/data/budget-economic-data - 4" xr:uid="{1A0BC3DE-2DC6-4615-BEF4-A971DA86F83D}"/>
    <hyperlink ref="A68" r:id="rId11" xr:uid="{CE68DB2E-9505-4872-8F26-004CFE59DDA9}"/>
    <hyperlink ref="A107" r:id="rId12" xr:uid="{026C13AC-097E-4DCD-8743-8801A68FF28C}"/>
    <hyperlink ref="A108" r:id="rId13" xr:uid="{8357DBB2-CE40-4229-951A-6BAE4128FC5F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3E21-02C8-4DD8-8716-F089613D60AE}">
  <sheetPr>
    <tabColor rgb="FF92D050"/>
    <pageSetUpPr fitToPage="1"/>
  </sheetPr>
  <dimension ref="A1:I105"/>
  <sheetViews>
    <sheetView view="pageBreakPreview" topLeftCell="A9" zoomScale="70" zoomScaleNormal="80" zoomScaleSheetLayoutView="70" workbookViewId="0">
      <selection activeCell="D50" sqref="D50"/>
    </sheetView>
  </sheetViews>
  <sheetFormatPr defaultRowHeight="15"/>
  <cols>
    <col min="1" max="1" width="45.7109375" customWidth="1"/>
    <col min="2" max="2" width="17.85546875" customWidth="1"/>
    <col min="3" max="3" width="72.140625" customWidth="1"/>
    <col min="4" max="4" width="34.5703125" customWidth="1"/>
    <col min="5" max="5" width="21.7109375" customWidth="1"/>
    <col min="6" max="6" width="13.14062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19" t="s">
        <v>1</v>
      </c>
      <c r="B1" s="8"/>
      <c r="C1" s="8"/>
      <c r="D1" s="8"/>
      <c r="E1" s="8"/>
      <c r="F1" s="8"/>
      <c r="G1" s="8"/>
      <c r="H1" s="8"/>
      <c r="I1" s="8"/>
    </row>
    <row r="2" spans="1:9" ht="17.25">
      <c r="A2" s="57" t="s">
        <v>9</v>
      </c>
      <c r="B2" s="8"/>
      <c r="C2" s="8"/>
      <c r="D2" s="8"/>
      <c r="E2" s="8"/>
      <c r="F2" s="8"/>
      <c r="G2" s="8"/>
      <c r="H2" s="8"/>
      <c r="I2" s="8"/>
    </row>
    <row r="3" spans="1:9" ht="16.5">
      <c r="A3" s="39" t="s">
        <v>416</v>
      </c>
      <c r="B3" s="8"/>
      <c r="C3" s="8"/>
      <c r="D3" s="8"/>
      <c r="E3" s="8"/>
      <c r="F3" s="8"/>
      <c r="G3" s="8"/>
      <c r="H3" s="8"/>
      <c r="I3" s="8"/>
    </row>
    <row r="4" spans="1:9" ht="16.5">
      <c r="A4" s="8"/>
      <c r="B4" s="8"/>
      <c r="C4" s="8"/>
      <c r="D4" s="8"/>
      <c r="E4" s="8"/>
      <c r="F4" s="8"/>
      <c r="G4" s="8"/>
      <c r="H4" s="8"/>
      <c r="I4" s="8"/>
    </row>
    <row r="5" spans="1:9" ht="18" thickBot="1">
      <c r="A5" s="57"/>
      <c r="B5" s="8"/>
      <c r="C5" s="8"/>
      <c r="D5" s="8"/>
      <c r="E5" s="8"/>
      <c r="F5" s="8"/>
      <c r="G5" s="8"/>
      <c r="H5" s="8"/>
      <c r="I5" s="8"/>
    </row>
    <row r="6" spans="1:9" ht="21" thickBot="1">
      <c r="A6" s="227" t="str">
        <f>+'S&amp;D'!A12</f>
        <v>Railroad Carriers</v>
      </c>
      <c r="B6" s="163"/>
      <c r="C6" s="8"/>
      <c r="D6" s="8"/>
      <c r="E6" s="8"/>
      <c r="F6" s="8"/>
      <c r="G6" s="8"/>
      <c r="H6" s="8"/>
      <c r="I6" s="8"/>
    </row>
    <row r="7" spans="1:9" ht="20.25">
      <c r="A7" s="26"/>
      <c r="B7" s="8"/>
      <c r="C7" s="8"/>
      <c r="D7" s="8"/>
      <c r="E7" s="8"/>
      <c r="F7" s="8"/>
      <c r="G7" s="8"/>
      <c r="H7" s="8"/>
      <c r="I7" s="8"/>
    </row>
    <row r="8" spans="1:9" ht="18" thickBot="1">
      <c r="A8" s="57"/>
      <c r="B8" s="8"/>
      <c r="C8" s="24"/>
      <c r="E8" s="8"/>
      <c r="F8" s="8"/>
      <c r="G8" s="8"/>
      <c r="H8" s="8"/>
      <c r="I8" s="8"/>
    </row>
    <row r="9" spans="1:9" ht="26.25">
      <c r="B9" s="8"/>
      <c r="C9" s="27" t="s">
        <v>147</v>
      </c>
      <c r="E9" s="8"/>
      <c r="F9" s="8"/>
      <c r="G9" s="8"/>
      <c r="H9" s="8"/>
      <c r="I9" s="8"/>
    </row>
    <row r="10" spans="1:9" ht="21" thickBot="1">
      <c r="A10" s="26"/>
      <c r="B10" s="8"/>
      <c r="C10" s="28" t="s">
        <v>417</v>
      </c>
      <c r="E10" s="8"/>
      <c r="F10" s="8"/>
      <c r="G10" s="8"/>
      <c r="H10" s="8"/>
      <c r="I10" s="8"/>
    </row>
    <row r="11" spans="1:9" ht="20.25">
      <c r="A11" s="26"/>
      <c r="B11" s="8"/>
      <c r="C11" s="8"/>
      <c r="D11" s="8"/>
      <c r="E11" s="8"/>
      <c r="F11" s="8"/>
      <c r="G11" s="8"/>
      <c r="H11" s="8"/>
      <c r="I11" s="8"/>
    </row>
    <row r="12" spans="1:9" ht="17.25" thickBot="1">
      <c r="A12" s="8"/>
      <c r="B12" s="8"/>
      <c r="C12" s="8"/>
      <c r="D12" s="8"/>
      <c r="E12" s="8"/>
      <c r="F12" s="8"/>
      <c r="G12" s="8"/>
      <c r="H12" s="8"/>
      <c r="I12" s="8"/>
    </row>
    <row r="13" spans="1:9" ht="16.5">
      <c r="A13" s="8"/>
      <c r="B13" s="8"/>
      <c r="C13" s="73" t="s">
        <v>0</v>
      </c>
      <c r="D13" s="73" t="s">
        <v>181</v>
      </c>
      <c r="E13" s="8"/>
      <c r="F13" s="8"/>
      <c r="G13" s="8"/>
      <c r="H13" s="8"/>
      <c r="I13" s="8"/>
    </row>
    <row r="14" spans="1:9" ht="21" thickBot="1">
      <c r="A14" s="8"/>
      <c r="B14" s="8"/>
      <c r="C14" s="319" t="s">
        <v>146</v>
      </c>
      <c r="D14" s="75" t="s">
        <v>253</v>
      </c>
      <c r="E14" s="8"/>
      <c r="F14" s="8"/>
      <c r="G14" s="8"/>
      <c r="H14" s="8"/>
      <c r="I14" s="8"/>
    </row>
    <row r="15" spans="1:9" ht="17.25">
      <c r="A15" s="8"/>
      <c r="B15" s="8"/>
      <c r="C15" s="237" t="s">
        <v>371</v>
      </c>
      <c r="D15" s="320">
        <f>+CAPM!F16</f>
        <v>7.1433999999999997E-2</v>
      </c>
      <c r="E15" s="322"/>
      <c r="F15" s="8"/>
      <c r="G15" s="8"/>
      <c r="H15" s="8"/>
      <c r="I15" s="8"/>
    </row>
    <row r="16" spans="1:9" ht="17.25">
      <c r="A16" s="8"/>
      <c r="B16" s="8"/>
      <c r="C16" s="238" t="s">
        <v>372</v>
      </c>
      <c r="D16" s="321">
        <f>+CAPM!F17</f>
        <v>7.8391999999999989E-2</v>
      </c>
      <c r="E16" s="322"/>
      <c r="F16" s="8"/>
      <c r="G16" s="8"/>
      <c r="H16" s="8"/>
      <c r="I16" s="8"/>
    </row>
    <row r="17" spans="1:9" ht="17.25">
      <c r="A17" s="8"/>
      <c r="B17" s="8"/>
      <c r="C17" s="238" t="s">
        <v>388</v>
      </c>
      <c r="D17" s="321">
        <f>+CAPM!F19</f>
        <v>9.1034000000000004E-2</v>
      </c>
      <c r="E17" s="322"/>
      <c r="F17" s="8"/>
      <c r="G17" s="8"/>
      <c r="H17" s="8"/>
      <c r="I17" s="8"/>
    </row>
    <row r="18" spans="1:9" ht="17.25">
      <c r="A18" s="8"/>
      <c r="B18" s="8"/>
      <c r="C18" s="238" t="s">
        <v>402</v>
      </c>
      <c r="D18" s="321">
        <f>+CAPM!F20</f>
        <v>0.10886999999999999</v>
      </c>
      <c r="E18" s="322"/>
      <c r="F18" s="8"/>
      <c r="G18" s="8"/>
      <c r="H18" s="8"/>
      <c r="I18" s="8"/>
    </row>
    <row r="19" spans="1:9" ht="17.25">
      <c r="A19" s="8"/>
      <c r="B19" s="8"/>
      <c r="C19" s="238" t="s">
        <v>389</v>
      </c>
      <c r="D19" s="321">
        <f>+CAPM!F21</f>
        <v>8.9270000000000002E-2</v>
      </c>
      <c r="E19" s="322"/>
      <c r="F19" s="8"/>
      <c r="G19" s="8"/>
      <c r="H19" s="8"/>
      <c r="I19" s="8"/>
    </row>
    <row r="20" spans="1:9" ht="17.25">
      <c r="A20" s="8"/>
      <c r="B20" s="8"/>
      <c r="C20" s="238" t="s">
        <v>390</v>
      </c>
      <c r="D20" s="321">
        <f>+CAPM!F22</f>
        <v>8.5938000000000001E-2</v>
      </c>
      <c r="E20" s="322"/>
      <c r="F20" s="8"/>
      <c r="G20" s="8"/>
      <c r="H20" s="8"/>
      <c r="I20" s="8"/>
    </row>
    <row r="21" spans="1:9" ht="17.25">
      <c r="A21" s="8"/>
      <c r="B21" s="8"/>
      <c r="C21" s="238" t="s">
        <v>148</v>
      </c>
      <c r="D21" s="321">
        <f>+CAPM!F24</f>
        <v>0.101422</v>
      </c>
      <c r="E21" s="322"/>
      <c r="F21" s="8"/>
      <c r="G21" s="8"/>
      <c r="H21" s="8"/>
      <c r="I21" s="8"/>
    </row>
    <row r="22" spans="1:9" ht="17.25">
      <c r="A22" s="8"/>
      <c r="B22" s="8"/>
      <c r="C22" s="238" t="s">
        <v>149</v>
      </c>
      <c r="D22" s="321">
        <f>+CAPM!F26</f>
        <v>0.10249999999999999</v>
      </c>
      <c r="E22" s="322"/>
      <c r="F22" s="8"/>
      <c r="G22" s="8"/>
      <c r="H22" s="8"/>
      <c r="I22" s="8"/>
    </row>
    <row r="23" spans="1:9" ht="17.25">
      <c r="A23" s="8"/>
      <c r="B23" s="8"/>
      <c r="C23" s="238" t="s">
        <v>150</v>
      </c>
      <c r="D23" s="321">
        <f>+CAPM!F28</f>
        <v>0.11435800000000002</v>
      </c>
      <c r="E23" s="353"/>
      <c r="G23" s="8"/>
      <c r="H23" s="8"/>
      <c r="I23" s="8"/>
    </row>
    <row r="24" spans="1:9" ht="17.25">
      <c r="A24" s="8"/>
      <c r="B24" s="8"/>
      <c r="C24" s="238" t="s">
        <v>151</v>
      </c>
      <c r="D24" s="321">
        <f>+CAPM!F29</f>
        <v>0.102108</v>
      </c>
      <c r="E24" s="353"/>
      <c r="G24" s="8"/>
      <c r="H24" s="8"/>
      <c r="I24" s="8"/>
    </row>
    <row r="25" spans="1:9" ht="17.25">
      <c r="A25" s="8"/>
      <c r="B25" s="8"/>
      <c r="C25" s="239" t="s">
        <v>391</v>
      </c>
      <c r="D25" s="321">
        <f>+CAPM!F31</f>
        <v>0.12023799999999998</v>
      </c>
      <c r="E25" s="336"/>
      <c r="F25" s="8"/>
      <c r="G25" s="8"/>
      <c r="H25" s="8"/>
      <c r="I25" s="8"/>
    </row>
    <row r="26" spans="1:9" ht="17.25">
      <c r="A26" s="8"/>
      <c r="B26" s="8"/>
      <c r="C26" s="239" t="s">
        <v>392</v>
      </c>
      <c r="D26" s="321">
        <f>+CAPM!F32</f>
        <v>0.10994799999999999</v>
      </c>
      <c r="E26" s="336"/>
      <c r="F26" s="8"/>
      <c r="G26" s="8"/>
      <c r="H26" s="8"/>
      <c r="I26" s="8"/>
    </row>
    <row r="27" spans="1:9" ht="17.25">
      <c r="A27" s="8"/>
      <c r="B27" s="8"/>
      <c r="C27" s="239" t="s">
        <v>393</v>
      </c>
      <c r="D27" s="321">
        <f>+CAPM!F33</f>
        <v>9.7599999999999992E-2</v>
      </c>
      <c r="E27" s="336"/>
      <c r="F27" s="8"/>
      <c r="G27" s="8"/>
      <c r="H27" s="8"/>
      <c r="I27" s="8"/>
    </row>
    <row r="28" spans="1:9" ht="17.25">
      <c r="A28" s="8"/>
      <c r="B28" s="8"/>
      <c r="C28" s="238" t="s">
        <v>373</v>
      </c>
      <c r="D28" s="321">
        <f>+CAPM!G42</f>
        <v>7.1550500000000003E-2</v>
      </c>
      <c r="E28" s="322"/>
      <c r="F28" s="8"/>
      <c r="G28" s="8"/>
      <c r="H28" s="8"/>
      <c r="I28" s="8"/>
    </row>
    <row r="29" spans="1:9" ht="17.25">
      <c r="A29" s="8"/>
      <c r="B29" s="8"/>
      <c r="C29" s="238" t="s">
        <v>374</v>
      </c>
      <c r="D29" s="321">
        <f>+CAPM!G43</f>
        <v>7.8544000000000003E-2</v>
      </c>
      <c r="E29" s="322"/>
      <c r="F29" s="8"/>
      <c r="G29" s="8"/>
      <c r="H29" s="8"/>
      <c r="I29" s="8"/>
    </row>
    <row r="30" spans="1:9" ht="17.25">
      <c r="A30" s="8"/>
      <c r="B30" s="8"/>
      <c r="C30" s="238" t="s">
        <v>394</v>
      </c>
      <c r="D30" s="321">
        <f>+CAPM!G45</f>
        <v>9.1250499999999998E-2</v>
      </c>
      <c r="E30" s="322"/>
      <c r="F30" s="8"/>
      <c r="G30" s="8"/>
      <c r="H30" s="8"/>
      <c r="I30" s="8"/>
    </row>
    <row r="31" spans="1:9" ht="17.25">
      <c r="A31" s="8"/>
      <c r="B31" s="8"/>
      <c r="C31" s="238" t="s">
        <v>403</v>
      </c>
      <c r="D31" s="321">
        <f>+CAPM!G46</f>
        <v>0.1091775</v>
      </c>
      <c r="E31" s="322"/>
      <c r="F31" s="8"/>
      <c r="G31" s="8"/>
      <c r="H31" s="8"/>
      <c r="I31" s="8"/>
    </row>
    <row r="32" spans="1:9" ht="17.25">
      <c r="A32" s="8"/>
      <c r="B32" s="8"/>
      <c r="C32" s="238" t="s">
        <v>395</v>
      </c>
      <c r="D32" s="321">
        <f>+CAPM!G47</f>
        <v>8.9477500000000001E-2</v>
      </c>
      <c r="E32" s="322"/>
      <c r="F32" s="8"/>
      <c r="G32" s="8"/>
      <c r="H32" s="8"/>
      <c r="I32" s="8"/>
    </row>
    <row r="33" spans="1:9" ht="17.25">
      <c r="A33" s="8"/>
      <c r="B33" s="8"/>
      <c r="C33" s="238" t="s">
        <v>396</v>
      </c>
      <c r="D33" s="321">
        <f>+CAPM!G48</f>
        <v>8.6128499999999997E-2</v>
      </c>
      <c r="E33" s="322"/>
      <c r="F33" s="8"/>
      <c r="G33" s="8"/>
      <c r="H33" s="8"/>
      <c r="I33" s="8"/>
    </row>
    <row r="34" spans="1:9" ht="17.25">
      <c r="A34" s="8"/>
      <c r="B34" s="8"/>
      <c r="C34" s="238" t="s">
        <v>152</v>
      </c>
      <c r="D34" s="321">
        <f>+CAPM!G50</f>
        <v>0.10169149999999999</v>
      </c>
      <c r="E34" s="322"/>
      <c r="F34" s="8"/>
      <c r="G34" s="8"/>
      <c r="H34" s="8"/>
      <c r="I34" s="8"/>
    </row>
    <row r="35" spans="1:9" ht="17.25">
      <c r="A35" s="8"/>
      <c r="B35" s="8"/>
      <c r="C35" s="238" t="s">
        <v>153</v>
      </c>
      <c r="D35" s="321">
        <f>+CAPM!G52</f>
        <v>0.10277499999999999</v>
      </c>
      <c r="E35" s="322"/>
      <c r="F35" s="8"/>
      <c r="G35" s="8"/>
      <c r="H35" s="8"/>
      <c r="I35" s="8"/>
    </row>
    <row r="36" spans="1:9" ht="17.25">
      <c r="A36" s="8"/>
      <c r="B36" s="8"/>
      <c r="C36" s="239" t="s">
        <v>154</v>
      </c>
      <c r="D36" s="321">
        <f>+CAPM!G54</f>
        <v>0.1146935</v>
      </c>
      <c r="E36" s="322"/>
      <c r="F36" s="8"/>
      <c r="G36" s="8"/>
      <c r="H36" s="8"/>
      <c r="I36" s="8"/>
    </row>
    <row r="37" spans="1:9" ht="17.25">
      <c r="A37" s="8"/>
      <c r="B37" s="8"/>
      <c r="C37" s="238" t="s">
        <v>155</v>
      </c>
      <c r="D37" s="321">
        <f>+CAPM!G55</f>
        <v>0.102381</v>
      </c>
      <c r="E37" s="322"/>
      <c r="F37" s="8"/>
      <c r="G37" s="8"/>
      <c r="H37" s="8"/>
      <c r="I37" s="8"/>
    </row>
    <row r="38" spans="1:9" ht="16.5" customHeight="1">
      <c r="A38" s="8"/>
      <c r="B38" s="8"/>
      <c r="C38" s="239" t="s">
        <v>397</v>
      </c>
      <c r="D38" s="321">
        <f>+CAPM!G57</f>
        <v>0.1206035</v>
      </c>
      <c r="E38" s="322" t="s">
        <v>0</v>
      </c>
      <c r="F38" s="8"/>
      <c r="G38" s="8"/>
      <c r="H38" s="8"/>
      <c r="I38" s="8"/>
    </row>
    <row r="39" spans="1:9" ht="16.5" customHeight="1">
      <c r="A39" s="8"/>
      <c r="B39" s="8"/>
      <c r="C39" s="239" t="s">
        <v>398</v>
      </c>
      <c r="D39" s="321">
        <f>+CAPM!G58</f>
        <v>0.110261</v>
      </c>
      <c r="E39" s="322"/>
      <c r="F39" s="8"/>
      <c r="G39" s="8"/>
      <c r="H39" s="8"/>
      <c r="I39" s="8"/>
    </row>
    <row r="40" spans="1:9" ht="18.75" customHeight="1">
      <c r="A40" s="8"/>
      <c r="B40" s="8"/>
      <c r="C40" s="239" t="s">
        <v>399</v>
      </c>
      <c r="D40" s="321">
        <f>+CAPM!G59</f>
        <v>9.7849999999999993E-2</v>
      </c>
      <c r="E40" s="323"/>
      <c r="F40" s="8"/>
      <c r="G40" s="8"/>
      <c r="H40" s="8"/>
      <c r="I40" s="8"/>
    </row>
    <row r="41" spans="1:9" ht="21.75" customHeight="1">
      <c r="A41" s="8"/>
      <c r="B41" s="8"/>
      <c r="C41" s="240" t="s">
        <v>226</v>
      </c>
      <c r="D41" s="181">
        <f>+'Single Stage Div Growth Model'!I28</f>
        <v>0.1038</v>
      </c>
      <c r="G41" s="8"/>
      <c r="H41" s="8"/>
      <c r="I41" s="8"/>
    </row>
    <row r="42" spans="1:9" ht="21.75" customHeight="1">
      <c r="A42" s="8"/>
      <c r="B42" s="8"/>
      <c r="C42" s="240" t="s">
        <v>225</v>
      </c>
      <c r="D42" s="181">
        <f>+'Single Stage Div Growth Model'!I30</f>
        <v>0.12180000000000001</v>
      </c>
      <c r="G42" s="8"/>
      <c r="H42" s="8"/>
      <c r="I42" s="8"/>
    </row>
    <row r="43" spans="1:9" ht="21.75" customHeight="1">
      <c r="A43" s="8"/>
      <c r="B43" s="8"/>
      <c r="C43" s="337" t="s">
        <v>227</v>
      </c>
      <c r="D43" s="338">
        <f>+'Two-Stage Div Growth Model'!H32</f>
        <v>0.1036</v>
      </c>
      <c r="G43" s="76" t="s">
        <v>0</v>
      </c>
      <c r="H43" s="8"/>
      <c r="I43" s="8"/>
    </row>
    <row r="44" spans="1:9" ht="21.75" customHeight="1">
      <c r="A44" s="8"/>
      <c r="B44" s="8"/>
      <c r="C44" s="317" t="s">
        <v>330</v>
      </c>
      <c r="D44" s="318">
        <f>+'Direct NOPAT'!G55</f>
        <v>8.1199999999999994E-2</v>
      </c>
      <c r="E44" s="339" t="s">
        <v>0</v>
      </c>
      <c r="F44" s="8"/>
      <c r="G44" s="8"/>
      <c r="H44" s="8"/>
      <c r="I44" s="8"/>
    </row>
    <row r="45" spans="1:9" ht="17.25" thickBot="1">
      <c r="A45" s="8"/>
      <c r="B45" s="8"/>
      <c r="C45" s="8"/>
      <c r="D45" s="64"/>
      <c r="E45" s="8"/>
      <c r="F45" s="8"/>
      <c r="G45" s="8"/>
      <c r="H45" s="8"/>
      <c r="I45" s="8"/>
    </row>
    <row r="46" spans="1:9" ht="17.25" thickTop="1">
      <c r="A46" s="8"/>
      <c r="B46" s="8"/>
      <c r="C46" s="10" t="s">
        <v>46</v>
      </c>
      <c r="D46" s="47">
        <f>MAX(D15:D43)</f>
        <v>0.12180000000000001</v>
      </c>
      <c r="E46" s="130"/>
      <c r="F46" s="8"/>
      <c r="G46" s="8"/>
      <c r="H46" s="8"/>
      <c r="I46" s="8"/>
    </row>
    <row r="47" spans="1:9" ht="16.5">
      <c r="A47" s="8"/>
      <c r="B47" s="8"/>
      <c r="C47" s="10" t="s">
        <v>47</v>
      </c>
      <c r="D47" s="289">
        <f>MIN(D15:D43)</f>
        <v>7.1433999999999997E-2</v>
      </c>
      <c r="E47" s="8"/>
      <c r="F47" s="8"/>
      <c r="G47" s="47"/>
      <c r="H47" s="47"/>
      <c r="I47" s="47"/>
    </row>
    <row r="48" spans="1:9" ht="16.5">
      <c r="A48" s="8"/>
      <c r="B48" s="8"/>
      <c r="C48" s="10" t="s">
        <v>18</v>
      </c>
      <c r="D48" s="76">
        <f>MEDIAN(D15:D43)</f>
        <v>0.102108</v>
      </c>
      <c r="E48" s="76"/>
      <c r="F48" s="76"/>
      <c r="G48" s="76"/>
      <c r="H48" s="76"/>
      <c r="I48" s="76"/>
    </row>
    <row r="49" spans="1:9" ht="16.5">
      <c r="A49" s="8"/>
      <c r="B49" s="8"/>
      <c r="C49" s="10" t="s">
        <v>375</v>
      </c>
      <c r="D49" s="77">
        <f>AVERAGE(D15:D43)</f>
        <v>9.926537931034482E-2</v>
      </c>
      <c r="E49" s="77"/>
      <c r="F49" s="77"/>
      <c r="G49" s="77"/>
      <c r="H49" s="77"/>
      <c r="I49" s="77"/>
    </row>
    <row r="50" spans="1:9" ht="16.5">
      <c r="A50" s="8"/>
      <c r="B50" s="8"/>
      <c r="C50" s="10"/>
      <c r="D50" s="77"/>
      <c r="E50" s="8"/>
      <c r="F50" s="8"/>
      <c r="G50" s="8"/>
      <c r="H50" s="8"/>
      <c r="I50" s="8"/>
    </row>
    <row r="51" spans="1:9" ht="17.25" thickBot="1">
      <c r="A51" s="8"/>
      <c r="B51" s="8"/>
      <c r="C51" s="10"/>
      <c r="D51" s="77"/>
      <c r="E51" s="8"/>
      <c r="F51" s="8"/>
      <c r="G51" s="8"/>
      <c r="H51" s="8"/>
      <c r="I51" s="8"/>
    </row>
    <row r="52" spans="1:9" ht="27" thickBot="1">
      <c r="A52" s="8"/>
      <c r="B52" s="8"/>
      <c r="C52" s="171" t="s">
        <v>233</v>
      </c>
      <c r="D52" s="347">
        <v>9.9299999999999999E-2</v>
      </c>
      <c r="E52" s="78"/>
      <c r="F52" s="78"/>
    </row>
    <row r="53" spans="1:9" ht="16.5">
      <c r="A53" s="8"/>
      <c r="B53" s="8"/>
      <c r="C53" s="8"/>
      <c r="D53" s="8"/>
      <c r="E53" s="8"/>
      <c r="F53" s="8"/>
    </row>
    <row r="54" spans="1:9" ht="17.25">
      <c r="A54" s="99" t="s">
        <v>0</v>
      </c>
      <c r="B54" s="8"/>
      <c r="C54" s="8"/>
      <c r="D54" s="8"/>
      <c r="E54" s="8"/>
      <c r="F54" s="8"/>
      <c r="G54" s="8"/>
      <c r="H54" s="8"/>
      <c r="I54" s="8"/>
    </row>
    <row r="55" spans="1:9" ht="16.5">
      <c r="A55" s="8"/>
      <c r="B55" s="8"/>
      <c r="C55" s="8"/>
      <c r="D55" s="8"/>
      <c r="E55" s="8"/>
      <c r="F55" s="8"/>
      <c r="G55" s="8"/>
      <c r="H55" s="8"/>
      <c r="I55" s="8"/>
    </row>
    <row r="56" spans="1:9" ht="16.5">
      <c r="A56" s="8"/>
      <c r="B56" s="8"/>
      <c r="C56" s="8"/>
      <c r="D56" s="8"/>
      <c r="E56" s="8"/>
      <c r="F56" s="8"/>
      <c r="G56" s="8"/>
      <c r="H56" s="8"/>
      <c r="I56" s="8"/>
    </row>
    <row r="57" spans="1:9" ht="16.5">
      <c r="A57" s="8"/>
      <c r="B57" s="8"/>
      <c r="C57" s="8"/>
      <c r="D57" s="8"/>
      <c r="E57" s="8"/>
      <c r="F57" s="8"/>
      <c r="G57" s="8"/>
      <c r="H57" s="8"/>
      <c r="I57" s="8"/>
    </row>
    <row r="58" spans="1:9" ht="16.5">
      <c r="A58" s="8"/>
      <c r="B58" s="8"/>
      <c r="C58" s="8"/>
      <c r="D58" s="8"/>
      <c r="E58" s="8"/>
      <c r="F58" s="8"/>
      <c r="G58" s="8"/>
      <c r="H58" s="8"/>
      <c r="I58" s="8"/>
    </row>
    <row r="59" spans="1:9" ht="16.5">
      <c r="A59" s="8"/>
      <c r="B59" s="8"/>
      <c r="C59" s="8"/>
      <c r="D59" s="8" t="s">
        <v>0</v>
      </c>
      <c r="E59" s="8"/>
      <c r="F59" s="8"/>
      <c r="G59" s="8"/>
      <c r="H59" s="8"/>
      <c r="I59" s="8"/>
    </row>
    <row r="60" spans="1:9" ht="16.5">
      <c r="A60" s="8"/>
      <c r="B60" s="8"/>
      <c r="C60" s="8"/>
      <c r="D60" s="8" t="s">
        <v>0</v>
      </c>
      <c r="E60" s="8"/>
      <c r="F60" s="8"/>
      <c r="G60" s="8"/>
      <c r="H60" s="8"/>
      <c r="I60" s="8"/>
    </row>
    <row r="61" spans="1:9" ht="16.5">
      <c r="A61" s="8"/>
      <c r="B61" s="8"/>
      <c r="C61" s="8"/>
      <c r="D61" s="8"/>
      <c r="E61" s="8"/>
      <c r="F61" s="8"/>
      <c r="G61" s="8"/>
      <c r="H61" s="8"/>
      <c r="I61" s="8"/>
    </row>
    <row r="62" spans="1:9" ht="16.5">
      <c r="A62" s="8"/>
      <c r="B62" s="8"/>
      <c r="C62" s="8"/>
      <c r="D62" s="8"/>
      <c r="E62" s="8"/>
      <c r="F62" s="8"/>
      <c r="G62" s="8"/>
      <c r="H62" s="8"/>
      <c r="I62" s="8"/>
    </row>
    <row r="63" spans="1:9" ht="16.5">
      <c r="A63" s="8"/>
      <c r="B63" s="8"/>
      <c r="C63" s="8"/>
      <c r="D63" s="8"/>
      <c r="E63" s="8"/>
      <c r="F63" s="8"/>
      <c r="G63" s="8"/>
      <c r="H63" s="8"/>
      <c r="I63" s="8"/>
    </row>
    <row r="64" spans="1:9" ht="16.5">
      <c r="A64" s="8"/>
      <c r="B64" s="8"/>
      <c r="C64" s="8"/>
      <c r="D64" s="8"/>
      <c r="E64" s="8"/>
      <c r="F64" s="8"/>
      <c r="G64" s="8"/>
      <c r="H64" s="8"/>
      <c r="I64" s="8"/>
    </row>
    <row r="65" spans="1:9" ht="16.5">
      <c r="A65" s="8"/>
      <c r="B65" s="8"/>
      <c r="C65" s="8"/>
      <c r="D65" s="8"/>
      <c r="E65" s="8"/>
      <c r="F65" s="8"/>
      <c r="G65" s="8"/>
      <c r="H65" s="8"/>
      <c r="I65" s="8"/>
    </row>
    <row r="66" spans="1:9" ht="16.5">
      <c r="A66" s="8"/>
      <c r="B66" s="8"/>
      <c r="C66" s="8"/>
      <c r="D66" s="8"/>
      <c r="E66" s="8"/>
      <c r="F66" s="8"/>
      <c r="G66" s="8"/>
      <c r="H66" s="8"/>
      <c r="I66" s="8"/>
    </row>
    <row r="67" spans="1:9" ht="16.5">
      <c r="A67" s="8"/>
      <c r="B67" s="8"/>
      <c r="C67" s="8"/>
      <c r="D67" s="8"/>
      <c r="E67" s="8"/>
      <c r="F67" s="8"/>
      <c r="G67" s="8"/>
      <c r="H67" s="8"/>
      <c r="I67" s="8"/>
    </row>
    <row r="68" spans="1:9" ht="16.5">
      <c r="A68" s="8"/>
      <c r="B68" s="8"/>
      <c r="C68" s="8"/>
      <c r="D68" s="8"/>
      <c r="E68" s="8"/>
      <c r="F68" s="8"/>
      <c r="G68" s="8"/>
      <c r="H68" s="8"/>
      <c r="I68" s="8"/>
    </row>
    <row r="69" spans="1:9" ht="16.5">
      <c r="A69" s="8"/>
      <c r="B69" s="8"/>
      <c r="C69" s="8"/>
      <c r="D69" s="8"/>
      <c r="E69" s="8"/>
      <c r="F69" s="8"/>
      <c r="G69" s="8"/>
      <c r="H69" s="8"/>
      <c r="I69" s="8"/>
    </row>
    <row r="70" spans="1:9" ht="16.5">
      <c r="A70" s="8"/>
      <c r="B70" s="8"/>
      <c r="C70" s="8"/>
      <c r="D70" s="8"/>
      <c r="E70" s="8"/>
      <c r="F70" s="8"/>
      <c r="G70" s="8"/>
      <c r="H70" s="8"/>
      <c r="I70" s="8"/>
    </row>
    <row r="71" spans="1:9" ht="16.5">
      <c r="A71" s="8"/>
      <c r="B71" s="8"/>
      <c r="C71" s="8"/>
      <c r="D71" s="8"/>
      <c r="E71" s="8"/>
      <c r="F71" s="8"/>
      <c r="G71" s="8"/>
      <c r="H71" s="8"/>
      <c r="I71" s="8"/>
    </row>
    <row r="72" spans="1:9" ht="16.5">
      <c r="A72" s="8"/>
      <c r="B72" s="8"/>
      <c r="C72" s="8"/>
      <c r="D72" s="8"/>
      <c r="E72" s="8"/>
      <c r="F72" s="8"/>
      <c r="G72" s="8"/>
      <c r="H72" s="8"/>
      <c r="I72" s="8"/>
    </row>
    <row r="73" spans="1:9" ht="16.5">
      <c r="A73" s="8"/>
      <c r="B73" s="8"/>
      <c r="C73" s="8"/>
      <c r="D73" s="8"/>
      <c r="E73" s="8"/>
      <c r="F73" s="8"/>
      <c r="G73" s="8"/>
      <c r="H73" s="8"/>
      <c r="I73" s="8"/>
    </row>
    <row r="74" spans="1:9" ht="16.5">
      <c r="A74" s="8"/>
      <c r="B74" s="8"/>
      <c r="C74" s="8"/>
      <c r="D74" s="8"/>
      <c r="E74" s="8"/>
      <c r="F74" s="8"/>
      <c r="G74" s="8"/>
      <c r="H74" s="8"/>
      <c r="I74" s="8"/>
    </row>
    <row r="75" spans="1:9" ht="16.5">
      <c r="A75" s="8"/>
      <c r="B75" s="8"/>
      <c r="C75" s="8"/>
      <c r="D75" s="8"/>
      <c r="E75" s="8"/>
      <c r="F75" s="8"/>
      <c r="G75" s="8"/>
      <c r="H75" s="8"/>
      <c r="I75" s="8"/>
    </row>
    <row r="76" spans="1:9" ht="16.5">
      <c r="A76" s="8"/>
      <c r="B76" s="8"/>
      <c r="C76" s="8"/>
      <c r="D76" s="8"/>
      <c r="E76" s="8"/>
      <c r="F76" s="8"/>
      <c r="G76" s="8"/>
      <c r="H76" s="8"/>
      <c r="I76" s="8"/>
    </row>
    <row r="77" spans="1:9" ht="16.5">
      <c r="A77" s="8"/>
      <c r="B77" s="8"/>
      <c r="C77" s="8"/>
      <c r="D77" s="8"/>
      <c r="E77" s="8"/>
      <c r="F77" s="8"/>
      <c r="G77" s="8"/>
      <c r="H77" s="8"/>
      <c r="I77" s="8"/>
    </row>
    <row r="78" spans="1:9" ht="16.5">
      <c r="A78" s="8"/>
      <c r="B78" s="8"/>
      <c r="C78" s="8"/>
      <c r="D78" s="8"/>
      <c r="E78" s="8"/>
      <c r="F78" s="8"/>
      <c r="G78" s="8"/>
      <c r="H78" s="8"/>
      <c r="I78" s="8"/>
    </row>
    <row r="79" spans="1:9" ht="16.5">
      <c r="A79" s="8"/>
      <c r="B79" s="8"/>
      <c r="C79" s="8"/>
      <c r="D79" s="8"/>
      <c r="E79" s="8"/>
      <c r="F79" s="8"/>
      <c r="G79" s="8"/>
      <c r="H79" s="8"/>
      <c r="I79" s="8"/>
    </row>
    <row r="80" spans="1:9" ht="16.5">
      <c r="A80" s="8"/>
      <c r="B80" s="8"/>
      <c r="C80" s="8"/>
      <c r="D80" s="8"/>
      <c r="E80" s="8"/>
      <c r="F80" s="8"/>
      <c r="G80" s="8"/>
      <c r="H80" s="8"/>
      <c r="I80" s="8"/>
    </row>
    <row r="81" spans="1:9" ht="16.5">
      <c r="A81" s="8"/>
      <c r="B81" s="8"/>
      <c r="C81" s="8"/>
      <c r="D81" s="8"/>
      <c r="E81" s="8"/>
      <c r="F81" s="8"/>
      <c r="G81" s="8"/>
      <c r="H81" s="8"/>
      <c r="I81" s="8"/>
    </row>
    <row r="82" spans="1:9" ht="16.5">
      <c r="A82" s="8"/>
      <c r="B82" s="8"/>
      <c r="C82" s="8"/>
      <c r="D82" s="8"/>
      <c r="E82" s="8"/>
      <c r="F82" s="8"/>
      <c r="G82" s="8"/>
      <c r="H82" s="8"/>
      <c r="I82" s="8"/>
    </row>
    <row r="83" spans="1:9" ht="16.5">
      <c r="A83" s="8"/>
      <c r="B83" s="8"/>
      <c r="C83" s="8"/>
      <c r="D83" s="8"/>
      <c r="E83" s="8"/>
      <c r="F83" s="8"/>
      <c r="G83" s="8"/>
      <c r="H83" s="8"/>
      <c r="I83" s="8"/>
    </row>
    <row r="84" spans="1:9" ht="16.5">
      <c r="A84" s="8"/>
      <c r="B84" s="8"/>
      <c r="C84" s="8"/>
      <c r="D84" s="8"/>
      <c r="E84" s="8"/>
      <c r="F84" s="8"/>
      <c r="G84" s="8"/>
      <c r="H84" s="8"/>
      <c r="I84" s="8"/>
    </row>
    <row r="85" spans="1:9" ht="16.5">
      <c r="A85" s="8"/>
      <c r="B85" s="8"/>
      <c r="C85" s="8"/>
      <c r="D85" s="8"/>
      <c r="E85" s="8"/>
      <c r="F85" s="8"/>
      <c r="G85" s="8"/>
      <c r="H85" s="8"/>
      <c r="I85" s="8"/>
    </row>
    <row r="86" spans="1:9" ht="16.5">
      <c r="A86" s="8"/>
      <c r="B86" s="8"/>
      <c r="C86" s="8"/>
      <c r="D86" s="8"/>
      <c r="E86" s="8"/>
      <c r="F86" s="8"/>
      <c r="G86" s="8"/>
      <c r="H86" s="8"/>
      <c r="I86" s="8"/>
    </row>
    <row r="87" spans="1:9" ht="16.5">
      <c r="A87" s="8"/>
      <c r="B87" s="8"/>
      <c r="C87" s="8"/>
      <c r="D87" s="8"/>
      <c r="E87" s="8"/>
      <c r="F87" s="8"/>
      <c r="G87" s="8"/>
      <c r="H87" s="8"/>
      <c r="I87" s="8"/>
    </row>
    <row r="88" spans="1:9" ht="16.5">
      <c r="A88" s="8"/>
      <c r="B88" s="8"/>
      <c r="C88" s="8"/>
      <c r="D88" s="8"/>
      <c r="E88" s="8"/>
      <c r="F88" s="8"/>
      <c r="G88" s="8"/>
      <c r="H88" s="8"/>
      <c r="I88" s="8"/>
    </row>
    <row r="89" spans="1:9" ht="16.5">
      <c r="A89" s="8"/>
      <c r="B89" s="8"/>
      <c r="C89" s="8"/>
      <c r="D89" s="8"/>
      <c r="E89" s="8"/>
      <c r="F89" s="8"/>
      <c r="G89" s="8"/>
      <c r="H89" s="8"/>
      <c r="I89" s="8"/>
    </row>
    <row r="90" spans="1:9" ht="16.5">
      <c r="A90" s="8"/>
      <c r="B90" s="8"/>
      <c r="C90" s="8"/>
      <c r="D90" s="8"/>
      <c r="E90" s="8"/>
      <c r="F90" s="8"/>
      <c r="G90" s="8"/>
      <c r="H90" s="8"/>
      <c r="I90" s="8"/>
    </row>
    <row r="91" spans="1:9" ht="16.5">
      <c r="A91" s="8"/>
      <c r="B91" s="8"/>
      <c r="C91" s="8"/>
      <c r="D91" s="8"/>
      <c r="E91" s="8"/>
      <c r="F91" s="8"/>
      <c r="G91" s="8"/>
      <c r="H91" s="8"/>
      <c r="I91" s="8"/>
    </row>
    <row r="92" spans="1:9" ht="16.5">
      <c r="A92" s="8"/>
      <c r="B92" s="8"/>
      <c r="C92" s="8"/>
      <c r="D92" s="8"/>
      <c r="E92" s="8"/>
      <c r="F92" s="8"/>
      <c r="G92" s="8"/>
      <c r="H92" s="8"/>
      <c r="I92" s="8"/>
    </row>
    <row r="93" spans="1:9" ht="16.5">
      <c r="A93" s="8"/>
      <c r="B93" s="8"/>
      <c r="C93" s="8"/>
      <c r="D93" s="8"/>
      <c r="E93" s="8"/>
      <c r="F93" s="8"/>
      <c r="G93" s="8"/>
      <c r="H93" s="8"/>
      <c r="I93" s="8"/>
    </row>
    <row r="94" spans="1:9" ht="16.5">
      <c r="A94" s="8"/>
      <c r="B94" s="8"/>
      <c r="C94" s="8"/>
      <c r="D94" s="8"/>
      <c r="E94" s="8"/>
      <c r="F94" s="8"/>
      <c r="G94" s="8"/>
      <c r="H94" s="8"/>
      <c r="I94" s="8"/>
    </row>
    <row r="95" spans="1:9" ht="16.5">
      <c r="A95" s="8"/>
      <c r="B95" s="8"/>
      <c r="C95" s="8"/>
      <c r="D95" s="8"/>
      <c r="E95" s="8"/>
      <c r="F95" s="8"/>
      <c r="G95" s="8"/>
      <c r="H95" s="8"/>
      <c r="I95" s="8"/>
    </row>
    <row r="96" spans="1:9" ht="16.5">
      <c r="A96" s="8"/>
      <c r="B96" s="8"/>
      <c r="C96" s="8"/>
      <c r="D96" s="8"/>
      <c r="E96" s="8"/>
      <c r="F96" s="8"/>
      <c r="G96" s="8"/>
      <c r="H96" s="8"/>
      <c r="I96" s="8"/>
    </row>
    <row r="97" spans="1:9" ht="16.5">
      <c r="A97" s="8"/>
      <c r="B97" s="8"/>
      <c r="C97" s="8"/>
      <c r="D97" s="8"/>
      <c r="E97" s="8"/>
      <c r="F97" s="8"/>
      <c r="G97" s="8"/>
      <c r="H97" s="8"/>
      <c r="I97" s="8"/>
    </row>
    <row r="98" spans="1:9" ht="16.5">
      <c r="A98" s="8"/>
      <c r="B98" s="8"/>
      <c r="C98" s="8"/>
      <c r="D98" s="8"/>
      <c r="E98" s="8"/>
      <c r="F98" s="8"/>
      <c r="G98" s="8"/>
      <c r="H98" s="8"/>
      <c r="I98" s="8"/>
    </row>
    <row r="99" spans="1:9" ht="16.5">
      <c r="A99" s="8"/>
      <c r="B99" s="8"/>
      <c r="C99" s="8"/>
      <c r="D99" s="8"/>
      <c r="E99" s="8"/>
      <c r="F99" s="8"/>
      <c r="G99" s="8"/>
      <c r="H99" s="8"/>
      <c r="I99" s="8"/>
    </row>
    <row r="100" spans="1:9" ht="16.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6.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6.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6.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6.5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6.5">
      <c r="A105" s="8"/>
      <c r="B105" s="8"/>
      <c r="C105" s="8"/>
      <c r="D105" s="8"/>
      <c r="E105" s="8"/>
      <c r="F105" s="8"/>
      <c r="G105" s="8"/>
      <c r="H105" s="8"/>
      <c r="I105" s="8"/>
    </row>
  </sheetData>
  <pageMargins left="0.25" right="0.25" top="0.75" bottom="0.75" header="0.3" footer="0.3"/>
  <pageSetup scale="4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3"/>
  <sheetViews>
    <sheetView view="pageBreakPreview" zoomScale="70" zoomScaleNormal="80" zoomScaleSheetLayoutView="70" workbookViewId="0">
      <selection activeCell="I31" sqref="I31"/>
    </sheetView>
  </sheetViews>
  <sheetFormatPr defaultRowHeight="15"/>
  <cols>
    <col min="1" max="1" width="45.140625" customWidth="1"/>
    <col min="2" max="2" width="13.28515625" customWidth="1"/>
    <col min="3" max="3" width="19.140625" bestFit="1" customWidth="1"/>
    <col min="4" max="4" width="15.28515625" customWidth="1"/>
    <col min="5" max="5" width="27.140625" customWidth="1"/>
    <col min="6" max="6" width="22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6.5">
      <c r="A4" s="21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7.25" thickBot="1">
      <c r="A5" s="8"/>
      <c r="B5" s="8"/>
      <c r="C5" s="8"/>
      <c r="D5" s="8"/>
      <c r="E5" s="8"/>
      <c r="F5" s="8" t="s">
        <v>0</v>
      </c>
      <c r="G5" s="8"/>
      <c r="H5" s="22"/>
      <c r="I5" s="8"/>
      <c r="J5" s="8"/>
      <c r="K5" s="8"/>
    </row>
    <row r="6" spans="1:11" ht="18" thickBot="1">
      <c r="A6" s="229" t="str">
        <f>+'S&amp;D'!A12</f>
        <v>Railroad Carriers</v>
      </c>
      <c r="B6" s="163"/>
      <c r="C6" s="8"/>
      <c r="D6" s="24"/>
      <c r="E6" s="24"/>
      <c r="F6" s="24"/>
      <c r="G6" s="25" t="s">
        <v>0</v>
      </c>
      <c r="H6" s="24"/>
      <c r="I6" s="8"/>
      <c r="J6" s="8"/>
      <c r="K6" s="8"/>
    </row>
    <row r="7" spans="1:11" ht="26.25">
      <c r="A7" s="26"/>
      <c r="B7" s="8"/>
      <c r="C7" s="8"/>
      <c r="D7" s="8"/>
      <c r="E7" s="8"/>
      <c r="F7" s="27" t="s">
        <v>370</v>
      </c>
      <c r="G7" s="8"/>
      <c r="H7" s="8"/>
      <c r="I7" s="8"/>
      <c r="J7" s="8"/>
      <c r="K7" s="8"/>
    </row>
    <row r="8" spans="1:11" ht="21" thickBot="1">
      <c r="A8" s="26"/>
      <c r="B8" s="8"/>
      <c r="C8" s="8"/>
      <c r="D8" s="24"/>
      <c r="E8" s="24"/>
      <c r="F8" s="28" t="s">
        <v>417</v>
      </c>
      <c r="G8" s="24"/>
      <c r="H8" s="24"/>
      <c r="I8" s="8"/>
      <c r="J8" s="8"/>
      <c r="K8" s="8"/>
    </row>
    <row r="9" spans="1:11" ht="17.25" thickBot="1">
      <c r="A9" s="29" t="s">
        <v>0</v>
      </c>
      <c r="B9" s="29" t="s">
        <v>0</v>
      </c>
      <c r="C9" s="29" t="s">
        <v>0</v>
      </c>
      <c r="D9" s="24"/>
      <c r="E9" s="29"/>
      <c r="F9" s="29" t="s">
        <v>0</v>
      </c>
      <c r="G9" s="29"/>
      <c r="H9" s="24"/>
      <c r="I9" s="24"/>
      <c r="J9" s="24"/>
      <c r="K9" s="8"/>
    </row>
    <row r="10" spans="1:11" ht="16.5">
      <c r="A10" s="30" t="s">
        <v>0</v>
      </c>
      <c r="B10" s="30" t="s">
        <v>3</v>
      </c>
      <c r="C10" s="30" t="s">
        <v>5</v>
      </c>
      <c r="D10" s="30" t="s">
        <v>156</v>
      </c>
      <c r="E10" s="30" t="s">
        <v>12</v>
      </c>
      <c r="F10" s="30" t="s">
        <v>167</v>
      </c>
      <c r="G10" s="30" t="s">
        <v>168</v>
      </c>
      <c r="H10" s="30" t="s">
        <v>168</v>
      </c>
      <c r="I10" s="30" t="s">
        <v>164</v>
      </c>
      <c r="J10" s="30" t="s">
        <v>164</v>
      </c>
      <c r="K10" s="8"/>
    </row>
    <row r="11" spans="1:11" ht="16.5">
      <c r="A11" s="30" t="s">
        <v>2</v>
      </c>
      <c r="B11" s="30" t="s">
        <v>4</v>
      </c>
      <c r="C11" s="30" t="s">
        <v>6</v>
      </c>
      <c r="D11" s="30" t="s">
        <v>195</v>
      </c>
      <c r="E11" s="30" t="s">
        <v>14</v>
      </c>
      <c r="F11" s="30" t="s">
        <v>345</v>
      </c>
      <c r="G11" s="30" t="s">
        <v>196</v>
      </c>
      <c r="H11" s="30" t="s">
        <v>197</v>
      </c>
      <c r="I11" s="30" t="s">
        <v>159</v>
      </c>
      <c r="J11" s="30" t="s">
        <v>162</v>
      </c>
      <c r="K11" s="8"/>
    </row>
    <row r="12" spans="1:11" ht="16.5">
      <c r="A12" s="30"/>
      <c r="B12" s="30"/>
      <c r="C12" s="30"/>
      <c r="D12" s="30"/>
      <c r="E12" s="30"/>
      <c r="F12" s="31" t="s">
        <v>0</v>
      </c>
      <c r="G12" s="31" t="s">
        <v>482</v>
      </c>
      <c r="H12" s="31" t="s">
        <v>482</v>
      </c>
      <c r="I12" s="30"/>
      <c r="J12" s="30"/>
      <c r="K12" s="8"/>
    </row>
    <row r="13" spans="1:11" ht="17.25" thickBot="1">
      <c r="A13" s="32" t="s">
        <v>24</v>
      </c>
      <c r="B13" s="33" t="s">
        <v>89</v>
      </c>
      <c r="C13" s="33" t="s">
        <v>90</v>
      </c>
      <c r="D13" s="33" t="s">
        <v>91</v>
      </c>
      <c r="E13" s="33" t="s">
        <v>92</v>
      </c>
      <c r="F13" s="33" t="s">
        <v>93</v>
      </c>
      <c r="G13" s="33" t="s">
        <v>94</v>
      </c>
      <c r="H13" s="33" t="s">
        <v>95</v>
      </c>
      <c r="I13" s="33" t="s">
        <v>165</v>
      </c>
      <c r="J13" s="33" t="s">
        <v>166</v>
      </c>
      <c r="K13" s="8"/>
    </row>
    <row r="14" spans="1:11" ht="16.5">
      <c r="A14" s="34" t="s">
        <v>7</v>
      </c>
      <c r="B14" s="34" t="s">
        <v>7</v>
      </c>
      <c r="C14" s="34" t="s">
        <v>7</v>
      </c>
      <c r="D14" s="35" t="s">
        <v>113</v>
      </c>
      <c r="E14" s="35"/>
      <c r="F14" s="34" t="s">
        <v>0</v>
      </c>
      <c r="G14" s="34" t="s">
        <v>7</v>
      </c>
      <c r="H14" s="34" t="s">
        <v>7</v>
      </c>
      <c r="I14" s="34" t="s">
        <v>15</v>
      </c>
      <c r="J14" s="34" t="s">
        <v>15</v>
      </c>
      <c r="K14" s="8"/>
    </row>
    <row r="15" spans="1:11" ht="16.5">
      <c r="A15" s="30"/>
      <c r="B15" s="30"/>
      <c r="C15" s="30"/>
      <c r="D15" s="30"/>
      <c r="E15" s="30"/>
      <c r="F15" s="30"/>
      <c r="G15" s="30"/>
      <c r="H15" s="8"/>
      <c r="I15" s="8"/>
      <c r="J15" s="8"/>
      <c r="K15" s="8"/>
    </row>
    <row r="16" spans="1:11" ht="16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7.25">
      <c r="A17" s="57" t="str">
        <f>+'S&amp;D'!A22</f>
        <v>Canadian National</v>
      </c>
      <c r="B17" s="84" t="str">
        <f>+'S&amp;D'!B22</f>
        <v>CNI</v>
      </c>
      <c r="C17" s="84" t="str">
        <f>+'S&amp;D'!C22</f>
        <v>Railroad</v>
      </c>
      <c r="D17" s="54">
        <f>+'S&amp;D'!G22</f>
        <v>101.51</v>
      </c>
      <c r="E17" s="55">
        <f>+'S&amp;D'!D35</f>
        <v>63833026334.07</v>
      </c>
      <c r="F17" s="48">
        <f>+'Dividends '!H16</f>
        <v>2.7583489311397889E-2</v>
      </c>
      <c r="G17" s="48">
        <v>0.09</v>
      </c>
      <c r="H17" s="48">
        <v>9.5000000000000001E-2</v>
      </c>
      <c r="I17" s="282">
        <f>+F17+G17</f>
        <v>0.11758348931139789</v>
      </c>
      <c r="J17" s="282">
        <f>+F17+H17</f>
        <v>0.1225834893113979</v>
      </c>
      <c r="K17" s="8"/>
    </row>
    <row r="18" spans="1:11" ht="17.25">
      <c r="A18" s="57" t="str">
        <f>+'S&amp;D'!A23</f>
        <v>Canadian Pacific Kansas City Limited  CPKC</v>
      </c>
      <c r="B18" s="84" t="str">
        <f>+'S&amp;D'!B23</f>
        <v>CP</v>
      </c>
      <c r="C18" s="84" t="str">
        <f>+'S&amp;D'!C23</f>
        <v>Railroad</v>
      </c>
      <c r="D18" s="54">
        <f>+'S&amp;D'!G23</f>
        <v>72.37</v>
      </c>
      <c r="E18" s="55">
        <f>+'S&amp;D'!D36</f>
        <v>67557395000.000008</v>
      </c>
      <c r="F18" s="48">
        <f>+'Dividends '!H17</f>
        <v>8.2907282022937675E-3</v>
      </c>
      <c r="G18" s="48">
        <v>0.09</v>
      </c>
      <c r="H18" s="48">
        <v>0.11</v>
      </c>
      <c r="I18" s="282">
        <f t="shared" ref="I18:I21" si="0">+F18+G18</f>
        <v>9.8290728202293759E-2</v>
      </c>
      <c r="J18" s="282">
        <f t="shared" ref="J18:J21" si="1">+F18+H18</f>
        <v>0.11829072820229376</v>
      </c>
      <c r="K18" s="8"/>
    </row>
    <row r="19" spans="1:11" ht="17.25">
      <c r="A19" s="57" t="str">
        <f>+'S&amp;D'!A24</f>
        <v>CSX Corp</v>
      </c>
      <c r="B19" s="84" t="str">
        <f>+'S&amp;D'!B24</f>
        <v>CSX</v>
      </c>
      <c r="C19" s="84" t="str">
        <f>+'S&amp;D'!C24</f>
        <v>Railroad</v>
      </c>
      <c r="D19" s="54">
        <f>+'S&amp;D'!G24</f>
        <v>32.369999999999997</v>
      </c>
      <c r="E19" s="55">
        <f>+'S&amp;D'!D37</f>
        <v>61502999999.999992</v>
      </c>
      <c r="F19" s="48">
        <f>+'Dividends '!H18</f>
        <v>1.8535681186283598E-2</v>
      </c>
      <c r="G19" s="48">
        <v>0.125</v>
      </c>
      <c r="H19" s="48">
        <v>0.1</v>
      </c>
      <c r="I19" s="282">
        <f t="shared" si="0"/>
        <v>0.1435356811862836</v>
      </c>
      <c r="J19" s="282">
        <f t="shared" si="1"/>
        <v>0.1185356811862836</v>
      </c>
      <c r="K19" s="8"/>
    </row>
    <row r="20" spans="1:11" ht="17.25">
      <c r="A20" s="57" t="str">
        <f>+'S&amp;D'!A25</f>
        <v>Norfolk Southern</v>
      </c>
      <c r="B20" s="84" t="str">
        <f>+'S&amp;D'!B25</f>
        <v>NSC</v>
      </c>
      <c r="C20" s="84" t="str">
        <f>+'S&amp;D'!C25</f>
        <v>Railroad</v>
      </c>
      <c r="D20" s="54">
        <f>+'S&amp;D'!G25</f>
        <v>234.7</v>
      </c>
      <c r="E20" s="55">
        <f>+'S&amp;D'!D38</f>
        <v>53117513821.799995</v>
      </c>
      <c r="F20" s="48">
        <f>+'Dividends '!H19</f>
        <v>2.4712398806987643E-2</v>
      </c>
      <c r="G20" s="48">
        <v>0.05</v>
      </c>
      <c r="H20" s="48">
        <v>0.12</v>
      </c>
      <c r="I20" s="282">
        <f t="shared" si="0"/>
        <v>7.4712398806987643E-2</v>
      </c>
      <c r="J20" s="282">
        <f t="shared" si="1"/>
        <v>0.14471239880698764</v>
      </c>
      <c r="K20" s="8"/>
    </row>
    <row r="21" spans="1:11" ht="18" thickBot="1">
      <c r="A21" s="57" t="str">
        <f>+'S&amp;D'!A26</f>
        <v>Union Pacific Railroad</v>
      </c>
      <c r="B21" s="84" t="str">
        <f>+'S&amp;D'!B26</f>
        <v>UNP</v>
      </c>
      <c r="C21" s="84" t="str">
        <f>+'S&amp;D'!C26</f>
        <v>Railroad</v>
      </c>
      <c r="D21" s="54">
        <f>+'S&amp;D'!G26</f>
        <v>228.04</v>
      </c>
      <c r="E21" s="55">
        <f>+'S&amp;D'!D39</f>
        <v>137791176930.39999</v>
      </c>
      <c r="F21" s="307">
        <f>+'Dividends '!H20</f>
        <v>2.499561480442028E-2</v>
      </c>
      <c r="G21" s="307">
        <v>0.06</v>
      </c>
      <c r="H21" s="307">
        <v>0.08</v>
      </c>
      <c r="I21" s="308">
        <f t="shared" si="0"/>
        <v>8.4995614804420277E-2</v>
      </c>
      <c r="J21" s="308">
        <f t="shared" si="1"/>
        <v>0.10499561480442028</v>
      </c>
      <c r="K21" s="8"/>
    </row>
    <row r="22" spans="1:11" ht="17.25" thickTop="1">
      <c r="A22" s="8"/>
      <c r="B22" s="8"/>
      <c r="C22" s="10" t="s">
        <v>0</v>
      </c>
      <c r="D22" s="11" t="s">
        <v>0</v>
      </c>
      <c r="E22" s="11" t="s">
        <v>46</v>
      </c>
      <c r="F22" s="357">
        <f>MAX(F17:F21)</f>
        <v>2.7583489311397889E-2</v>
      </c>
      <c r="G22" s="273">
        <f t="shared" ref="G22:J22" si="2">MAX(G17:G21)</f>
        <v>0.125</v>
      </c>
      <c r="H22" s="273">
        <f t="shared" si="2"/>
        <v>0.12</v>
      </c>
      <c r="I22" s="273">
        <f t="shared" si="2"/>
        <v>0.1435356811862836</v>
      </c>
      <c r="J22" s="273">
        <f t="shared" si="2"/>
        <v>0.14471239880698764</v>
      </c>
      <c r="K22" s="8"/>
    </row>
    <row r="23" spans="1:11" ht="16.5">
      <c r="A23" s="8"/>
      <c r="B23" s="8"/>
      <c r="C23" s="10"/>
      <c r="D23" s="11"/>
      <c r="E23" s="11" t="s">
        <v>47</v>
      </c>
      <c r="F23" s="356">
        <f>MIN(F17:F21)</f>
        <v>8.2907282022937675E-3</v>
      </c>
      <c r="G23" s="286">
        <f t="shared" ref="G23:J23" si="3">MIN(G17:G21)</f>
        <v>0.05</v>
      </c>
      <c r="H23" s="286">
        <f t="shared" si="3"/>
        <v>0.08</v>
      </c>
      <c r="I23" s="286">
        <f t="shared" si="3"/>
        <v>7.4712398806987643E-2</v>
      </c>
      <c r="J23" s="286">
        <f t="shared" si="3"/>
        <v>0.10499561480442028</v>
      </c>
      <c r="K23" s="8"/>
    </row>
    <row r="24" spans="1:11" ht="16.5">
      <c r="A24" s="8"/>
      <c r="B24" s="8"/>
      <c r="D24" s="13" t="s">
        <v>0</v>
      </c>
      <c r="E24" s="10" t="s">
        <v>18</v>
      </c>
      <c r="F24" s="49">
        <f>MEDIAN(F17:F21)</f>
        <v>2.4712398806987643E-2</v>
      </c>
      <c r="G24" s="277">
        <f>MEDIAN(G17:G21)</f>
        <v>0.09</v>
      </c>
      <c r="H24" s="277">
        <f>MEDIAN(H17:H21)</f>
        <v>0.1</v>
      </c>
      <c r="I24" s="278">
        <f>MEDIAN(I17:I21)</f>
        <v>9.8290728202293759E-2</v>
      </c>
      <c r="J24" s="278">
        <f>MEDIAN(J17:J21)</f>
        <v>0.1185356811862836</v>
      </c>
      <c r="K24" s="8"/>
    </row>
    <row r="25" spans="1:11" ht="16.5">
      <c r="A25" s="8"/>
      <c r="B25" s="8"/>
      <c r="D25" s="17" t="s">
        <v>0</v>
      </c>
      <c r="E25" s="10" t="s">
        <v>375</v>
      </c>
      <c r="F25" s="49">
        <f>AVERAGE(F17:F21)</f>
        <v>2.0823582462276634E-2</v>
      </c>
      <c r="G25" s="49">
        <f>AVERAGE(G17:G21)</f>
        <v>8.299999999999999E-2</v>
      </c>
      <c r="H25" s="277">
        <f>AVERAGE(H17:H21)</f>
        <v>0.10100000000000001</v>
      </c>
      <c r="I25" s="278">
        <f>AVERAGE(I17:I21)</f>
        <v>0.10382358246227663</v>
      </c>
      <c r="J25" s="278">
        <f>AVERAGE(J17:J21)</f>
        <v>0.12182358246227665</v>
      </c>
      <c r="K25" s="8"/>
    </row>
    <row r="26" spans="1:11" ht="16.5">
      <c r="A26" s="8"/>
      <c r="B26" s="8"/>
      <c r="D26" s="17"/>
      <c r="E26" s="10"/>
      <c r="F26" s="14"/>
      <c r="G26" s="14"/>
      <c r="H26" s="15"/>
      <c r="I26" s="16"/>
      <c r="J26" s="16"/>
      <c r="K26" s="8"/>
    </row>
    <row r="27" spans="1:11" ht="17.25" thickBo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ht="27" thickBot="1">
      <c r="A28" s="8"/>
      <c r="B28" s="8"/>
      <c r="C28" s="8"/>
      <c r="D28" s="8"/>
      <c r="E28" s="8"/>
      <c r="F28" s="8"/>
      <c r="G28" s="160" t="s">
        <v>170</v>
      </c>
      <c r="H28" s="162"/>
      <c r="I28" s="279">
        <v>0.1038</v>
      </c>
      <c r="J28" s="8"/>
      <c r="K28" s="8"/>
    </row>
    <row r="29" spans="1:11" ht="20.25" customHeight="1" thickBo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27" thickBot="1">
      <c r="A30" s="8"/>
      <c r="B30" s="8"/>
      <c r="C30" s="8"/>
      <c r="D30" s="8"/>
      <c r="E30" s="8"/>
      <c r="F30" s="8"/>
      <c r="G30" s="160" t="s">
        <v>169</v>
      </c>
      <c r="H30" s="163"/>
      <c r="I30" s="279">
        <v>0.12180000000000001</v>
      </c>
      <c r="J30" s="8"/>
      <c r="K30" s="8"/>
    </row>
    <row r="31" spans="1:11" ht="16.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1" ht="26.25">
      <c r="A32" s="19" t="s">
        <v>333</v>
      </c>
      <c r="B32" s="8"/>
      <c r="C32" s="19" t="s">
        <v>332</v>
      </c>
      <c r="D32" s="8"/>
      <c r="E32" s="8"/>
      <c r="F32" s="8"/>
      <c r="G32" s="8"/>
      <c r="H32" s="8"/>
      <c r="I32" s="8"/>
      <c r="J32" s="8"/>
    </row>
    <row r="33" spans="1:10" ht="17.25">
      <c r="A33" s="57" t="s">
        <v>336</v>
      </c>
      <c r="B33" s="8"/>
      <c r="C33" s="57" t="s">
        <v>336</v>
      </c>
      <c r="D33" s="8"/>
      <c r="E33" s="8"/>
      <c r="F33" s="8"/>
      <c r="G33" s="8"/>
      <c r="H33" s="8"/>
      <c r="I33" s="8"/>
      <c r="J33" s="8"/>
    </row>
    <row r="34" spans="1:10" ht="17.25">
      <c r="A34" s="57" t="s">
        <v>335</v>
      </c>
      <c r="B34" s="8"/>
      <c r="C34" s="57" t="s">
        <v>334</v>
      </c>
      <c r="D34" s="8"/>
      <c r="E34" s="8"/>
      <c r="F34" s="8"/>
      <c r="G34" s="8"/>
      <c r="H34" s="8"/>
      <c r="I34" s="8"/>
      <c r="J34" s="8"/>
    </row>
    <row r="35" spans="1:10" ht="16.5">
      <c r="A35" s="39"/>
      <c r="B35" s="8"/>
      <c r="C35" s="39"/>
      <c r="D35" s="8"/>
      <c r="E35" s="8"/>
      <c r="F35" s="8"/>
      <c r="G35" s="8"/>
      <c r="H35" s="8"/>
      <c r="I35" s="8"/>
      <c r="J35" s="8"/>
    </row>
    <row r="36" spans="1:10" ht="16.5">
      <c r="A36" s="39"/>
      <c r="B36" s="8"/>
      <c r="C36" s="39"/>
      <c r="D36" s="8"/>
      <c r="E36" s="8"/>
      <c r="F36" s="8"/>
      <c r="G36" s="8"/>
      <c r="H36" s="8"/>
      <c r="I36" s="8"/>
      <c r="J36" s="8"/>
    </row>
    <row r="37" spans="1:10" ht="26.25">
      <c r="A37" s="19" t="s">
        <v>192</v>
      </c>
      <c r="B37" s="8"/>
      <c r="C37" s="19" t="s">
        <v>192</v>
      </c>
      <c r="D37" s="8"/>
      <c r="E37" s="8"/>
      <c r="F37" s="8"/>
      <c r="G37" s="8"/>
      <c r="H37" s="8"/>
      <c r="I37" s="8"/>
      <c r="J37" s="8"/>
    </row>
    <row r="38" spans="1:10" ht="16.5">
      <c r="A38" s="39"/>
      <c r="B38" s="8"/>
      <c r="C38" s="39"/>
      <c r="D38" s="8"/>
      <c r="E38" s="8"/>
      <c r="F38" s="8"/>
      <c r="G38" s="8"/>
      <c r="H38" s="8"/>
      <c r="I38" s="8"/>
      <c r="J38" s="8"/>
    </row>
    <row r="39" spans="1:10" ht="17.25">
      <c r="A39" s="57" t="s">
        <v>193</v>
      </c>
      <c r="B39" s="8"/>
      <c r="C39" s="57" t="s">
        <v>193</v>
      </c>
      <c r="D39" s="8"/>
      <c r="E39" s="8"/>
      <c r="F39" s="8"/>
      <c r="G39" s="8"/>
      <c r="H39" s="8"/>
      <c r="I39" s="8"/>
      <c r="J39" s="8"/>
    </row>
    <row r="40" spans="1:10" ht="17.25">
      <c r="A40" s="57" t="s">
        <v>191</v>
      </c>
      <c r="B40" s="8"/>
      <c r="C40" s="57" t="s">
        <v>191</v>
      </c>
      <c r="D40" s="8"/>
      <c r="E40" s="8"/>
      <c r="F40" s="8"/>
      <c r="G40" s="8"/>
      <c r="H40" s="8"/>
      <c r="I40" s="8"/>
      <c r="J40" s="8"/>
    </row>
    <row r="41" spans="1:10" ht="17.25">
      <c r="A41" s="57" t="s">
        <v>194</v>
      </c>
      <c r="B41" s="8"/>
      <c r="C41" s="57" t="s">
        <v>194</v>
      </c>
      <c r="D41" s="8"/>
      <c r="E41" s="8"/>
      <c r="F41" s="8"/>
      <c r="G41" s="8"/>
      <c r="H41" s="8"/>
      <c r="I41" s="8"/>
      <c r="J41" s="8"/>
    </row>
    <row r="42" spans="1:10" ht="17.25">
      <c r="A42" s="57" t="s">
        <v>338</v>
      </c>
      <c r="B42" s="8"/>
      <c r="C42" s="57" t="s">
        <v>337</v>
      </c>
      <c r="D42" s="8"/>
      <c r="E42" s="8"/>
      <c r="F42" s="8"/>
      <c r="G42" s="8"/>
      <c r="H42" s="8"/>
      <c r="I42" s="8"/>
      <c r="J42" s="8"/>
    </row>
    <row r="43" spans="1:10" ht="17.25">
      <c r="A43" s="57"/>
      <c r="B43" s="8"/>
      <c r="C43" s="57"/>
      <c r="D43" s="8"/>
      <c r="E43" s="8"/>
      <c r="F43" s="8"/>
      <c r="G43" s="8"/>
      <c r="H43" s="8"/>
      <c r="I43" s="8"/>
      <c r="J43" s="8"/>
    </row>
  </sheetData>
  <phoneticPr fontId="84" type="noConversion"/>
  <pageMargins left="0.25" right="0.25" top="0.75" bottom="0.75" header="0.3" footer="0.3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05"/>
  <sheetViews>
    <sheetView view="pageBreakPreview" topLeftCell="A7" zoomScale="70" zoomScaleNormal="80" zoomScaleSheetLayoutView="70" workbookViewId="0">
      <selection activeCell="F35" sqref="F35"/>
    </sheetView>
  </sheetViews>
  <sheetFormatPr defaultRowHeight="15"/>
  <cols>
    <col min="1" max="1" width="47.85546875" customWidth="1"/>
    <col min="2" max="2" width="15.28515625" customWidth="1"/>
    <col min="3" max="3" width="24.5703125" customWidth="1"/>
    <col min="4" max="4" width="26.5703125" customWidth="1"/>
    <col min="5" max="5" width="30.7109375" customWidth="1"/>
    <col min="6" max="6" width="22.42578125" customWidth="1"/>
    <col min="7" max="7" width="27" customWidth="1"/>
    <col min="8" max="8" width="39.85546875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19" t="s">
        <v>1</v>
      </c>
      <c r="B1" s="8"/>
      <c r="C1" s="8"/>
      <c r="D1" s="8"/>
      <c r="E1" s="8"/>
      <c r="F1" s="8"/>
      <c r="G1" s="8"/>
      <c r="H1" s="8"/>
      <c r="I1" s="8"/>
    </row>
    <row r="2" spans="1:9" ht="17.25">
      <c r="A2" s="20" t="s">
        <v>9</v>
      </c>
      <c r="B2" s="8"/>
      <c r="C2" s="8"/>
      <c r="D2" s="8"/>
      <c r="E2" s="8"/>
      <c r="F2" s="8"/>
      <c r="G2" s="8"/>
      <c r="H2" s="8"/>
      <c r="I2" s="8"/>
    </row>
    <row r="3" spans="1:9" ht="16.5">
      <c r="A3" s="21" t="s">
        <v>416</v>
      </c>
      <c r="B3" s="8"/>
      <c r="C3" s="8"/>
      <c r="D3" s="8"/>
      <c r="E3" s="8"/>
      <c r="F3" s="8"/>
      <c r="G3" s="8"/>
      <c r="H3" s="8"/>
      <c r="I3" s="8"/>
    </row>
    <row r="4" spans="1:9" ht="16.5">
      <c r="A4" s="21"/>
      <c r="B4" s="8"/>
      <c r="C4" s="8"/>
      <c r="D4" s="8"/>
      <c r="E4" s="8"/>
      <c r="F4" s="8"/>
      <c r="G4" s="8"/>
      <c r="H4" s="8"/>
      <c r="I4" s="8"/>
    </row>
    <row r="5" spans="1:9" ht="17.25" thickBot="1">
      <c r="A5" s="8"/>
      <c r="B5" s="8"/>
      <c r="C5" s="8"/>
      <c r="D5" s="8"/>
      <c r="E5" s="8"/>
      <c r="F5" s="8"/>
      <c r="G5" s="8"/>
      <c r="H5" s="8"/>
      <c r="I5" s="22"/>
    </row>
    <row r="6" spans="1:9" ht="21" thickBot="1">
      <c r="A6" s="227" t="str">
        <f>+'S&amp;D'!A12</f>
        <v>Railroad Carriers</v>
      </c>
      <c r="B6" s="163"/>
      <c r="C6" s="8"/>
      <c r="D6" s="8"/>
      <c r="E6" s="8"/>
      <c r="F6" s="8"/>
      <c r="G6" s="8"/>
      <c r="H6" s="8"/>
      <c r="I6" s="8"/>
    </row>
    <row r="7" spans="1:9" ht="20.25">
      <c r="A7" s="26"/>
      <c r="B7" s="8"/>
      <c r="C7" s="8"/>
      <c r="D7" s="8"/>
      <c r="E7" s="8"/>
      <c r="F7" s="8"/>
      <c r="G7" s="8"/>
      <c r="H7" s="8"/>
      <c r="I7" s="8"/>
    </row>
    <row r="8" spans="1:9" ht="21" thickBot="1">
      <c r="A8" s="26"/>
      <c r="B8" s="8"/>
      <c r="C8" s="8"/>
      <c r="D8" s="24"/>
      <c r="E8" s="24"/>
      <c r="F8" s="24"/>
      <c r="G8" s="8"/>
      <c r="H8" s="8"/>
      <c r="I8" s="8"/>
    </row>
    <row r="9" spans="1:9" ht="26.25">
      <c r="A9" s="26"/>
      <c r="B9" s="8"/>
      <c r="C9" s="8"/>
      <c r="D9" s="8"/>
      <c r="E9" s="27" t="s">
        <v>171</v>
      </c>
      <c r="F9" s="8"/>
      <c r="G9" s="8"/>
      <c r="H9" s="8"/>
      <c r="I9" s="8"/>
    </row>
    <row r="10" spans="1:9" ht="21" thickBot="1">
      <c r="A10" s="26"/>
      <c r="B10" s="8"/>
      <c r="C10" s="8"/>
      <c r="D10" s="24"/>
      <c r="E10" s="28" t="s">
        <v>417</v>
      </c>
      <c r="F10" s="24"/>
      <c r="G10" s="8"/>
      <c r="H10" s="8"/>
      <c r="I10" s="8"/>
    </row>
    <row r="11" spans="1:9" ht="20.25">
      <c r="A11" s="26"/>
      <c r="B11" s="8"/>
      <c r="C11" s="8"/>
      <c r="D11" s="8"/>
      <c r="E11" s="8"/>
      <c r="F11" s="30"/>
      <c r="G11" s="30"/>
      <c r="H11" s="8"/>
      <c r="I11" s="8"/>
    </row>
    <row r="12" spans="1:9" ht="20.25">
      <c r="A12" s="26"/>
      <c r="B12" s="8"/>
      <c r="C12" s="8"/>
      <c r="D12" s="8" t="s">
        <v>0</v>
      </c>
      <c r="E12" s="8"/>
      <c r="F12" s="30"/>
      <c r="G12" s="30"/>
      <c r="H12" s="8"/>
      <c r="I12" s="8"/>
    </row>
    <row r="13" spans="1:9" ht="45.75" customHeight="1" thickBot="1">
      <c r="A13" s="29" t="s">
        <v>0</v>
      </c>
      <c r="B13" s="29" t="s">
        <v>0</v>
      </c>
      <c r="C13" s="29" t="s">
        <v>0</v>
      </c>
      <c r="D13" s="24"/>
      <c r="E13" s="24"/>
      <c r="F13" s="29" t="s">
        <v>0</v>
      </c>
      <c r="G13" s="29"/>
      <c r="H13" s="29"/>
      <c r="I13" s="8"/>
    </row>
    <row r="14" spans="1:9" ht="16.5">
      <c r="A14" s="30" t="s">
        <v>0</v>
      </c>
      <c r="B14" s="30" t="s">
        <v>3</v>
      </c>
      <c r="C14" s="30" t="s">
        <v>5</v>
      </c>
      <c r="D14" s="30" t="s">
        <v>167</v>
      </c>
      <c r="E14" s="30" t="s">
        <v>168</v>
      </c>
      <c r="F14" s="30" t="s">
        <v>172</v>
      </c>
      <c r="G14" s="30" t="s">
        <v>19</v>
      </c>
      <c r="H14" s="30" t="s">
        <v>175</v>
      </c>
      <c r="I14" s="8"/>
    </row>
    <row r="15" spans="1:9" ht="16.5">
      <c r="A15" s="30" t="s">
        <v>2</v>
      </c>
      <c r="B15" s="30" t="s">
        <v>4</v>
      </c>
      <c r="C15" s="30" t="s">
        <v>6</v>
      </c>
      <c r="D15" s="30" t="s">
        <v>0</v>
      </c>
      <c r="E15" s="30" t="s">
        <v>174</v>
      </c>
      <c r="F15" s="30" t="s">
        <v>123</v>
      </c>
      <c r="G15" s="30" t="s">
        <v>173</v>
      </c>
      <c r="H15" s="30" t="s">
        <v>163</v>
      </c>
      <c r="I15" s="8"/>
    </row>
    <row r="16" spans="1:9" ht="16.5">
      <c r="A16" s="30"/>
      <c r="B16" s="30" t="s">
        <v>0</v>
      </c>
      <c r="C16" s="30" t="s">
        <v>0</v>
      </c>
      <c r="D16" s="30" t="s">
        <v>0</v>
      </c>
      <c r="E16" s="30" t="s">
        <v>173</v>
      </c>
      <c r="F16" s="31" t="s">
        <v>0</v>
      </c>
      <c r="G16" s="30" t="s">
        <v>179</v>
      </c>
      <c r="H16" s="31" t="s">
        <v>180</v>
      </c>
      <c r="I16" s="8"/>
    </row>
    <row r="17" spans="1:11" ht="18" customHeight="1" thickBot="1">
      <c r="A17" s="61" t="s">
        <v>0</v>
      </c>
      <c r="B17" s="33" t="s">
        <v>0</v>
      </c>
      <c r="C17" s="33" t="s">
        <v>0</v>
      </c>
      <c r="D17" s="28" t="s">
        <v>177</v>
      </c>
      <c r="E17" s="28" t="s">
        <v>178</v>
      </c>
      <c r="F17" s="28" t="s">
        <v>176</v>
      </c>
      <c r="G17" s="30" t="s">
        <v>94</v>
      </c>
      <c r="H17" s="132"/>
      <c r="I17" s="8"/>
    </row>
    <row r="18" spans="1:11" ht="16.5">
      <c r="A18" s="34" t="s">
        <v>0</v>
      </c>
      <c r="B18" s="34" t="s">
        <v>0</v>
      </c>
      <c r="C18" s="34" t="s">
        <v>0</v>
      </c>
      <c r="D18" s="34" t="s">
        <v>7</v>
      </c>
      <c r="E18" s="34" t="s">
        <v>7</v>
      </c>
      <c r="F18" s="34" t="s">
        <v>0</v>
      </c>
      <c r="G18" s="62" t="s">
        <v>0</v>
      </c>
      <c r="H18" s="34" t="s">
        <v>0</v>
      </c>
      <c r="I18" s="8"/>
    </row>
    <row r="19" spans="1:11" ht="16.5">
      <c r="A19" s="30"/>
      <c r="B19" s="30"/>
      <c r="C19" s="30"/>
      <c r="D19" s="30"/>
      <c r="E19" s="8"/>
      <c r="F19" s="30"/>
      <c r="G19" s="8"/>
      <c r="H19" s="8"/>
      <c r="I19" s="8"/>
      <c r="J19" t="s">
        <v>0</v>
      </c>
      <c r="K19" t="s">
        <v>0</v>
      </c>
    </row>
    <row r="20" spans="1:11" ht="16.5">
      <c r="A20" s="8"/>
      <c r="B20" s="8"/>
      <c r="C20" s="8"/>
      <c r="D20" s="8"/>
      <c r="E20" s="8"/>
      <c r="F20" s="8"/>
      <c r="G20" s="8"/>
      <c r="H20" s="8" t="s">
        <v>0</v>
      </c>
      <c r="I20" s="8"/>
      <c r="J20" t="s">
        <v>0</v>
      </c>
      <c r="K20" t="s">
        <v>0</v>
      </c>
    </row>
    <row r="21" spans="1:11" ht="17.25">
      <c r="A21" s="57" t="str">
        <f>+'S&amp;D'!A22</f>
        <v>Canadian National</v>
      </c>
      <c r="B21" s="84" t="str">
        <f>+'S&amp;D'!B22</f>
        <v>CNI</v>
      </c>
      <c r="C21" s="30" t="str">
        <f>+'S&amp;D'!C22</f>
        <v>Railroad</v>
      </c>
      <c r="D21" s="60">
        <f>+'Dividends '!H16</f>
        <v>2.7583489311397889E-2</v>
      </c>
      <c r="E21" s="60">
        <f>+'Single Stage Div Growth Model'!H17</f>
        <v>9.5000000000000001E-2</v>
      </c>
      <c r="F21" s="60">
        <f>+'Growth &amp; Inflation Rates'!F57</f>
        <v>4.3400000000000001E-2</v>
      </c>
      <c r="G21" s="60">
        <f t="shared" ref="G21" si="0">(F21+E21)/2</f>
        <v>6.9199999999999998E-2</v>
      </c>
      <c r="H21" s="60">
        <f>D21*(1+(0.5*G21))+(0.67*E21)+(0.33*F21)</f>
        <v>0.10650987804157225</v>
      </c>
      <c r="I21" s="8"/>
      <c r="J21" t="s">
        <v>0</v>
      </c>
      <c r="K21" t="s">
        <v>0</v>
      </c>
    </row>
    <row r="22" spans="1:11" ht="17.25">
      <c r="A22" s="57" t="str">
        <f>+'S&amp;D'!A23</f>
        <v>Canadian Pacific Kansas City Limited  CPKC</v>
      </c>
      <c r="B22" s="84" t="str">
        <f>+'S&amp;D'!B23</f>
        <v>CP</v>
      </c>
      <c r="C22" s="30" t="str">
        <f>+'S&amp;D'!C23</f>
        <v>Railroad</v>
      </c>
      <c r="D22" s="60">
        <f>+'Dividends '!H17</f>
        <v>8.2907282022937675E-3</v>
      </c>
      <c r="E22" s="60">
        <f>+'Single Stage Div Growth Model'!H18</f>
        <v>0.11</v>
      </c>
      <c r="F22" s="60">
        <f>+F21</f>
        <v>4.3400000000000001E-2</v>
      </c>
      <c r="G22" s="60">
        <f t="shared" ref="G22:G25" si="1">(F22+E22)/2</f>
        <v>7.6700000000000004E-2</v>
      </c>
      <c r="H22" s="60">
        <f t="shared" ref="H22:H25" si="2">D22*(1+(0.5*G22))+(0.67*E22)+(0.33*F22)</f>
        <v>9.6630677628851733E-2</v>
      </c>
      <c r="I22" s="8"/>
    </row>
    <row r="23" spans="1:11" ht="17.25">
      <c r="A23" s="57" t="str">
        <f>+'S&amp;D'!A24</f>
        <v>CSX Corp</v>
      </c>
      <c r="B23" s="84" t="str">
        <f>+'S&amp;D'!B24</f>
        <v>CSX</v>
      </c>
      <c r="C23" s="30" t="str">
        <f>+'S&amp;D'!C24</f>
        <v>Railroad</v>
      </c>
      <c r="D23" s="60">
        <f>+'Dividends '!H18</f>
        <v>1.8535681186283598E-2</v>
      </c>
      <c r="E23" s="60">
        <f>+'Single Stage Div Growth Model'!H19</f>
        <v>0.1</v>
      </c>
      <c r="F23" s="60">
        <f>+F21</f>
        <v>4.3400000000000001E-2</v>
      </c>
      <c r="G23" s="60">
        <f t="shared" si="1"/>
        <v>7.17E-2</v>
      </c>
      <c r="H23" s="60">
        <f t="shared" si="2"/>
        <v>0.10052218535681187</v>
      </c>
      <c r="I23" s="8"/>
    </row>
    <row r="24" spans="1:11" ht="17.25">
      <c r="A24" s="57" t="str">
        <f>+'S&amp;D'!A25</f>
        <v>Norfolk Southern</v>
      </c>
      <c r="B24" s="84" t="str">
        <f>+'S&amp;D'!B25</f>
        <v>NSC</v>
      </c>
      <c r="C24" s="30" t="str">
        <f>+'S&amp;D'!C25</f>
        <v>Railroad</v>
      </c>
      <c r="D24" s="60">
        <f>+'Dividends '!H19</f>
        <v>2.4712398806987643E-2</v>
      </c>
      <c r="E24" s="60">
        <f>+'Single Stage Div Growth Model'!H20</f>
        <v>0.12</v>
      </c>
      <c r="F24" s="60">
        <f>+F21</f>
        <v>4.3400000000000001E-2</v>
      </c>
      <c r="G24" s="60">
        <f t="shared" si="1"/>
        <v>8.1699999999999995E-2</v>
      </c>
      <c r="H24" s="60">
        <f t="shared" si="2"/>
        <v>0.1204439002982531</v>
      </c>
      <c r="I24" s="8"/>
    </row>
    <row r="25" spans="1:11" ht="18" thickBot="1">
      <c r="A25" s="57" t="str">
        <f>+'S&amp;D'!A26</f>
        <v>Union Pacific Railroad</v>
      </c>
      <c r="B25" s="84" t="str">
        <f>+'S&amp;D'!B26</f>
        <v>UNP</v>
      </c>
      <c r="C25" s="30" t="str">
        <f>+'S&amp;D'!C26</f>
        <v>Railroad</v>
      </c>
      <c r="D25" s="60">
        <f>+'Dividends '!H20</f>
        <v>2.499561480442028E-2</v>
      </c>
      <c r="E25" s="60">
        <f>+'Single Stage Div Growth Model'!H21</f>
        <v>0.08</v>
      </c>
      <c r="F25" s="60">
        <f>+F21</f>
        <v>4.3400000000000001E-2</v>
      </c>
      <c r="G25" s="309">
        <f t="shared" si="1"/>
        <v>6.1700000000000005E-2</v>
      </c>
      <c r="H25" s="309">
        <f t="shared" si="2"/>
        <v>9.3688729521136646E-2</v>
      </c>
      <c r="I25" s="8"/>
    </row>
    <row r="26" spans="1:11" ht="17.25" thickTop="1">
      <c r="A26" s="8"/>
      <c r="B26" s="8"/>
      <c r="C26" s="8"/>
      <c r="D26" s="8"/>
      <c r="E26" s="8"/>
      <c r="F26" s="8"/>
      <c r="G26" s="154" t="s">
        <v>46</v>
      </c>
      <c r="H26" s="50">
        <f>MAX(H21:H25)</f>
        <v>0.1204439002982531</v>
      </c>
      <c r="I26" s="8"/>
    </row>
    <row r="27" spans="1:11" ht="16.5">
      <c r="A27" s="8"/>
      <c r="B27" s="8"/>
      <c r="C27" s="10" t="s">
        <v>0</v>
      </c>
      <c r="D27" s="11" t="s">
        <v>0</v>
      </c>
      <c r="E27" s="11" t="s">
        <v>0</v>
      </c>
      <c r="F27" s="12" t="s">
        <v>0</v>
      </c>
      <c r="G27" s="285" t="s">
        <v>47</v>
      </c>
      <c r="H27" s="272">
        <f>MIN(H21:H25)</f>
        <v>9.3688729521136646E-2</v>
      </c>
      <c r="I27" s="8"/>
    </row>
    <row r="28" spans="1:11" ht="16.5">
      <c r="A28" s="8"/>
      <c r="B28" s="8"/>
      <c r="D28" s="50" t="s">
        <v>0</v>
      </c>
      <c r="E28" s="45" t="s">
        <v>0</v>
      </c>
      <c r="F28" s="45" t="s">
        <v>0</v>
      </c>
      <c r="G28" s="10" t="s">
        <v>18</v>
      </c>
      <c r="H28" s="46">
        <f>MEDIAN(H21:H25)</f>
        <v>0.10052218535681187</v>
      </c>
      <c r="I28" s="8"/>
    </row>
    <row r="29" spans="1:11" ht="16.5">
      <c r="A29" s="8"/>
      <c r="B29" s="8"/>
      <c r="D29" s="50" t="s">
        <v>0</v>
      </c>
      <c r="E29" s="45" t="s">
        <v>0</v>
      </c>
      <c r="F29" s="50" t="s">
        <v>0</v>
      </c>
      <c r="G29" s="10" t="s">
        <v>375</v>
      </c>
      <c r="H29" s="46">
        <f>AVERAGE(H21:H25)</f>
        <v>0.10355907416932512</v>
      </c>
      <c r="I29" s="8"/>
    </row>
    <row r="30" spans="1:11" ht="16.5">
      <c r="A30" s="8"/>
      <c r="B30" s="8"/>
      <c r="C30" s="10"/>
      <c r="D30" s="14" t="s">
        <v>0</v>
      </c>
      <c r="E30" s="15"/>
      <c r="F30" s="14"/>
      <c r="G30" s="16"/>
      <c r="H30" s="16"/>
      <c r="I30" s="8"/>
    </row>
    <row r="31" spans="1:11" ht="17.25" thickBot="1">
      <c r="A31" s="8"/>
      <c r="B31" s="8"/>
      <c r="C31" s="8"/>
      <c r="D31" s="8"/>
      <c r="E31" s="8"/>
      <c r="F31" s="8"/>
      <c r="G31" s="8"/>
      <c r="H31" s="8"/>
      <c r="I31" s="8"/>
    </row>
    <row r="32" spans="1:11" ht="27" thickBot="1">
      <c r="A32" s="8"/>
      <c r="B32" s="8"/>
      <c r="C32" s="8"/>
      <c r="D32" s="8"/>
      <c r="F32" s="160"/>
      <c r="G32" s="161" t="s">
        <v>224</v>
      </c>
      <c r="H32" s="280">
        <v>0.1036</v>
      </c>
      <c r="I32" s="8"/>
    </row>
    <row r="33" spans="1:9" ht="16.5">
      <c r="A33" s="8"/>
      <c r="B33" s="8"/>
      <c r="C33" s="8"/>
      <c r="D33" s="8"/>
      <c r="E33" s="8"/>
      <c r="F33" s="8"/>
      <c r="G33" s="8"/>
      <c r="H33" s="8"/>
      <c r="I33" s="8"/>
    </row>
    <row r="34" spans="1:9" ht="27">
      <c r="A34" s="19" t="s">
        <v>0</v>
      </c>
      <c r="B34" s="8"/>
      <c r="C34" s="8"/>
      <c r="D34" s="8"/>
      <c r="E34" s="8"/>
      <c r="F34" s="8"/>
      <c r="G34" s="18" t="s">
        <v>0</v>
      </c>
      <c r="H34" s="8"/>
      <c r="I34" s="8"/>
    </row>
    <row r="35" spans="1:9" ht="16.5">
      <c r="A35" s="39"/>
      <c r="B35" s="8"/>
      <c r="C35" s="8"/>
      <c r="D35" s="8"/>
      <c r="E35" s="8"/>
      <c r="F35" s="8"/>
      <c r="G35" s="8"/>
      <c r="H35" s="8"/>
      <c r="I35" s="8"/>
    </row>
    <row r="36" spans="1:9" ht="26.25">
      <c r="A36" s="19" t="s">
        <v>285</v>
      </c>
      <c r="B36" s="8"/>
      <c r="C36" s="8"/>
      <c r="D36" s="8"/>
      <c r="E36" s="8"/>
      <c r="F36" s="8"/>
      <c r="G36" s="8"/>
      <c r="H36" s="8"/>
      <c r="I36" s="8"/>
    </row>
    <row r="37" spans="1:9" ht="16.5">
      <c r="A37" s="39"/>
      <c r="B37" s="8"/>
      <c r="C37" s="8"/>
      <c r="D37" s="8"/>
      <c r="E37" s="8"/>
      <c r="F37" s="8"/>
      <c r="G37" s="8"/>
      <c r="H37" s="8"/>
      <c r="I37" s="8"/>
    </row>
    <row r="38" spans="1:9" ht="17.25">
      <c r="A38" s="57" t="s">
        <v>193</v>
      </c>
      <c r="B38" s="8"/>
      <c r="C38" s="8"/>
      <c r="D38" s="8"/>
      <c r="E38" s="8"/>
      <c r="F38" s="8"/>
      <c r="G38" s="8"/>
      <c r="H38" s="8"/>
      <c r="I38" s="8"/>
    </row>
    <row r="39" spans="1:9" ht="17.25">
      <c r="A39" s="57" t="s">
        <v>288</v>
      </c>
      <c r="B39" s="8"/>
      <c r="C39" s="8"/>
      <c r="D39" s="8"/>
      <c r="E39" s="8"/>
      <c r="F39" s="8"/>
      <c r="G39" s="8"/>
      <c r="H39" s="8"/>
      <c r="I39" s="8"/>
    </row>
    <row r="40" spans="1:9" ht="17.25">
      <c r="A40" s="57" t="s">
        <v>286</v>
      </c>
      <c r="B40" s="8"/>
      <c r="C40" s="8"/>
      <c r="D40" s="8"/>
      <c r="E40" s="8"/>
      <c r="F40" s="8"/>
      <c r="G40" s="8"/>
      <c r="H40" s="8"/>
      <c r="I40" s="8"/>
    </row>
    <row r="41" spans="1:9" ht="17.25">
      <c r="A41" s="57" t="s">
        <v>287</v>
      </c>
      <c r="B41" s="8"/>
      <c r="C41" s="8"/>
      <c r="D41" s="8"/>
      <c r="E41" s="8"/>
      <c r="F41" s="8"/>
      <c r="G41" s="8"/>
      <c r="H41" s="8"/>
      <c r="I41" s="8"/>
    </row>
    <row r="42" spans="1:9" ht="17.25">
      <c r="A42" s="57" t="s">
        <v>289</v>
      </c>
      <c r="B42" s="8"/>
      <c r="C42" s="8"/>
      <c r="D42" s="8"/>
      <c r="E42" s="8"/>
      <c r="F42" s="8"/>
      <c r="G42" s="8"/>
      <c r="H42" s="8"/>
      <c r="I42" s="8"/>
    </row>
    <row r="43" spans="1:9" ht="16.5">
      <c r="A43" s="8"/>
      <c r="B43" s="8"/>
      <c r="C43" s="8"/>
      <c r="D43" s="8"/>
      <c r="E43" s="8"/>
      <c r="F43" s="8"/>
      <c r="G43" s="8"/>
      <c r="H43" s="8"/>
      <c r="I43" s="8"/>
    </row>
    <row r="44" spans="1:9" ht="16.5">
      <c r="A44" s="8"/>
      <c r="B44" s="8"/>
      <c r="C44" s="8"/>
      <c r="D44" s="8"/>
      <c r="E44" s="8"/>
      <c r="F44" s="8"/>
      <c r="G44" s="8"/>
      <c r="H44" s="8"/>
      <c r="I44" s="8"/>
    </row>
    <row r="45" spans="1:9" ht="16.5">
      <c r="A45" s="8"/>
      <c r="B45" s="8"/>
      <c r="C45" s="8"/>
      <c r="D45" s="8"/>
      <c r="E45" s="8"/>
      <c r="F45" s="8"/>
      <c r="G45" s="8"/>
      <c r="H45" s="8"/>
      <c r="I45" s="8"/>
    </row>
    <row r="46" spans="1:9" ht="16.5">
      <c r="A46" s="8"/>
      <c r="B46" s="8"/>
      <c r="C46" s="8"/>
      <c r="D46" s="8"/>
      <c r="E46" s="8"/>
      <c r="F46" s="8"/>
      <c r="G46" s="8"/>
      <c r="H46" s="8"/>
      <c r="I46" s="8"/>
    </row>
    <row r="47" spans="1:9" ht="16.5">
      <c r="A47" s="8"/>
      <c r="B47" s="8"/>
      <c r="C47" s="8"/>
      <c r="D47" s="8"/>
      <c r="E47" s="8"/>
      <c r="F47" s="8"/>
      <c r="G47" s="8"/>
      <c r="H47" s="8"/>
      <c r="I47" s="8"/>
    </row>
    <row r="48" spans="1:9" ht="16.5">
      <c r="A48" s="8"/>
      <c r="B48" s="8"/>
      <c r="C48" s="8"/>
      <c r="D48" s="8"/>
      <c r="E48" s="8"/>
      <c r="F48" s="8"/>
      <c r="G48" s="8"/>
      <c r="H48" s="8"/>
      <c r="I48" s="8"/>
    </row>
    <row r="49" spans="1:9" ht="16.5">
      <c r="A49" s="8"/>
      <c r="B49" s="8"/>
      <c r="C49" s="8"/>
      <c r="D49" s="8"/>
      <c r="E49" s="8"/>
      <c r="F49" s="8"/>
      <c r="G49" s="8"/>
      <c r="H49" s="8"/>
      <c r="I49" s="8"/>
    </row>
    <row r="50" spans="1:9" ht="16.5">
      <c r="A50" s="8"/>
      <c r="B50" s="8"/>
      <c r="C50" s="8"/>
      <c r="D50" s="8"/>
      <c r="E50" s="8"/>
      <c r="F50" s="8"/>
      <c r="G50" s="8"/>
      <c r="H50" s="8"/>
      <c r="I50" s="8"/>
    </row>
    <row r="51" spans="1:9" ht="16.5">
      <c r="A51" s="8"/>
      <c r="B51" s="8"/>
      <c r="C51" s="8"/>
      <c r="D51" s="8"/>
      <c r="E51" s="8"/>
      <c r="F51" s="8"/>
      <c r="G51" s="8"/>
      <c r="H51" s="8"/>
      <c r="I51" s="8"/>
    </row>
    <row r="52" spans="1:9" ht="16.5">
      <c r="A52" s="8"/>
      <c r="B52" s="8"/>
      <c r="C52" s="8"/>
      <c r="D52" s="8"/>
      <c r="E52" s="8"/>
      <c r="F52" s="8"/>
      <c r="G52" s="8"/>
      <c r="H52" s="8"/>
      <c r="I52" s="8"/>
    </row>
    <row r="53" spans="1:9" ht="16.5">
      <c r="A53" s="8"/>
      <c r="B53" s="8"/>
      <c r="C53" s="8"/>
      <c r="D53" s="8"/>
      <c r="E53" s="8"/>
      <c r="F53" s="8"/>
      <c r="G53" s="8"/>
      <c r="H53" s="8"/>
      <c r="I53" s="8"/>
    </row>
    <row r="54" spans="1:9" ht="16.5">
      <c r="A54" s="8"/>
      <c r="B54" s="8"/>
      <c r="C54" s="8"/>
      <c r="D54" s="8"/>
      <c r="E54" s="8"/>
      <c r="F54" s="8"/>
      <c r="G54" s="8"/>
      <c r="H54" s="8"/>
      <c r="I54" s="8"/>
    </row>
    <row r="55" spans="1:9" ht="16.5">
      <c r="A55" s="8"/>
      <c r="B55" s="8"/>
      <c r="C55" s="8"/>
      <c r="D55" s="8"/>
      <c r="E55" s="8"/>
      <c r="F55" s="8"/>
      <c r="G55" s="8"/>
      <c r="H55" s="8"/>
      <c r="I55" s="8"/>
    </row>
    <row r="56" spans="1:9" ht="16.5">
      <c r="A56" s="8"/>
      <c r="B56" s="8"/>
      <c r="C56" s="8"/>
      <c r="D56" s="8"/>
      <c r="E56" s="8"/>
      <c r="F56" s="8"/>
      <c r="G56" s="8"/>
      <c r="H56" s="8"/>
      <c r="I56" s="8"/>
    </row>
    <row r="57" spans="1:9" ht="16.5">
      <c r="A57" s="8"/>
      <c r="B57" s="8"/>
      <c r="C57" s="8"/>
      <c r="D57" s="8"/>
      <c r="E57" s="8"/>
      <c r="F57" s="8"/>
      <c r="G57" s="8"/>
      <c r="H57" s="8"/>
      <c r="I57" s="8"/>
    </row>
    <row r="58" spans="1:9" ht="16.5">
      <c r="A58" s="8"/>
      <c r="B58" s="8"/>
      <c r="C58" s="8"/>
      <c r="D58" s="8"/>
      <c r="E58" s="8"/>
      <c r="F58" s="8"/>
      <c r="G58" s="8"/>
      <c r="H58" s="8"/>
      <c r="I58" s="8"/>
    </row>
    <row r="59" spans="1:9" ht="16.5">
      <c r="A59" s="8"/>
      <c r="B59" s="8"/>
      <c r="C59" s="8"/>
      <c r="D59" s="8"/>
      <c r="E59" s="8"/>
      <c r="F59" s="8"/>
      <c r="G59" s="8"/>
      <c r="H59" s="8"/>
      <c r="I59" s="8"/>
    </row>
    <row r="60" spans="1:9" ht="16.5">
      <c r="A60" s="8"/>
      <c r="B60" s="8"/>
      <c r="C60" s="8"/>
      <c r="D60" s="8"/>
      <c r="E60" s="8"/>
      <c r="F60" s="8"/>
      <c r="G60" s="8"/>
      <c r="H60" s="8"/>
      <c r="I60" s="8"/>
    </row>
    <row r="61" spans="1:9" ht="16.5">
      <c r="A61" s="8"/>
      <c r="B61" s="8"/>
      <c r="C61" s="8"/>
      <c r="D61" s="8"/>
      <c r="E61" s="8"/>
      <c r="F61" s="8"/>
      <c r="G61" s="8"/>
      <c r="H61" s="8"/>
      <c r="I61" s="8"/>
    </row>
    <row r="62" spans="1:9" ht="16.5">
      <c r="A62" s="8"/>
      <c r="B62" s="8"/>
      <c r="C62" s="8"/>
      <c r="D62" s="8"/>
      <c r="E62" s="8"/>
      <c r="F62" s="8"/>
      <c r="G62" s="8"/>
      <c r="H62" s="8"/>
      <c r="I62" s="8"/>
    </row>
    <row r="63" spans="1:9" ht="16.5">
      <c r="A63" s="8"/>
      <c r="B63" s="8"/>
      <c r="C63" s="8"/>
      <c r="D63" s="8"/>
      <c r="E63" s="8"/>
      <c r="F63" s="8"/>
      <c r="G63" s="8"/>
      <c r="H63" s="8"/>
      <c r="I63" s="8"/>
    </row>
    <row r="64" spans="1:9" ht="16.5">
      <c r="A64" s="8"/>
      <c r="B64" s="8"/>
      <c r="C64" s="8"/>
      <c r="D64" s="8"/>
      <c r="E64" s="8"/>
      <c r="F64" s="8"/>
      <c r="G64" s="8"/>
      <c r="H64" s="8"/>
      <c r="I64" s="8"/>
    </row>
    <row r="65" spans="1:9" ht="16.5">
      <c r="A65" s="8"/>
      <c r="B65" s="8"/>
      <c r="C65" s="8"/>
      <c r="D65" s="8"/>
      <c r="E65" s="8"/>
      <c r="F65" s="8"/>
      <c r="G65" s="8"/>
      <c r="H65" s="8"/>
      <c r="I65" s="8"/>
    </row>
    <row r="66" spans="1:9" ht="16.5">
      <c r="A66" s="8"/>
      <c r="B66" s="8"/>
      <c r="C66" s="8"/>
      <c r="D66" s="8"/>
      <c r="E66" s="8"/>
      <c r="F66" s="8"/>
      <c r="G66" s="8"/>
      <c r="H66" s="8"/>
      <c r="I66" s="8"/>
    </row>
    <row r="67" spans="1:9" ht="16.5">
      <c r="A67" s="8"/>
      <c r="B67" s="8"/>
      <c r="C67" s="8"/>
      <c r="D67" s="8"/>
      <c r="E67" s="8"/>
      <c r="F67" s="8"/>
      <c r="G67" s="8"/>
      <c r="H67" s="8"/>
      <c r="I67" s="8"/>
    </row>
    <row r="68" spans="1:9" ht="16.5">
      <c r="A68" s="8"/>
      <c r="B68" s="8"/>
      <c r="C68" s="8"/>
      <c r="D68" s="8"/>
      <c r="E68" s="8"/>
      <c r="F68" s="8"/>
      <c r="G68" s="8"/>
      <c r="H68" s="8"/>
      <c r="I68" s="8"/>
    </row>
    <row r="69" spans="1:9" ht="16.5">
      <c r="A69" s="8"/>
      <c r="B69" s="8"/>
      <c r="C69" s="8"/>
      <c r="D69" s="8"/>
      <c r="E69" s="8"/>
      <c r="F69" s="8"/>
      <c r="G69" s="8"/>
      <c r="H69" s="8"/>
      <c r="I69" s="8"/>
    </row>
    <row r="70" spans="1:9" ht="16.5">
      <c r="A70" s="8"/>
      <c r="B70" s="8"/>
      <c r="C70" s="8"/>
      <c r="D70" s="8"/>
      <c r="E70" s="8"/>
      <c r="F70" s="8"/>
      <c r="G70" s="8"/>
      <c r="H70" s="8"/>
      <c r="I70" s="8"/>
    </row>
    <row r="71" spans="1:9" ht="16.5">
      <c r="A71" s="8"/>
      <c r="B71" s="8"/>
      <c r="C71" s="8"/>
      <c r="D71" s="8"/>
      <c r="E71" s="8"/>
      <c r="F71" s="8"/>
      <c r="G71" s="8"/>
      <c r="H71" s="8"/>
      <c r="I71" s="8"/>
    </row>
    <row r="72" spans="1:9" ht="16.5">
      <c r="A72" s="8"/>
      <c r="B72" s="8"/>
      <c r="C72" s="8"/>
      <c r="D72" s="8"/>
      <c r="E72" s="8"/>
      <c r="F72" s="8"/>
      <c r="G72" s="8"/>
      <c r="H72" s="8"/>
      <c r="I72" s="8"/>
    </row>
    <row r="73" spans="1:9" ht="16.5">
      <c r="A73" s="8"/>
      <c r="B73" s="8"/>
      <c r="C73" s="8"/>
      <c r="D73" s="8"/>
      <c r="E73" s="8"/>
      <c r="F73" s="8"/>
      <c r="G73" s="8"/>
      <c r="H73" s="8"/>
      <c r="I73" s="8"/>
    </row>
    <row r="74" spans="1:9" ht="16.5">
      <c r="A74" s="8"/>
      <c r="B74" s="8"/>
      <c r="C74" s="8"/>
      <c r="D74" s="8"/>
      <c r="E74" s="8"/>
      <c r="F74" s="8"/>
      <c r="G74" s="8"/>
      <c r="H74" s="8"/>
      <c r="I74" s="8"/>
    </row>
    <row r="75" spans="1:9" ht="16.5">
      <c r="A75" s="8"/>
      <c r="B75" s="8"/>
      <c r="C75" s="8"/>
      <c r="D75" s="8"/>
      <c r="E75" s="8"/>
      <c r="F75" s="8"/>
      <c r="G75" s="8"/>
      <c r="H75" s="8"/>
      <c r="I75" s="8"/>
    </row>
    <row r="76" spans="1:9" ht="16.5">
      <c r="A76" s="8"/>
      <c r="B76" s="8"/>
      <c r="C76" s="8"/>
      <c r="D76" s="8"/>
      <c r="E76" s="8"/>
      <c r="F76" s="8"/>
      <c r="G76" s="8"/>
      <c r="H76" s="8"/>
      <c r="I76" s="8"/>
    </row>
    <row r="77" spans="1:9" ht="16.5">
      <c r="A77" s="8"/>
      <c r="B77" s="8"/>
      <c r="C77" s="8"/>
      <c r="D77" s="8"/>
      <c r="E77" s="8"/>
      <c r="F77" s="8"/>
      <c r="G77" s="8"/>
      <c r="H77" s="8"/>
      <c r="I77" s="8"/>
    </row>
    <row r="78" spans="1:9" ht="16.5">
      <c r="A78" s="8"/>
      <c r="B78" s="8"/>
      <c r="C78" s="8"/>
      <c r="D78" s="8"/>
      <c r="E78" s="8"/>
      <c r="F78" s="8"/>
      <c r="G78" s="8"/>
      <c r="H78" s="8"/>
      <c r="I78" s="8"/>
    </row>
    <row r="79" spans="1:9" ht="16.5">
      <c r="A79" s="8"/>
      <c r="B79" s="8"/>
      <c r="C79" s="8"/>
      <c r="D79" s="8"/>
      <c r="E79" s="8"/>
      <c r="F79" s="8"/>
      <c r="G79" s="8"/>
      <c r="H79" s="8"/>
      <c r="I79" s="8"/>
    </row>
    <row r="80" spans="1:9" ht="16.5">
      <c r="A80" s="8"/>
      <c r="B80" s="8"/>
      <c r="C80" s="8"/>
      <c r="D80" s="8"/>
      <c r="E80" s="8"/>
      <c r="F80" s="8"/>
      <c r="G80" s="8"/>
      <c r="H80" s="8"/>
      <c r="I80" s="8"/>
    </row>
    <row r="81" spans="1:9" ht="16.5">
      <c r="A81" s="8"/>
      <c r="B81" s="8"/>
      <c r="C81" s="8"/>
      <c r="D81" s="8"/>
      <c r="E81" s="8"/>
      <c r="F81" s="8"/>
      <c r="G81" s="8"/>
      <c r="H81" s="8"/>
      <c r="I81" s="8"/>
    </row>
    <row r="82" spans="1:9" ht="16.5">
      <c r="A82" s="8"/>
      <c r="B82" s="8"/>
      <c r="C82" s="8"/>
      <c r="D82" s="8"/>
      <c r="E82" s="8"/>
      <c r="F82" s="8"/>
      <c r="G82" s="8"/>
      <c r="H82" s="8"/>
      <c r="I82" s="8"/>
    </row>
    <row r="83" spans="1:9" ht="16.5">
      <c r="A83" s="8"/>
      <c r="B83" s="8"/>
      <c r="C83" s="8"/>
      <c r="D83" s="8"/>
      <c r="E83" s="8"/>
      <c r="F83" s="8"/>
      <c r="G83" s="8"/>
      <c r="H83" s="8"/>
      <c r="I83" s="8"/>
    </row>
    <row r="84" spans="1:9" ht="16.5">
      <c r="A84" s="8"/>
      <c r="B84" s="8"/>
      <c r="C84" s="8"/>
      <c r="D84" s="8"/>
      <c r="E84" s="8"/>
      <c r="F84" s="8"/>
      <c r="G84" s="8"/>
      <c r="H84" s="8"/>
      <c r="I84" s="8"/>
    </row>
    <row r="85" spans="1:9" ht="16.5">
      <c r="A85" s="8"/>
      <c r="B85" s="8"/>
      <c r="C85" s="8"/>
      <c r="D85" s="8"/>
      <c r="E85" s="8"/>
      <c r="F85" s="8"/>
      <c r="G85" s="8"/>
      <c r="H85" s="8"/>
      <c r="I85" s="8"/>
    </row>
    <row r="86" spans="1:9" ht="16.5">
      <c r="A86" s="8"/>
      <c r="B86" s="8"/>
      <c r="C86" s="8"/>
      <c r="D86" s="8"/>
      <c r="E86" s="8"/>
      <c r="F86" s="8"/>
      <c r="G86" s="8"/>
      <c r="H86" s="8"/>
      <c r="I86" s="8"/>
    </row>
    <row r="87" spans="1:9" ht="16.5">
      <c r="A87" s="8"/>
      <c r="B87" s="8"/>
      <c r="C87" s="8"/>
      <c r="D87" s="8"/>
      <c r="E87" s="8"/>
      <c r="F87" s="8"/>
      <c r="G87" s="8"/>
      <c r="H87" s="8"/>
      <c r="I87" s="8"/>
    </row>
    <row r="88" spans="1:9" ht="16.5">
      <c r="A88" s="8"/>
      <c r="B88" s="8"/>
      <c r="C88" s="8"/>
      <c r="D88" s="8"/>
      <c r="E88" s="8"/>
      <c r="F88" s="8"/>
      <c r="G88" s="8"/>
      <c r="H88" s="8"/>
      <c r="I88" s="8"/>
    </row>
    <row r="89" spans="1:9" ht="16.5">
      <c r="A89" s="8"/>
      <c r="B89" s="8"/>
      <c r="C89" s="8"/>
      <c r="D89" s="8"/>
      <c r="E89" s="8"/>
      <c r="F89" s="8"/>
      <c r="G89" s="8"/>
      <c r="H89" s="8"/>
      <c r="I89" s="8"/>
    </row>
    <row r="90" spans="1:9" ht="16.5">
      <c r="A90" s="8"/>
      <c r="B90" s="8"/>
      <c r="C90" s="8"/>
      <c r="D90" s="8"/>
      <c r="E90" s="8"/>
      <c r="F90" s="8"/>
      <c r="G90" s="8"/>
      <c r="H90" s="8"/>
      <c r="I90" s="8"/>
    </row>
    <row r="91" spans="1:9" ht="16.5">
      <c r="A91" s="8"/>
      <c r="B91" s="8"/>
      <c r="C91" s="8"/>
      <c r="D91" s="8"/>
      <c r="E91" s="8"/>
      <c r="F91" s="8"/>
      <c r="G91" s="8"/>
      <c r="H91" s="8"/>
      <c r="I91" s="8"/>
    </row>
    <row r="92" spans="1:9" ht="16.5">
      <c r="A92" s="8"/>
      <c r="B92" s="8"/>
      <c r="C92" s="8"/>
      <c r="D92" s="8"/>
      <c r="E92" s="8"/>
      <c r="F92" s="8"/>
      <c r="G92" s="8"/>
      <c r="H92" s="8"/>
      <c r="I92" s="8"/>
    </row>
    <row r="93" spans="1:9" ht="16.5">
      <c r="A93" s="8"/>
      <c r="B93" s="8"/>
      <c r="C93" s="8"/>
      <c r="D93" s="8"/>
      <c r="E93" s="8"/>
      <c r="F93" s="8"/>
      <c r="G93" s="8"/>
      <c r="H93" s="8"/>
      <c r="I93" s="8"/>
    </row>
    <row r="94" spans="1:9" ht="16.5">
      <c r="A94" s="8"/>
      <c r="B94" s="8"/>
      <c r="C94" s="8"/>
      <c r="D94" s="8"/>
      <c r="E94" s="8"/>
      <c r="F94" s="8"/>
      <c r="G94" s="8"/>
      <c r="H94" s="8"/>
      <c r="I94" s="8"/>
    </row>
    <row r="95" spans="1:9" ht="16.5">
      <c r="A95" s="8"/>
      <c r="B95" s="8"/>
      <c r="C95" s="8"/>
      <c r="D95" s="8"/>
      <c r="E95" s="8"/>
      <c r="F95" s="8"/>
      <c r="G95" s="8"/>
      <c r="H95" s="8"/>
      <c r="I95" s="8"/>
    </row>
    <row r="96" spans="1:9" ht="16.5">
      <c r="A96" s="8"/>
      <c r="B96" s="8"/>
      <c r="C96" s="8"/>
      <c r="D96" s="8"/>
      <c r="E96" s="8"/>
      <c r="F96" s="8"/>
      <c r="G96" s="8"/>
      <c r="H96" s="8"/>
      <c r="I96" s="8"/>
    </row>
    <row r="97" spans="1:9" ht="16.5">
      <c r="A97" s="8"/>
      <c r="B97" s="8"/>
      <c r="C97" s="8"/>
      <c r="D97" s="8"/>
      <c r="E97" s="8"/>
      <c r="F97" s="8"/>
      <c r="G97" s="8"/>
      <c r="H97" s="8"/>
      <c r="I97" s="8"/>
    </row>
    <row r="98" spans="1:9" ht="16.5">
      <c r="A98" s="8"/>
      <c r="B98" s="8"/>
      <c r="C98" s="8"/>
      <c r="D98" s="8"/>
      <c r="E98" s="8"/>
      <c r="F98" s="8"/>
      <c r="G98" s="8"/>
      <c r="H98" s="8"/>
      <c r="I98" s="8"/>
    </row>
    <row r="99" spans="1:9" ht="16.5">
      <c r="A99" s="8"/>
      <c r="B99" s="8"/>
      <c r="C99" s="8"/>
      <c r="D99" s="8"/>
      <c r="E99" s="8"/>
      <c r="F99" s="8"/>
      <c r="G99" s="8"/>
      <c r="H99" s="8"/>
      <c r="I99" s="8"/>
    </row>
    <row r="100" spans="1:9" ht="16.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6.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6.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6.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6.5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6.5">
      <c r="A105" s="8"/>
      <c r="B105" s="8"/>
      <c r="C105" s="8"/>
      <c r="D105" s="8"/>
      <c r="E105" s="8"/>
      <c r="F105" s="8"/>
      <c r="G105" s="8"/>
      <c r="H105" s="8"/>
      <c r="I105" s="8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>
    <tabColor rgb="FF92D050"/>
  </sheetPr>
  <dimension ref="A1:N42"/>
  <sheetViews>
    <sheetView view="pageBreakPreview" zoomScale="60" zoomScaleNormal="80" workbookViewId="0">
      <selection activeCell="F29" sqref="F29"/>
    </sheetView>
  </sheetViews>
  <sheetFormatPr defaultRowHeight="15"/>
  <cols>
    <col min="1" max="1" width="21.5703125" customWidth="1"/>
    <col min="2" max="2" width="45.7109375" customWidth="1"/>
    <col min="3" max="3" width="20.85546875" customWidth="1"/>
    <col min="4" max="4" width="24" customWidth="1"/>
    <col min="5" max="5" width="29.28515625" customWidth="1"/>
    <col min="6" max="6" width="26.42578125" customWidth="1"/>
    <col min="7" max="7" width="23" customWidth="1"/>
    <col min="8" max="8" width="27.28515625" customWidth="1"/>
    <col min="9" max="9" width="29.42578125" customWidth="1"/>
    <col min="10" max="10" width="21.28515625" customWidth="1"/>
    <col min="11" max="11" width="4.42578125" customWidth="1"/>
    <col min="12" max="12" width="22.7109375" customWidth="1"/>
    <col min="13" max="13" width="17.28515625" customWidth="1"/>
  </cols>
  <sheetData>
    <row r="1" spans="1:14" ht="26.25">
      <c r="A1" s="19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7.25">
      <c r="A2" s="57" t="s">
        <v>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6.5">
      <c r="A3" s="21" t="s">
        <v>416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8"/>
      <c r="C4" s="8"/>
      <c r="D4" s="8"/>
      <c r="E4" s="22" t="s">
        <v>0</v>
      </c>
      <c r="F4" s="8"/>
      <c r="G4" s="8"/>
      <c r="H4" s="8"/>
      <c r="I4" s="8"/>
      <c r="J4" s="8"/>
      <c r="K4" s="8"/>
      <c r="L4" s="8"/>
      <c r="M4" s="8"/>
      <c r="N4" s="8"/>
    </row>
    <row r="5" spans="1:14" ht="18" thickBot="1">
      <c r="A5" s="5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1" thickBot="1">
      <c r="A6" s="227" t="str">
        <f>+'S&amp;D'!A12</f>
        <v>Railroad Carriers</v>
      </c>
      <c r="B6" s="155"/>
      <c r="C6" s="8"/>
      <c r="D6" s="8"/>
      <c r="E6" s="8"/>
      <c r="F6" s="8"/>
      <c r="G6" s="8"/>
      <c r="H6" s="8"/>
    </row>
    <row r="7" spans="1:14" ht="18" thickBot="1">
      <c r="A7" s="57"/>
      <c r="C7" s="8"/>
      <c r="D7" s="24"/>
      <c r="E7" s="24"/>
      <c r="F7" s="24"/>
      <c r="G7" s="8"/>
      <c r="H7" s="8"/>
    </row>
    <row r="8" spans="1:14" ht="26.25">
      <c r="C8" s="8"/>
      <c r="D8" s="8"/>
      <c r="E8" s="27" t="s">
        <v>341</v>
      </c>
      <c r="F8" s="8"/>
      <c r="G8" s="8"/>
      <c r="H8" s="8"/>
    </row>
    <row r="9" spans="1:14" ht="21" thickBot="1">
      <c r="B9" s="26"/>
      <c r="C9" s="8"/>
      <c r="D9" s="24"/>
      <c r="E9" s="28" t="s">
        <v>417</v>
      </c>
      <c r="F9" s="24"/>
      <c r="G9" s="8"/>
      <c r="H9" s="8"/>
    </row>
    <row r="10" spans="1:14" ht="17.25" thickBot="1">
      <c r="B10" s="29" t="s">
        <v>0</v>
      </c>
      <c r="C10" s="29" t="s">
        <v>0</v>
      </c>
      <c r="D10" s="29" t="s">
        <v>0</v>
      </c>
      <c r="E10" s="29" t="s">
        <v>0</v>
      </c>
      <c r="F10" s="29" t="s">
        <v>0</v>
      </c>
      <c r="G10" s="29" t="s">
        <v>0</v>
      </c>
      <c r="H10" s="24"/>
      <c r="I10" s="132"/>
      <c r="J10" s="132"/>
    </row>
    <row r="11" spans="1:14" ht="16.5">
      <c r="B11" s="30" t="s">
        <v>0</v>
      </c>
      <c r="C11" s="30" t="s">
        <v>3</v>
      </c>
      <c r="D11" s="30" t="s">
        <v>321</v>
      </c>
      <c r="E11" s="329" t="s">
        <v>322</v>
      </c>
      <c r="F11" s="30" t="s">
        <v>220</v>
      </c>
      <c r="G11" s="30" t="s">
        <v>26</v>
      </c>
      <c r="H11" s="329" t="s">
        <v>340</v>
      </c>
      <c r="I11" s="30" t="s">
        <v>340</v>
      </c>
      <c r="J11" s="30" t="s">
        <v>26</v>
      </c>
    </row>
    <row r="12" spans="1:14" ht="17.25" thickBot="1">
      <c r="B12" s="32" t="s">
        <v>2</v>
      </c>
      <c r="C12" s="32" t="s">
        <v>4</v>
      </c>
      <c r="D12" s="32" t="s">
        <v>27</v>
      </c>
      <c r="E12" s="330" t="s">
        <v>158</v>
      </c>
      <c r="F12" s="32" t="s">
        <v>342</v>
      </c>
      <c r="G12" s="32" t="s">
        <v>29</v>
      </c>
      <c r="H12" s="330" t="s">
        <v>368</v>
      </c>
      <c r="I12" s="32" t="s">
        <v>28</v>
      </c>
      <c r="J12" s="32" t="s">
        <v>29</v>
      </c>
    </row>
    <row r="13" spans="1:14">
      <c r="B13" s="34" t="s">
        <v>0</v>
      </c>
      <c r="C13" s="34" t="s">
        <v>0</v>
      </c>
      <c r="D13" s="35" t="s">
        <v>113</v>
      </c>
      <c r="E13" s="331" t="s">
        <v>114</v>
      </c>
      <c r="F13" s="34" t="s">
        <v>0</v>
      </c>
      <c r="G13" s="34" t="s">
        <v>0</v>
      </c>
      <c r="H13" s="331" t="s">
        <v>114</v>
      </c>
      <c r="I13" s="34" t="s">
        <v>0</v>
      </c>
      <c r="J13" s="34" t="s">
        <v>0</v>
      </c>
    </row>
    <row r="14" spans="1:14" ht="16.5">
      <c r="B14" s="30"/>
      <c r="C14" s="30"/>
      <c r="D14" s="30"/>
      <c r="E14" s="324"/>
      <c r="F14" s="30"/>
      <c r="G14" s="30"/>
      <c r="H14" s="332"/>
      <c r="I14" s="30"/>
      <c r="J14" s="30"/>
    </row>
    <row r="15" spans="1:14" ht="16.5">
      <c r="B15" s="8"/>
      <c r="C15" s="8"/>
      <c r="D15" s="8"/>
      <c r="E15" s="322"/>
      <c r="F15" s="8"/>
      <c r="H15" s="322"/>
      <c r="I15" s="8"/>
    </row>
    <row r="16" spans="1:14" ht="17.25">
      <c r="B16" s="57" t="str">
        <f>+'S&amp;D'!A22</f>
        <v>Canadian National</v>
      </c>
      <c r="C16" s="84" t="str">
        <f>+'S&amp;D'!B22</f>
        <v>CNI</v>
      </c>
      <c r="D16" s="153">
        <f>+'S&amp;D'!G22</f>
        <v>101.51</v>
      </c>
      <c r="E16" s="325">
        <v>21.75</v>
      </c>
      <c r="F16" s="333">
        <f>D16/E16</f>
        <v>4.6671264367816097</v>
      </c>
      <c r="G16" s="51">
        <f t="shared" ref="G16:G20" si="0">1/F16</f>
        <v>0.21426460447246576</v>
      </c>
      <c r="H16" s="325">
        <v>24.75</v>
      </c>
      <c r="I16" s="333">
        <f>D16/H16</f>
        <v>4.1014141414141418</v>
      </c>
      <c r="J16" s="51">
        <f t="shared" ref="J16:J20" si="1">1/I16</f>
        <v>0.24381834302039204</v>
      </c>
    </row>
    <row r="17" spans="1:10" ht="17.25">
      <c r="B17" s="57" t="str">
        <f>+'S&amp;D'!A23</f>
        <v>Canadian Pacific Kansas City Limited  CPKC</v>
      </c>
      <c r="C17" s="84" t="str">
        <f>+'S&amp;D'!B23</f>
        <v>CP</v>
      </c>
      <c r="D17" s="153">
        <f>+'S&amp;D'!G23</f>
        <v>72.37</v>
      </c>
      <c r="E17" s="325">
        <v>12.5</v>
      </c>
      <c r="F17" s="333">
        <f t="shared" ref="F17:F20" si="2">D17/E17</f>
        <v>5.7896000000000001</v>
      </c>
      <c r="G17" s="51">
        <f t="shared" si="0"/>
        <v>0.17272350421445351</v>
      </c>
      <c r="H17" s="325">
        <v>42.35</v>
      </c>
      <c r="I17" s="333">
        <f>D17/H17</f>
        <v>1.7088547815820543</v>
      </c>
      <c r="J17" s="51">
        <f t="shared" si="1"/>
        <v>0.5851872322785685</v>
      </c>
    </row>
    <row r="18" spans="1:10" ht="17.25">
      <c r="B18" s="57" t="str">
        <f>+'S&amp;D'!A24</f>
        <v>CSX Corp</v>
      </c>
      <c r="C18" s="84" t="str">
        <f>+'S&amp;D'!B24</f>
        <v>CSX</v>
      </c>
      <c r="D18" s="153">
        <f>+'S&amp;D'!G24</f>
        <v>32.369999999999997</v>
      </c>
      <c r="E18" s="325">
        <v>7.95</v>
      </c>
      <c r="F18" s="333">
        <f t="shared" si="2"/>
        <v>4.0716981132075469</v>
      </c>
      <c r="G18" s="51">
        <f t="shared" si="0"/>
        <v>0.24559777571825767</v>
      </c>
      <c r="H18" s="325">
        <v>6.7</v>
      </c>
      <c r="I18" s="333">
        <f>D18/H18</f>
        <v>4.8313432835820889</v>
      </c>
      <c r="J18" s="51">
        <f t="shared" si="1"/>
        <v>0.20698177324683351</v>
      </c>
    </row>
    <row r="19" spans="1:10" ht="17.25">
      <c r="B19" s="57" t="str">
        <f>+'S&amp;D'!A25</f>
        <v>Norfolk Southern</v>
      </c>
      <c r="C19" s="84" t="str">
        <f>+'S&amp;D'!B25</f>
        <v>NSC</v>
      </c>
      <c r="D19" s="153">
        <f>+'S&amp;D'!G25</f>
        <v>234.7</v>
      </c>
      <c r="E19" s="325">
        <v>56.3</v>
      </c>
      <c r="F19" s="333">
        <f t="shared" si="2"/>
        <v>4.1687388987566605</v>
      </c>
      <c r="G19" s="51">
        <f t="shared" si="0"/>
        <v>0.23988069876438006</v>
      </c>
      <c r="H19" s="325">
        <v>70.7</v>
      </c>
      <c r="I19" s="333">
        <f>D19/H19</f>
        <v>3.3196605374823194</v>
      </c>
      <c r="J19" s="51">
        <f t="shared" si="1"/>
        <v>0.30123561994034942</v>
      </c>
    </row>
    <row r="20" spans="1:10" ht="17.25">
      <c r="B20" s="57" t="str">
        <f>+'S&amp;D'!A26</f>
        <v>Union Pacific Railroad</v>
      </c>
      <c r="C20" s="84" t="str">
        <f>+'S&amp;D'!B26</f>
        <v>UNP</v>
      </c>
      <c r="D20" s="153">
        <f>+'S&amp;D'!G26</f>
        <v>228.04</v>
      </c>
      <c r="E20" s="325">
        <v>42.7</v>
      </c>
      <c r="F20" s="333">
        <f t="shared" si="2"/>
        <v>5.340515222482435</v>
      </c>
      <c r="G20" s="51">
        <f t="shared" si="0"/>
        <v>0.18724785125416596</v>
      </c>
      <c r="H20" s="325">
        <v>30.1</v>
      </c>
      <c r="I20" s="333">
        <f>D20/H20</f>
        <v>7.5760797342192685</v>
      </c>
      <c r="J20" s="51">
        <f t="shared" si="1"/>
        <v>0.13199438694965795</v>
      </c>
    </row>
    <row r="21" spans="1:10" ht="11.25" customHeight="1" thickBot="1">
      <c r="B21" s="8"/>
      <c r="C21" s="64"/>
      <c r="D21" s="64"/>
      <c r="E21" s="326"/>
      <c r="F21" s="334"/>
      <c r="G21" s="335"/>
      <c r="H21" s="326"/>
      <c r="I21" s="334"/>
      <c r="J21" s="335"/>
    </row>
    <row r="22" spans="1:10" ht="17.25" thickTop="1">
      <c r="B22" s="8"/>
      <c r="D22" s="10" t="s">
        <v>46</v>
      </c>
      <c r="E22" s="327">
        <f t="shared" ref="E22" si="3">MAX(E16:E20)</f>
        <v>56.3</v>
      </c>
      <c r="F22" s="65">
        <f>MAX(F16:F20)</f>
        <v>5.7896000000000001</v>
      </c>
      <c r="G22" s="47">
        <f t="shared" ref="G22:J22" si="4">MAX(G16:G20)</f>
        <v>0.24559777571825767</v>
      </c>
      <c r="H22" s="327">
        <f t="shared" si="4"/>
        <v>70.7</v>
      </c>
      <c r="I22" s="65">
        <f t="shared" si="4"/>
        <v>7.5760797342192685</v>
      </c>
      <c r="J22" s="47">
        <f t="shared" si="4"/>
        <v>0.5851872322785685</v>
      </c>
    </row>
    <row r="23" spans="1:10" ht="16.5">
      <c r="B23" s="8"/>
      <c r="D23" s="288" t="s">
        <v>47</v>
      </c>
      <c r="E23" s="328">
        <f t="shared" ref="E23" si="5">MIN(E16:E20)</f>
        <v>7.95</v>
      </c>
      <c r="F23" s="292">
        <f>MIN(F16:F20)</f>
        <v>4.0716981132075469</v>
      </c>
      <c r="G23" s="289">
        <f t="shared" ref="G23:J23" si="6">MIN(G16:G20)</f>
        <v>0.17272350421445351</v>
      </c>
      <c r="H23" s="328">
        <f t="shared" si="6"/>
        <v>6.7</v>
      </c>
      <c r="I23" s="292">
        <f t="shared" si="6"/>
        <v>1.7088547815820543</v>
      </c>
      <c r="J23" s="289">
        <f t="shared" si="6"/>
        <v>0.13199438694965795</v>
      </c>
    </row>
    <row r="24" spans="1:10" ht="16.5">
      <c r="B24" s="8"/>
      <c r="D24" s="10" t="s">
        <v>18</v>
      </c>
      <c r="E24" s="15">
        <f t="shared" ref="E24:J24" si="7">MEDIAN(E16:E20)</f>
        <v>21.75</v>
      </c>
      <c r="F24" s="15">
        <f t="shared" si="7"/>
        <v>4.6671264367816097</v>
      </c>
      <c r="G24" s="51">
        <f t="shared" si="7"/>
        <v>0.21426460447246576</v>
      </c>
      <c r="H24" s="14">
        <f t="shared" si="7"/>
        <v>30.1</v>
      </c>
      <c r="I24" s="14">
        <f t="shared" si="7"/>
        <v>4.1014141414141418</v>
      </c>
      <c r="J24" s="51">
        <f t="shared" si="7"/>
        <v>0.24381834302039204</v>
      </c>
    </row>
    <row r="25" spans="1:10" ht="16.5">
      <c r="B25" s="8"/>
      <c r="D25" s="10" t="s">
        <v>375</v>
      </c>
      <c r="E25" s="15">
        <f t="shared" ref="E25:J25" si="8">AVERAGE(E16:E20)</f>
        <v>28.24</v>
      </c>
      <c r="F25" s="15">
        <f t="shared" si="8"/>
        <v>4.8075357342456506</v>
      </c>
      <c r="G25" s="67">
        <f t="shared" si="8"/>
        <v>0.21194288688474461</v>
      </c>
      <c r="H25" s="14">
        <f t="shared" si="8"/>
        <v>34.92</v>
      </c>
      <c r="I25" s="14">
        <f t="shared" si="8"/>
        <v>4.3074704956559744</v>
      </c>
      <c r="J25" s="67">
        <f t="shared" si="8"/>
        <v>0.2938434710871603</v>
      </c>
    </row>
    <row r="26" spans="1:10" ht="16.5">
      <c r="B26" s="8"/>
      <c r="C26" s="8"/>
      <c r="D26" s="8"/>
      <c r="E26" s="8"/>
      <c r="F26" s="8"/>
      <c r="H26" s="8"/>
      <c r="I26" s="8"/>
    </row>
    <row r="27" spans="1:10" ht="16.5">
      <c r="B27" s="8"/>
      <c r="C27" s="8"/>
      <c r="D27" s="8"/>
      <c r="E27" s="8"/>
      <c r="F27" s="8"/>
      <c r="H27" s="8"/>
      <c r="I27" s="8"/>
    </row>
    <row r="28" spans="1:10" ht="17.25" thickBot="1">
      <c r="B28" s="8"/>
      <c r="C28" s="8"/>
      <c r="D28" s="8"/>
      <c r="E28" s="8"/>
      <c r="F28" s="8"/>
      <c r="I28" s="8"/>
    </row>
    <row r="29" spans="1:10" ht="27" thickBot="1">
      <c r="B29" s="69" t="s">
        <v>0</v>
      </c>
      <c r="C29" s="8"/>
      <c r="D29" s="19" t="s">
        <v>119</v>
      </c>
      <c r="E29" s="19"/>
      <c r="F29" s="201">
        <v>4.8099999999999996</v>
      </c>
      <c r="I29" s="201">
        <v>4.3099999999999996</v>
      </c>
    </row>
    <row r="30" spans="1:10" ht="16.5">
      <c r="B30" s="69" t="s">
        <v>0</v>
      </c>
      <c r="C30" s="8"/>
      <c r="D30" s="8"/>
      <c r="E30" s="8"/>
      <c r="F30" s="8"/>
      <c r="H30" s="8"/>
    </row>
    <row r="31" spans="1:10" ht="16.5">
      <c r="B31" s="69"/>
      <c r="C31" s="8"/>
      <c r="D31" s="8"/>
      <c r="E31" s="8"/>
      <c r="F31" s="8"/>
      <c r="H31" s="8"/>
    </row>
    <row r="32" spans="1:10" ht="17.25">
      <c r="A32" s="99" t="s">
        <v>343</v>
      </c>
      <c r="B32" s="69"/>
      <c r="C32" s="8"/>
      <c r="D32" s="8"/>
      <c r="E32" s="8"/>
      <c r="F32" s="8"/>
      <c r="H32" s="8"/>
    </row>
    <row r="33" spans="1:14" ht="17.25">
      <c r="A33" s="99" t="s">
        <v>326</v>
      </c>
      <c r="B33" s="69"/>
      <c r="C33" s="8"/>
      <c r="D33" s="8"/>
      <c r="E33" s="8"/>
      <c r="F33" s="8"/>
      <c r="G33" s="8"/>
      <c r="H33" s="8"/>
    </row>
    <row r="34" spans="1:14" ht="16.5">
      <c r="B34" s="69"/>
      <c r="C34" s="8"/>
      <c r="D34" s="8"/>
      <c r="E34" s="8"/>
      <c r="F34" s="8"/>
      <c r="G34" s="8"/>
      <c r="H34" s="8"/>
    </row>
    <row r="35" spans="1:14" ht="17.25">
      <c r="A35" s="99" t="s">
        <v>344</v>
      </c>
      <c r="B35" s="69"/>
      <c r="C35" s="8"/>
      <c r="D35" s="8"/>
      <c r="E35" s="8"/>
      <c r="F35" s="8"/>
      <c r="G35" s="8"/>
      <c r="H35" s="8"/>
    </row>
    <row r="36" spans="1:14" ht="17.25">
      <c r="A36" s="99" t="s">
        <v>324</v>
      </c>
      <c r="B36" s="69"/>
      <c r="C36" s="8"/>
      <c r="D36" s="8"/>
      <c r="E36" s="8"/>
      <c r="F36" s="8"/>
      <c r="G36" s="8"/>
      <c r="H36" s="8"/>
    </row>
    <row r="37" spans="1:14" ht="17.25">
      <c r="A37" s="99" t="s">
        <v>325</v>
      </c>
      <c r="B37" s="69"/>
      <c r="C37" s="8"/>
      <c r="D37" s="8"/>
      <c r="E37" s="8"/>
      <c r="F37" s="8"/>
      <c r="G37" s="8"/>
      <c r="H37" s="8"/>
    </row>
    <row r="38" spans="1:14" ht="16.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6.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1" spans="1:14">
      <c r="B41" s="312" t="s">
        <v>0</v>
      </c>
      <c r="D41" s="312" t="s">
        <v>0</v>
      </c>
      <c r="G41" s="312" t="s">
        <v>0</v>
      </c>
    </row>
    <row r="42" spans="1:14">
      <c r="B42" s="312" t="s">
        <v>0</v>
      </c>
      <c r="D42" s="312" t="s">
        <v>0</v>
      </c>
      <c r="G42" s="312" t="s">
        <v>0</v>
      </c>
    </row>
  </sheetData>
  <pageMargins left="0.25" right="0.25" top="0.75" bottom="0.75" header="0.3" footer="0.3"/>
  <pageSetup scale="4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U39" sqref="U3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29" sqref="G29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19" t="s">
        <v>1</v>
      </c>
      <c r="C1" s="8"/>
      <c r="D1" s="8"/>
      <c r="E1" s="8"/>
      <c r="F1" s="8"/>
      <c r="G1" s="8"/>
      <c r="H1" s="8"/>
      <c r="I1" s="8"/>
      <c r="J1" s="8"/>
      <c r="K1" s="8"/>
    </row>
    <row r="2" spans="1:11" ht="17.25">
      <c r="A2" s="20" t="s">
        <v>9</v>
      </c>
      <c r="C2" s="8"/>
      <c r="D2" s="8"/>
      <c r="E2" s="8"/>
      <c r="F2" s="8"/>
      <c r="G2" s="8"/>
      <c r="H2" s="8"/>
      <c r="I2" s="8"/>
      <c r="J2" s="8"/>
      <c r="K2" s="8"/>
    </row>
    <row r="3" spans="1:11" ht="17.25" customHeight="1">
      <c r="A3" s="21" t="s">
        <v>416</v>
      </c>
      <c r="C3" s="8"/>
      <c r="D3" s="8"/>
      <c r="E3" s="8"/>
      <c r="F3" s="8"/>
      <c r="G3" s="8"/>
      <c r="H3" s="8"/>
      <c r="I3" s="8"/>
      <c r="J3" s="8"/>
      <c r="K3" s="8"/>
    </row>
    <row r="4" spans="1:11" ht="17.25" customHeight="1">
      <c r="B4" s="21"/>
      <c r="C4" s="8"/>
      <c r="D4" s="8"/>
      <c r="E4" s="8"/>
      <c r="F4" s="8"/>
      <c r="G4" s="8"/>
      <c r="H4" s="8"/>
      <c r="I4" s="8"/>
      <c r="J4" s="8"/>
      <c r="K4" s="8"/>
    </row>
    <row r="5" spans="1:11" ht="17.25" customHeight="1">
      <c r="B5" s="129"/>
      <c r="C5" s="8"/>
      <c r="D5" s="8"/>
      <c r="E5" s="8"/>
      <c r="F5" s="8"/>
      <c r="G5" s="8"/>
      <c r="H5" s="8"/>
      <c r="I5" s="8"/>
      <c r="J5" s="8"/>
      <c r="K5" s="8"/>
    </row>
    <row r="6" spans="1:11" ht="17.25" customHeight="1">
      <c r="B6" s="129"/>
      <c r="C6" s="8"/>
      <c r="D6" s="8"/>
      <c r="E6" s="8"/>
      <c r="F6" s="8"/>
      <c r="G6" s="8"/>
      <c r="H6" s="8"/>
      <c r="I6" s="8"/>
      <c r="J6" s="8"/>
      <c r="K6" s="8"/>
    </row>
    <row r="7" spans="1:11" ht="17.25" customHeight="1">
      <c r="B7" s="129"/>
      <c r="C7" s="8"/>
      <c r="D7" s="8"/>
      <c r="E7" s="8"/>
      <c r="F7" s="8"/>
      <c r="G7" s="8"/>
      <c r="H7" s="8"/>
      <c r="I7" s="8"/>
      <c r="J7" s="8"/>
      <c r="K7" s="8"/>
    </row>
    <row r="8" spans="1:11" ht="16.5">
      <c r="B8" s="21"/>
      <c r="C8" s="8"/>
      <c r="D8" s="8"/>
      <c r="E8" s="8"/>
      <c r="F8" s="8"/>
      <c r="G8" s="8"/>
      <c r="H8" s="8"/>
      <c r="I8" s="8"/>
      <c r="J8" s="8"/>
      <c r="K8" s="8"/>
    </row>
    <row r="9" spans="1:11" ht="20.25">
      <c r="B9" s="8"/>
      <c r="C9" s="8"/>
      <c r="D9" s="72" t="s">
        <v>0</v>
      </c>
      <c r="E9" s="8"/>
      <c r="F9" s="8"/>
      <c r="G9" s="8"/>
      <c r="H9" s="8"/>
      <c r="I9" s="8"/>
      <c r="J9" s="8"/>
      <c r="K9" s="8"/>
    </row>
    <row r="10" spans="1:11" ht="20.25">
      <c r="B10" s="8"/>
      <c r="C10" s="8"/>
      <c r="D10" s="72" t="s">
        <v>64</v>
      </c>
      <c r="E10" s="8"/>
      <c r="F10" s="8"/>
      <c r="G10" s="8"/>
      <c r="H10" s="8"/>
      <c r="I10" s="8"/>
      <c r="J10" s="8"/>
      <c r="K10" s="8"/>
    </row>
    <row r="11" spans="1:11" ht="16.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6.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6.5">
      <c r="B13" s="8"/>
      <c r="C13" s="8"/>
      <c r="D13" s="8"/>
      <c r="E13" s="22"/>
      <c r="F13" s="8"/>
      <c r="G13" s="8"/>
      <c r="H13" s="8"/>
      <c r="I13" s="8"/>
      <c r="J13" s="8"/>
      <c r="K13" s="8"/>
    </row>
    <row r="14" spans="1:11" ht="16.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7.25" thickBot="1">
      <c r="B15" s="8"/>
      <c r="C15" s="24"/>
      <c r="D15" s="24"/>
      <c r="E15" s="24"/>
      <c r="F15" s="8"/>
      <c r="G15" s="8"/>
      <c r="H15" s="8"/>
      <c r="I15" s="8"/>
      <c r="J15" s="8"/>
      <c r="K15" s="8"/>
    </row>
    <row r="16" spans="1:11" ht="26.25">
      <c r="B16" s="8"/>
      <c r="C16" s="8"/>
      <c r="D16" s="27" t="str">
        <f>+'S&amp;D'!A12</f>
        <v>Railroad Carriers</v>
      </c>
      <c r="E16" s="8"/>
      <c r="F16" s="8"/>
      <c r="G16" s="8"/>
      <c r="H16" s="8"/>
      <c r="I16" s="8"/>
      <c r="J16" s="8"/>
      <c r="K16" s="8"/>
    </row>
    <row r="17" spans="2:11" ht="17.25" thickBot="1">
      <c r="B17" s="8"/>
      <c r="C17" s="24"/>
      <c r="D17" s="32" t="s">
        <v>0</v>
      </c>
      <c r="E17" s="24"/>
      <c r="F17" s="8"/>
      <c r="G17" s="8"/>
      <c r="H17" s="8"/>
      <c r="I17" s="8"/>
      <c r="J17" s="8"/>
      <c r="K17" s="8"/>
    </row>
    <row r="18" spans="2:11" ht="17.25" thickBot="1">
      <c r="B18" s="24"/>
      <c r="C18" s="24"/>
      <c r="D18" s="32" t="s">
        <v>0</v>
      </c>
      <c r="E18" s="24"/>
      <c r="F18" s="24"/>
      <c r="G18" s="24"/>
      <c r="H18" s="8"/>
      <c r="I18" s="8"/>
      <c r="J18" s="8"/>
      <c r="K18" s="8"/>
    </row>
    <row r="19" spans="2:11" ht="16.5">
      <c r="B19" s="30" t="s">
        <v>31</v>
      </c>
      <c r="C19" s="30" t="s">
        <v>32</v>
      </c>
      <c r="D19" s="30" t="s">
        <v>33</v>
      </c>
      <c r="E19" s="30" t="s">
        <v>68</v>
      </c>
      <c r="F19" s="30" t="s">
        <v>33</v>
      </c>
      <c r="G19" s="30" t="s">
        <v>34</v>
      </c>
      <c r="H19" s="8"/>
      <c r="I19" s="8"/>
      <c r="J19" s="8"/>
      <c r="K19" s="8"/>
    </row>
    <row r="20" spans="2:11" ht="17.25" thickBot="1">
      <c r="B20" s="32" t="s">
        <v>32</v>
      </c>
      <c r="C20" s="32" t="s">
        <v>35</v>
      </c>
      <c r="D20" s="32" t="s">
        <v>36</v>
      </c>
      <c r="E20" s="32" t="s">
        <v>23</v>
      </c>
      <c r="F20" s="32" t="s">
        <v>37</v>
      </c>
      <c r="G20" s="32" t="s">
        <v>38</v>
      </c>
      <c r="H20" s="8"/>
      <c r="I20" s="8"/>
      <c r="J20" s="8"/>
      <c r="K20" s="8"/>
    </row>
    <row r="21" spans="2:11" ht="16.5">
      <c r="B21" s="34" t="s">
        <v>0</v>
      </c>
      <c r="C21" s="34" t="s">
        <v>0</v>
      </c>
      <c r="D21" s="34" t="s">
        <v>0</v>
      </c>
      <c r="E21" s="34" t="s">
        <v>0</v>
      </c>
      <c r="F21" s="34" t="s">
        <v>0</v>
      </c>
      <c r="G21" s="34" t="s">
        <v>0</v>
      </c>
      <c r="H21" s="8"/>
      <c r="I21" s="8"/>
      <c r="J21" s="8"/>
      <c r="K21" s="8"/>
    </row>
    <row r="22" spans="2:11" ht="16.5">
      <c r="B22" s="30"/>
      <c r="C22" s="30"/>
      <c r="D22" s="30"/>
      <c r="E22" s="30"/>
      <c r="F22" s="30"/>
      <c r="G22" s="30"/>
      <c r="H22" s="8"/>
      <c r="I22" s="8"/>
      <c r="J22" s="8"/>
      <c r="K22" s="8"/>
    </row>
    <row r="23" spans="2:11" ht="17.25">
      <c r="B23" s="84" t="s">
        <v>39</v>
      </c>
      <c r="C23" s="121">
        <f>'S&amp;D'!J46</f>
        <v>0.81</v>
      </c>
      <c r="D23" s="121">
        <f>+'Indicated Yield Equity Rate '!D52</f>
        <v>9.9299999999999999E-2</v>
      </c>
      <c r="E23" s="97" t="s">
        <v>40</v>
      </c>
      <c r="F23" s="121">
        <f>+D23</f>
        <v>9.9299999999999999E-2</v>
      </c>
      <c r="G23" s="122">
        <f>+F23*C23</f>
        <v>8.0433000000000004E-2</v>
      </c>
      <c r="H23" s="8"/>
      <c r="I23" s="8"/>
      <c r="J23" s="8"/>
      <c r="K23" s="8"/>
    </row>
    <row r="24" spans="2:11" ht="17.25">
      <c r="B24" s="84" t="s">
        <v>0</v>
      </c>
      <c r="C24" s="97" t="s">
        <v>0</v>
      </c>
      <c r="D24" s="97" t="s">
        <v>0</v>
      </c>
      <c r="E24" s="97" t="s">
        <v>0</v>
      </c>
      <c r="F24" s="123" t="s">
        <v>0</v>
      </c>
      <c r="G24" s="111" t="s">
        <v>0</v>
      </c>
      <c r="H24" s="8"/>
      <c r="I24" s="8"/>
      <c r="J24" s="8"/>
      <c r="K24" s="8"/>
    </row>
    <row r="25" spans="2:11" ht="17.25">
      <c r="B25" s="84" t="s">
        <v>41</v>
      </c>
      <c r="C25" s="121">
        <f>'S&amp;D'!K46</f>
        <v>0.19</v>
      </c>
      <c r="D25" s="121">
        <f>+Debt!J27</f>
        <v>5.6399999999999999E-2</v>
      </c>
      <c r="E25" s="121">
        <v>0.26</v>
      </c>
      <c r="F25" s="121">
        <f>+D25*(1-E25)</f>
        <v>4.1735999999999995E-2</v>
      </c>
      <c r="G25" s="122">
        <f>+C25*F25</f>
        <v>7.9298399999999988E-3</v>
      </c>
      <c r="H25" s="8"/>
      <c r="I25" s="8"/>
      <c r="J25" s="8"/>
      <c r="K25" s="8"/>
    </row>
    <row r="26" spans="2:11" ht="18" thickBot="1">
      <c r="B26" s="90" t="s">
        <v>0</v>
      </c>
      <c r="C26" s="90" t="s">
        <v>0</v>
      </c>
      <c r="D26" s="90" t="s">
        <v>0</v>
      </c>
      <c r="E26" s="90" t="s">
        <v>0</v>
      </c>
      <c r="F26" s="124" t="s">
        <v>0</v>
      </c>
      <c r="G26" s="125" t="s">
        <v>0</v>
      </c>
      <c r="H26" s="8"/>
      <c r="I26" s="8"/>
      <c r="J26" s="8"/>
      <c r="K26" s="8"/>
    </row>
    <row r="27" spans="2:11" ht="17.25">
      <c r="B27" s="84" t="s">
        <v>71</v>
      </c>
      <c r="C27" s="126">
        <f>+C23+C25</f>
        <v>1</v>
      </c>
      <c r="D27" s="84" t="s">
        <v>0</v>
      </c>
      <c r="E27" s="84" t="s">
        <v>0</v>
      </c>
      <c r="F27" s="127" t="s">
        <v>0</v>
      </c>
      <c r="G27" s="122">
        <f>+G23+G25</f>
        <v>8.8362839999999998E-2</v>
      </c>
      <c r="H27" s="8"/>
      <c r="I27" s="8"/>
      <c r="J27" s="8"/>
      <c r="K27" s="8"/>
    </row>
    <row r="28" spans="2:11" ht="18" thickBot="1">
      <c r="B28" s="57"/>
      <c r="C28" s="57"/>
      <c r="D28" s="57"/>
      <c r="E28" s="57"/>
      <c r="F28" s="57"/>
      <c r="G28" s="128"/>
      <c r="H28" s="8"/>
      <c r="I28" s="8"/>
      <c r="J28" s="8"/>
      <c r="K28" s="8"/>
    </row>
    <row r="29" spans="2:11" ht="18" thickBot="1">
      <c r="B29" s="8"/>
      <c r="C29" s="8"/>
      <c r="D29" s="8"/>
      <c r="E29" s="8"/>
      <c r="F29" s="172" t="s">
        <v>74</v>
      </c>
      <c r="G29" s="267">
        <v>8.8400000000000006E-2</v>
      </c>
      <c r="H29" s="8"/>
      <c r="I29" s="8"/>
      <c r="J29" s="8"/>
      <c r="K29" s="8"/>
    </row>
    <row r="30" spans="2:11" ht="16.5">
      <c r="B30" s="8"/>
      <c r="C30" s="8"/>
      <c r="D30" s="8"/>
      <c r="E30" s="8"/>
      <c r="F30" s="8"/>
      <c r="G30" s="8" t="s">
        <v>381</v>
      </c>
      <c r="H30" s="8"/>
      <c r="I30" s="8"/>
      <c r="J30" s="8"/>
      <c r="K30" s="8"/>
    </row>
    <row r="31" spans="2:11" ht="16.5">
      <c r="B31" s="8"/>
      <c r="C31" s="8"/>
      <c r="D31" s="8"/>
      <c r="E31" s="8"/>
      <c r="F31" s="8"/>
      <c r="G31" s="8"/>
      <c r="H31" s="8"/>
      <c r="I31" s="8"/>
      <c r="J31" s="8"/>
      <c r="K31" s="8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41" zoomScale="80" zoomScaleNormal="80" zoomScaleSheetLayoutView="80" workbookViewId="0">
      <selection activeCell="G63" sqref="G63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19" t="s">
        <v>1</v>
      </c>
      <c r="C1" s="8"/>
      <c r="D1" s="8"/>
      <c r="E1" s="8"/>
      <c r="F1" s="8"/>
      <c r="G1" s="8"/>
      <c r="H1" s="8"/>
      <c r="I1" s="8"/>
      <c r="J1" s="8"/>
      <c r="K1" s="8"/>
    </row>
    <row r="2" spans="1:11" ht="17.25">
      <c r="A2" s="20" t="s">
        <v>9</v>
      </c>
      <c r="C2" s="8"/>
      <c r="D2" s="8"/>
      <c r="E2" s="8"/>
      <c r="F2" s="8"/>
      <c r="G2" s="8"/>
      <c r="H2" s="8"/>
      <c r="I2" s="8"/>
      <c r="J2" s="8"/>
      <c r="K2" s="8"/>
    </row>
    <row r="3" spans="1:11" ht="16.5">
      <c r="A3" s="21" t="s">
        <v>416</v>
      </c>
      <c r="C3" s="8"/>
      <c r="D3" s="8"/>
      <c r="E3" s="8"/>
      <c r="F3" s="8"/>
      <c r="G3" s="8"/>
      <c r="H3" s="8"/>
      <c r="I3" s="8"/>
      <c r="J3" s="8"/>
      <c r="K3" s="8"/>
    </row>
    <row r="4" spans="1:11" ht="16.5">
      <c r="B4" s="21"/>
      <c r="C4" s="8"/>
      <c r="D4" s="8"/>
      <c r="E4" s="8"/>
      <c r="F4" s="8"/>
      <c r="G4" s="8"/>
      <c r="H4" s="8"/>
      <c r="I4" s="8"/>
      <c r="J4" s="8"/>
      <c r="K4" s="8"/>
    </row>
    <row r="5" spans="1:11" ht="16.5">
      <c r="B5" s="21"/>
      <c r="C5" s="8"/>
      <c r="D5" s="8"/>
      <c r="E5" s="8"/>
      <c r="F5" s="8"/>
      <c r="G5" s="8"/>
      <c r="H5" s="8"/>
      <c r="I5" s="8"/>
      <c r="J5" s="8"/>
      <c r="K5" s="8"/>
    </row>
    <row r="6" spans="1:11" ht="16.5">
      <c r="B6" s="21"/>
      <c r="C6" s="8"/>
      <c r="D6" s="8"/>
      <c r="E6" s="8"/>
      <c r="F6" s="8"/>
      <c r="G6" s="8"/>
      <c r="H6" s="8"/>
      <c r="I6" s="8"/>
      <c r="J6" s="8"/>
      <c r="K6" s="8"/>
    </row>
    <row r="7" spans="1:11" ht="16.5">
      <c r="B7" s="21"/>
      <c r="C7" s="8"/>
      <c r="D7" s="8"/>
      <c r="E7" s="8"/>
      <c r="F7" s="8"/>
      <c r="G7" s="8"/>
      <c r="H7" s="8"/>
      <c r="I7" s="8"/>
      <c r="J7" s="8"/>
      <c r="K7" s="8"/>
    </row>
    <row r="8" spans="1:11" ht="16.5">
      <c r="B8" s="21"/>
      <c r="C8" s="8"/>
      <c r="D8" s="8"/>
      <c r="E8" s="8"/>
      <c r="F8" s="8"/>
      <c r="G8" s="8"/>
      <c r="H8" s="8"/>
      <c r="I8" s="8"/>
      <c r="J8" s="8"/>
      <c r="K8" s="8"/>
    </row>
    <row r="9" spans="1:11" ht="16.5">
      <c r="B9" s="21"/>
      <c r="C9" s="8"/>
      <c r="D9" s="8"/>
      <c r="E9" s="8"/>
      <c r="F9" s="8"/>
      <c r="G9" s="8"/>
      <c r="H9" s="8"/>
      <c r="I9" s="8"/>
      <c r="J9" s="8"/>
      <c r="K9" s="8"/>
    </row>
    <row r="10" spans="1:11" ht="20.25">
      <c r="B10" s="8"/>
      <c r="C10" s="8"/>
      <c r="D10" s="72" t="s">
        <v>0</v>
      </c>
      <c r="E10" s="8"/>
      <c r="F10" s="8"/>
      <c r="G10" s="8"/>
      <c r="H10" s="8"/>
      <c r="I10" s="8"/>
      <c r="J10" s="8"/>
      <c r="K10" s="8"/>
    </row>
    <row r="11" spans="1:11" ht="20.25">
      <c r="B11" s="8"/>
      <c r="C11" s="8"/>
      <c r="D11" s="72" t="s">
        <v>63</v>
      </c>
      <c r="E11" s="8"/>
      <c r="F11" s="8"/>
      <c r="G11" s="8"/>
      <c r="H11" s="8"/>
      <c r="I11" s="8"/>
      <c r="J11" s="8"/>
      <c r="K11" s="8"/>
    </row>
    <row r="12" spans="1:11" ht="16.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6.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thickBot="1">
      <c r="B14" s="8"/>
      <c r="C14" s="24"/>
      <c r="D14" s="24"/>
      <c r="E14" s="24"/>
      <c r="F14" s="8"/>
      <c r="G14" s="8"/>
      <c r="H14" s="8"/>
      <c r="I14" s="8"/>
      <c r="J14" s="8"/>
      <c r="K14" s="8"/>
    </row>
    <row r="15" spans="1:11" ht="26.25">
      <c r="B15" s="8"/>
      <c r="C15" s="8"/>
      <c r="D15" s="27" t="str">
        <f>+'S&amp;D'!A12</f>
        <v>Railroad Carriers</v>
      </c>
      <c r="E15" s="8"/>
      <c r="F15" s="8"/>
      <c r="G15" s="8"/>
      <c r="H15" s="8"/>
      <c r="I15" s="8"/>
      <c r="J15" s="8"/>
      <c r="K15" s="8"/>
    </row>
    <row r="16" spans="1:11" ht="21" thickBot="1">
      <c r="B16" s="8"/>
      <c r="C16" s="24"/>
      <c r="D16" s="120" t="s">
        <v>70</v>
      </c>
      <c r="E16" s="24"/>
      <c r="F16" s="8"/>
      <c r="G16" s="8"/>
      <c r="H16" s="8"/>
      <c r="I16" s="8"/>
      <c r="J16" s="8"/>
      <c r="K16" s="8"/>
    </row>
    <row r="17" spans="2:11" ht="16.5">
      <c r="H17" s="8"/>
      <c r="I17" s="8"/>
      <c r="J17" s="8"/>
      <c r="K17" s="8"/>
    </row>
    <row r="18" spans="2:11" ht="17.25" thickBot="1">
      <c r="B18" s="24"/>
      <c r="C18" s="24"/>
      <c r="D18" s="32" t="s">
        <v>0</v>
      </c>
      <c r="E18" s="24"/>
      <c r="F18" s="24"/>
      <c r="G18" s="24"/>
      <c r="H18" s="8"/>
      <c r="I18" s="8"/>
      <c r="J18" s="8"/>
      <c r="K18" s="8"/>
    </row>
    <row r="19" spans="2:11" ht="16.5">
      <c r="B19" s="30" t="s">
        <v>31</v>
      </c>
      <c r="C19" s="30" t="s">
        <v>32</v>
      </c>
      <c r="D19" s="30" t="s">
        <v>67</v>
      </c>
      <c r="E19" s="30" t="s">
        <v>68</v>
      </c>
      <c r="F19" s="30" t="s">
        <v>66</v>
      </c>
      <c r="G19" s="30" t="s">
        <v>34</v>
      </c>
      <c r="H19" s="8"/>
      <c r="I19" s="8"/>
      <c r="J19" s="8"/>
      <c r="K19" s="8"/>
    </row>
    <row r="20" spans="2:11" ht="17.25" thickBot="1">
      <c r="B20" s="32" t="s">
        <v>32</v>
      </c>
      <c r="C20" s="32" t="s">
        <v>35</v>
      </c>
      <c r="D20" s="32" t="s">
        <v>36</v>
      </c>
      <c r="E20" s="32" t="s">
        <v>23</v>
      </c>
      <c r="F20" s="32" t="s">
        <v>37</v>
      </c>
      <c r="G20" s="32" t="s">
        <v>69</v>
      </c>
      <c r="H20" s="8"/>
      <c r="I20" s="8"/>
      <c r="J20" s="8"/>
      <c r="K20" s="8"/>
    </row>
    <row r="21" spans="2:11" ht="16.5">
      <c r="B21" s="34" t="s">
        <v>0</v>
      </c>
      <c r="C21" s="34" t="s">
        <v>0</v>
      </c>
      <c r="D21" s="34" t="s">
        <v>0</v>
      </c>
      <c r="E21" s="34" t="s">
        <v>0</v>
      </c>
      <c r="F21" s="34" t="s">
        <v>0</v>
      </c>
      <c r="G21" s="34" t="s">
        <v>0</v>
      </c>
      <c r="H21" s="8"/>
      <c r="I21" s="8"/>
      <c r="J21" s="8"/>
      <c r="K21" s="8"/>
    </row>
    <row r="22" spans="2:11" ht="16.5">
      <c r="B22" s="30"/>
      <c r="C22" s="30"/>
      <c r="D22" s="30"/>
      <c r="E22" s="30"/>
      <c r="F22" s="30"/>
      <c r="G22" s="30"/>
      <c r="H22" s="8"/>
      <c r="I22" s="8"/>
      <c r="J22" s="8"/>
      <c r="K22" s="8"/>
    </row>
    <row r="23" spans="2:11" ht="17.25">
      <c r="B23" s="84" t="s">
        <v>39</v>
      </c>
      <c r="C23" s="121">
        <f>'S&amp;D'!J46</f>
        <v>0.81</v>
      </c>
      <c r="D23" s="121">
        <f>+'Direct NOPAT'!J31</f>
        <v>5.8550000000000005E-2</v>
      </c>
      <c r="E23" s="97" t="s">
        <v>40</v>
      </c>
      <c r="F23" s="121">
        <f>+D23</f>
        <v>5.8550000000000005E-2</v>
      </c>
      <c r="G23" s="122">
        <f>+F23*C23</f>
        <v>4.7425500000000009E-2</v>
      </c>
      <c r="H23" s="8"/>
      <c r="I23" s="8"/>
      <c r="J23" s="8"/>
      <c r="K23" s="8"/>
    </row>
    <row r="24" spans="2:11" ht="17.25">
      <c r="B24" s="84" t="s">
        <v>0</v>
      </c>
      <c r="C24" s="97" t="s">
        <v>0</v>
      </c>
      <c r="D24" s="97" t="s">
        <v>0</v>
      </c>
      <c r="E24" s="97" t="s">
        <v>0</v>
      </c>
      <c r="F24" s="123" t="s">
        <v>0</v>
      </c>
      <c r="G24" s="111" t="s">
        <v>0</v>
      </c>
      <c r="H24" s="8"/>
      <c r="I24" s="8"/>
      <c r="J24" s="8"/>
      <c r="K24" s="8"/>
    </row>
    <row r="25" spans="2:11" ht="17.25">
      <c r="B25" s="84" t="s">
        <v>41</v>
      </c>
      <c r="C25" s="121">
        <f>'S&amp;D'!K46</f>
        <v>0.19</v>
      </c>
      <c r="D25" s="121">
        <f>+Debt!J27</f>
        <v>5.6399999999999999E-2</v>
      </c>
      <c r="E25" s="121">
        <v>0.26</v>
      </c>
      <c r="F25" s="121">
        <f>+D25*(1-E25)</f>
        <v>4.1735999999999995E-2</v>
      </c>
      <c r="G25" s="122">
        <f>+C25*F25</f>
        <v>7.9298399999999988E-3</v>
      </c>
      <c r="H25" s="8"/>
      <c r="I25" s="8"/>
      <c r="J25" s="8"/>
      <c r="K25" s="8"/>
    </row>
    <row r="26" spans="2:11" ht="18" thickBot="1">
      <c r="B26" s="90" t="s">
        <v>0</v>
      </c>
      <c r="C26" s="90" t="s">
        <v>0</v>
      </c>
      <c r="D26" s="90" t="s">
        <v>0</v>
      </c>
      <c r="E26" s="90" t="s">
        <v>0</v>
      </c>
      <c r="F26" s="124" t="s">
        <v>0</v>
      </c>
      <c r="G26" s="125" t="s">
        <v>0</v>
      </c>
      <c r="H26" s="8"/>
      <c r="I26" s="8"/>
      <c r="J26" s="8"/>
      <c r="K26" s="8"/>
    </row>
    <row r="27" spans="2:11" ht="17.25">
      <c r="B27" s="84" t="s">
        <v>42</v>
      </c>
      <c r="C27" s="126">
        <f>+C23+C25</f>
        <v>1</v>
      </c>
      <c r="D27" s="84" t="s">
        <v>0</v>
      </c>
      <c r="E27" s="84" t="s">
        <v>0</v>
      </c>
      <c r="F27" s="127" t="s">
        <v>0</v>
      </c>
      <c r="G27" s="122">
        <f>+G23+G25</f>
        <v>5.535534000000001E-2</v>
      </c>
      <c r="H27" s="8"/>
      <c r="I27" s="8"/>
      <c r="J27" s="8"/>
      <c r="K27" s="8"/>
    </row>
    <row r="28" spans="2:11" ht="18" thickBot="1">
      <c r="B28" s="57"/>
      <c r="C28" s="57"/>
      <c r="D28" s="57"/>
      <c r="E28" s="57"/>
      <c r="F28" s="57"/>
      <c r="G28" s="128"/>
      <c r="H28" s="8"/>
      <c r="I28" s="8"/>
      <c r="J28" s="8"/>
      <c r="K28" s="8"/>
    </row>
    <row r="29" spans="2:11" ht="18" thickBot="1">
      <c r="B29" s="8"/>
      <c r="C29" s="8"/>
      <c r="D29" s="8"/>
      <c r="E29" s="8"/>
      <c r="F29" s="172" t="s">
        <v>74</v>
      </c>
      <c r="G29" s="267">
        <v>5.5399999999999998E-2</v>
      </c>
      <c r="H29" s="8"/>
      <c r="I29" s="8"/>
      <c r="J29" s="8"/>
      <c r="K29" s="8"/>
    </row>
    <row r="30" spans="2:11" ht="18" thickBot="1">
      <c r="B30" s="8"/>
      <c r="C30" s="8"/>
      <c r="D30" s="8"/>
      <c r="E30" s="8"/>
      <c r="F30" s="127"/>
      <c r="G30" s="122"/>
      <c r="H30" s="8"/>
      <c r="I30" s="8"/>
      <c r="J30" s="8"/>
      <c r="K30" s="8"/>
    </row>
    <row r="31" spans="2:11" ht="18" thickBot="1">
      <c r="B31" s="8"/>
      <c r="C31" s="8"/>
      <c r="D31" s="8"/>
      <c r="E31" s="8"/>
      <c r="F31" s="172" t="s">
        <v>221</v>
      </c>
      <c r="G31" s="202">
        <f>1/G29</f>
        <v>18.050541516245488</v>
      </c>
      <c r="H31" s="8"/>
      <c r="I31" s="8"/>
      <c r="J31" s="8"/>
      <c r="K31" s="8"/>
    </row>
    <row r="32" spans="2:11" ht="17.25">
      <c r="B32" s="8"/>
      <c r="C32" s="8"/>
      <c r="D32" s="8"/>
      <c r="E32" s="8"/>
      <c r="F32" s="127"/>
      <c r="G32" s="122"/>
      <c r="H32" s="8"/>
      <c r="I32" s="8"/>
      <c r="J32" s="8"/>
      <c r="K32" s="8"/>
    </row>
    <row r="33" spans="1:11" ht="17.25">
      <c r="B33" s="8"/>
      <c r="C33" s="8"/>
      <c r="D33" s="8"/>
      <c r="E33" s="8"/>
      <c r="F33" s="127"/>
      <c r="G33" s="122"/>
      <c r="H33" s="8"/>
      <c r="I33" s="8"/>
      <c r="J33" s="8"/>
      <c r="K33" s="8"/>
    </row>
    <row r="34" spans="1:11" ht="26.25">
      <c r="A34" s="19" t="s">
        <v>1</v>
      </c>
      <c r="C34" s="8"/>
      <c r="D34" s="8"/>
      <c r="E34" s="8"/>
      <c r="F34" s="127"/>
      <c r="G34" s="122"/>
      <c r="H34" s="8"/>
      <c r="I34" s="8"/>
      <c r="J34" s="8"/>
      <c r="K34" s="8"/>
    </row>
    <row r="35" spans="1:11" ht="17.25">
      <c r="A35" s="20" t="s">
        <v>9</v>
      </c>
      <c r="C35" s="8"/>
      <c r="D35" s="8"/>
      <c r="E35" s="8"/>
      <c r="F35" s="127"/>
      <c r="G35" s="122"/>
      <c r="H35" s="8"/>
      <c r="I35" s="8"/>
      <c r="J35" s="8"/>
      <c r="K35" s="8"/>
    </row>
    <row r="36" spans="1:11" ht="17.25">
      <c r="A36" s="21" t="s">
        <v>416</v>
      </c>
      <c r="C36" s="8"/>
      <c r="D36" s="8"/>
      <c r="E36" s="8"/>
      <c r="F36" s="127"/>
      <c r="G36" s="122"/>
      <c r="H36" s="8"/>
      <c r="I36" s="8"/>
      <c r="J36" s="8"/>
      <c r="K36" s="8"/>
    </row>
    <row r="37" spans="1:11" ht="17.25">
      <c r="A37" s="21"/>
      <c r="C37" s="8"/>
      <c r="D37" s="8"/>
      <c r="E37" s="8"/>
      <c r="F37" s="127"/>
      <c r="G37" s="122"/>
      <c r="H37" s="8"/>
      <c r="I37" s="8"/>
      <c r="J37" s="8"/>
      <c r="K37" s="8"/>
    </row>
    <row r="38" spans="1:11" ht="17.25">
      <c r="A38" s="21"/>
      <c r="C38" s="8"/>
      <c r="D38" s="8"/>
      <c r="E38" s="8"/>
      <c r="F38" s="127"/>
      <c r="G38" s="122"/>
      <c r="H38" s="8"/>
      <c r="I38" s="8"/>
      <c r="J38" s="8"/>
      <c r="K38" s="8"/>
    </row>
    <row r="39" spans="1:11" ht="17.25">
      <c r="A39" s="21"/>
      <c r="C39" s="8"/>
      <c r="D39" s="8"/>
      <c r="E39" s="8"/>
      <c r="F39" s="127"/>
      <c r="G39" s="122"/>
      <c r="H39" s="8"/>
      <c r="I39" s="8"/>
      <c r="J39" s="8"/>
      <c r="K39" s="8"/>
    </row>
    <row r="40" spans="1:11" ht="17.25">
      <c r="A40" s="21"/>
      <c r="C40" s="8"/>
      <c r="D40" s="8"/>
      <c r="E40" s="8"/>
      <c r="F40" s="127"/>
      <c r="G40" s="122"/>
      <c r="H40" s="8"/>
      <c r="I40" s="8"/>
      <c r="J40" s="8"/>
      <c r="K40" s="8"/>
    </row>
    <row r="41" spans="1:11" ht="17.25">
      <c r="A41" s="21"/>
      <c r="C41" s="8"/>
      <c r="D41" s="8"/>
      <c r="E41" s="8"/>
      <c r="F41" s="127"/>
      <c r="G41" s="122"/>
      <c r="H41" s="8"/>
      <c r="I41" s="8"/>
      <c r="J41" s="8"/>
      <c r="K41" s="8"/>
    </row>
    <row r="42" spans="1:11" ht="17.25">
      <c r="A42" s="21"/>
      <c r="C42" s="8"/>
      <c r="D42" s="8"/>
      <c r="E42" s="8"/>
      <c r="F42" s="127"/>
      <c r="G42" s="122"/>
      <c r="H42" s="8"/>
      <c r="I42" s="8"/>
      <c r="J42" s="8"/>
      <c r="K42" s="8"/>
    </row>
    <row r="43" spans="1:11" ht="17.25">
      <c r="A43" s="21"/>
      <c r="C43" s="8"/>
      <c r="D43" s="8"/>
      <c r="E43" s="8"/>
      <c r="F43" s="127"/>
      <c r="G43" s="122"/>
      <c r="H43" s="8"/>
      <c r="I43" s="8"/>
      <c r="J43" s="8"/>
      <c r="K43" s="8"/>
    </row>
    <row r="44" spans="1:11" ht="20.25">
      <c r="A44" s="21"/>
      <c r="C44" s="8"/>
      <c r="D44" s="72" t="s">
        <v>63</v>
      </c>
      <c r="E44" s="8"/>
      <c r="F44" s="127"/>
      <c r="G44" s="122"/>
      <c r="H44" s="8"/>
      <c r="I44" s="8"/>
      <c r="J44" s="8"/>
      <c r="K44" s="8"/>
    </row>
    <row r="45" spans="1:11" ht="20.25">
      <c r="A45" s="21"/>
      <c r="C45" s="8"/>
      <c r="D45" s="72"/>
      <c r="E45" s="8"/>
      <c r="F45" s="127"/>
      <c r="G45" s="122"/>
      <c r="H45" s="8"/>
      <c r="I45" s="8"/>
      <c r="J45" s="8"/>
      <c r="K45" s="8"/>
    </row>
    <row r="46" spans="1:11" ht="20.25">
      <c r="A46" s="21"/>
      <c r="C46" s="8"/>
      <c r="D46" s="72"/>
      <c r="E46" s="8"/>
      <c r="F46" s="127"/>
      <c r="G46" s="122"/>
      <c r="H46" s="8"/>
      <c r="I46" s="8"/>
      <c r="J46" s="8"/>
      <c r="K46" s="8"/>
    </row>
    <row r="47" spans="1:11" ht="17.25" thickBot="1">
      <c r="B47" s="8"/>
      <c r="C47" s="24"/>
      <c r="D47" s="24"/>
      <c r="E47" s="24"/>
      <c r="F47" s="8"/>
      <c r="G47" s="8"/>
      <c r="H47" s="8"/>
      <c r="I47" s="8"/>
      <c r="J47" s="8"/>
      <c r="K47" s="8"/>
    </row>
    <row r="48" spans="1:11" ht="26.25">
      <c r="B48" s="8"/>
      <c r="C48" s="8"/>
      <c r="D48" s="27" t="str">
        <f>+D15</f>
        <v>Railroad Carriers</v>
      </c>
      <c r="E48" s="8"/>
      <c r="F48" s="8"/>
      <c r="G48" s="8"/>
      <c r="H48" s="8"/>
      <c r="I48" s="8"/>
      <c r="J48" s="8"/>
      <c r="K48" s="8"/>
    </row>
    <row r="49" spans="2:11" ht="21" thickBot="1">
      <c r="B49" s="8"/>
      <c r="C49" s="24"/>
      <c r="D49" s="120" t="s">
        <v>65</v>
      </c>
      <c r="E49" s="24"/>
      <c r="F49" s="8"/>
      <c r="G49" s="8"/>
      <c r="H49" s="8"/>
      <c r="I49" s="8"/>
      <c r="J49" s="8"/>
      <c r="K49" s="8"/>
    </row>
    <row r="50" spans="2:11" ht="16.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7.25" thickBot="1">
      <c r="B51" s="24"/>
      <c r="C51" s="24"/>
      <c r="D51" s="32" t="s">
        <v>0</v>
      </c>
      <c r="E51" s="24"/>
      <c r="F51" s="24"/>
      <c r="G51" s="24"/>
      <c r="H51" s="8"/>
      <c r="I51" s="8"/>
      <c r="J51" s="8"/>
      <c r="K51" s="8"/>
    </row>
    <row r="52" spans="2:11" ht="16.5">
      <c r="B52" s="30" t="s">
        <v>31</v>
      </c>
      <c r="C52" s="30" t="s">
        <v>32</v>
      </c>
      <c r="D52" s="30" t="s">
        <v>67</v>
      </c>
      <c r="E52" s="30" t="s">
        <v>68</v>
      </c>
      <c r="F52" s="30" t="s">
        <v>66</v>
      </c>
      <c r="G52" s="30" t="s">
        <v>34</v>
      </c>
      <c r="H52" s="8"/>
      <c r="I52" s="8"/>
      <c r="J52" s="8"/>
      <c r="K52" s="8"/>
    </row>
    <row r="53" spans="2:11" ht="17.25" thickBot="1">
      <c r="B53" s="32" t="s">
        <v>32</v>
      </c>
      <c r="C53" s="32" t="s">
        <v>35</v>
      </c>
      <c r="D53" s="32" t="s">
        <v>36</v>
      </c>
      <c r="E53" s="32" t="s">
        <v>23</v>
      </c>
      <c r="F53" s="32" t="s">
        <v>37</v>
      </c>
      <c r="G53" s="32" t="s">
        <v>69</v>
      </c>
      <c r="H53" s="8"/>
      <c r="I53" s="8"/>
      <c r="J53" s="8"/>
      <c r="K53" s="8"/>
    </row>
    <row r="54" spans="2:11" ht="16.5">
      <c r="B54" s="34" t="s">
        <v>0</v>
      </c>
      <c r="C54" s="34" t="s">
        <v>0</v>
      </c>
      <c r="D54" s="34" t="s">
        <v>0</v>
      </c>
      <c r="E54" s="34" t="s">
        <v>0</v>
      </c>
      <c r="F54" s="34" t="s">
        <v>0</v>
      </c>
      <c r="G54" s="34" t="s">
        <v>0</v>
      </c>
      <c r="H54" s="8"/>
      <c r="I54" s="8"/>
      <c r="J54" s="8"/>
      <c r="K54" s="8"/>
    </row>
    <row r="55" spans="2:11" ht="16.5">
      <c r="B55" s="30"/>
      <c r="C55" s="30"/>
      <c r="D55" s="30"/>
      <c r="E55" s="30"/>
      <c r="F55" s="30"/>
      <c r="G55" s="30"/>
      <c r="H55" s="8"/>
      <c r="I55" s="8"/>
      <c r="J55" s="8"/>
      <c r="K55" s="8"/>
    </row>
    <row r="56" spans="2:11" ht="17.25">
      <c r="B56" s="84" t="s">
        <v>39</v>
      </c>
      <c r="C56" s="121">
        <f>'S&amp;D'!J46</f>
        <v>0.81</v>
      </c>
      <c r="D56" s="121">
        <f>+'Direct GCF'!H30</f>
        <v>8.3100000000000007E-2</v>
      </c>
      <c r="E56" s="97" t="s">
        <v>40</v>
      </c>
      <c r="F56" s="121">
        <f>+D56</f>
        <v>8.3100000000000007E-2</v>
      </c>
      <c r="G56" s="122">
        <f>+F56*C56</f>
        <v>6.731100000000001E-2</v>
      </c>
      <c r="H56" s="8"/>
      <c r="I56" s="8"/>
      <c r="J56" s="8"/>
      <c r="K56" s="8"/>
    </row>
    <row r="57" spans="2:11" ht="17.25">
      <c r="B57" s="84" t="s">
        <v>0</v>
      </c>
      <c r="C57" s="97" t="s">
        <v>0</v>
      </c>
      <c r="D57" s="97" t="s">
        <v>0</v>
      </c>
      <c r="E57" s="97" t="s">
        <v>0</v>
      </c>
      <c r="F57" s="123" t="s">
        <v>0</v>
      </c>
      <c r="G57" s="111" t="s">
        <v>0</v>
      </c>
      <c r="H57" s="8"/>
      <c r="I57" s="8"/>
      <c r="J57" s="8"/>
      <c r="K57" s="8"/>
    </row>
    <row r="58" spans="2:11" ht="17.25">
      <c r="B58" s="84" t="s">
        <v>41</v>
      </c>
      <c r="C58" s="121">
        <f>'S&amp;D'!K46</f>
        <v>0.19</v>
      </c>
      <c r="D58" s="121">
        <f>+Debt!J27</f>
        <v>5.6399999999999999E-2</v>
      </c>
      <c r="E58" s="121">
        <v>0.26</v>
      </c>
      <c r="F58" s="121">
        <f>+D58*(1-E58)</f>
        <v>4.1735999999999995E-2</v>
      </c>
      <c r="G58" s="122">
        <f>+C58*F58</f>
        <v>7.9298399999999988E-3</v>
      </c>
      <c r="H58" s="8"/>
      <c r="I58" s="8"/>
      <c r="J58" s="8"/>
      <c r="K58" s="8"/>
    </row>
    <row r="59" spans="2:11" ht="18" thickBot="1">
      <c r="B59" s="90" t="s">
        <v>0</v>
      </c>
      <c r="C59" s="90" t="s">
        <v>0</v>
      </c>
      <c r="D59" s="90" t="s">
        <v>0</v>
      </c>
      <c r="E59" s="90" t="s">
        <v>0</v>
      </c>
      <c r="F59" s="124" t="s">
        <v>0</v>
      </c>
      <c r="G59" s="125" t="s">
        <v>0</v>
      </c>
      <c r="H59" s="8"/>
      <c r="I59" s="8"/>
      <c r="J59" s="8"/>
      <c r="K59" s="8"/>
    </row>
    <row r="60" spans="2:11" ht="17.25">
      <c r="B60" s="84" t="s">
        <v>42</v>
      </c>
      <c r="C60" s="126">
        <f>+C56+C58</f>
        <v>1</v>
      </c>
      <c r="D60" s="84" t="s">
        <v>0</v>
      </c>
      <c r="E60" s="84" t="s">
        <v>0</v>
      </c>
      <c r="F60" s="127" t="s">
        <v>0</v>
      </c>
      <c r="G60" s="122">
        <f>+G56+G58</f>
        <v>7.5240840000000003E-2</v>
      </c>
      <c r="H60" s="8"/>
      <c r="I60" s="8"/>
      <c r="J60" s="8"/>
      <c r="K60" s="8"/>
    </row>
    <row r="61" spans="2:11" ht="18" thickBot="1">
      <c r="B61" s="57"/>
      <c r="C61" s="57"/>
      <c r="D61" s="57"/>
      <c r="E61" s="57"/>
      <c r="F61" s="57"/>
      <c r="G61" s="128"/>
      <c r="H61" s="8"/>
      <c r="I61" s="8"/>
      <c r="J61" s="8"/>
      <c r="K61" s="8"/>
    </row>
    <row r="62" spans="2:11" ht="18" thickBot="1">
      <c r="B62" s="8"/>
      <c r="C62" s="8"/>
      <c r="D62" s="8"/>
      <c r="E62" s="8"/>
      <c r="F62" s="172" t="s">
        <v>74</v>
      </c>
      <c r="G62" s="267">
        <v>7.5200000000000003E-2</v>
      </c>
      <c r="H62" s="8"/>
      <c r="I62" s="8"/>
      <c r="J62" s="8"/>
      <c r="K62" s="8"/>
    </row>
    <row r="63" spans="2:11" ht="15.75" thickBot="1"/>
    <row r="64" spans="2:11" ht="18" thickBot="1">
      <c r="F64" s="172" t="s">
        <v>221</v>
      </c>
      <c r="G64" s="202">
        <f>1/G62</f>
        <v>13.297872340425531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70"/>
  <sheetViews>
    <sheetView view="pageBreakPreview" zoomScale="70" zoomScaleNormal="80" zoomScaleSheetLayoutView="70" zoomScalePageLayoutView="70" workbookViewId="0">
      <pane xSplit="1" topLeftCell="D1" activePane="topRight" state="frozen"/>
      <selection pane="topRight" activeCell="G57" sqref="G57"/>
    </sheetView>
  </sheetViews>
  <sheetFormatPr defaultRowHeight="15"/>
  <cols>
    <col min="1" max="1" width="63" customWidth="1"/>
    <col min="2" max="2" width="11.5703125" bestFit="1" customWidth="1"/>
    <col min="3" max="3" width="20.42578125" bestFit="1" customWidth="1"/>
    <col min="4" max="4" width="25.5703125" bestFit="1" customWidth="1"/>
    <col min="5" max="5" width="28" customWidth="1"/>
    <col min="6" max="8" width="29.140625" customWidth="1"/>
    <col min="9" max="9" width="28.5703125" customWidth="1"/>
    <col min="10" max="10" width="28.7109375" customWidth="1"/>
    <col min="11" max="11" width="28.5703125" customWidth="1"/>
    <col min="12" max="12" width="28.85546875" customWidth="1"/>
    <col min="13" max="13" width="30.140625" bestFit="1" customWidth="1"/>
    <col min="14" max="14" width="24.42578125" customWidth="1"/>
  </cols>
  <sheetData>
    <row r="1" spans="1:12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6.5">
      <c r="A4" s="21"/>
      <c r="B4" s="8"/>
      <c r="C4" s="8"/>
      <c r="D4" s="8"/>
      <c r="E4" s="8"/>
      <c r="F4" s="170" t="s">
        <v>0</v>
      </c>
      <c r="G4" s="8"/>
      <c r="H4" s="8"/>
      <c r="I4" s="8"/>
      <c r="J4" s="8"/>
      <c r="K4" s="8"/>
    </row>
    <row r="5" spans="1:12" ht="16.5">
      <c r="B5" s="8"/>
      <c r="C5" s="8"/>
      <c r="D5" s="8"/>
      <c r="E5" s="22"/>
      <c r="F5" s="170" t="s">
        <v>0</v>
      </c>
      <c r="G5" s="8"/>
      <c r="H5" s="8"/>
      <c r="I5" s="8"/>
      <c r="J5" s="8"/>
      <c r="K5" s="8" t="s">
        <v>0</v>
      </c>
    </row>
    <row r="6" spans="1:12" ht="16.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ht="16.5">
      <c r="A7" s="8"/>
      <c r="B7" s="30"/>
      <c r="C7" s="30"/>
      <c r="D7" s="30"/>
      <c r="E7" s="30"/>
      <c r="F7" s="30"/>
      <c r="G7" s="10"/>
      <c r="H7" s="39"/>
      <c r="I7" s="39" t="s">
        <v>0</v>
      </c>
      <c r="J7" s="79"/>
      <c r="K7" s="79"/>
      <c r="L7" s="2"/>
    </row>
    <row r="8" spans="1:12" ht="16.5">
      <c r="A8" s="80"/>
      <c r="B8" s="30"/>
      <c r="C8" s="30"/>
      <c r="D8" s="30"/>
      <c r="E8" s="30"/>
      <c r="F8" s="30"/>
      <c r="G8" s="10"/>
      <c r="H8" s="39"/>
      <c r="I8" s="39" t="s">
        <v>0</v>
      </c>
      <c r="J8" s="79"/>
      <c r="K8" s="79"/>
      <c r="L8" s="2"/>
    </row>
    <row r="9" spans="1:12" ht="16.5">
      <c r="A9" s="80"/>
      <c r="B9" s="30"/>
      <c r="C9" s="30"/>
      <c r="D9" s="30"/>
      <c r="E9" s="30"/>
      <c r="F9" s="30"/>
      <c r="G9" s="10"/>
      <c r="H9" s="39"/>
      <c r="I9" s="39" t="s">
        <v>0</v>
      </c>
      <c r="J9" s="79"/>
      <c r="K9" s="79"/>
      <c r="L9" s="2"/>
    </row>
    <row r="10" spans="1:12" ht="16.5">
      <c r="A10" s="39"/>
      <c r="D10" s="39"/>
      <c r="E10" s="39"/>
      <c r="F10" s="39"/>
      <c r="G10" s="39"/>
      <c r="H10" s="39"/>
      <c r="I10" s="39"/>
      <c r="J10" s="39"/>
      <c r="K10" s="39"/>
      <c r="L10" s="1"/>
    </row>
    <row r="11" spans="1:12" ht="17.25" thickBot="1">
      <c r="A11" s="39"/>
      <c r="D11" s="39"/>
      <c r="E11" s="81"/>
      <c r="F11" s="24"/>
      <c r="G11" s="81"/>
      <c r="H11" s="39"/>
      <c r="I11" s="39"/>
      <c r="J11" s="39" t="s">
        <v>0</v>
      </c>
      <c r="K11" s="39"/>
      <c r="L11" s="1"/>
    </row>
    <row r="12" spans="1:12" ht="27" thickBot="1">
      <c r="A12" s="23" t="s">
        <v>349</v>
      </c>
      <c r="D12" s="39"/>
      <c r="E12" s="39"/>
      <c r="F12" s="27" t="s">
        <v>75</v>
      </c>
      <c r="G12" s="39"/>
      <c r="H12" s="39"/>
      <c r="I12" s="39"/>
      <c r="J12" s="39"/>
      <c r="K12" s="8"/>
    </row>
    <row r="13" spans="1:12" ht="21" thickBot="1">
      <c r="A13" s="26"/>
      <c r="D13" s="39"/>
      <c r="E13" s="81"/>
      <c r="F13" s="32" t="s">
        <v>417</v>
      </c>
      <c r="G13" s="81"/>
      <c r="H13" s="39"/>
      <c r="I13" s="39"/>
      <c r="J13" s="39"/>
      <c r="K13" s="8"/>
    </row>
    <row r="14" spans="1:12" ht="20.25">
      <c r="A14" s="26"/>
      <c r="B14" s="39"/>
      <c r="C14" s="39"/>
      <c r="D14" s="39" t="s">
        <v>0</v>
      </c>
      <c r="E14" s="39" t="s">
        <v>0</v>
      </c>
      <c r="F14" s="9" t="s">
        <v>0</v>
      </c>
      <c r="G14" s="39"/>
      <c r="H14" s="39"/>
      <c r="I14" s="39"/>
      <c r="J14" s="39"/>
      <c r="K14" s="8"/>
    </row>
    <row r="15" spans="1:12" ht="17.25" thickBot="1">
      <c r="A15" s="37" t="s">
        <v>0</v>
      </c>
      <c r="B15" s="37" t="s">
        <v>0</v>
      </c>
      <c r="C15" s="37" t="s">
        <v>0</v>
      </c>
      <c r="D15" s="37"/>
      <c r="E15" s="37"/>
      <c r="F15" s="37"/>
      <c r="G15" s="37" t="s">
        <v>0</v>
      </c>
      <c r="H15" s="81"/>
      <c r="I15" s="81"/>
      <c r="J15" s="81"/>
      <c r="K15" s="8"/>
    </row>
    <row r="16" spans="1:12" ht="17.25">
      <c r="A16" s="218"/>
      <c r="B16" s="219"/>
      <c r="C16" s="234"/>
      <c r="D16" s="203" t="s">
        <v>13</v>
      </c>
      <c r="E16" s="231" t="s">
        <v>13</v>
      </c>
      <c r="F16" s="203" t="s">
        <v>13</v>
      </c>
      <c r="G16" s="220" t="s">
        <v>230</v>
      </c>
      <c r="H16" s="364" t="s">
        <v>418</v>
      </c>
      <c r="I16" s="364" t="s">
        <v>418</v>
      </c>
      <c r="J16" s="364" t="s">
        <v>418</v>
      </c>
      <c r="K16" s="8"/>
    </row>
    <row r="17" spans="1:13" ht="17.25">
      <c r="A17" s="82" t="s">
        <v>0</v>
      </c>
      <c r="B17" s="83" t="s">
        <v>3</v>
      </c>
      <c r="C17" s="206" t="s">
        <v>5</v>
      </c>
      <c r="D17" s="85" t="s">
        <v>10</v>
      </c>
      <c r="E17" s="232" t="s">
        <v>10</v>
      </c>
      <c r="F17" s="85" t="s">
        <v>19</v>
      </c>
      <c r="G17" s="86" t="s">
        <v>418</v>
      </c>
      <c r="H17" s="83" t="s">
        <v>12</v>
      </c>
      <c r="I17" s="223" t="s">
        <v>11</v>
      </c>
      <c r="J17" s="87" t="s">
        <v>143</v>
      </c>
      <c r="K17" s="8"/>
    </row>
    <row r="18" spans="1:13" ht="17.25">
      <c r="A18" s="82" t="s">
        <v>2</v>
      </c>
      <c r="B18" s="83" t="s">
        <v>4</v>
      </c>
      <c r="C18" s="206" t="s">
        <v>6</v>
      </c>
      <c r="D18" s="85" t="s">
        <v>46</v>
      </c>
      <c r="E18" s="232" t="s">
        <v>47</v>
      </c>
      <c r="F18" s="85" t="s">
        <v>10</v>
      </c>
      <c r="G18" s="86" t="s">
        <v>10</v>
      </c>
      <c r="H18" s="83" t="s">
        <v>73</v>
      </c>
      <c r="I18" s="223" t="s">
        <v>339</v>
      </c>
      <c r="J18" s="87" t="s">
        <v>410</v>
      </c>
      <c r="K18" s="8" t="s">
        <v>0</v>
      </c>
    </row>
    <row r="19" spans="1:13" ht="18" thickBot="1">
      <c r="A19" s="88" t="s">
        <v>0</v>
      </c>
      <c r="B19" s="89" t="s">
        <v>0</v>
      </c>
      <c r="C19" s="103" t="s">
        <v>0</v>
      </c>
      <c r="D19" s="89" t="s">
        <v>0</v>
      </c>
      <c r="E19" s="90" t="s">
        <v>0</v>
      </c>
      <c r="F19" s="89" t="s">
        <v>0</v>
      </c>
      <c r="G19" s="90" t="s">
        <v>0</v>
      </c>
      <c r="H19" s="91" t="s">
        <v>62</v>
      </c>
      <c r="I19" s="92" t="s">
        <v>61</v>
      </c>
      <c r="J19" s="91" t="s">
        <v>61</v>
      </c>
      <c r="K19" s="8"/>
    </row>
    <row r="20" spans="1:13" ht="16.5">
      <c r="A20" s="235" t="s">
        <v>7</v>
      </c>
      <c r="B20" s="255" t="s">
        <v>7</v>
      </c>
      <c r="C20" s="235" t="s">
        <v>7</v>
      </c>
      <c r="D20" s="263" t="s">
        <v>7</v>
      </c>
      <c r="E20" s="263" t="s">
        <v>7</v>
      </c>
      <c r="F20" s="38" t="s">
        <v>15</v>
      </c>
      <c r="G20" s="254" t="s">
        <v>7</v>
      </c>
      <c r="H20" s="235" t="s">
        <v>8</v>
      </c>
      <c r="I20" s="255" t="s">
        <v>8</v>
      </c>
      <c r="J20" s="235" t="s">
        <v>8</v>
      </c>
      <c r="K20" s="8"/>
    </row>
    <row r="21" spans="1:13" ht="17.25">
      <c r="A21" s="83"/>
      <c r="B21" s="84"/>
      <c r="C21" s="83"/>
      <c r="D21" s="206"/>
      <c r="E21" s="84"/>
      <c r="F21" s="82"/>
      <c r="G21" s="82"/>
      <c r="H21" s="83"/>
      <c r="I21" s="57"/>
      <c r="J21" s="95"/>
    </row>
    <row r="22" spans="1:13" ht="17.25">
      <c r="A22" s="96" t="s">
        <v>350</v>
      </c>
      <c r="B22" s="74" t="s">
        <v>351</v>
      </c>
      <c r="C22" s="84" t="s">
        <v>352</v>
      </c>
      <c r="D22" s="313">
        <v>116.79</v>
      </c>
      <c r="E22" s="314">
        <v>98.96</v>
      </c>
      <c r="F22" s="313">
        <f>AVERAGE(D22,E22)</f>
        <v>107.875</v>
      </c>
      <c r="G22" s="314">
        <v>101.51</v>
      </c>
      <c r="H22" s="301">
        <v>628834857</v>
      </c>
      <c r="I22" s="306">
        <v>0</v>
      </c>
      <c r="J22" s="302">
        <f>(1166000000+19728000000)*0.6948</f>
        <v>14517151200</v>
      </c>
      <c r="K22" s="8" t="s">
        <v>0</v>
      </c>
      <c r="L22" t="s">
        <v>0</v>
      </c>
      <c r="M22" t="s">
        <v>0</v>
      </c>
    </row>
    <row r="23" spans="1:13" ht="17.25">
      <c r="A23" s="96" t="s">
        <v>411</v>
      </c>
      <c r="B23" s="74" t="s">
        <v>353</v>
      </c>
      <c r="C23" s="84" t="s">
        <v>352</v>
      </c>
      <c r="D23" s="313">
        <v>82.26</v>
      </c>
      <c r="E23" s="314">
        <v>70.89</v>
      </c>
      <c r="F23" s="313">
        <f>AVERAGE(D23,E23)</f>
        <v>76.575000000000003</v>
      </c>
      <c r="G23" s="314">
        <v>72.37</v>
      </c>
      <c r="H23" s="301">
        <v>933500000</v>
      </c>
      <c r="I23" s="306">
        <v>0</v>
      </c>
      <c r="J23" s="302">
        <f>(2819000000+19804000000)*0.6948</f>
        <v>15718460400</v>
      </c>
      <c r="K23" s="8" t="s">
        <v>0</v>
      </c>
      <c r="L23" t="s">
        <v>0</v>
      </c>
    </row>
    <row r="24" spans="1:13" ht="17.25">
      <c r="A24" s="96" t="s">
        <v>354</v>
      </c>
      <c r="B24" s="74" t="s">
        <v>355</v>
      </c>
      <c r="C24" s="84" t="s">
        <v>352</v>
      </c>
      <c r="D24" s="313">
        <v>32.369999999999997</v>
      </c>
      <c r="E24" s="314">
        <v>31.43</v>
      </c>
      <c r="F24" s="313">
        <f t="shared" ref="F24:F26" si="0">AVERAGE(D24,E24)</f>
        <v>31.9</v>
      </c>
      <c r="G24" s="314">
        <v>32.369999999999997</v>
      </c>
      <c r="H24" s="301">
        <v>1900000000</v>
      </c>
      <c r="I24" s="306">
        <v>25000000</v>
      </c>
      <c r="J24" s="302">
        <v>18503000000</v>
      </c>
      <c r="K24" s="8"/>
    </row>
    <row r="25" spans="1:13" ht="17.25">
      <c r="A25" s="96" t="s">
        <v>356</v>
      </c>
      <c r="B25" s="74" t="s">
        <v>357</v>
      </c>
      <c r="C25" s="84" t="s">
        <v>352</v>
      </c>
      <c r="D25" s="313">
        <v>277.60000000000002</v>
      </c>
      <c r="E25" s="314">
        <v>230</v>
      </c>
      <c r="F25" s="313">
        <f t="shared" si="0"/>
        <v>253.8</v>
      </c>
      <c r="G25" s="313">
        <v>234.7</v>
      </c>
      <c r="H25" s="301">
        <v>226320894</v>
      </c>
      <c r="I25" s="303">
        <v>0</v>
      </c>
      <c r="J25" s="302">
        <v>17206000000</v>
      </c>
      <c r="K25" s="8"/>
    </row>
    <row r="26" spans="1:13" ht="18" thickBot="1">
      <c r="A26" s="259" t="s">
        <v>358</v>
      </c>
      <c r="B26" s="75" t="s">
        <v>359</v>
      </c>
      <c r="C26" s="90" t="s">
        <v>352</v>
      </c>
      <c r="D26" s="315">
        <v>244.03</v>
      </c>
      <c r="E26" s="316">
        <v>221.86</v>
      </c>
      <c r="F26" s="315">
        <f t="shared" si="0"/>
        <v>232.94499999999999</v>
      </c>
      <c r="G26" s="363">
        <v>228.04</v>
      </c>
      <c r="H26" s="300">
        <v>604241260</v>
      </c>
      <c r="I26" s="304">
        <v>0</v>
      </c>
      <c r="J26" s="305">
        <v>31192000000</v>
      </c>
      <c r="K26" s="8"/>
    </row>
    <row r="27" spans="1:13" ht="17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8"/>
      <c r="L27" t="s">
        <v>0</v>
      </c>
    </row>
    <row r="28" spans="1:13" ht="17.25">
      <c r="A28" s="354" t="s">
        <v>404</v>
      </c>
      <c r="B28" s="99"/>
      <c r="C28" s="99"/>
      <c r="D28" s="99" t="s">
        <v>0</v>
      </c>
      <c r="E28" s="99"/>
      <c r="F28" s="99"/>
      <c r="G28" s="99"/>
      <c r="H28" s="99" t="s">
        <v>0</v>
      </c>
      <c r="I28" s="99"/>
      <c r="J28" s="99" t="s">
        <v>0</v>
      </c>
      <c r="K28" s="8"/>
    </row>
    <row r="29" spans="1:13" ht="18" thickBot="1">
      <c r="A29" s="100" t="s">
        <v>0</v>
      </c>
      <c r="B29" s="101"/>
      <c r="C29" s="101"/>
      <c r="D29" s="101"/>
      <c r="E29" s="101"/>
      <c r="F29" s="24"/>
      <c r="G29" s="391" t="s">
        <v>0</v>
      </c>
      <c r="H29" s="101"/>
      <c r="I29" s="101"/>
      <c r="J29" s="99"/>
      <c r="K29" s="99"/>
      <c r="L29" s="3"/>
    </row>
    <row r="30" spans="1:13" ht="17.25">
      <c r="A30" s="82"/>
      <c r="B30" s="83"/>
      <c r="C30" s="84"/>
      <c r="D30" s="364" t="s">
        <v>418</v>
      </c>
      <c r="E30" s="364" t="s">
        <v>418</v>
      </c>
      <c r="F30" s="364" t="s">
        <v>418</v>
      </c>
      <c r="G30" s="390" t="s">
        <v>421</v>
      </c>
      <c r="H30" s="364" t="s">
        <v>418</v>
      </c>
      <c r="I30" s="364" t="s">
        <v>418</v>
      </c>
      <c r="J30" s="364" t="s">
        <v>418</v>
      </c>
      <c r="K30" s="364" t="s">
        <v>418</v>
      </c>
    </row>
    <row r="31" spans="1:13" ht="17.25">
      <c r="A31" s="82" t="s">
        <v>0</v>
      </c>
      <c r="B31" s="83" t="s">
        <v>3</v>
      </c>
      <c r="C31" s="84" t="s">
        <v>5</v>
      </c>
      <c r="D31" s="83" t="s">
        <v>12</v>
      </c>
      <c r="E31" s="97" t="s">
        <v>142</v>
      </c>
      <c r="F31" s="87" t="s">
        <v>266</v>
      </c>
      <c r="G31" s="87" t="s">
        <v>422</v>
      </c>
      <c r="H31" s="83" t="s">
        <v>198</v>
      </c>
      <c r="I31" s="87" t="s">
        <v>16</v>
      </c>
      <c r="J31" s="87" t="s">
        <v>17</v>
      </c>
      <c r="K31" s="87" t="s">
        <v>52</v>
      </c>
    </row>
    <row r="32" spans="1:13" ht="18" thickBot="1">
      <c r="A32" s="88" t="s">
        <v>2</v>
      </c>
      <c r="B32" s="89" t="s">
        <v>4</v>
      </c>
      <c r="C32" s="90" t="s">
        <v>6</v>
      </c>
      <c r="D32" s="89" t="s">
        <v>14</v>
      </c>
      <c r="E32" s="90" t="s">
        <v>14</v>
      </c>
      <c r="F32" s="89" t="s">
        <v>279</v>
      </c>
      <c r="G32" s="89" t="s">
        <v>279</v>
      </c>
      <c r="H32" s="89" t="s">
        <v>14</v>
      </c>
      <c r="I32" s="75" t="s">
        <v>409</v>
      </c>
      <c r="J32" s="89" t="s">
        <v>0</v>
      </c>
      <c r="K32" s="89" t="s">
        <v>331</v>
      </c>
    </row>
    <row r="33" spans="1:14" ht="16.5">
      <c r="A33" s="93" t="s">
        <v>7</v>
      </c>
      <c r="B33" s="94" t="s">
        <v>7</v>
      </c>
      <c r="C33" s="38" t="s">
        <v>7</v>
      </c>
      <c r="D33" s="94" t="s">
        <v>15</v>
      </c>
      <c r="E33" s="38" t="s">
        <v>8</v>
      </c>
      <c r="F33" s="94" t="s">
        <v>8</v>
      </c>
      <c r="G33" s="94" t="s">
        <v>8</v>
      </c>
      <c r="H33" s="94" t="s">
        <v>8</v>
      </c>
      <c r="I33" s="94" t="s">
        <v>15</v>
      </c>
      <c r="J33" s="94" t="s">
        <v>15</v>
      </c>
      <c r="K33" s="94" t="s">
        <v>15</v>
      </c>
      <c r="M33" s="381"/>
      <c r="N33" s="381"/>
    </row>
    <row r="34" spans="1:14" ht="17.25">
      <c r="A34" s="82"/>
      <c r="B34" s="83"/>
      <c r="C34" s="84"/>
      <c r="D34" s="367"/>
      <c r="E34" s="99"/>
      <c r="F34" s="95"/>
      <c r="H34" s="367"/>
      <c r="I34" s="95"/>
      <c r="J34" s="95"/>
      <c r="K34" s="95"/>
      <c r="M34" s="382"/>
      <c r="N34" s="382"/>
    </row>
    <row r="35" spans="1:14" ht="17.25">
      <c r="A35" s="96" t="str">
        <f t="shared" ref="A35:C39" si="1">+A22</f>
        <v>Canadian National</v>
      </c>
      <c r="B35" s="83" t="str">
        <f t="shared" si="1"/>
        <v>CNI</v>
      </c>
      <c r="C35" s="84" t="str">
        <f t="shared" si="1"/>
        <v>Railroad</v>
      </c>
      <c r="D35" s="302">
        <f>(+H22)*G22</f>
        <v>63833026334.07</v>
      </c>
      <c r="E35" s="105">
        <f>(1/1)*I22</f>
        <v>0</v>
      </c>
      <c r="F35" s="302">
        <f>(485000000+343000000)*0.6948</f>
        <v>575294400</v>
      </c>
      <c r="H35" s="302">
        <f>(19688000000/20887000000)*J22</f>
        <v>13683806809.288074</v>
      </c>
      <c r="I35" s="301">
        <f t="shared" ref="I35:I37" si="2">+D35+E35+F35+G35+H35</f>
        <v>78092127543.358078</v>
      </c>
      <c r="J35" s="365">
        <f>(+D35)/I35</f>
        <v>0.81740667519435706</v>
      </c>
      <c r="K35" s="365">
        <f>(+E35+F35+G35+H35)/I35</f>
        <v>0.18259332480564291</v>
      </c>
      <c r="M35" s="383"/>
      <c r="N35" s="383"/>
    </row>
    <row r="36" spans="1:14" ht="17.25">
      <c r="A36" s="96" t="str">
        <f t="shared" si="1"/>
        <v>Canadian Pacific Kansas City Limited  CPKC</v>
      </c>
      <c r="B36" s="83" t="str">
        <f t="shared" si="1"/>
        <v>CP</v>
      </c>
      <c r="C36" s="84" t="str">
        <f t="shared" si="1"/>
        <v>Railroad</v>
      </c>
      <c r="D36" s="302">
        <f>(+H23)*G23</f>
        <v>67557395000.000008</v>
      </c>
      <c r="E36" s="105">
        <f>(1/1)*I23</f>
        <v>0</v>
      </c>
      <c r="F36" s="369">
        <f>111000000*0.6948</f>
        <v>77122800</v>
      </c>
      <c r="H36" s="302">
        <f>(18911000000/20749000000)*J23</f>
        <v>14326078588.095812</v>
      </c>
      <c r="I36" s="301">
        <f>+D36+E36+F36+G36+H36</f>
        <v>81960596388.095825</v>
      </c>
      <c r="J36" s="365">
        <f>(+D36)/I36</f>
        <v>0.82426675716347308</v>
      </c>
      <c r="K36" s="365">
        <f t="shared" ref="K36:K39" si="3">(+E36+F36+G36+H36)/I36</f>
        <v>0.17573324283652689</v>
      </c>
      <c r="M36" s="384"/>
      <c r="N36" s="384"/>
    </row>
    <row r="37" spans="1:14" ht="17.25">
      <c r="A37" s="96" t="str">
        <f t="shared" si="1"/>
        <v>CSX Corp</v>
      </c>
      <c r="B37" s="83" t="str">
        <f t="shared" si="1"/>
        <v>CSX</v>
      </c>
      <c r="C37" s="84" t="str">
        <f t="shared" si="1"/>
        <v>Railroad</v>
      </c>
      <c r="D37" s="302">
        <f>(+H24)*G24</f>
        <v>61502999999.999992</v>
      </c>
      <c r="E37" s="105">
        <f>(1/1)*I24</f>
        <v>25000000</v>
      </c>
      <c r="F37" s="302">
        <v>559000000</v>
      </c>
      <c r="H37" s="368">
        <f>(16481000000/18503000000)*J24</f>
        <v>16481000000</v>
      </c>
      <c r="I37" s="301">
        <f t="shared" si="2"/>
        <v>78568000000</v>
      </c>
      <c r="J37" s="365">
        <f>(+D37)/I37</f>
        <v>0.7827996130740249</v>
      </c>
      <c r="K37" s="365">
        <f t="shared" si="3"/>
        <v>0.21720038692597496</v>
      </c>
      <c r="M37" s="385"/>
      <c r="N37" s="384"/>
    </row>
    <row r="38" spans="1:14" ht="17.25">
      <c r="A38" s="294" t="str">
        <f t="shared" si="1"/>
        <v>Norfolk Southern</v>
      </c>
      <c r="B38" s="83" t="str">
        <f t="shared" si="1"/>
        <v>NSC</v>
      </c>
      <c r="C38" s="84" t="str">
        <f t="shared" si="1"/>
        <v>Railroad</v>
      </c>
      <c r="D38" s="302">
        <f>(+H25)*G25</f>
        <v>53117513821.799995</v>
      </c>
      <c r="E38" s="264">
        <f>(1/1)*I25</f>
        <v>0</v>
      </c>
      <c r="F38" s="302">
        <v>272000000</v>
      </c>
      <c r="H38" s="368">
        <f>(15656000000/17206000000)*J25</f>
        <v>15656000000</v>
      </c>
      <c r="I38" s="301">
        <f>+D38+E38+F38+G38+H38</f>
        <v>69045513821.799988</v>
      </c>
      <c r="J38" s="365">
        <f>(+D38)/I38</f>
        <v>0.76931158712050907</v>
      </c>
      <c r="K38" s="365">
        <f>(+E38+F38+G38+H38)/I38</f>
        <v>0.23068841287949102</v>
      </c>
      <c r="M38" s="385"/>
      <c r="N38" s="384"/>
    </row>
    <row r="39" spans="1:14" ht="17.25">
      <c r="A39" s="96" t="str">
        <f t="shared" si="1"/>
        <v>Union Pacific Railroad</v>
      </c>
      <c r="B39" s="83" t="str">
        <f t="shared" si="1"/>
        <v>UNP</v>
      </c>
      <c r="C39" s="84" t="str">
        <f t="shared" si="1"/>
        <v>Railroad</v>
      </c>
      <c r="D39" s="302">
        <f>(+H26)*G26</f>
        <v>137791176930.39999</v>
      </c>
      <c r="E39" s="105">
        <f>(1/1)*I26</f>
        <v>0</v>
      </c>
      <c r="F39" s="302">
        <v>1271000000</v>
      </c>
      <c r="H39" s="368">
        <v>25300000000</v>
      </c>
      <c r="I39" s="301">
        <f>+D39+E39+F39+G39+H39</f>
        <v>164362176930.39999</v>
      </c>
      <c r="J39" s="365">
        <f>(+D39)/I39</f>
        <v>0.83833871942903493</v>
      </c>
      <c r="K39" s="365">
        <f t="shared" si="3"/>
        <v>0.1616612805709651</v>
      </c>
      <c r="M39" s="385"/>
      <c r="N39" s="384"/>
    </row>
    <row r="40" spans="1:14" ht="18" thickBot="1">
      <c r="A40" s="106"/>
      <c r="B40" s="366"/>
      <c r="C40" s="101"/>
      <c r="D40" s="366"/>
      <c r="E40" s="101"/>
      <c r="F40" s="366"/>
      <c r="G40" s="389"/>
      <c r="H40" s="366"/>
      <c r="I40" s="366"/>
      <c r="J40" s="366"/>
      <c r="K40" s="366"/>
    </row>
    <row r="41" spans="1:14" ht="17.25">
      <c r="A41" s="8"/>
      <c r="B41" s="8"/>
      <c r="C41" s="8"/>
      <c r="D41" s="8"/>
      <c r="E41" s="8"/>
      <c r="F41" s="8"/>
      <c r="H41" s="8"/>
      <c r="I41" s="108" t="s">
        <v>46</v>
      </c>
      <c r="J41" s="110">
        <f>MAX(J35:J39)</f>
        <v>0.83833871942903493</v>
      </c>
      <c r="K41" s="110">
        <f>MAX(K35:K39)</f>
        <v>0.23068841287949102</v>
      </c>
    </row>
    <row r="42" spans="1:14" ht="17.25">
      <c r="A42" s="8"/>
      <c r="B42" s="8"/>
      <c r="C42" s="8"/>
      <c r="D42" s="8"/>
      <c r="E42" s="8" t="s">
        <v>0</v>
      </c>
      <c r="F42" s="8"/>
      <c r="H42" s="8" t="s">
        <v>0</v>
      </c>
      <c r="I42" s="290" t="s">
        <v>47</v>
      </c>
      <c r="J42" s="291">
        <f>MIN(J35:J39)</f>
        <v>0.76931158712050907</v>
      </c>
      <c r="K42" s="291">
        <f>MIN(K35:K39)</f>
        <v>0.1616612805709651</v>
      </c>
    </row>
    <row r="43" spans="1:14" ht="17.25">
      <c r="A43" s="8"/>
      <c r="B43" s="8"/>
      <c r="C43" s="8"/>
      <c r="D43" s="8"/>
      <c r="H43" s="8" t="s">
        <v>0</v>
      </c>
      <c r="I43" s="10" t="s">
        <v>18</v>
      </c>
      <c r="J43" s="109">
        <f>MEDIAN(J35:J39)</f>
        <v>0.81740667519435706</v>
      </c>
      <c r="K43" s="110">
        <f>MEDIAN(K35:K39)</f>
        <v>0.18259332480564291</v>
      </c>
    </row>
    <row r="44" spans="1:14" ht="17.25">
      <c r="A44" s="8"/>
      <c r="B44" s="8"/>
      <c r="C44" s="8"/>
      <c r="D44" s="8" t="s">
        <v>0</v>
      </c>
      <c r="H44" s="8" t="s">
        <v>0</v>
      </c>
      <c r="I44" s="10" t="s">
        <v>375</v>
      </c>
      <c r="J44" s="109">
        <f>AVERAGE(J35:J39)</f>
        <v>0.80642467039627985</v>
      </c>
      <c r="K44" s="110">
        <f>AVERAGE(K35:K39)</f>
        <v>0.19357532960372018</v>
      </c>
    </row>
    <row r="45" spans="1:14" ht="18" thickBot="1">
      <c r="A45" s="8"/>
      <c r="B45" s="8"/>
      <c r="C45" s="8"/>
      <c r="D45" s="8"/>
      <c r="H45" s="8"/>
      <c r="I45" s="8"/>
      <c r="J45" s="57"/>
      <c r="K45" s="57"/>
    </row>
    <row r="46" spans="1:14" ht="27" thickBot="1">
      <c r="A46" s="8"/>
      <c r="B46" s="8"/>
      <c r="C46" s="8"/>
      <c r="D46" s="8"/>
      <c r="H46" s="8"/>
      <c r="I46" s="171" t="s">
        <v>200</v>
      </c>
      <c r="J46" s="265">
        <v>0.81</v>
      </c>
      <c r="K46" s="266">
        <v>0.19</v>
      </c>
    </row>
    <row r="47" spans="1:14" ht="17.25">
      <c r="A47" s="8"/>
      <c r="B47" s="8"/>
      <c r="C47" s="8"/>
      <c r="D47" s="8"/>
      <c r="G47" s="8"/>
      <c r="H47" s="8"/>
      <c r="I47" s="57"/>
      <c r="J47" s="57" t="s">
        <v>0</v>
      </c>
      <c r="K47" s="8"/>
    </row>
    <row r="48" spans="1:14" ht="16.5">
      <c r="G48" s="8"/>
      <c r="H48" s="8"/>
      <c r="I48" s="8"/>
      <c r="J48" s="8"/>
      <c r="K48" s="8"/>
    </row>
    <row r="49" spans="1:11" ht="16.5">
      <c r="G49" s="8"/>
      <c r="H49" s="8"/>
      <c r="I49" s="8"/>
      <c r="J49" s="8"/>
      <c r="K49" s="8"/>
    </row>
    <row r="50" spans="1:11" ht="26.25">
      <c r="A50" s="18" t="s">
        <v>72</v>
      </c>
      <c r="B50" s="8"/>
      <c r="C50" s="69"/>
      <c r="D50" s="112"/>
      <c r="E50" s="295"/>
      <c r="H50" s="8"/>
      <c r="I50" s="8"/>
      <c r="J50" s="8"/>
      <c r="K50" s="8"/>
    </row>
    <row r="51" spans="1:11" ht="16.5">
      <c r="A51" s="80" t="s">
        <v>55</v>
      </c>
      <c r="B51" s="8"/>
      <c r="C51" s="69"/>
      <c r="D51" s="112"/>
      <c r="E51" s="295"/>
      <c r="H51" s="8"/>
      <c r="I51" s="8"/>
      <c r="J51" s="8"/>
      <c r="K51" s="8"/>
    </row>
    <row r="52" spans="1:11" ht="16.5">
      <c r="A52" s="8" t="s">
        <v>145</v>
      </c>
      <c r="B52" s="8"/>
      <c r="C52" s="8"/>
      <c r="D52" s="8"/>
    </row>
    <row r="53" spans="1:11" ht="16.5">
      <c r="A53" s="8" t="s">
        <v>407</v>
      </c>
      <c r="B53" s="8"/>
      <c r="C53" s="8"/>
      <c r="D53" s="8"/>
    </row>
    <row r="54" spans="1:11" ht="16.5">
      <c r="A54" s="8" t="s">
        <v>144</v>
      </c>
      <c r="B54" s="8"/>
      <c r="C54" s="8"/>
      <c r="D54" s="8"/>
    </row>
    <row r="55" spans="1:11" ht="16.5">
      <c r="A55" s="8" t="s">
        <v>408</v>
      </c>
      <c r="B55" s="8"/>
      <c r="C55" s="8"/>
      <c r="D55" s="8"/>
    </row>
    <row r="56" spans="1:11" ht="16.5">
      <c r="A56" s="8" t="s">
        <v>412</v>
      </c>
      <c r="B56" s="8"/>
      <c r="C56" s="8"/>
      <c r="D56" s="8"/>
    </row>
    <row r="57" spans="1:11" ht="16.5">
      <c r="A57" s="8" t="s">
        <v>0</v>
      </c>
      <c r="B57" s="8"/>
      <c r="C57" s="8"/>
      <c r="D57" s="8"/>
    </row>
    <row r="58" spans="1:11" ht="16.5">
      <c r="A58" s="8" t="s">
        <v>420</v>
      </c>
      <c r="B58" s="8"/>
      <c r="C58" s="8"/>
      <c r="D58" s="8"/>
    </row>
    <row r="59" spans="1:11" ht="16.5">
      <c r="A59" s="8"/>
      <c r="B59" s="8"/>
      <c r="C59" s="8"/>
      <c r="D59" s="8"/>
    </row>
    <row r="60" spans="1:11" ht="26.25">
      <c r="A60" s="233" t="s">
        <v>284</v>
      </c>
      <c r="B60" s="8"/>
      <c r="C60" s="8"/>
      <c r="D60" s="8"/>
    </row>
    <row r="61" spans="1:11" ht="17.25" customHeight="1">
      <c r="A61" s="233"/>
      <c r="B61" s="8"/>
      <c r="C61" s="8"/>
      <c r="D61" s="8"/>
    </row>
    <row r="62" spans="1:11" ht="16.5">
      <c r="A62" s="115" t="s">
        <v>361</v>
      </c>
      <c r="B62" s="8"/>
      <c r="C62" s="8"/>
      <c r="D62" s="8"/>
    </row>
    <row r="63" spans="1:11" ht="16.5">
      <c r="A63" s="115" t="s">
        <v>362</v>
      </c>
      <c r="B63" s="8"/>
      <c r="C63" s="8"/>
      <c r="D63" s="8"/>
    </row>
    <row r="64" spans="1:11" ht="16.5">
      <c r="A64" s="115" t="s">
        <v>363</v>
      </c>
      <c r="B64" s="8"/>
      <c r="C64" s="8"/>
      <c r="D64" s="8"/>
    </row>
    <row r="65" spans="1:4" ht="16.5">
      <c r="A65" s="115" t="s">
        <v>364</v>
      </c>
      <c r="B65" s="8"/>
      <c r="C65" s="8"/>
      <c r="D65" s="8"/>
    </row>
    <row r="66" spans="1:4" ht="16.5">
      <c r="A66" s="115" t="s">
        <v>365</v>
      </c>
      <c r="B66" s="8"/>
      <c r="C66" s="8"/>
      <c r="D66" s="8"/>
    </row>
    <row r="67" spans="1:4" ht="20.25" customHeight="1">
      <c r="A67" s="115" t="s">
        <v>366</v>
      </c>
      <c r="B67" s="8"/>
      <c r="C67" s="116" t="s">
        <v>360</v>
      </c>
      <c r="D67" s="8"/>
    </row>
    <row r="68" spans="1:4" ht="16.5">
      <c r="A68" s="297"/>
      <c r="B68" s="8"/>
      <c r="C68" s="8"/>
      <c r="D68" s="8"/>
    </row>
    <row r="69" spans="1:4" ht="26.25">
      <c r="A69" s="233" t="s">
        <v>367</v>
      </c>
      <c r="B69" s="8"/>
      <c r="C69" s="8"/>
      <c r="D69" s="8"/>
    </row>
    <row r="70" spans="1:4" ht="23.25">
      <c r="A70" s="296"/>
    </row>
  </sheetData>
  <pageMargins left="0.25" right="0.25" top="0.75" bottom="0.75" header="0.3" footer="0.3"/>
  <pageSetup scale="38" orientation="landscape" r:id="rId1"/>
  <rowBreaks count="1" manualBreakCount="1">
    <brk id="46" max="11" man="1"/>
  </rowBreaks>
  <colBreaks count="1" manualBreakCount="1">
    <brk id="11" max="9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I56"/>
  <sheetViews>
    <sheetView view="pageBreakPreview" topLeftCell="A10" zoomScale="70" zoomScaleNormal="80" zoomScaleSheetLayoutView="70" zoomScalePageLayoutView="70" workbookViewId="0">
      <pane xSplit="1" topLeftCell="B1" activePane="topRight" state="frozen"/>
      <selection pane="topRight" activeCell="E22" sqref="E22"/>
    </sheetView>
  </sheetViews>
  <sheetFormatPr defaultRowHeight="15"/>
  <cols>
    <col min="1" max="1" width="62.42578125" customWidth="1"/>
    <col min="2" max="2" width="11.5703125" bestFit="1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19" t="s">
        <v>1</v>
      </c>
      <c r="B1" s="8"/>
      <c r="C1" s="8"/>
      <c r="D1" s="8"/>
      <c r="E1" s="8"/>
      <c r="F1" s="8"/>
      <c r="G1" s="8"/>
      <c r="H1" s="8"/>
    </row>
    <row r="2" spans="1:9" ht="17.25">
      <c r="A2" s="20" t="s">
        <v>9</v>
      </c>
      <c r="B2" s="8"/>
      <c r="C2" s="8"/>
      <c r="D2" s="8"/>
      <c r="E2" s="8"/>
      <c r="F2" s="8"/>
      <c r="G2" s="8"/>
      <c r="H2" s="8"/>
    </row>
    <row r="3" spans="1:9" ht="16.5">
      <c r="A3" s="21" t="s">
        <v>416</v>
      </c>
      <c r="B3" s="8"/>
      <c r="C3" s="8"/>
      <c r="D3" s="8"/>
      <c r="E3" s="8"/>
      <c r="F3" s="8"/>
      <c r="G3" s="8"/>
      <c r="H3" s="8"/>
    </row>
    <row r="4" spans="1:9" ht="16.5">
      <c r="A4" s="21"/>
      <c r="B4" s="8"/>
      <c r="C4" s="8"/>
      <c r="D4" s="8"/>
      <c r="E4" s="8"/>
      <c r="F4" s="170" t="s">
        <v>0</v>
      </c>
      <c r="G4" s="8"/>
      <c r="H4" s="8"/>
    </row>
    <row r="5" spans="1:9" ht="16.5">
      <c r="B5" s="8"/>
      <c r="C5" s="8"/>
      <c r="D5" s="8"/>
      <c r="E5" s="22"/>
      <c r="F5" s="170" t="s">
        <v>0</v>
      </c>
      <c r="G5" s="8"/>
      <c r="H5" s="8" t="s">
        <v>0</v>
      </c>
    </row>
    <row r="6" spans="1:9" ht="16.5">
      <c r="A6" s="80"/>
      <c r="B6" s="30"/>
      <c r="C6" s="30"/>
      <c r="D6" s="30"/>
      <c r="E6" s="30"/>
      <c r="F6" s="30"/>
      <c r="G6" s="10"/>
      <c r="H6" s="79"/>
      <c r="I6" s="2"/>
    </row>
    <row r="7" spans="1:9" ht="16.5">
      <c r="A7" s="39"/>
      <c r="B7" s="39"/>
      <c r="C7" s="39"/>
      <c r="D7" s="39"/>
      <c r="E7" s="39"/>
      <c r="F7" s="39"/>
      <c r="G7" s="39"/>
      <c r="H7" s="39"/>
      <c r="I7" s="1"/>
    </row>
    <row r="8" spans="1:9" ht="17.25" thickBot="1">
      <c r="A8" s="39"/>
      <c r="B8" s="39"/>
      <c r="C8" s="39"/>
      <c r="D8" s="81"/>
      <c r="E8" s="24"/>
      <c r="F8" s="81"/>
      <c r="H8" s="39"/>
      <c r="I8" s="1"/>
    </row>
    <row r="9" spans="1:9" ht="27" thickBot="1">
      <c r="A9" s="23" t="str">
        <f>+'S&amp;D'!A12</f>
        <v>Railroad Carriers</v>
      </c>
      <c r="B9" s="39"/>
      <c r="C9" s="39"/>
      <c r="D9" s="39"/>
      <c r="E9" s="27" t="s">
        <v>277</v>
      </c>
      <c r="F9" s="39"/>
      <c r="H9" s="8"/>
    </row>
    <row r="10" spans="1:9" ht="21" thickBot="1">
      <c r="A10" s="26"/>
      <c r="B10" s="39"/>
      <c r="C10" s="39"/>
      <c r="D10" s="81"/>
      <c r="E10" s="32" t="s">
        <v>417</v>
      </c>
      <c r="F10" s="81"/>
      <c r="H10" s="8"/>
    </row>
    <row r="11" spans="1:9" ht="20.25">
      <c r="A11" s="26"/>
      <c r="B11" s="39"/>
      <c r="C11" s="39"/>
      <c r="D11" s="39"/>
      <c r="E11" s="30"/>
      <c r="F11" s="39"/>
      <c r="H11" s="8"/>
    </row>
    <row r="12" spans="1:9" ht="20.25">
      <c r="A12" s="26"/>
      <c r="B12" s="39"/>
      <c r="C12" s="39"/>
      <c r="D12" s="39"/>
      <c r="E12" s="30"/>
      <c r="F12" s="39"/>
      <c r="H12" s="8"/>
    </row>
    <row r="13" spans="1:9" ht="16.5">
      <c r="B13" s="39"/>
      <c r="C13" s="39"/>
      <c r="D13" s="39"/>
      <c r="E13" s="30"/>
      <c r="F13" s="39"/>
      <c r="H13" s="8"/>
    </row>
    <row r="14" spans="1:9" ht="20.25">
      <c r="A14" s="26"/>
      <c r="B14" s="39"/>
      <c r="C14" s="39"/>
      <c r="D14" s="39"/>
      <c r="E14" s="9" t="s">
        <v>0</v>
      </c>
      <c r="F14" s="39"/>
      <c r="H14" s="8"/>
    </row>
    <row r="15" spans="1:9" ht="17.25" thickBot="1">
      <c r="A15" s="37" t="s">
        <v>0</v>
      </c>
      <c r="B15" s="37" t="s">
        <v>0</v>
      </c>
      <c r="C15" s="37" t="s">
        <v>0</v>
      </c>
      <c r="D15" s="37"/>
      <c r="E15" s="37"/>
      <c r="F15" s="37"/>
      <c r="H15" s="8"/>
    </row>
    <row r="16" spans="1:9" ht="17.25">
      <c r="A16" s="218"/>
      <c r="B16" s="219"/>
      <c r="C16" s="220"/>
      <c r="D16" s="203" t="s">
        <v>0</v>
      </c>
      <c r="E16" s="204" t="s">
        <v>0</v>
      </c>
      <c r="F16" s="203" t="s">
        <v>0</v>
      </c>
      <c r="H16" s="8"/>
    </row>
    <row r="17" spans="1:8" ht="17.25">
      <c r="A17" s="82" t="s">
        <v>0</v>
      </c>
      <c r="B17" s="83" t="s">
        <v>3</v>
      </c>
      <c r="C17" s="84" t="s">
        <v>5</v>
      </c>
      <c r="D17" s="85" t="s">
        <v>0</v>
      </c>
      <c r="E17" s="205" t="s">
        <v>0</v>
      </c>
      <c r="F17" s="85" t="s">
        <v>269</v>
      </c>
      <c r="H17" s="8"/>
    </row>
    <row r="18" spans="1:8" ht="17.25">
      <c r="A18" s="82"/>
      <c r="B18" s="83" t="s">
        <v>4</v>
      </c>
      <c r="C18" s="84" t="s">
        <v>6</v>
      </c>
      <c r="D18" s="85" t="s">
        <v>278</v>
      </c>
      <c r="E18" s="205" t="s">
        <v>278</v>
      </c>
      <c r="F18" s="85" t="s">
        <v>124</v>
      </c>
      <c r="H18" s="8"/>
    </row>
    <row r="19" spans="1:8" ht="18" thickBot="1">
      <c r="A19" s="88" t="s">
        <v>2</v>
      </c>
      <c r="B19" s="89" t="s">
        <v>0</v>
      </c>
      <c r="C19" s="90" t="s">
        <v>0</v>
      </c>
      <c r="D19" s="253" t="s">
        <v>267</v>
      </c>
      <c r="E19" s="252" t="s">
        <v>61</v>
      </c>
      <c r="F19" s="89" t="s">
        <v>0</v>
      </c>
      <c r="H19" s="8"/>
    </row>
    <row r="20" spans="1:8" ht="16.5">
      <c r="A20" s="254" t="s">
        <v>7</v>
      </c>
      <c r="B20" s="235" t="s">
        <v>7</v>
      </c>
      <c r="C20" s="255" t="s">
        <v>7</v>
      </c>
      <c r="D20" s="235" t="s">
        <v>7</v>
      </c>
      <c r="E20" s="263" t="s">
        <v>268</v>
      </c>
      <c r="F20" s="94"/>
      <c r="H20" s="8"/>
    </row>
    <row r="21" spans="1:8" ht="17.25">
      <c r="A21" s="82"/>
      <c r="B21" s="83"/>
      <c r="C21" s="84"/>
      <c r="D21" s="83"/>
      <c r="E21" s="206"/>
      <c r="F21" s="83"/>
      <c r="H21" s="8"/>
    </row>
    <row r="22" spans="1:8" ht="17.25">
      <c r="A22" s="96" t="str">
        <f>+'S&amp;D'!A22</f>
        <v>Canadian National</v>
      </c>
      <c r="B22" s="74" t="str">
        <f>+'S&amp;D'!B22</f>
        <v>CNI</v>
      </c>
      <c r="C22" s="84" t="str">
        <f>+'S&amp;D'!C22</f>
        <v>Railroad</v>
      </c>
      <c r="D22" s="221">
        <f>+'S&amp;D'!D35</f>
        <v>63833026334.07</v>
      </c>
      <c r="E22" s="222">
        <f>21051000000*0.6948</f>
        <v>14626234800</v>
      </c>
      <c r="F22" s="98">
        <f>+D22/E22</f>
        <v>4.3642828935079043</v>
      </c>
      <c r="H22" s="8"/>
    </row>
    <row r="23" spans="1:8" ht="17.25">
      <c r="A23" s="96" t="str">
        <f>+'S&amp;D'!A23</f>
        <v>Canadian Pacific Kansas City Limited  CPKC</v>
      </c>
      <c r="B23" s="74" t="str">
        <f>+'S&amp;D'!B23</f>
        <v>CP</v>
      </c>
      <c r="C23" s="84" t="str">
        <f>+'S&amp;D'!C23</f>
        <v>Railroad</v>
      </c>
      <c r="D23" s="221">
        <f>+'S&amp;D'!D36</f>
        <v>67557395000.000008</v>
      </c>
      <c r="E23" s="222">
        <f>(48890000000-998000000)*0.6948</f>
        <v>33275361600</v>
      </c>
      <c r="F23" s="98">
        <f>+D23/E23</f>
        <v>2.0302527681622551</v>
      </c>
      <c r="H23" s="8"/>
    </row>
    <row r="24" spans="1:8" ht="17.25">
      <c r="A24" s="96" t="str">
        <f>+'S&amp;D'!A24</f>
        <v>CSX Corp</v>
      </c>
      <c r="B24" s="74" t="str">
        <f>+'S&amp;D'!B24</f>
        <v>CSX</v>
      </c>
      <c r="C24" s="84" t="str">
        <f>+'S&amp;D'!C24</f>
        <v>Railroad</v>
      </c>
      <c r="D24" s="221">
        <f>+'S&amp;D'!D37</f>
        <v>61502999999.999992</v>
      </c>
      <c r="E24" s="222">
        <f>12507000000-5000000</f>
        <v>12502000000</v>
      </c>
      <c r="F24" s="98">
        <f t="shared" ref="F24:F26" si="0">+D24/E24</f>
        <v>4.919452887537993</v>
      </c>
      <c r="H24" s="8"/>
    </row>
    <row r="25" spans="1:8" ht="17.25">
      <c r="A25" s="96" t="str">
        <f>+'S&amp;D'!A25</f>
        <v>Norfolk Southern</v>
      </c>
      <c r="B25" s="74" t="str">
        <f>+'S&amp;D'!B25</f>
        <v>NSC</v>
      </c>
      <c r="C25" s="84" t="str">
        <f>+'S&amp;D'!C25</f>
        <v>Railroad</v>
      </c>
      <c r="D25" s="221">
        <f>+'S&amp;D'!D38</f>
        <v>53117513821.799995</v>
      </c>
      <c r="E25" s="222">
        <v>14306000000</v>
      </c>
      <c r="F25" s="98">
        <f t="shared" si="0"/>
        <v>3.7129535734516983</v>
      </c>
      <c r="H25" s="8"/>
    </row>
    <row r="26" spans="1:8" ht="18" thickBot="1">
      <c r="A26" s="259" t="str">
        <f>+'S&amp;D'!A26</f>
        <v>Union Pacific Railroad</v>
      </c>
      <c r="B26" s="75" t="str">
        <f>+'S&amp;D'!B26</f>
        <v>UNP</v>
      </c>
      <c r="C26" s="90" t="str">
        <f>+'S&amp;D'!C26</f>
        <v>Railroad</v>
      </c>
      <c r="D26" s="260">
        <f>+'S&amp;D'!D39</f>
        <v>137791176930.39999</v>
      </c>
      <c r="E26" s="299">
        <v>16890000000</v>
      </c>
      <c r="F26" s="98">
        <f t="shared" si="0"/>
        <v>8.1581513872350495</v>
      </c>
      <c r="H26" s="8"/>
    </row>
    <row r="27" spans="1:8" ht="27" customHeight="1" thickBot="1">
      <c r="A27" s="106"/>
      <c r="B27" s="101"/>
      <c r="C27" s="101"/>
      <c r="D27" s="107"/>
      <c r="E27" s="298" t="s">
        <v>276</v>
      </c>
      <c r="F27" s="172">
        <f>AVERAGE(F22:F26)</f>
        <v>4.6370187019789793</v>
      </c>
      <c r="H27" s="8"/>
    </row>
    <row r="28" spans="1:8" ht="17.25">
      <c r="A28" s="99"/>
      <c r="B28" s="99"/>
      <c r="C28" s="99"/>
      <c r="D28" s="99"/>
      <c r="E28" s="215"/>
      <c r="F28" s="217"/>
      <c r="H28" s="8"/>
    </row>
    <row r="29" spans="1:8" ht="17.25">
      <c r="A29" s="99"/>
      <c r="B29" s="99"/>
      <c r="C29" s="99"/>
      <c r="D29" s="99"/>
      <c r="E29" s="215"/>
      <c r="F29" s="217"/>
      <c r="H29" s="8"/>
    </row>
    <row r="30" spans="1:8" ht="17.25">
      <c r="A30" s="99"/>
      <c r="B30" s="99"/>
      <c r="C30" s="99"/>
      <c r="D30" s="99"/>
      <c r="E30" s="215"/>
      <c r="F30" s="217"/>
      <c r="H30" s="8"/>
    </row>
    <row r="31" spans="1:8" ht="18" thickBot="1">
      <c r="A31" s="99"/>
      <c r="B31" s="99"/>
      <c r="C31" s="99"/>
      <c r="D31" s="99"/>
      <c r="E31" s="99"/>
      <c r="F31" s="99"/>
      <c r="H31" s="8"/>
    </row>
    <row r="32" spans="1:8" ht="17.25">
      <c r="A32" s="218"/>
      <c r="B32" s="219"/>
      <c r="C32" s="220"/>
      <c r="D32" s="203" t="s">
        <v>0</v>
      </c>
      <c r="E32" s="204" t="s">
        <v>0</v>
      </c>
      <c r="F32" s="203" t="s">
        <v>0</v>
      </c>
      <c r="H32" s="8"/>
    </row>
    <row r="33" spans="1:8" ht="17.25">
      <c r="A33" s="82" t="s">
        <v>0</v>
      </c>
      <c r="B33" s="83" t="s">
        <v>3</v>
      </c>
      <c r="C33" s="84" t="s">
        <v>5</v>
      </c>
      <c r="D33" s="85" t="s">
        <v>0</v>
      </c>
      <c r="E33" s="205" t="s">
        <v>0</v>
      </c>
      <c r="F33" s="85" t="s">
        <v>269</v>
      </c>
      <c r="H33" s="8"/>
    </row>
    <row r="34" spans="1:8" ht="17.25">
      <c r="A34" s="82"/>
      <c r="B34" s="83" t="s">
        <v>4</v>
      </c>
      <c r="C34" s="84" t="s">
        <v>6</v>
      </c>
      <c r="D34" s="85" t="s">
        <v>270</v>
      </c>
      <c r="E34" s="205" t="s">
        <v>270</v>
      </c>
      <c r="F34" s="85" t="s">
        <v>124</v>
      </c>
    </row>
    <row r="35" spans="1:8" ht="18" thickBot="1">
      <c r="A35" s="88" t="s">
        <v>2</v>
      </c>
      <c r="B35" s="89" t="s">
        <v>0</v>
      </c>
      <c r="C35" s="90" t="s">
        <v>0</v>
      </c>
      <c r="D35" s="253" t="s">
        <v>267</v>
      </c>
      <c r="E35" s="252" t="s">
        <v>61</v>
      </c>
      <c r="F35" s="89" t="s">
        <v>0</v>
      </c>
    </row>
    <row r="36" spans="1:8">
      <c r="A36" s="254" t="s">
        <v>7</v>
      </c>
      <c r="B36" s="235" t="s">
        <v>7</v>
      </c>
      <c r="C36" s="255" t="s">
        <v>7</v>
      </c>
      <c r="D36" s="235" t="s">
        <v>268</v>
      </c>
      <c r="E36" s="104" t="s">
        <v>268</v>
      </c>
      <c r="F36" s="94"/>
    </row>
    <row r="37" spans="1:8" ht="17.25">
      <c r="A37" s="82"/>
      <c r="B37" s="83"/>
      <c r="C37" s="84"/>
      <c r="D37" s="83"/>
      <c r="E37" s="206"/>
      <c r="F37" s="83"/>
    </row>
    <row r="38" spans="1:8" ht="17.25">
      <c r="A38" s="96" t="str">
        <f t="shared" ref="A38:C42" si="1">+A22</f>
        <v>Canadian National</v>
      </c>
      <c r="B38" s="74" t="str">
        <f t="shared" si="1"/>
        <v>CNI</v>
      </c>
      <c r="C38" s="84" t="str">
        <f t="shared" si="1"/>
        <v>Railroad</v>
      </c>
      <c r="D38" s="221">
        <f>+'S&amp;D'!H35</f>
        <v>13683806809.288074</v>
      </c>
      <c r="E38" s="222">
        <f>+'S&amp;D'!J22</f>
        <v>14517151200</v>
      </c>
      <c r="F38" s="98">
        <f>+D38/E38</f>
        <v>0.94259587303107195</v>
      </c>
    </row>
    <row r="39" spans="1:8" ht="17.25">
      <c r="A39" s="96" t="str">
        <f t="shared" si="1"/>
        <v>Canadian Pacific Kansas City Limited  CPKC</v>
      </c>
      <c r="B39" s="74" t="str">
        <f t="shared" si="1"/>
        <v>CP</v>
      </c>
      <c r="C39" s="84" t="str">
        <f t="shared" si="1"/>
        <v>Railroad</v>
      </c>
      <c r="D39" s="221">
        <f>+'S&amp;D'!H36</f>
        <v>14326078588.095812</v>
      </c>
      <c r="E39" s="222">
        <f>+'S&amp;D'!J23</f>
        <v>15718460400</v>
      </c>
      <c r="F39" s="98">
        <f t="shared" ref="F39:F42" si="2">+D39/E39</f>
        <v>0.91141741770687745</v>
      </c>
    </row>
    <row r="40" spans="1:8" ht="17.25">
      <c r="A40" s="96" t="str">
        <f t="shared" si="1"/>
        <v>CSX Corp</v>
      </c>
      <c r="B40" s="74" t="str">
        <f t="shared" si="1"/>
        <v>CSX</v>
      </c>
      <c r="C40" s="84" t="str">
        <f t="shared" si="1"/>
        <v>Railroad</v>
      </c>
      <c r="D40" s="221">
        <f>+'S&amp;D'!H37</f>
        <v>16481000000</v>
      </c>
      <c r="E40" s="222">
        <f>+'S&amp;D'!J24</f>
        <v>18503000000</v>
      </c>
      <c r="F40" s="98">
        <f t="shared" si="2"/>
        <v>0.89072042371507321</v>
      </c>
    </row>
    <row r="41" spans="1:8" ht="17.25">
      <c r="A41" s="96" t="str">
        <f t="shared" si="1"/>
        <v>Norfolk Southern</v>
      </c>
      <c r="B41" s="74" t="str">
        <f t="shared" si="1"/>
        <v>NSC</v>
      </c>
      <c r="C41" s="84" t="str">
        <f t="shared" si="1"/>
        <v>Railroad</v>
      </c>
      <c r="D41" s="221">
        <f>+'S&amp;D'!H38</f>
        <v>15656000000</v>
      </c>
      <c r="E41" s="222">
        <f>+'S&amp;D'!J25</f>
        <v>17206000000</v>
      </c>
      <c r="F41" s="98">
        <f t="shared" si="2"/>
        <v>0.90991514587934441</v>
      </c>
    </row>
    <row r="42" spans="1:8" ht="18" thickBot="1">
      <c r="A42" s="259" t="str">
        <f t="shared" si="1"/>
        <v>Union Pacific Railroad</v>
      </c>
      <c r="B42" s="75" t="str">
        <f t="shared" si="1"/>
        <v>UNP</v>
      </c>
      <c r="C42" s="90" t="str">
        <f t="shared" si="1"/>
        <v>Railroad</v>
      </c>
      <c r="D42" s="260">
        <f>+'S&amp;D'!H39</f>
        <v>25300000000</v>
      </c>
      <c r="E42" s="222">
        <f>+'S&amp;D'!J26</f>
        <v>31192000000</v>
      </c>
      <c r="F42" s="98">
        <f t="shared" si="2"/>
        <v>0.81110541164401129</v>
      </c>
    </row>
    <row r="43" spans="1:8" ht="27.75" customHeight="1" thickBot="1">
      <c r="A43" s="256"/>
      <c r="B43" s="132"/>
      <c r="C43" s="132"/>
      <c r="D43" s="257"/>
      <c r="E43" s="258" t="s">
        <v>276</v>
      </c>
      <c r="F43" s="172">
        <f>AVERAGE(F38:F42)</f>
        <v>0.89315085439527553</v>
      </c>
    </row>
    <row r="48" spans="1:8">
      <c r="C48" s="207" t="s">
        <v>271</v>
      </c>
      <c r="D48" s="207" t="s">
        <v>272</v>
      </c>
      <c r="E48" s="207"/>
    </row>
    <row r="49" spans="1:6">
      <c r="A49" s="209"/>
      <c r="B49" s="209"/>
      <c r="C49" s="208" t="s">
        <v>35</v>
      </c>
      <c r="D49" s="208" t="s">
        <v>273</v>
      </c>
      <c r="E49" s="208" t="s">
        <v>274</v>
      </c>
    </row>
    <row r="50" spans="1:6" ht="17.25">
      <c r="A50" s="84" t="s">
        <v>39</v>
      </c>
      <c r="B50" s="121" t="s">
        <v>0</v>
      </c>
      <c r="C50" s="121">
        <f>+'Yield CapRate'!C23</f>
        <v>0.81</v>
      </c>
      <c r="D50" s="213">
        <f>+F27</f>
        <v>4.6370187019789793</v>
      </c>
      <c r="E50" s="214">
        <f>+C50*D50</f>
        <v>3.7559851486029734</v>
      </c>
      <c r="F50" s="122" t="s">
        <v>0</v>
      </c>
    </row>
    <row r="51" spans="1:6" ht="17.25">
      <c r="A51" s="210" t="s">
        <v>41</v>
      </c>
      <c r="B51" s="211" t="str">
        <f>'S&amp;D'!J32</f>
        <v xml:space="preserve"> </v>
      </c>
      <c r="C51" s="211">
        <f>+'Yield CapRate'!C25</f>
        <v>0.19</v>
      </c>
      <c r="D51" s="212">
        <f>+F43</f>
        <v>0.89315085439527553</v>
      </c>
      <c r="E51" s="212">
        <f>+C51*D51</f>
        <v>0.16969866233510236</v>
      </c>
      <c r="F51" s="122" t="s">
        <v>0</v>
      </c>
    </row>
    <row r="52" spans="1:6">
      <c r="D52" s="215" t="s">
        <v>275</v>
      </c>
      <c r="E52" s="216">
        <f>+E50+E51</f>
        <v>3.9256838109380756</v>
      </c>
    </row>
    <row r="55" spans="1:6" ht="20.25">
      <c r="A55" s="26" t="s">
        <v>380</v>
      </c>
    </row>
    <row r="56" spans="1:6" ht="19.5" customHeight="1">
      <c r="A56" s="26" t="s">
        <v>347</v>
      </c>
    </row>
  </sheetData>
  <pageMargins left="0.25" right="0.25" top="0.75" bottom="0.75" header="0.3" footer="0.3"/>
  <pageSetup scale="52" orientation="landscape" r:id="rId1"/>
  <rowBreaks count="1" manualBreakCount="1">
    <brk id="31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73"/>
  <sheetViews>
    <sheetView view="pageBreakPreview" zoomScale="70" zoomScaleNormal="80" zoomScaleSheetLayoutView="70" workbookViewId="0">
      <selection activeCell="L32" sqref="L32"/>
    </sheetView>
  </sheetViews>
  <sheetFormatPr defaultRowHeight="15"/>
  <cols>
    <col min="1" max="1" width="41" customWidth="1"/>
    <col min="2" max="2" width="10.85546875" bestFit="1" customWidth="1"/>
    <col min="3" max="3" width="10.7109375" customWidth="1"/>
    <col min="4" max="4" width="28.570312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6.5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6.5">
      <c r="A5" s="2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6.5">
      <c r="A6" s="21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7.25" thickBot="1">
      <c r="A7" s="8"/>
      <c r="B7" s="8"/>
      <c r="C7" s="8"/>
      <c r="D7" s="8"/>
      <c r="E7" s="8"/>
      <c r="F7" s="24"/>
      <c r="G7" s="24"/>
      <c r="H7" s="25" t="s">
        <v>0</v>
      </c>
      <c r="I7" s="8"/>
      <c r="J7" s="8"/>
      <c r="K7" s="8"/>
      <c r="L7" s="8"/>
    </row>
    <row r="8" spans="1:12" ht="27" thickBot="1">
      <c r="A8" s="227" t="str">
        <f>+'S&amp;D'!A12</f>
        <v>Railroad Carriers</v>
      </c>
      <c r="B8" s="228"/>
      <c r="C8" s="163"/>
      <c r="D8" s="8"/>
      <c r="E8" s="8"/>
      <c r="F8" s="8"/>
      <c r="G8" s="27" t="s">
        <v>76</v>
      </c>
      <c r="H8" s="8"/>
      <c r="I8" s="8"/>
      <c r="J8" s="8"/>
      <c r="K8" s="8"/>
      <c r="L8" s="8"/>
    </row>
    <row r="9" spans="1:12" ht="20.25">
      <c r="A9" s="26"/>
      <c r="B9" s="8"/>
      <c r="C9" s="8"/>
      <c r="D9" s="8"/>
      <c r="E9" s="8"/>
      <c r="F9" s="8"/>
      <c r="G9" s="84" t="s">
        <v>77</v>
      </c>
      <c r="H9" s="8"/>
      <c r="I9" s="8"/>
      <c r="J9" s="8"/>
      <c r="K9" s="8"/>
      <c r="L9" s="8"/>
    </row>
    <row r="10" spans="1:12" ht="18" customHeight="1" thickBot="1">
      <c r="A10" s="36" t="s">
        <v>0</v>
      </c>
      <c r="B10" s="36" t="s">
        <v>0</v>
      </c>
      <c r="C10" s="36" t="s">
        <v>0</v>
      </c>
      <c r="D10" s="8"/>
      <c r="E10" s="8"/>
      <c r="F10" s="29" t="s">
        <v>0</v>
      </c>
      <c r="G10" s="32" t="s">
        <v>417</v>
      </c>
      <c r="H10" s="29" t="s">
        <v>0</v>
      </c>
      <c r="I10" s="36" t="s">
        <v>0</v>
      </c>
      <c r="J10" s="8"/>
      <c r="K10" s="8"/>
      <c r="L10" s="8"/>
    </row>
    <row r="11" spans="1:12" ht="18" customHeight="1">
      <c r="A11" s="36"/>
      <c r="B11" s="36"/>
      <c r="C11" s="36"/>
      <c r="D11" s="8"/>
      <c r="E11" s="8"/>
      <c r="J11" s="8"/>
      <c r="K11" s="8"/>
      <c r="L11" s="8"/>
    </row>
    <row r="12" spans="1:12" ht="18" customHeight="1">
      <c r="A12" s="36"/>
      <c r="B12" s="36"/>
      <c r="C12" s="36"/>
      <c r="D12" s="8" t="s">
        <v>0</v>
      </c>
      <c r="E12" s="8" t="s">
        <v>0</v>
      </c>
      <c r="G12" s="9" t="s">
        <v>0</v>
      </c>
      <c r="J12" s="8"/>
      <c r="K12" s="8"/>
      <c r="L12" s="8" t="s">
        <v>0</v>
      </c>
    </row>
    <row r="13" spans="1:12" ht="17.25" thickBot="1">
      <c r="A13" s="29"/>
      <c r="B13" s="29"/>
      <c r="C13" s="29"/>
      <c r="D13" s="29"/>
      <c r="E13" s="32"/>
      <c r="F13" s="29"/>
      <c r="G13" s="29"/>
      <c r="H13" s="29"/>
      <c r="I13" s="29"/>
      <c r="J13" s="24"/>
      <c r="K13" s="24"/>
      <c r="L13" s="24"/>
    </row>
    <row r="14" spans="1:12" ht="15" customHeight="1" thickBot="1">
      <c r="A14" s="29" t="s">
        <v>24</v>
      </c>
      <c r="B14" s="29" t="s">
        <v>89</v>
      </c>
      <c r="C14" s="29" t="s">
        <v>90</v>
      </c>
      <c r="D14" s="37" t="s">
        <v>91</v>
      </c>
      <c r="E14" s="29" t="s">
        <v>92</v>
      </c>
      <c r="F14" s="29" t="s">
        <v>93</v>
      </c>
      <c r="G14" s="29" t="s">
        <v>94</v>
      </c>
      <c r="H14" s="29" t="s">
        <v>95</v>
      </c>
      <c r="I14" s="29" t="s">
        <v>96</v>
      </c>
      <c r="J14" s="29" t="s">
        <v>97</v>
      </c>
      <c r="K14" s="29" t="s">
        <v>98</v>
      </c>
      <c r="L14" s="29" t="s">
        <v>106</v>
      </c>
    </row>
    <row r="15" spans="1:12" ht="16.5">
      <c r="A15" s="30" t="s">
        <v>0</v>
      </c>
      <c r="B15" s="30" t="s">
        <v>3</v>
      </c>
      <c r="C15" s="30" t="s">
        <v>78</v>
      </c>
      <c r="D15" s="30" t="s">
        <v>81</v>
      </c>
      <c r="E15" s="30" t="s">
        <v>81</v>
      </c>
      <c r="F15" s="30" t="s">
        <v>82</v>
      </c>
      <c r="G15" s="30" t="s">
        <v>85</v>
      </c>
      <c r="H15" s="30" t="s">
        <v>87</v>
      </c>
      <c r="I15" s="30" t="s">
        <v>109</v>
      </c>
      <c r="J15" s="30" t="s">
        <v>109</v>
      </c>
      <c r="K15" s="30" t="s">
        <v>102</v>
      </c>
      <c r="L15" s="30" t="s">
        <v>104</v>
      </c>
    </row>
    <row r="16" spans="1:12" ht="17.25" thickBot="1">
      <c r="A16" s="32" t="s">
        <v>2</v>
      </c>
      <c r="B16" s="32" t="s">
        <v>4</v>
      </c>
      <c r="C16" s="32" t="s">
        <v>79</v>
      </c>
      <c r="D16" s="32" t="s">
        <v>84</v>
      </c>
      <c r="E16" s="32" t="s">
        <v>83</v>
      </c>
      <c r="F16" s="32" t="s">
        <v>19</v>
      </c>
      <c r="G16" s="32" t="s">
        <v>86</v>
      </c>
      <c r="H16" s="32" t="s">
        <v>88</v>
      </c>
      <c r="I16" s="32" t="s">
        <v>0</v>
      </c>
      <c r="J16" s="32" t="s">
        <v>0</v>
      </c>
      <c r="K16" s="32" t="s">
        <v>103</v>
      </c>
      <c r="L16" s="32" t="s">
        <v>85</v>
      </c>
    </row>
    <row r="17" spans="1:12">
      <c r="A17" s="38" t="s">
        <v>7</v>
      </c>
      <c r="B17" s="38" t="s">
        <v>7</v>
      </c>
      <c r="C17" s="38" t="s">
        <v>80</v>
      </c>
      <c r="D17" s="38" t="s">
        <v>232</v>
      </c>
      <c r="E17" s="38" t="s">
        <v>232</v>
      </c>
      <c r="F17" s="38" t="s">
        <v>107</v>
      </c>
      <c r="G17" s="38" t="s">
        <v>231</v>
      </c>
      <c r="H17" s="38" t="s">
        <v>99</v>
      </c>
      <c r="I17" s="38" t="s">
        <v>100</v>
      </c>
      <c r="J17" s="38" t="s">
        <v>101</v>
      </c>
      <c r="K17" s="38" t="s">
        <v>108</v>
      </c>
      <c r="L17" s="38" t="s">
        <v>105</v>
      </c>
    </row>
    <row r="18" spans="1:12" ht="16.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16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22.5" customHeight="1">
      <c r="A20" s="57" t="str">
        <f>+'S&amp;D'!A22</f>
        <v>Canadian National</v>
      </c>
      <c r="B20" s="84" t="str">
        <f>+'S&amp;D'!B22</f>
        <v>CNI</v>
      </c>
      <c r="C20" s="60">
        <f>+'Growth &amp; Inflation Rates'!$D$57</f>
        <v>2.3E-2</v>
      </c>
      <c r="D20" s="261">
        <f>66922000000*0.6948</f>
        <v>46497405600</v>
      </c>
      <c r="E20" s="261">
        <f>62011000000*0.7561</f>
        <v>46886517100</v>
      </c>
      <c r="F20" s="117">
        <f>(D20+E20)/2</f>
        <v>46691961350</v>
      </c>
      <c r="G20" s="117">
        <f>1892000000*0.6948</f>
        <v>1314561600</v>
      </c>
      <c r="H20" s="14">
        <f>+F20/G20</f>
        <v>35.519036422484881</v>
      </c>
      <c r="I20" s="40">
        <f>+C20*H20</f>
        <v>0.81693783771715223</v>
      </c>
      <c r="J20" s="41">
        <f>1/(1+C20)^H20</f>
        <v>0.4458892545863839</v>
      </c>
      <c r="K20" s="118">
        <f>(G20*I20)/(1-J20)</f>
        <v>1938087503.1549439</v>
      </c>
      <c r="L20" s="119">
        <f>+K20/G20</f>
        <v>1.4743223163942594</v>
      </c>
    </row>
    <row r="21" spans="1:12" ht="22.5" customHeight="1">
      <c r="A21" s="57" t="str">
        <f>+'S&amp;D'!A23</f>
        <v>Canadian Pacific Kansas City Limited  CPKC</v>
      </c>
      <c r="B21" s="84" t="str">
        <f>+'S&amp;D'!B23</f>
        <v>CP</v>
      </c>
      <c r="C21" s="60">
        <f>+'Growth &amp; Inflation Rates'!$D$57</f>
        <v>2.3E-2</v>
      </c>
      <c r="D21" s="261">
        <f>67489000000*0.6948</f>
        <v>46891357200</v>
      </c>
      <c r="E21" s="261">
        <f>61785000000*0.7561</f>
        <v>46715638500</v>
      </c>
      <c r="F21" s="117">
        <f t="shared" ref="F21:F24" si="0">(D21+E21)/2</f>
        <v>46803497850</v>
      </c>
      <c r="G21" s="117">
        <f>1900000000*0.6948</f>
        <v>1320120000</v>
      </c>
      <c r="H21" s="14">
        <f t="shared" ref="H21:H24" si="1">+F21/G21</f>
        <v>35.453972252522497</v>
      </c>
      <c r="I21" s="40">
        <f t="shared" ref="I21:I24" si="2">+C21*H21</f>
        <v>0.81544136180801741</v>
      </c>
      <c r="J21" s="41">
        <f t="shared" ref="J21:J24" si="3">1/(1+C21)^H21</f>
        <v>0.44654944752840048</v>
      </c>
      <c r="K21" s="118">
        <f t="shared" ref="K21:K24" si="4">(G21*I21)/(1-J21)</f>
        <v>1945034557.7263467</v>
      </c>
      <c r="L21" s="119">
        <f t="shared" ref="L21:L24" si="5">+K21/G21</f>
        <v>1.473377085209183</v>
      </c>
    </row>
    <row r="22" spans="1:12" ht="22.5" customHeight="1">
      <c r="A22" s="57" t="str">
        <f>+'S&amp;D'!A24</f>
        <v>CSX Corp</v>
      </c>
      <c r="B22" s="84" t="str">
        <f>+'S&amp;D'!B24</f>
        <v>CSX</v>
      </c>
      <c r="C22" s="60">
        <f>+'Growth &amp; Inflation Rates'!$D$57</f>
        <v>2.3E-2</v>
      </c>
      <c r="D22" s="261">
        <v>52191000000</v>
      </c>
      <c r="E22" s="261">
        <v>50320000000</v>
      </c>
      <c r="F22" s="117">
        <f t="shared" si="0"/>
        <v>51255500000</v>
      </c>
      <c r="G22" s="117">
        <v>1658000000</v>
      </c>
      <c r="H22" s="14">
        <f t="shared" si="1"/>
        <v>30.914053075995174</v>
      </c>
      <c r="I22" s="40">
        <f t="shared" si="2"/>
        <v>0.71102322074788893</v>
      </c>
      <c r="J22" s="41">
        <f t="shared" si="3"/>
        <v>0.49511277845779161</v>
      </c>
      <c r="K22" s="118">
        <f t="shared" si="4"/>
        <v>2334930356.1279497</v>
      </c>
      <c r="L22" s="119">
        <f t="shared" si="5"/>
        <v>1.4082812763136006</v>
      </c>
    </row>
    <row r="23" spans="1:12" ht="22.5" customHeight="1">
      <c r="A23" s="57" t="str">
        <f>+'S&amp;D'!A25</f>
        <v>Norfolk Southern</v>
      </c>
      <c r="B23" s="84" t="str">
        <f>+'S&amp;D'!B25</f>
        <v>NSC</v>
      </c>
      <c r="C23" s="60">
        <f>+'Growth &amp; Inflation Rates'!$D$57</f>
        <v>2.3E-2</v>
      </c>
      <c r="D23" s="261">
        <v>49788000000</v>
      </c>
      <c r="E23" s="261">
        <v>46591000000</v>
      </c>
      <c r="F23" s="117">
        <f t="shared" si="0"/>
        <v>48189500000</v>
      </c>
      <c r="G23" s="117">
        <v>1353000000</v>
      </c>
      <c r="H23" s="14">
        <f t="shared" si="1"/>
        <v>35.616777531411678</v>
      </c>
      <c r="I23" s="40">
        <f t="shared" si="2"/>
        <v>0.81918588322246855</v>
      </c>
      <c r="J23" s="41">
        <f t="shared" si="3"/>
        <v>0.44489932935798054</v>
      </c>
      <c r="K23" s="118">
        <f t="shared" si="4"/>
        <v>1996680167.4335804</v>
      </c>
      <c r="L23" s="119">
        <f t="shared" si="5"/>
        <v>1.4757429175414489</v>
      </c>
    </row>
    <row r="24" spans="1:12" ht="22.5" customHeight="1">
      <c r="A24" s="57" t="str">
        <f>+'S&amp;D'!A26</f>
        <v>Union Pacific Railroad</v>
      </c>
      <c r="B24" s="84" t="str">
        <f>+'S&amp;D'!B26</f>
        <v>UNP</v>
      </c>
      <c r="C24" s="60">
        <f>+'Growth &amp; Inflation Rates'!$D$57</f>
        <v>2.3E-2</v>
      </c>
      <c r="D24" s="261">
        <v>83840000000</v>
      </c>
      <c r="E24" s="261">
        <v>81733000000</v>
      </c>
      <c r="F24" s="117">
        <f t="shared" si="0"/>
        <v>82786500000</v>
      </c>
      <c r="G24" s="117">
        <v>2398000000</v>
      </c>
      <c r="H24" s="14">
        <f t="shared" si="1"/>
        <v>34.523144286905755</v>
      </c>
      <c r="I24" s="40">
        <f t="shared" si="2"/>
        <v>0.79403231859883239</v>
      </c>
      <c r="J24" s="41">
        <f t="shared" si="3"/>
        <v>0.45610210062200235</v>
      </c>
      <c r="K24" s="118">
        <f t="shared" si="4"/>
        <v>3500821573.6400509</v>
      </c>
      <c r="L24" s="119">
        <f t="shared" si="5"/>
        <v>1.4598922325438077</v>
      </c>
    </row>
    <row r="25" spans="1:12" ht="22.5" customHeight="1" thickBot="1">
      <c r="A25" s="64"/>
      <c r="B25" s="64"/>
      <c r="C25" s="42"/>
      <c r="D25" s="42"/>
      <c r="E25" s="42"/>
      <c r="F25" s="42"/>
      <c r="G25" s="42"/>
      <c r="H25" s="42"/>
      <c r="I25" s="42" t="s">
        <v>45</v>
      </c>
      <c r="J25" s="42"/>
      <c r="K25" s="42"/>
      <c r="L25" s="42"/>
    </row>
    <row r="26" spans="1:12" ht="22.5" customHeight="1" thickTop="1">
      <c r="A26" s="8"/>
      <c r="B26" s="8"/>
      <c r="C26" s="43" t="s">
        <v>0</v>
      </c>
      <c r="D26" s="43" t="s">
        <v>0</v>
      </c>
      <c r="E26" s="30" t="s">
        <v>0</v>
      </c>
      <c r="F26" s="30"/>
      <c r="G26" s="43" t="s">
        <v>0</v>
      </c>
      <c r="H26" s="30"/>
      <c r="I26" s="43" t="s">
        <v>0</v>
      </c>
      <c r="J26" s="43" t="s">
        <v>0</v>
      </c>
      <c r="K26" s="10" t="s">
        <v>46</v>
      </c>
      <c r="L26" s="47">
        <f>MAX(L20:L24)</f>
        <v>1.4757429175414489</v>
      </c>
    </row>
    <row r="27" spans="1:12" ht="22.5" customHeight="1">
      <c r="B27" s="8"/>
      <c r="C27" s="43"/>
      <c r="D27" s="43"/>
      <c r="E27" s="30"/>
      <c r="F27" s="30"/>
      <c r="G27" s="43"/>
      <c r="H27" s="30"/>
      <c r="I27" s="43"/>
      <c r="J27" s="43"/>
      <c r="K27" s="288" t="s">
        <v>47</v>
      </c>
      <c r="L27" s="289">
        <f>MIN(L20:L24)</f>
        <v>1.4082812763136006</v>
      </c>
    </row>
    <row r="28" spans="1:12" ht="22.5" customHeight="1">
      <c r="B28" s="8"/>
      <c r="C28" s="8"/>
      <c r="D28" s="8"/>
      <c r="E28" s="8"/>
      <c r="F28" s="8"/>
      <c r="G28" s="8"/>
      <c r="H28" s="8"/>
      <c r="I28" s="8"/>
      <c r="J28" s="8"/>
      <c r="K28" s="10" t="s">
        <v>18</v>
      </c>
      <c r="L28" s="49">
        <f>MEDIAN(L20:L24)</f>
        <v>1.473377085209183</v>
      </c>
    </row>
    <row r="29" spans="1:12" ht="22.5" customHeight="1">
      <c r="A29" s="8" t="s">
        <v>0</v>
      </c>
      <c r="B29" s="8"/>
      <c r="C29" s="8"/>
      <c r="D29" s="8"/>
      <c r="E29" s="8"/>
      <c r="F29" s="8"/>
      <c r="G29" s="8"/>
      <c r="H29" s="8"/>
      <c r="I29" s="8"/>
      <c r="J29" s="8"/>
      <c r="K29" s="10" t="s">
        <v>375</v>
      </c>
      <c r="L29" s="49">
        <f>AVERAGE(L20:L24)</f>
        <v>1.45832316560046</v>
      </c>
    </row>
    <row r="30" spans="1:12" ht="22.5" customHeight="1" thickBot="1">
      <c r="A30" s="8"/>
      <c r="B30" s="8"/>
      <c r="C30" s="8"/>
      <c r="D30" s="8"/>
      <c r="E30" s="8"/>
      <c r="F30" s="8"/>
      <c r="G30" s="8" t="s">
        <v>0</v>
      </c>
      <c r="H30" s="8"/>
      <c r="I30" s="8"/>
      <c r="J30" s="8"/>
      <c r="K30" s="8"/>
      <c r="L30" s="8"/>
    </row>
    <row r="31" spans="1:12" ht="22.5" customHeight="1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169" t="s">
        <v>200</v>
      </c>
      <c r="L31" s="352">
        <v>1.4582999999999999</v>
      </c>
    </row>
    <row r="32" spans="1:12" ht="16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>
      <c r="A34" s="8" t="s">
        <v>72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>
      <c r="A35" s="8" t="s">
        <v>243</v>
      </c>
    </row>
    <row r="36" spans="1:12" ht="16.5">
      <c r="A36" s="8"/>
    </row>
    <row r="37" spans="1:12" ht="16.5">
      <c r="A37" s="8" t="s">
        <v>346</v>
      </c>
    </row>
    <row r="38" spans="1:12" ht="20.2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</row>
    <row r="39" spans="1:12" ht="26.25">
      <c r="A39" s="19" t="s">
        <v>1</v>
      </c>
      <c r="B39" s="8"/>
      <c r="C39" s="8"/>
      <c r="D39" s="8"/>
      <c r="E39" s="8"/>
      <c r="F39" s="8"/>
      <c r="G39" s="8"/>
      <c r="H39" s="8"/>
      <c r="I39" s="8"/>
      <c r="J39" s="8"/>
      <c r="K39" s="199"/>
      <c r="L39" s="199"/>
    </row>
    <row r="40" spans="1:12" ht="20.25">
      <c r="A40" s="20" t="s">
        <v>9</v>
      </c>
      <c r="B40" s="8"/>
      <c r="C40" s="8"/>
      <c r="D40" s="8"/>
      <c r="E40" s="8"/>
      <c r="F40" s="8"/>
      <c r="G40" s="8"/>
      <c r="H40" s="8"/>
      <c r="I40" s="8"/>
      <c r="J40" s="8"/>
      <c r="K40" s="199"/>
      <c r="L40" s="199"/>
    </row>
    <row r="41" spans="1:12" ht="20.25">
      <c r="A41" s="21" t="s">
        <v>416</v>
      </c>
      <c r="B41" s="8"/>
      <c r="C41" s="8"/>
      <c r="D41" s="8"/>
      <c r="E41" s="8"/>
      <c r="F41" s="8"/>
      <c r="G41" s="8"/>
      <c r="H41" s="8"/>
      <c r="I41" s="8"/>
      <c r="J41" s="8"/>
      <c r="K41" s="199"/>
      <c r="L41" s="199"/>
    </row>
    <row r="42" spans="1:12" ht="20.25">
      <c r="A42" s="21"/>
      <c r="B42" s="8"/>
      <c r="C42" s="8"/>
      <c r="D42" s="8"/>
      <c r="E42" s="8"/>
      <c r="F42" s="8"/>
      <c r="G42" s="8"/>
      <c r="H42" s="8"/>
      <c r="I42" s="8"/>
      <c r="J42" s="8"/>
      <c r="K42" s="199"/>
      <c r="L42" s="199"/>
    </row>
    <row r="43" spans="1:12" ht="20.25">
      <c r="A43" s="21"/>
      <c r="B43" s="8"/>
      <c r="C43" s="8"/>
      <c r="D43" s="8"/>
      <c r="E43" s="8"/>
      <c r="F43" s="8"/>
      <c r="G43" s="8"/>
      <c r="H43" s="8"/>
      <c r="I43" s="8"/>
      <c r="J43" s="8"/>
      <c r="K43" s="199"/>
      <c r="L43" s="199"/>
    </row>
    <row r="44" spans="1:12" ht="20.25">
      <c r="A44" s="21"/>
      <c r="B44" s="8"/>
      <c r="C44" s="8"/>
      <c r="D44" s="8"/>
      <c r="E44" s="8"/>
      <c r="F44" s="8"/>
      <c r="G44" s="8"/>
      <c r="H44" s="8"/>
      <c r="I44" s="8"/>
      <c r="J44" s="8"/>
      <c r="K44" s="199"/>
      <c r="L44" s="199"/>
    </row>
    <row r="45" spans="1:12" ht="21" thickBot="1">
      <c r="A45" s="8"/>
      <c r="B45" s="8"/>
      <c r="C45" s="8"/>
      <c r="D45" s="8"/>
      <c r="E45" s="8"/>
      <c r="F45" s="24"/>
      <c r="G45" s="24"/>
      <c r="H45" s="25" t="s">
        <v>0</v>
      </c>
      <c r="I45" s="8"/>
      <c r="J45" s="8"/>
      <c r="K45" s="199"/>
      <c r="L45" s="199"/>
    </row>
    <row r="46" spans="1:12" ht="27" thickBot="1">
      <c r="A46" s="23" t="s">
        <v>43</v>
      </c>
      <c r="B46" s="8"/>
      <c r="C46" s="8"/>
      <c r="D46" s="8"/>
      <c r="E46" s="8"/>
      <c r="F46" s="8"/>
      <c r="G46" s="27" t="s">
        <v>265</v>
      </c>
      <c r="H46" s="8"/>
      <c r="I46" s="8"/>
      <c r="J46" s="8"/>
      <c r="K46" s="199"/>
      <c r="L46" s="199"/>
    </row>
    <row r="47" spans="1:12" ht="21" thickBot="1">
      <c r="A47" s="36" t="s">
        <v>0</v>
      </c>
      <c r="B47" s="36" t="s">
        <v>0</v>
      </c>
      <c r="C47" s="36" t="s">
        <v>0</v>
      </c>
      <c r="D47" s="8"/>
      <c r="E47" s="8"/>
      <c r="F47" s="29" t="s">
        <v>0</v>
      </c>
      <c r="G47" s="32" t="s">
        <v>417</v>
      </c>
      <c r="H47" s="29" t="s">
        <v>0</v>
      </c>
      <c r="I47" s="36" t="s">
        <v>0</v>
      </c>
      <c r="J47" s="8"/>
      <c r="K47" s="199"/>
      <c r="L47" s="199"/>
    </row>
    <row r="48" spans="1:12" ht="2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</row>
    <row r="49" spans="1:12" ht="20.25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</row>
    <row r="50" spans="1:12" ht="2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</row>
    <row r="51" spans="1:12" ht="16.5">
      <c r="A51" s="36"/>
      <c r="B51" s="36"/>
      <c r="C51" s="36"/>
      <c r="D51" s="8"/>
      <c r="E51" s="8"/>
      <c r="J51" s="8"/>
      <c r="K51" s="8"/>
      <c r="L51" s="8"/>
    </row>
    <row r="52" spans="1:12" ht="31.5">
      <c r="A52" s="193" t="s">
        <v>254</v>
      </c>
      <c r="B52" s="36"/>
      <c r="C52" s="195" t="s">
        <v>259</v>
      </c>
      <c r="D52" s="8"/>
      <c r="E52" s="8"/>
      <c r="J52" s="8"/>
      <c r="K52" s="8"/>
      <c r="L52" s="8"/>
    </row>
    <row r="53" spans="1:12" ht="31.5">
      <c r="A53" s="193" t="s">
        <v>258</v>
      </c>
      <c r="B53" s="36"/>
      <c r="C53" s="195" t="s">
        <v>264</v>
      </c>
      <c r="D53" s="8"/>
      <c r="E53" s="8"/>
      <c r="J53" s="8"/>
      <c r="K53" s="8"/>
      <c r="L53" s="8"/>
    </row>
    <row r="54" spans="1:12" ht="17.25">
      <c r="A54" s="194" t="s">
        <v>255</v>
      </c>
      <c r="B54" s="36"/>
      <c r="C54" s="36"/>
      <c r="D54" s="8"/>
      <c r="E54" s="8"/>
      <c r="J54" s="8"/>
      <c r="K54" s="8"/>
      <c r="L54" s="8"/>
    </row>
    <row r="55" spans="1:12" ht="17.25">
      <c r="A55" s="194" t="s">
        <v>256</v>
      </c>
      <c r="B55" s="36"/>
      <c r="C55" s="36"/>
      <c r="D55" s="8"/>
      <c r="E55" s="8"/>
      <c r="J55" s="8"/>
      <c r="K55" s="8"/>
      <c r="L55" s="8"/>
    </row>
    <row r="56" spans="1:12" ht="17.25">
      <c r="A56" s="194" t="s">
        <v>257</v>
      </c>
      <c r="B56" s="36"/>
      <c r="C56" s="36"/>
      <c r="D56" s="8"/>
      <c r="E56" s="8"/>
      <c r="J56" s="8"/>
      <c r="K56" s="8"/>
      <c r="L56" s="8"/>
    </row>
    <row r="62" spans="1:12" ht="31.5">
      <c r="A62" s="196" t="s">
        <v>263</v>
      </c>
      <c r="B62" s="99"/>
      <c r="C62" s="99"/>
      <c r="D62" s="99"/>
      <c r="E62" s="99"/>
      <c r="F62" s="99"/>
      <c r="G62" s="8"/>
      <c r="H62" s="8"/>
      <c r="I62" s="8"/>
    </row>
    <row r="63" spans="1:12" ht="17.25">
      <c r="A63" s="99"/>
      <c r="B63" s="99"/>
      <c r="C63" s="99"/>
      <c r="D63" s="99"/>
      <c r="E63" s="99"/>
      <c r="F63" s="99"/>
      <c r="G63" s="8"/>
      <c r="H63" s="8"/>
      <c r="I63" s="8"/>
    </row>
    <row r="64" spans="1:12" ht="18" thickBot="1">
      <c r="A64" s="197" t="s">
        <v>260</v>
      </c>
      <c r="B64" s="101"/>
      <c r="C64" s="101"/>
      <c r="D64" s="198" t="s">
        <v>262</v>
      </c>
      <c r="E64" s="101"/>
      <c r="F64" s="99"/>
      <c r="G64" s="8"/>
      <c r="H64" s="8"/>
      <c r="I64" s="8"/>
    </row>
    <row r="65" spans="1:9" ht="17.25">
      <c r="A65" s="99"/>
      <c r="B65" s="99"/>
      <c r="C65" s="99"/>
      <c r="D65" s="99" t="s">
        <v>261</v>
      </c>
      <c r="E65" s="99"/>
      <c r="F65" s="99"/>
      <c r="G65" s="8"/>
      <c r="H65" s="8"/>
      <c r="I65" s="8"/>
    </row>
    <row r="66" spans="1:9" ht="17.25">
      <c r="A66" s="99"/>
      <c r="B66" s="99"/>
      <c r="C66" s="99"/>
      <c r="D66" s="99"/>
      <c r="E66" s="99"/>
      <c r="F66" s="99"/>
      <c r="G66" s="8"/>
      <c r="H66" s="8"/>
      <c r="I66" s="8"/>
    </row>
    <row r="67" spans="1:9" ht="16.5">
      <c r="A67" s="8"/>
      <c r="B67" s="8"/>
      <c r="C67" s="8"/>
      <c r="D67" s="8"/>
      <c r="E67" s="8"/>
      <c r="F67" s="8"/>
      <c r="G67" s="8"/>
      <c r="H67" s="8"/>
      <c r="I67" s="8"/>
    </row>
    <row r="68" spans="1:9" ht="16.5">
      <c r="A68" s="8"/>
      <c r="B68" s="8"/>
      <c r="C68" s="8"/>
      <c r="D68" s="8"/>
      <c r="E68" s="8"/>
      <c r="F68" s="8"/>
      <c r="G68" s="8"/>
      <c r="H68" s="8"/>
      <c r="I68" s="8"/>
    </row>
    <row r="69" spans="1:9" ht="16.5">
      <c r="A69" s="8"/>
      <c r="B69" s="8"/>
      <c r="C69" s="8"/>
      <c r="D69" s="8"/>
      <c r="E69" s="8"/>
      <c r="F69" s="8"/>
      <c r="G69" s="8"/>
      <c r="H69" s="8"/>
      <c r="I69" s="8"/>
    </row>
    <row r="70" spans="1:9" ht="16.5">
      <c r="A70" s="8"/>
      <c r="B70" s="8"/>
      <c r="C70" s="8"/>
      <c r="D70" s="8"/>
      <c r="E70" s="8"/>
      <c r="F70" s="8"/>
      <c r="G70" s="8"/>
      <c r="H70" s="8"/>
      <c r="I70" s="8"/>
    </row>
    <row r="71" spans="1:9" ht="16.5">
      <c r="A71" s="8"/>
      <c r="B71" s="8"/>
      <c r="C71" s="8"/>
      <c r="D71" s="8"/>
      <c r="E71" s="8"/>
      <c r="F71" s="8"/>
      <c r="G71" s="8"/>
      <c r="H71" s="8"/>
      <c r="I71" s="8"/>
    </row>
    <row r="72" spans="1:9" ht="16.5">
      <c r="A72" s="8" t="s">
        <v>0</v>
      </c>
      <c r="B72" s="8"/>
      <c r="C72" s="8"/>
      <c r="D72" s="8"/>
      <c r="E72" s="8"/>
      <c r="F72" s="8"/>
      <c r="G72" s="8"/>
      <c r="H72" s="8"/>
      <c r="I72" s="8"/>
    </row>
    <row r="73" spans="1:9" ht="16.5">
      <c r="A73" s="8"/>
      <c r="B73" s="8"/>
      <c r="C73" s="8"/>
      <c r="D73" s="8"/>
      <c r="E73" s="8"/>
      <c r="F73" s="8"/>
      <c r="G73" s="8"/>
      <c r="H73" s="8"/>
      <c r="I73" s="8"/>
    </row>
  </sheetData>
  <pageMargins left="0.25" right="0.25" top="0.75" bottom="0.75" header="0.3" footer="0.3"/>
  <pageSetup scale="51" orientation="landscape" r:id="rId1"/>
  <rowBreaks count="1" manualBreakCount="1">
    <brk id="37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H33"/>
  <sheetViews>
    <sheetView view="pageBreakPreview" zoomScale="60" zoomScaleNormal="80" workbookViewId="0">
      <selection activeCell="G25" sqref="G25"/>
    </sheetView>
  </sheetViews>
  <sheetFormatPr defaultRowHeight="15"/>
  <cols>
    <col min="1" max="1" width="55" customWidth="1"/>
    <col min="2" max="2" width="17" customWidth="1"/>
    <col min="3" max="3" width="22.7109375" customWidth="1"/>
    <col min="4" max="4" width="20.140625" customWidth="1"/>
    <col min="5" max="5" width="27.85546875" customWidth="1"/>
    <col min="6" max="6" width="28.5703125" customWidth="1"/>
    <col min="7" max="7" width="23.42578125" customWidth="1"/>
    <col min="8" max="8" width="25.85546875" customWidth="1"/>
    <col min="9" max="9" width="14.140625" bestFit="1" customWidth="1"/>
    <col min="11" max="11" width="10.5703125" customWidth="1"/>
  </cols>
  <sheetData>
    <row r="1" spans="1:8" ht="26.25">
      <c r="A1" s="19" t="s">
        <v>1</v>
      </c>
      <c r="B1" s="8"/>
      <c r="C1" s="8"/>
      <c r="D1" s="8"/>
      <c r="E1" s="8"/>
      <c r="F1" s="8"/>
      <c r="G1" s="8"/>
      <c r="H1" s="8"/>
    </row>
    <row r="2" spans="1:8" ht="17.25">
      <c r="A2" s="20" t="s">
        <v>9</v>
      </c>
      <c r="B2" s="8"/>
      <c r="C2" s="8"/>
      <c r="D2" s="8"/>
      <c r="E2" s="8"/>
      <c r="F2" s="8"/>
      <c r="G2" s="8"/>
      <c r="H2" s="8"/>
    </row>
    <row r="3" spans="1:8" ht="16.5">
      <c r="A3" s="21" t="s">
        <v>416</v>
      </c>
      <c r="B3" s="8"/>
      <c r="C3" s="8"/>
      <c r="D3" s="8"/>
      <c r="E3" s="8"/>
      <c r="F3" s="8"/>
      <c r="G3" s="8"/>
      <c r="H3" s="8"/>
    </row>
    <row r="4" spans="1:8" ht="16.5">
      <c r="A4" s="21"/>
      <c r="B4" s="8"/>
      <c r="C4" s="8"/>
      <c r="D4" s="8"/>
      <c r="E4" s="8"/>
      <c r="F4" s="8"/>
      <c r="G4" s="8"/>
      <c r="H4" s="8"/>
    </row>
    <row r="5" spans="1:8" ht="16.5">
      <c r="A5" s="21"/>
      <c r="B5" s="8"/>
      <c r="C5" s="8"/>
      <c r="D5" s="8"/>
      <c r="E5" s="8"/>
      <c r="F5" s="8"/>
      <c r="G5" s="8"/>
      <c r="H5" s="8"/>
    </row>
    <row r="6" spans="1:8" ht="16.5">
      <c r="A6" s="21"/>
      <c r="B6" s="8"/>
      <c r="C6" s="8"/>
      <c r="D6" s="8"/>
      <c r="E6" s="8"/>
      <c r="F6" s="8"/>
      <c r="G6" s="8"/>
      <c r="H6" s="8"/>
    </row>
    <row r="7" spans="1:8" ht="17.25" thickBot="1">
      <c r="A7" s="8"/>
      <c r="B7" s="8"/>
      <c r="C7" s="8"/>
      <c r="H7" s="8"/>
    </row>
    <row r="8" spans="1:8" ht="21" thickBot="1">
      <c r="A8" s="227" t="str">
        <f>+'S&amp;D'!A12</f>
        <v>Railroad Carriers</v>
      </c>
      <c r="B8" s="163"/>
      <c r="C8" s="8"/>
      <c r="D8" s="24"/>
      <c r="E8" s="24"/>
      <c r="F8" s="24"/>
      <c r="H8" s="8"/>
    </row>
    <row r="9" spans="1:8" ht="26.25">
      <c r="A9" s="26"/>
      <c r="B9" s="8"/>
      <c r="C9" s="8"/>
      <c r="D9" s="8"/>
      <c r="E9" s="27" t="s">
        <v>118</v>
      </c>
      <c r="F9" s="27"/>
      <c r="H9" s="8"/>
    </row>
    <row r="10" spans="1:8" ht="21" thickBot="1">
      <c r="A10" s="26"/>
      <c r="B10" s="8"/>
      <c r="C10" s="8"/>
      <c r="D10" s="24"/>
      <c r="E10" s="32" t="s">
        <v>417</v>
      </c>
      <c r="F10" s="32"/>
      <c r="H10" s="8"/>
    </row>
    <row r="11" spans="1:8" ht="20.25">
      <c r="A11" s="26"/>
      <c r="B11" s="8"/>
      <c r="H11" s="8"/>
    </row>
    <row r="12" spans="1:8" ht="17.25" thickBot="1">
      <c r="A12" s="29" t="s">
        <v>0</v>
      </c>
      <c r="B12" s="29" t="s">
        <v>0</v>
      </c>
      <c r="C12" s="29" t="s">
        <v>0</v>
      </c>
      <c r="D12" s="29" t="s">
        <v>0</v>
      </c>
      <c r="E12" s="29" t="s">
        <v>0</v>
      </c>
      <c r="F12" s="29"/>
      <c r="G12" s="29"/>
      <c r="H12" s="24"/>
    </row>
    <row r="13" spans="1:8" ht="17.25">
      <c r="A13" s="84" t="s">
        <v>0</v>
      </c>
      <c r="B13" s="84" t="s">
        <v>3</v>
      </c>
      <c r="C13" s="84" t="s">
        <v>5</v>
      </c>
      <c r="D13" s="84" t="s">
        <v>21</v>
      </c>
      <c r="E13" s="152" t="s">
        <v>219</v>
      </c>
      <c r="F13" s="152" t="s">
        <v>307</v>
      </c>
      <c r="G13" s="84" t="s">
        <v>20</v>
      </c>
      <c r="H13" s="84" t="s">
        <v>139</v>
      </c>
    </row>
    <row r="14" spans="1:8" ht="18" thickBot="1">
      <c r="A14" s="90" t="s">
        <v>2</v>
      </c>
      <c r="B14" s="90" t="s">
        <v>4</v>
      </c>
      <c r="C14" s="90" t="s">
        <v>6</v>
      </c>
      <c r="D14" s="90" t="s">
        <v>23</v>
      </c>
      <c r="E14" s="90" t="s">
        <v>308</v>
      </c>
      <c r="F14" s="90" t="s">
        <v>182</v>
      </c>
      <c r="G14" s="90" t="s">
        <v>22</v>
      </c>
      <c r="H14" s="90" t="s">
        <v>116</v>
      </c>
    </row>
    <row r="15" spans="1:8">
      <c r="A15" s="34" t="s">
        <v>7</v>
      </c>
      <c r="B15" s="34" t="s">
        <v>7</v>
      </c>
      <c r="C15" s="34" t="s">
        <v>7</v>
      </c>
      <c r="D15" s="34" t="s">
        <v>7</v>
      </c>
      <c r="E15" s="190" t="s">
        <v>419</v>
      </c>
      <c r="F15" s="190" t="s">
        <v>419</v>
      </c>
      <c r="G15" s="34" t="s">
        <v>7</v>
      </c>
      <c r="H15" s="190" t="s">
        <v>419</v>
      </c>
    </row>
    <row r="16" spans="1:8" ht="17.25" thickBot="1">
      <c r="A16" s="30"/>
      <c r="B16" s="30"/>
      <c r="C16" s="30"/>
      <c r="D16" s="30"/>
      <c r="G16" s="30"/>
      <c r="H16" s="30"/>
    </row>
    <row r="17" spans="1:8" ht="16.5">
      <c r="A17" s="134"/>
      <c r="B17" s="102"/>
      <c r="C17" s="102"/>
      <c r="D17" s="102"/>
      <c r="E17" s="269"/>
      <c r="F17" s="269"/>
      <c r="G17" s="102"/>
      <c r="H17" s="135"/>
    </row>
    <row r="18" spans="1:8" ht="20.25" customHeight="1">
      <c r="A18" s="96" t="str">
        <f>+'S&amp;D'!A22</f>
        <v>Canadian National</v>
      </c>
      <c r="B18" s="84" t="str">
        <f>+'S&amp;D'!B22</f>
        <v>CNI</v>
      </c>
      <c r="C18" s="84" t="str">
        <f>+'S&amp;D'!C22</f>
        <v>Railroad</v>
      </c>
      <c r="D18" s="270">
        <v>0.25</v>
      </c>
      <c r="E18" s="224">
        <v>0.27</v>
      </c>
      <c r="F18" s="224">
        <v>0.155</v>
      </c>
      <c r="G18" s="84" t="s">
        <v>44</v>
      </c>
      <c r="H18" s="340">
        <v>0.9</v>
      </c>
    </row>
    <row r="19" spans="1:8" ht="20.25" customHeight="1">
      <c r="A19" s="96" t="str">
        <f>+'S&amp;D'!A23</f>
        <v>Canadian Pacific Kansas City Limited  CPKC</v>
      </c>
      <c r="B19" s="84" t="str">
        <f>+'S&amp;D'!B23</f>
        <v>CP</v>
      </c>
      <c r="C19" s="84" t="str">
        <f>+'S&amp;D'!C23</f>
        <v>Railroad</v>
      </c>
      <c r="D19" s="270">
        <v>0.24</v>
      </c>
      <c r="E19" s="224">
        <v>0.09</v>
      </c>
      <c r="F19" s="224">
        <v>7.4999999999999997E-2</v>
      </c>
      <c r="G19" s="84" t="s">
        <v>24</v>
      </c>
      <c r="H19" s="340">
        <v>0.95</v>
      </c>
    </row>
    <row r="20" spans="1:8" ht="20.25" customHeight="1">
      <c r="A20" s="96" t="str">
        <f>+'S&amp;D'!A24</f>
        <v>CSX Corp</v>
      </c>
      <c r="B20" s="84" t="str">
        <f>+'S&amp;D'!B24</f>
        <v>CSX</v>
      </c>
      <c r="C20" s="84" t="str">
        <f>+'S&amp;D'!C24</f>
        <v>Railroad</v>
      </c>
      <c r="D20" s="270">
        <v>0.24</v>
      </c>
      <c r="E20" s="224">
        <v>0.32</v>
      </c>
      <c r="F20" s="224">
        <v>0.23</v>
      </c>
      <c r="G20" s="84" t="s">
        <v>24</v>
      </c>
      <c r="H20" s="340">
        <v>1</v>
      </c>
    </row>
    <row r="21" spans="1:8" ht="20.25" customHeight="1">
      <c r="A21" s="96" t="str">
        <f>+'S&amp;D'!A25</f>
        <v>Norfolk Southern</v>
      </c>
      <c r="B21" s="84" t="str">
        <f>+'S&amp;D'!B25</f>
        <v>NSC</v>
      </c>
      <c r="C21" s="84" t="str">
        <f>+'S&amp;D'!C25</f>
        <v>Railroad</v>
      </c>
      <c r="D21" s="270">
        <v>0.23</v>
      </c>
      <c r="E21" s="224">
        <v>0.20499999999999999</v>
      </c>
      <c r="F21" s="224">
        <v>0.125</v>
      </c>
      <c r="G21" s="84" t="s">
        <v>44</v>
      </c>
      <c r="H21" s="340">
        <v>1.05</v>
      </c>
    </row>
    <row r="22" spans="1:8" ht="20.25" customHeight="1" thickBot="1">
      <c r="A22" s="96" t="str">
        <f>+'S&amp;D'!A26</f>
        <v>Union Pacific Railroad</v>
      </c>
      <c r="B22" s="84" t="str">
        <f>+'S&amp;D'!B26</f>
        <v>UNP</v>
      </c>
      <c r="C22" s="84" t="str">
        <f>+'S&amp;D'!C26</f>
        <v>Railroad</v>
      </c>
      <c r="D22" s="270">
        <v>0.24</v>
      </c>
      <c r="E22" s="224">
        <v>0.435</v>
      </c>
      <c r="F22" s="224">
        <v>0.245</v>
      </c>
      <c r="G22" s="84" t="s">
        <v>44</v>
      </c>
      <c r="H22" s="341">
        <v>1</v>
      </c>
    </row>
    <row r="23" spans="1:8" ht="20.25" customHeight="1" thickTop="1">
      <c r="A23" s="99"/>
      <c r="B23" s="99"/>
      <c r="C23" s="3"/>
      <c r="D23" s="147" t="s">
        <v>0</v>
      </c>
      <c r="E23" s="3"/>
      <c r="F23" s="3"/>
      <c r="G23" s="108" t="s">
        <v>46</v>
      </c>
      <c r="H23" s="148">
        <f>+MAX(H18:H22)</f>
        <v>1.05</v>
      </c>
    </row>
    <row r="24" spans="1:8" ht="20.25" customHeight="1">
      <c r="A24" s="99"/>
      <c r="B24" s="99"/>
      <c r="C24" s="3"/>
      <c r="D24" s="147" t="s">
        <v>0</v>
      </c>
      <c r="E24" s="3"/>
      <c r="F24" s="3"/>
      <c r="G24" s="108" t="s">
        <v>47</v>
      </c>
      <c r="H24" s="287">
        <f>MIN(H18:H22)</f>
        <v>0.9</v>
      </c>
    </row>
    <row r="25" spans="1:8" ht="20.25" customHeight="1">
      <c r="A25" s="99"/>
      <c r="B25" s="99"/>
      <c r="C25" s="3"/>
      <c r="D25" s="149" t="s">
        <v>0</v>
      </c>
      <c r="E25" s="3"/>
      <c r="F25" s="3"/>
      <c r="G25" s="108" t="s">
        <v>18</v>
      </c>
      <c r="H25" s="150">
        <f>MEDIAN(H18:H22)</f>
        <v>1</v>
      </c>
    </row>
    <row r="26" spans="1:8" ht="20.25" customHeight="1">
      <c r="A26" s="99"/>
      <c r="B26" s="99"/>
      <c r="C26" s="3"/>
      <c r="D26" s="110" t="s">
        <v>0</v>
      </c>
      <c r="E26" s="3"/>
      <c r="F26" s="3"/>
      <c r="G26" s="108" t="s">
        <v>375</v>
      </c>
      <c r="H26" s="151">
        <f>AVERAGE(H18:H22)</f>
        <v>0.98000000000000009</v>
      </c>
    </row>
    <row r="27" spans="1:8" ht="20.25" customHeight="1">
      <c r="A27" s="99"/>
      <c r="B27" s="99"/>
      <c r="C27" s="3"/>
      <c r="D27" s="110"/>
      <c r="E27" s="3"/>
      <c r="F27" s="3"/>
      <c r="G27" s="108"/>
      <c r="H27" s="151"/>
    </row>
    <row r="28" spans="1:8" ht="20.25" customHeight="1" thickBot="1">
      <c r="A28" s="8"/>
      <c r="B28" s="8"/>
      <c r="C28" s="8"/>
      <c r="D28" s="8" t="s">
        <v>0</v>
      </c>
      <c r="G28" s="8"/>
      <c r="H28" s="8"/>
    </row>
    <row r="29" spans="1:8" ht="20.25" customHeight="1" thickBot="1">
      <c r="A29" s="8"/>
      <c r="B29" s="8"/>
      <c r="C29" s="8"/>
      <c r="D29" s="8"/>
      <c r="G29" s="169" t="s">
        <v>74</v>
      </c>
      <c r="H29" s="268">
        <v>0.98</v>
      </c>
    </row>
    <row r="30" spans="1:8" ht="20.25" customHeight="1">
      <c r="A30" s="8"/>
      <c r="B30" s="8"/>
      <c r="C30" s="8"/>
      <c r="D30" s="8"/>
      <c r="G30" s="8"/>
      <c r="H30" s="246"/>
    </row>
    <row r="31" spans="1:8" ht="20.25" customHeight="1">
      <c r="A31" s="8"/>
      <c r="B31" s="8"/>
      <c r="C31" s="8"/>
      <c r="D31" s="8"/>
      <c r="G31" s="8"/>
      <c r="H31" s="246"/>
    </row>
    <row r="32" spans="1:8" ht="17.25">
      <c r="A32" s="99" t="s">
        <v>310</v>
      </c>
    </row>
    <row r="33" spans="1:1" ht="17.25">
      <c r="A33" s="99" t="s">
        <v>309</v>
      </c>
    </row>
  </sheetData>
  <pageMargins left="0.25" right="0.25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28"/>
  <sheetViews>
    <sheetView view="pageBreakPreview" zoomScale="60" zoomScaleNormal="80" workbookViewId="0">
      <selection activeCell="K19" sqref="K19"/>
    </sheetView>
  </sheetViews>
  <sheetFormatPr defaultRowHeight="15"/>
  <cols>
    <col min="1" max="1" width="50.42578125" customWidth="1"/>
    <col min="2" max="2" width="10.85546875" bestFit="1" customWidth="1"/>
    <col min="3" max="3" width="19.140625" bestFit="1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</row>
    <row r="2" spans="1:11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</row>
    <row r="3" spans="1:11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</row>
    <row r="4" spans="1:11" ht="16.5">
      <c r="A4" s="21"/>
      <c r="B4" s="8"/>
      <c r="C4" s="8"/>
      <c r="D4" s="8"/>
      <c r="E4" s="8"/>
      <c r="F4" s="8"/>
      <c r="G4" s="8"/>
      <c r="H4" s="8"/>
      <c r="I4" s="8"/>
      <c r="J4" s="8"/>
    </row>
    <row r="5" spans="1:11" ht="17.25" thickBot="1">
      <c r="A5" s="8"/>
      <c r="B5" s="8"/>
      <c r="C5" s="8"/>
      <c r="D5" s="8"/>
      <c r="E5" s="8"/>
      <c r="F5" s="8"/>
      <c r="G5" s="22"/>
      <c r="H5" s="8"/>
      <c r="I5" s="8"/>
      <c r="J5" s="8"/>
    </row>
    <row r="6" spans="1:11" ht="21" thickBot="1">
      <c r="A6" s="227" t="str">
        <f>'S&amp;D'!A12</f>
        <v>Railroad Carriers</v>
      </c>
      <c r="B6" s="163"/>
      <c r="C6" s="8"/>
      <c r="D6" s="24"/>
      <c r="E6" s="24"/>
      <c r="F6" s="25" t="s">
        <v>0</v>
      </c>
      <c r="G6" s="8"/>
      <c r="H6" s="8"/>
      <c r="I6" s="8"/>
      <c r="J6" s="8"/>
    </row>
    <row r="7" spans="1:11" ht="26.25">
      <c r="A7" s="26"/>
      <c r="B7" s="8"/>
      <c r="C7" s="8"/>
      <c r="D7" s="8"/>
      <c r="E7" s="27" t="s">
        <v>161</v>
      </c>
      <c r="F7" s="8"/>
      <c r="G7" s="8"/>
      <c r="H7" s="8"/>
      <c r="I7" s="8"/>
      <c r="J7" s="8"/>
    </row>
    <row r="8" spans="1:11" ht="21" thickBot="1">
      <c r="A8" s="26"/>
      <c r="B8" s="8"/>
      <c r="C8" s="8"/>
      <c r="D8" s="24"/>
      <c r="E8" s="28" t="s">
        <v>417</v>
      </c>
      <c r="F8" s="24"/>
      <c r="G8" s="8"/>
      <c r="H8" s="8"/>
      <c r="I8" s="8"/>
      <c r="J8" s="8"/>
    </row>
    <row r="9" spans="1:11" ht="17.25" thickBot="1">
      <c r="A9" s="29" t="s">
        <v>0</v>
      </c>
      <c r="B9" s="29" t="s">
        <v>0</v>
      </c>
      <c r="C9" s="29" t="s">
        <v>0</v>
      </c>
      <c r="D9" s="29" t="s">
        <v>0</v>
      </c>
      <c r="E9" s="29" t="s">
        <v>0</v>
      </c>
      <c r="F9" s="29"/>
      <c r="G9" s="24"/>
      <c r="H9" s="24"/>
      <c r="I9" s="24"/>
      <c r="J9" s="24"/>
      <c r="K9" s="132"/>
    </row>
    <row r="10" spans="1:11" ht="16.5">
      <c r="A10" s="30" t="s">
        <v>0</v>
      </c>
      <c r="B10" s="30" t="s">
        <v>3</v>
      </c>
      <c r="C10" s="30" t="s">
        <v>5</v>
      </c>
      <c r="D10" s="30" t="s">
        <v>156</v>
      </c>
      <c r="E10" s="30" t="s">
        <v>157</v>
      </c>
      <c r="F10" s="30" t="s">
        <v>159</v>
      </c>
      <c r="G10" s="30" t="s">
        <v>157</v>
      </c>
      <c r="H10" s="30" t="s">
        <v>159</v>
      </c>
      <c r="I10" s="30" t="s">
        <v>157</v>
      </c>
      <c r="J10" s="30" t="s">
        <v>159</v>
      </c>
      <c r="K10" s="30" t="s">
        <v>247</v>
      </c>
    </row>
    <row r="11" spans="1:11" ht="16.5">
      <c r="A11" s="30"/>
      <c r="B11" s="30" t="s">
        <v>4</v>
      </c>
      <c r="C11" s="30" t="s">
        <v>6</v>
      </c>
      <c r="D11" s="30" t="s">
        <v>27</v>
      </c>
      <c r="E11" s="30" t="s">
        <v>158</v>
      </c>
      <c r="F11" s="30" t="s">
        <v>117</v>
      </c>
      <c r="G11" s="30" t="s">
        <v>158</v>
      </c>
      <c r="H11" s="30" t="s">
        <v>117</v>
      </c>
      <c r="I11" s="30" t="s">
        <v>158</v>
      </c>
      <c r="J11" s="30" t="s">
        <v>117</v>
      </c>
      <c r="K11" s="30" t="s">
        <v>173</v>
      </c>
    </row>
    <row r="12" spans="1:11" ht="17.25" thickBot="1">
      <c r="A12" s="32" t="s">
        <v>2</v>
      </c>
      <c r="B12" s="32" t="s">
        <v>0</v>
      </c>
      <c r="C12" s="32" t="s">
        <v>0</v>
      </c>
      <c r="D12" s="32" t="s">
        <v>0</v>
      </c>
      <c r="E12" s="32" t="s">
        <v>160</v>
      </c>
      <c r="F12" s="32" t="s">
        <v>160</v>
      </c>
      <c r="G12" s="32" t="s">
        <v>245</v>
      </c>
      <c r="H12" s="32" t="s">
        <v>245</v>
      </c>
      <c r="I12" s="32" t="s">
        <v>246</v>
      </c>
      <c r="J12" s="32" t="s">
        <v>246</v>
      </c>
      <c r="K12" s="191" t="s">
        <v>248</v>
      </c>
    </row>
    <row r="13" spans="1:11">
      <c r="A13" s="34" t="s">
        <v>7</v>
      </c>
      <c r="B13" s="34" t="s">
        <v>7</v>
      </c>
      <c r="C13" s="34" t="s">
        <v>7</v>
      </c>
      <c r="D13" s="35" t="s">
        <v>113</v>
      </c>
      <c r="E13" s="34" t="s">
        <v>7</v>
      </c>
      <c r="F13" s="34" t="s">
        <v>15</v>
      </c>
      <c r="G13" s="34" t="s">
        <v>7</v>
      </c>
      <c r="H13" s="34" t="s">
        <v>15</v>
      </c>
      <c r="I13" s="34" t="s">
        <v>7</v>
      </c>
      <c r="J13" s="34" t="s">
        <v>15</v>
      </c>
      <c r="K13" s="34" t="s">
        <v>15</v>
      </c>
    </row>
    <row r="14" spans="1:11" ht="16.5">
      <c r="A14" s="30"/>
      <c r="B14" s="30"/>
      <c r="C14" s="30"/>
      <c r="D14" s="30"/>
      <c r="E14" s="30"/>
      <c r="F14" s="30"/>
      <c r="G14" s="8"/>
      <c r="H14" s="8"/>
      <c r="I14" s="8"/>
      <c r="J14" s="8"/>
      <c r="K14" s="8"/>
    </row>
    <row r="15" spans="1:11" ht="16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7.25">
      <c r="A16" s="57" t="str">
        <f>+'S&amp;D'!A22</f>
        <v>Canadian National</v>
      </c>
      <c r="B16" s="84" t="str">
        <f>+'S&amp;D'!B22</f>
        <v>CNI</v>
      </c>
      <c r="C16" s="84" t="str">
        <f>+'S&amp;D'!C22</f>
        <v>Railroad</v>
      </c>
      <c r="D16" s="54">
        <f>+'S&amp;D'!G22</f>
        <v>101.51</v>
      </c>
      <c r="E16" s="333">
        <v>2.6</v>
      </c>
      <c r="F16" s="48">
        <f>+E16/D16</f>
        <v>2.5613240074869471E-2</v>
      </c>
      <c r="G16" s="333">
        <v>2.8</v>
      </c>
      <c r="H16" s="48">
        <f>+G16/D16</f>
        <v>2.7583489311397889E-2</v>
      </c>
      <c r="I16" s="333">
        <v>3.7</v>
      </c>
      <c r="J16" s="48">
        <f>+I16/D16</f>
        <v>3.6449610875775786E-2</v>
      </c>
      <c r="K16" s="342">
        <f>RATE(3,,-G16,I16)</f>
        <v>9.7356897001566411E-2</v>
      </c>
    </row>
    <row r="17" spans="1:11" ht="17.25">
      <c r="A17" s="57" t="str">
        <f>+'S&amp;D'!A23</f>
        <v>Canadian Pacific Kansas City Limited  CPKC</v>
      </c>
      <c r="B17" s="84" t="str">
        <f>+'S&amp;D'!B23</f>
        <v>CP</v>
      </c>
      <c r="C17" s="84" t="str">
        <f>+'S&amp;D'!C23</f>
        <v>Railroad</v>
      </c>
      <c r="D17" s="54">
        <f>+'S&amp;D'!G23</f>
        <v>72.37</v>
      </c>
      <c r="E17" s="333">
        <v>0.57999999999999996</v>
      </c>
      <c r="F17" s="48">
        <f t="shared" ref="F17:F20" si="0">+E17/D17</f>
        <v>8.0143705955506416E-3</v>
      </c>
      <c r="G17" s="333">
        <v>0.6</v>
      </c>
      <c r="H17" s="48">
        <f t="shared" ref="H17:H20" si="1">+G17/D17</f>
        <v>8.2907282022937675E-3</v>
      </c>
      <c r="I17" s="333">
        <v>0.9</v>
      </c>
      <c r="J17" s="48">
        <f t="shared" ref="J17:J20" si="2">+I17/D17</f>
        <v>1.2436092303440652E-2</v>
      </c>
      <c r="K17" s="342">
        <f t="shared" ref="K17:K20" si="3">RATE(3,,-G17,I17)</f>
        <v>0.14471424255333198</v>
      </c>
    </row>
    <row r="18" spans="1:11" ht="17.25">
      <c r="A18" s="57" t="str">
        <f>+'S&amp;D'!A24</f>
        <v>CSX Corp</v>
      </c>
      <c r="B18" s="84" t="str">
        <f>+'S&amp;D'!B24</f>
        <v>CSX</v>
      </c>
      <c r="C18" s="84" t="str">
        <f>+'S&amp;D'!C24</f>
        <v>Railroad</v>
      </c>
      <c r="D18" s="54">
        <f>+'S&amp;D'!G24</f>
        <v>32.369999999999997</v>
      </c>
      <c r="E18" s="333">
        <v>0.52</v>
      </c>
      <c r="F18" s="48">
        <f t="shared" si="0"/>
        <v>1.6064257028112452E-2</v>
      </c>
      <c r="G18" s="333">
        <v>0.6</v>
      </c>
      <c r="H18" s="48">
        <f t="shared" si="1"/>
        <v>1.8535681186283598E-2</v>
      </c>
      <c r="I18" s="333">
        <v>0.8</v>
      </c>
      <c r="J18" s="48">
        <f t="shared" si="2"/>
        <v>2.4714241581711465E-2</v>
      </c>
      <c r="K18" s="342">
        <f t="shared" si="3"/>
        <v>0.10064241629820769</v>
      </c>
    </row>
    <row r="19" spans="1:11" ht="17.25">
      <c r="A19" s="57" t="str">
        <f>+'S&amp;D'!A25</f>
        <v>Norfolk Southern</v>
      </c>
      <c r="B19" s="84" t="str">
        <f>+'S&amp;D'!B25</f>
        <v>NSC</v>
      </c>
      <c r="C19" s="84" t="str">
        <f>+'S&amp;D'!C25</f>
        <v>Railroad</v>
      </c>
      <c r="D19" s="54">
        <f>+'S&amp;D'!G25</f>
        <v>234.7</v>
      </c>
      <c r="E19" s="333">
        <v>5.5</v>
      </c>
      <c r="F19" s="48">
        <f t="shared" si="0"/>
        <v>2.3434171282488283E-2</v>
      </c>
      <c r="G19" s="333">
        <v>5.8</v>
      </c>
      <c r="H19" s="48">
        <f t="shared" si="1"/>
        <v>2.4712398806987643E-2</v>
      </c>
      <c r="I19" s="333">
        <v>6.25</v>
      </c>
      <c r="J19" s="48">
        <f>+I19/D19</f>
        <v>2.6629740093736688E-2</v>
      </c>
      <c r="K19" s="342">
        <f t="shared" si="3"/>
        <v>2.5220640789232904E-2</v>
      </c>
    </row>
    <row r="20" spans="1:11" ht="17.25">
      <c r="A20" s="57" t="str">
        <f>+'S&amp;D'!A26</f>
        <v>Union Pacific Railroad</v>
      </c>
      <c r="B20" s="84" t="str">
        <f>+'S&amp;D'!B26</f>
        <v>UNP</v>
      </c>
      <c r="C20" s="84" t="str">
        <f>+'S&amp;D'!C26</f>
        <v>Railroad</v>
      </c>
      <c r="D20" s="54">
        <f>+'S&amp;D'!G26</f>
        <v>228.04</v>
      </c>
      <c r="E20" s="333">
        <v>5.48</v>
      </c>
      <c r="F20" s="48">
        <f t="shared" si="0"/>
        <v>2.4030871776881253E-2</v>
      </c>
      <c r="G20" s="333">
        <v>5.7</v>
      </c>
      <c r="H20" s="48">
        <f t="shared" si="1"/>
        <v>2.499561480442028E-2</v>
      </c>
      <c r="I20" s="333">
        <v>7</v>
      </c>
      <c r="J20" s="48">
        <f t="shared" si="2"/>
        <v>3.0696369058059992E-2</v>
      </c>
      <c r="K20" s="342">
        <f t="shared" si="3"/>
        <v>7.0880625788593346E-2</v>
      </c>
    </row>
    <row r="21" spans="1:11" ht="17.25" thickBot="1">
      <c r="A21" s="8"/>
      <c r="B21" s="8"/>
      <c r="C21" s="39"/>
      <c r="D21" s="42"/>
      <c r="E21" s="42"/>
      <c r="F21" s="42"/>
      <c r="G21" s="42"/>
      <c r="H21" s="42"/>
      <c r="I21" s="42"/>
      <c r="J21" s="42"/>
      <c r="K21" s="42"/>
    </row>
    <row r="22" spans="1:11" ht="17.25" thickTop="1">
      <c r="A22" s="8"/>
      <c r="B22" s="8"/>
      <c r="D22" s="10" t="s">
        <v>46</v>
      </c>
      <c r="E22" s="12">
        <f>MAX(E16:E20)</f>
        <v>5.5</v>
      </c>
      <c r="F22" s="273">
        <f t="shared" ref="F22:K22" si="4">MAX(F16:F20)</f>
        <v>2.5613240074869471E-2</v>
      </c>
      <c r="G22" s="12">
        <f t="shared" si="4"/>
        <v>5.8</v>
      </c>
      <c r="H22" s="273">
        <f t="shared" si="4"/>
        <v>2.7583489311397889E-2</v>
      </c>
      <c r="I22" s="12">
        <f t="shared" si="4"/>
        <v>7</v>
      </c>
      <c r="J22" s="273">
        <f t="shared" si="4"/>
        <v>3.6449610875775786E-2</v>
      </c>
      <c r="K22" s="273">
        <f t="shared" si="4"/>
        <v>0.14471424255333198</v>
      </c>
    </row>
    <row r="23" spans="1:11" ht="16.5">
      <c r="A23" s="8"/>
      <c r="B23" s="8"/>
      <c r="D23" s="10" t="s">
        <v>47</v>
      </c>
      <c r="E23" s="285">
        <f>MIN(E16:E20)</f>
        <v>0.52</v>
      </c>
      <c r="F23" s="286">
        <f t="shared" ref="F23:K23" si="5">MIN(F16:F20)</f>
        <v>8.0143705955506416E-3</v>
      </c>
      <c r="G23" s="285">
        <f t="shared" si="5"/>
        <v>0.6</v>
      </c>
      <c r="H23" s="286">
        <f t="shared" si="5"/>
        <v>8.2907282022937675E-3</v>
      </c>
      <c r="I23" s="285">
        <f t="shared" si="5"/>
        <v>0.8</v>
      </c>
      <c r="J23" s="286">
        <f t="shared" si="5"/>
        <v>1.2436092303440652E-2</v>
      </c>
      <c r="K23" s="286">
        <f t="shared" si="5"/>
        <v>2.5220640789232904E-2</v>
      </c>
    </row>
    <row r="24" spans="1:11" ht="16.5">
      <c r="A24" s="8"/>
      <c r="B24" s="8"/>
      <c r="D24" s="10" t="s">
        <v>18</v>
      </c>
      <c r="E24" s="13">
        <f t="shared" ref="E24:K24" si="6">MEDIAN(E16:E20)</f>
        <v>2.6</v>
      </c>
      <c r="F24" s="49">
        <f t="shared" si="6"/>
        <v>2.3434171282488283E-2</v>
      </c>
      <c r="G24" s="13">
        <f t="shared" si="6"/>
        <v>2.8</v>
      </c>
      <c r="H24" s="49">
        <f t="shared" si="6"/>
        <v>2.4712398806987643E-2</v>
      </c>
      <c r="I24" s="13">
        <f t="shared" si="6"/>
        <v>3.7</v>
      </c>
      <c r="J24" s="49">
        <f t="shared" si="6"/>
        <v>2.6629740093736688E-2</v>
      </c>
      <c r="K24" s="49">
        <f t="shared" si="6"/>
        <v>9.7356897001566411E-2</v>
      </c>
    </row>
    <row r="25" spans="1:11" ht="16.5">
      <c r="A25" s="8"/>
      <c r="B25" s="8"/>
      <c r="D25" s="10" t="s">
        <v>375</v>
      </c>
      <c r="E25" s="17">
        <f t="shared" ref="E25:K25" si="7">AVERAGE(E16:E20)</f>
        <v>2.9359999999999999</v>
      </c>
      <c r="F25" s="51">
        <f t="shared" si="7"/>
        <v>1.9431382151580419E-2</v>
      </c>
      <c r="G25" s="17">
        <f t="shared" si="7"/>
        <v>3.1</v>
      </c>
      <c r="H25" s="51">
        <f t="shared" si="7"/>
        <v>2.0823582462276634E-2</v>
      </c>
      <c r="I25" s="17">
        <f t="shared" si="7"/>
        <v>3.7299999999999995</v>
      </c>
      <c r="J25" s="51">
        <f t="shared" si="7"/>
        <v>2.6185210782544915E-2</v>
      </c>
      <c r="K25" s="51">
        <f t="shared" si="7"/>
        <v>8.7762964486186465E-2</v>
      </c>
    </row>
    <row r="26" spans="1:11" ht="16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26.25">
      <c r="A27" s="8"/>
      <c r="B27" s="8"/>
      <c r="C27" s="8"/>
      <c r="D27" s="8"/>
      <c r="E27" s="8"/>
      <c r="F27" s="44" t="s">
        <v>0</v>
      </c>
      <c r="G27" s="58" t="s">
        <v>0</v>
      </c>
      <c r="H27" s="8"/>
      <c r="I27" s="8"/>
      <c r="J27" s="8"/>
      <c r="K27" s="8"/>
    </row>
    <row r="28" spans="1:11" ht="18.75">
      <c r="A28" s="192" t="s">
        <v>249</v>
      </c>
    </row>
  </sheetData>
  <pageMargins left="0.25" right="0.25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28"/>
  <sheetViews>
    <sheetView view="pageBreakPreview" zoomScale="60" zoomScaleNormal="80" workbookViewId="0">
      <selection activeCell="I21" sqref="I21"/>
    </sheetView>
  </sheetViews>
  <sheetFormatPr defaultRowHeight="15"/>
  <cols>
    <col min="1" max="1" width="51.5703125" customWidth="1"/>
    <col min="2" max="2" width="10.85546875" bestFit="1" customWidth="1"/>
    <col min="3" max="3" width="19.140625" bestFit="1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19" t="s">
        <v>1</v>
      </c>
      <c r="B1" s="8"/>
      <c r="C1" s="8"/>
      <c r="D1" s="8"/>
      <c r="E1" s="8"/>
      <c r="F1" s="8"/>
      <c r="G1" s="8"/>
      <c r="H1" s="8"/>
      <c r="I1" s="8"/>
      <c r="J1" s="8"/>
    </row>
    <row r="2" spans="1:11" ht="17.25">
      <c r="A2" s="20" t="s">
        <v>9</v>
      </c>
      <c r="B2" s="8"/>
      <c r="C2" s="8"/>
      <c r="D2" s="8"/>
      <c r="E2" s="8"/>
      <c r="F2" s="8"/>
      <c r="G2" s="8"/>
      <c r="H2" s="8"/>
      <c r="I2" s="8"/>
      <c r="J2" s="8"/>
    </row>
    <row r="3" spans="1:11" ht="16.5">
      <c r="A3" s="21" t="s">
        <v>416</v>
      </c>
      <c r="B3" s="8"/>
      <c r="C3" s="8"/>
      <c r="D3" s="8"/>
      <c r="E3" s="8"/>
      <c r="F3" s="8"/>
      <c r="G3" s="8"/>
      <c r="H3" s="8"/>
      <c r="I3" s="8"/>
      <c r="J3" s="8"/>
    </row>
    <row r="4" spans="1:11" ht="16.5">
      <c r="A4" s="21"/>
      <c r="B4" s="8"/>
      <c r="C4" s="8"/>
      <c r="D4" s="8"/>
      <c r="E4" s="8"/>
      <c r="F4" s="8"/>
      <c r="G4" s="8"/>
      <c r="H4" s="8"/>
      <c r="I4" s="8"/>
      <c r="J4" s="8"/>
    </row>
    <row r="5" spans="1:11" ht="17.25" thickBot="1">
      <c r="A5" s="8"/>
      <c r="B5" s="8"/>
      <c r="C5" s="8"/>
      <c r="D5" s="8"/>
      <c r="E5" s="8"/>
      <c r="F5" s="8"/>
      <c r="G5" s="22"/>
      <c r="H5" s="8"/>
      <c r="I5" s="8"/>
      <c r="J5" s="8"/>
    </row>
    <row r="6" spans="1:11" ht="21" thickBot="1">
      <c r="A6" s="227" t="str">
        <f>+'S&amp;D'!A12</f>
        <v>Railroad Carriers</v>
      </c>
      <c r="B6" s="163"/>
      <c r="C6" s="8"/>
      <c r="D6" s="24"/>
      <c r="E6" s="24"/>
      <c r="F6" s="25" t="s">
        <v>0</v>
      </c>
      <c r="G6" s="8"/>
      <c r="H6" s="8"/>
      <c r="I6" s="8"/>
      <c r="J6" s="8"/>
    </row>
    <row r="7" spans="1:11" ht="26.25">
      <c r="A7" s="26"/>
      <c r="B7" s="8"/>
      <c r="C7" s="8"/>
      <c r="D7" s="8"/>
      <c r="E7" s="27" t="s">
        <v>250</v>
      </c>
      <c r="F7" s="8"/>
      <c r="G7" s="8"/>
      <c r="H7" s="8"/>
      <c r="I7" s="8"/>
      <c r="J7" s="8"/>
    </row>
    <row r="8" spans="1:11" ht="21" thickBot="1">
      <c r="A8" s="26"/>
      <c r="B8" s="8"/>
      <c r="C8" s="8"/>
      <c r="D8" s="24"/>
      <c r="E8" s="28" t="s">
        <v>417</v>
      </c>
      <c r="F8" s="24"/>
      <c r="G8" s="8"/>
      <c r="H8" s="8"/>
      <c r="I8" s="8"/>
      <c r="J8" s="8"/>
    </row>
    <row r="9" spans="1:11" ht="17.25" thickBot="1">
      <c r="A9" s="29" t="s">
        <v>0</v>
      </c>
      <c r="B9" s="29" t="s">
        <v>0</v>
      </c>
      <c r="C9" s="29" t="s">
        <v>0</v>
      </c>
      <c r="D9" s="29" t="s">
        <v>0</v>
      </c>
      <c r="E9" s="29" t="s">
        <v>0</v>
      </c>
      <c r="F9" s="29"/>
      <c r="G9" s="24"/>
      <c r="H9" s="24"/>
      <c r="I9" s="24"/>
      <c r="J9" s="24"/>
      <c r="K9" s="132"/>
    </row>
    <row r="10" spans="1:11" ht="16.5">
      <c r="A10" s="30" t="s">
        <v>0</v>
      </c>
      <c r="B10" s="30" t="s">
        <v>3</v>
      </c>
      <c r="C10" s="30" t="s">
        <v>5</v>
      </c>
      <c r="D10" s="30" t="s">
        <v>156</v>
      </c>
      <c r="E10" s="30" t="s">
        <v>162</v>
      </c>
      <c r="F10" s="30" t="s">
        <v>162</v>
      </c>
      <c r="G10" s="30" t="s">
        <v>162</v>
      </c>
      <c r="H10" s="30" t="s">
        <v>162</v>
      </c>
      <c r="I10" s="30" t="s">
        <v>162</v>
      </c>
      <c r="J10" s="30" t="s">
        <v>162</v>
      </c>
      <c r="K10" s="30" t="s">
        <v>247</v>
      </c>
    </row>
    <row r="11" spans="1:11" ht="16.5">
      <c r="A11" s="30"/>
      <c r="B11" s="30" t="s">
        <v>4</v>
      </c>
      <c r="C11" s="30" t="s">
        <v>6</v>
      </c>
      <c r="D11" s="30" t="s">
        <v>27</v>
      </c>
      <c r="E11" s="30" t="s">
        <v>158</v>
      </c>
      <c r="F11" s="30" t="s">
        <v>117</v>
      </c>
      <c r="G11" s="30" t="s">
        <v>158</v>
      </c>
      <c r="H11" s="30" t="s">
        <v>117</v>
      </c>
      <c r="I11" s="30" t="s">
        <v>158</v>
      </c>
      <c r="J11" s="30" t="s">
        <v>117</v>
      </c>
      <c r="K11" s="30" t="s">
        <v>173</v>
      </c>
    </row>
    <row r="12" spans="1:11" ht="17.25" thickBot="1">
      <c r="A12" s="32" t="s">
        <v>2</v>
      </c>
      <c r="B12" s="32" t="s">
        <v>0</v>
      </c>
      <c r="C12" s="32" t="s">
        <v>0</v>
      </c>
      <c r="D12" s="32" t="s">
        <v>0</v>
      </c>
      <c r="E12" s="32" t="s">
        <v>160</v>
      </c>
      <c r="F12" s="32" t="s">
        <v>160</v>
      </c>
      <c r="G12" s="32" t="s">
        <v>245</v>
      </c>
      <c r="H12" s="32" t="s">
        <v>245</v>
      </c>
      <c r="I12" s="32" t="s">
        <v>246</v>
      </c>
      <c r="J12" s="32" t="s">
        <v>246</v>
      </c>
      <c r="K12" s="191" t="s">
        <v>248</v>
      </c>
    </row>
    <row r="13" spans="1:11">
      <c r="A13" s="34" t="s">
        <v>7</v>
      </c>
      <c r="B13" s="34" t="s">
        <v>7</v>
      </c>
      <c r="C13" s="34" t="s">
        <v>7</v>
      </c>
      <c r="D13" s="35" t="s">
        <v>113</v>
      </c>
      <c r="E13" s="34" t="s">
        <v>7</v>
      </c>
      <c r="F13" s="34" t="s">
        <v>15</v>
      </c>
      <c r="G13" s="34" t="s">
        <v>7</v>
      </c>
      <c r="H13" s="34" t="s">
        <v>15</v>
      </c>
      <c r="I13" s="34" t="s">
        <v>7</v>
      </c>
      <c r="J13" s="34" t="s">
        <v>15</v>
      </c>
      <c r="K13" s="34" t="s">
        <v>15</v>
      </c>
    </row>
    <row r="14" spans="1:11" ht="16.5">
      <c r="A14" s="30"/>
      <c r="B14" s="30"/>
      <c r="C14" s="30"/>
      <c r="D14" s="30"/>
      <c r="E14" s="30"/>
      <c r="F14" s="30"/>
      <c r="G14" s="8"/>
      <c r="H14" s="8"/>
      <c r="I14" s="8"/>
      <c r="J14" s="8"/>
      <c r="K14" s="8"/>
    </row>
    <row r="15" spans="1:11" ht="16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7.25">
      <c r="A16" s="39" t="str">
        <f>+'S&amp;D'!A22</f>
        <v>Canadian National</v>
      </c>
      <c r="B16" s="30" t="str">
        <f>+'S&amp;D'!B22</f>
        <v>CNI</v>
      </c>
      <c r="C16" s="30" t="str">
        <f>+'S&amp;D'!C22</f>
        <v>Railroad</v>
      </c>
      <c r="D16" s="54">
        <f>+'S&amp;D'!G22</f>
        <v>101.51</v>
      </c>
      <c r="E16" s="333">
        <v>5.8</v>
      </c>
      <c r="F16" s="48">
        <f>+E16/D16</f>
        <v>5.7137227859324201E-2</v>
      </c>
      <c r="G16" s="333">
        <v>6.5</v>
      </c>
      <c r="H16" s="48">
        <f>+G16/D16</f>
        <v>6.4033100187173675E-2</v>
      </c>
      <c r="I16" s="333">
        <v>9</v>
      </c>
      <c r="J16" s="48">
        <f>+I16/D16</f>
        <v>8.8661215643778934E-2</v>
      </c>
      <c r="K16" s="342">
        <f t="shared" ref="K16" si="0">RATE(3,,-G16,I16)</f>
        <v>0.11457607795906295</v>
      </c>
    </row>
    <row r="17" spans="1:11" ht="17.25">
      <c r="A17" s="39" t="str">
        <f>+'S&amp;D'!A23</f>
        <v>Canadian Pacific Kansas City Limited  CPKC</v>
      </c>
      <c r="B17" s="30" t="str">
        <f>+'S&amp;D'!B23</f>
        <v>CP</v>
      </c>
      <c r="C17" s="30" t="str">
        <f>+'S&amp;D'!C23</f>
        <v>Railroad</v>
      </c>
      <c r="D17" s="54">
        <f>+'S&amp;D'!G23</f>
        <v>72.37</v>
      </c>
      <c r="E17" s="333">
        <v>3.7</v>
      </c>
      <c r="F17" s="48">
        <f t="shared" ref="F17:F20" si="1">+E17/D17</f>
        <v>5.1126157247478238E-2</v>
      </c>
      <c r="G17" s="333">
        <v>4.25</v>
      </c>
      <c r="H17" s="48">
        <f t="shared" ref="H17:H20" si="2">+G17/D17</f>
        <v>5.8725991432914189E-2</v>
      </c>
      <c r="I17" s="333">
        <v>5</v>
      </c>
      <c r="J17" s="48">
        <f t="shared" ref="J17:J20" si="3">+I17/D17</f>
        <v>6.9089401685781399E-2</v>
      </c>
      <c r="K17" s="342">
        <f t="shared" ref="K17:K20" si="4">RATE(3,,-G17,I17)</f>
        <v>5.56671919780009E-2</v>
      </c>
    </row>
    <row r="18" spans="1:11" ht="17.25">
      <c r="A18" s="39" t="str">
        <f>+'S&amp;D'!A24</f>
        <v>CSX Corp</v>
      </c>
      <c r="B18" s="30" t="str">
        <f>+'S&amp;D'!B24</f>
        <v>CSX</v>
      </c>
      <c r="C18" s="30" t="str">
        <f>+'S&amp;D'!C24</f>
        <v>Railroad</v>
      </c>
      <c r="D18" s="54">
        <f>+'S&amp;D'!G24</f>
        <v>32.369999999999997</v>
      </c>
      <c r="E18" s="333">
        <v>1.85</v>
      </c>
      <c r="F18" s="48">
        <f t="shared" si="1"/>
        <v>5.7151683657707758E-2</v>
      </c>
      <c r="G18" s="333">
        <v>2.15</v>
      </c>
      <c r="H18" s="48">
        <f t="shared" si="2"/>
        <v>6.6419524250849557E-2</v>
      </c>
      <c r="I18" s="333">
        <v>3</v>
      </c>
      <c r="J18" s="48">
        <f t="shared" si="3"/>
        <v>9.267840593141799E-2</v>
      </c>
      <c r="K18" s="342">
        <f t="shared" si="4"/>
        <v>0.11744870942148647</v>
      </c>
    </row>
    <row r="19" spans="1:11" ht="17.25">
      <c r="A19" s="39" t="str">
        <f>+'S&amp;D'!A25</f>
        <v>Norfolk Southern</v>
      </c>
      <c r="B19" s="30" t="str">
        <f>+'S&amp;D'!B25</f>
        <v>NSC</v>
      </c>
      <c r="C19" s="30" t="str">
        <f>+'S&amp;D'!C25</f>
        <v>Railroad</v>
      </c>
      <c r="D19" s="54">
        <f>+'S&amp;D'!G25</f>
        <v>234.7</v>
      </c>
      <c r="E19" s="333">
        <v>13</v>
      </c>
      <c r="F19" s="48">
        <f t="shared" si="1"/>
        <v>5.5389859394972304E-2</v>
      </c>
      <c r="G19" s="333">
        <v>15</v>
      </c>
      <c r="H19" s="48">
        <f t="shared" si="2"/>
        <v>6.391137622496805E-2</v>
      </c>
      <c r="I19" s="333">
        <v>20</v>
      </c>
      <c r="J19" s="48">
        <f t="shared" si="3"/>
        <v>8.52151682999574E-2</v>
      </c>
      <c r="K19" s="342">
        <f t="shared" si="4"/>
        <v>0.10064241629820769</v>
      </c>
    </row>
    <row r="20" spans="1:11" ht="17.25">
      <c r="A20" s="39" t="str">
        <f>+'S&amp;D'!A26</f>
        <v>Union Pacific Railroad</v>
      </c>
      <c r="B20" s="30" t="str">
        <f>+'S&amp;D'!B26</f>
        <v>UNP</v>
      </c>
      <c r="C20" s="30" t="str">
        <f>+'S&amp;D'!C26</f>
        <v>Railroad</v>
      </c>
      <c r="D20" s="54">
        <f>+'S&amp;D'!G26</f>
        <v>228.04</v>
      </c>
      <c r="E20" s="333">
        <v>12.1</v>
      </c>
      <c r="F20" s="48">
        <f t="shared" si="1"/>
        <v>5.3060866514646553E-2</v>
      </c>
      <c r="G20" s="333">
        <v>13.35</v>
      </c>
      <c r="H20" s="48">
        <f t="shared" si="2"/>
        <v>5.8542360989300123E-2</v>
      </c>
      <c r="I20" s="333">
        <v>16</v>
      </c>
      <c r="J20" s="48">
        <f t="shared" si="3"/>
        <v>7.0163129275565686E-2</v>
      </c>
      <c r="K20" s="342">
        <f t="shared" si="4"/>
        <v>6.221616340165901E-2</v>
      </c>
    </row>
    <row r="21" spans="1:11" ht="17.25" thickBot="1">
      <c r="A21" s="8"/>
      <c r="B21" s="8"/>
      <c r="C21" s="39"/>
      <c r="D21" s="42"/>
      <c r="E21" s="42"/>
      <c r="F21" s="42"/>
      <c r="G21" s="42"/>
      <c r="H21" s="42"/>
      <c r="I21" s="42"/>
      <c r="J21" s="42"/>
      <c r="K21" s="42"/>
    </row>
    <row r="22" spans="1:11" ht="17.25" thickTop="1">
      <c r="A22" s="8"/>
      <c r="B22" s="8"/>
      <c r="D22" s="10" t="s">
        <v>46</v>
      </c>
      <c r="E22" s="12">
        <f>MAX(E16:E20)</f>
        <v>13</v>
      </c>
      <c r="F22" s="273">
        <f t="shared" ref="F22:K22" si="5">MAX(F16:F20)</f>
        <v>5.7151683657707758E-2</v>
      </c>
      <c r="G22" s="12">
        <f t="shared" si="5"/>
        <v>15</v>
      </c>
      <c r="H22" s="273">
        <f t="shared" si="5"/>
        <v>6.6419524250849557E-2</v>
      </c>
      <c r="I22" s="12">
        <f t="shared" si="5"/>
        <v>20</v>
      </c>
      <c r="J22" s="273">
        <f t="shared" si="5"/>
        <v>9.267840593141799E-2</v>
      </c>
      <c r="K22" s="273">
        <f t="shared" si="5"/>
        <v>0.11744870942148647</v>
      </c>
    </row>
    <row r="23" spans="1:11" ht="16.5">
      <c r="A23" s="8"/>
      <c r="B23" s="8"/>
      <c r="D23" s="288" t="s">
        <v>47</v>
      </c>
      <c r="E23" s="285">
        <f>MIN(E16:E20)</f>
        <v>1.85</v>
      </c>
      <c r="F23" s="286">
        <f t="shared" ref="F23:K23" si="6">MIN(F16:F20)</f>
        <v>5.1126157247478238E-2</v>
      </c>
      <c r="G23" s="285">
        <f t="shared" si="6"/>
        <v>2.15</v>
      </c>
      <c r="H23" s="286">
        <f t="shared" si="6"/>
        <v>5.8542360989300123E-2</v>
      </c>
      <c r="I23" s="285">
        <f t="shared" si="6"/>
        <v>3</v>
      </c>
      <c r="J23" s="286">
        <f t="shared" si="6"/>
        <v>6.9089401685781399E-2</v>
      </c>
      <c r="K23" s="286">
        <f t="shared" si="6"/>
        <v>5.56671919780009E-2</v>
      </c>
    </row>
    <row r="24" spans="1:11" ht="16.5">
      <c r="A24" s="8"/>
      <c r="B24" s="8"/>
      <c r="D24" s="10" t="s">
        <v>18</v>
      </c>
      <c r="E24" s="13">
        <f t="shared" ref="E24:K24" si="7">MEDIAN(E16:E20)</f>
        <v>5.8</v>
      </c>
      <c r="F24" s="49">
        <f t="shared" si="7"/>
        <v>5.5389859394972304E-2</v>
      </c>
      <c r="G24" s="13">
        <f t="shared" si="7"/>
        <v>6.5</v>
      </c>
      <c r="H24" s="49">
        <f t="shared" si="7"/>
        <v>6.391137622496805E-2</v>
      </c>
      <c r="I24" s="13">
        <f t="shared" si="7"/>
        <v>9</v>
      </c>
      <c r="J24" s="49">
        <f t="shared" si="7"/>
        <v>8.52151682999574E-2</v>
      </c>
      <c r="K24" s="49">
        <f t="shared" si="7"/>
        <v>0.10064241629820769</v>
      </c>
    </row>
    <row r="25" spans="1:11" ht="16.5">
      <c r="A25" s="8"/>
      <c r="B25" s="8"/>
      <c r="D25" s="10" t="s">
        <v>375</v>
      </c>
      <c r="E25" s="17">
        <f t="shared" ref="E25:K25" si="8">AVERAGE(E16:E20)</f>
        <v>7.2900000000000009</v>
      </c>
      <c r="F25" s="51">
        <f t="shared" si="8"/>
        <v>5.4773158934825802E-2</v>
      </c>
      <c r="G25" s="17">
        <f t="shared" si="8"/>
        <v>8.25</v>
      </c>
      <c r="H25" s="51">
        <f t="shared" si="8"/>
        <v>6.2326470617041121E-2</v>
      </c>
      <c r="I25" s="17">
        <f t="shared" si="8"/>
        <v>10.6</v>
      </c>
      <c r="J25" s="51">
        <f t="shared" si="8"/>
        <v>8.1161464167300273E-2</v>
      </c>
      <c r="K25" s="51">
        <f t="shared" si="8"/>
        <v>9.0110111811683408E-2</v>
      </c>
    </row>
    <row r="26" spans="1:11" ht="16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26.25">
      <c r="A27" s="8"/>
      <c r="B27" s="8"/>
      <c r="C27" s="8"/>
      <c r="D27" s="8"/>
      <c r="E27" s="8"/>
      <c r="F27" s="44" t="s">
        <v>0</v>
      </c>
      <c r="G27" s="58" t="s">
        <v>0</v>
      </c>
      <c r="H27" s="8"/>
      <c r="I27" s="8"/>
      <c r="J27" s="8"/>
      <c r="K27" s="8"/>
    </row>
    <row r="28" spans="1:11" ht="18.75">
      <c r="A28" s="192" t="s">
        <v>249</v>
      </c>
    </row>
  </sheetData>
  <pageMargins left="0.25" right="0.25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53CD23-6375-44AB-9666-467F85C1FAF7}"/>
</file>

<file path=customXml/itemProps2.xml><?xml version="1.0" encoding="utf-8"?>
<ds:datastoreItem xmlns:ds="http://schemas.openxmlformats.org/officeDocument/2006/customXml" ds:itemID="{463AFEBF-143D-4B54-80D4-10F854848528}"/>
</file>

<file path=customXml/itemProps3.xml><?xml version="1.0" encoding="utf-8"?>
<ds:datastoreItem xmlns:ds="http://schemas.openxmlformats.org/officeDocument/2006/customXml" ds:itemID="{81BAA516-031E-4D43-9DB5-1E296959E1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</vt:lpstr>
      <vt:lpstr>Indicated Yield Equity Rate 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Railroads</dc:title>
  <dc:creator>%USERNAME%</dc:creator>
  <cp:lastModifiedBy>Sheeks, Ashley (DOR)</cp:lastModifiedBy>
  <cp:lastPrinted>2023-06-02T15:09:06Z</cp:lastPrinted>
  <dcterms:created xsi:type="dcterms:W3CDTF">2016-02-12T19:29:24Z</dcterms:created>
  <dcterms:modified xsi:type="dcterms:W3CDTF">2025-10-01T15:57:01Z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