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3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as.ds.ky.gov\dfs\COTShared\REVOAD\APPS\Public Service Branch\CAP Rate Studies\CAP RATE STUDY 2025\2025 CAP Rate Study - All Industries - Worksheets\publish to website\"/>
    </mc:Choice>
  </mc:AlternateContent>
  <xr:revisionPtr revIDLastSave="0" documentId="13_ncr:8001_{0B5C1F9C-9EAD-44F2-AA0F-C591EE7C092C}" xr6:coauthVersionLast="47" xr6:coauthVersionMax="47" xr10:uidLastSave="{00000000-0000-0000-0000-000000000000}"/>
  <bookViews>
    <workbookView xWindow="-120" yWindow="-120" windowWidth="29040" windowHeight="15720" tabRatio="857" xr2:uid="{00000000-000D-0000-FFFF-FFFF00000000}"/>
  </bookViews>
  <sheets>
    <sheet name="Cover Sheet" sheetId="6" r:id="rId1"/>
    <sheet name="Yield CapRate" sheetId="7" r:id="rId2"/>
    <sheet name="Direct CapRates" sheetId="10" r:id="rId3"/>
    <sheet name="S&amp;D" sheetId="3" r:id="rId4"/>
    <sheet name="Market to Book Ratios" sheetId="29" r:id="rId5"/>
    <sheet name="Maintenance CapEx" sheetId="11" r:id="rId6"/>
    <sheet name="Beta for CAPM" sheetId="14" r:id="rId7"/>
    <sheet name="Dividends " sheetId="17" r:id="rId8"/>
    <sheet name="Earnings" sheetId="27" r:id="rId9"/>
    <sheet name="Debt" sheetId="8" r:id="rId10"/>
    <sheet name="Direct GCF" sheetId="5" r:id="rId11"/>
    <sheet name="Direct NOPAT" sheetId="12" r:id="rId12"/>
    <sheet name="Growth &amp; Inflation Rates" sheetId="39" r:id="rId13"/>
    <sheet name="Indicated Yield Equity Rate" sheetId="35" r:id="rId14"/>
    <sheet name="CAPM" sheetId="34" r:id="rId15"/>
    <sheet name="Single Stage Div Growth Model" sheetId="19" r:id="rId16"/>
    <sheet name="Two-Stage Div Growth Model" sheetId="20" r:id="rId17"/>
    <sheet name="Multiples" sheetId="25" r:id="rId18"/>
    <sheet name="Info" sheetId="9" r:id="rId19"/>
  </sheets>
  <definedNames>
    <definedName name="_xlnm.Print_Area" localSheetId="6">'Beta for CAPM'!$A$1:$H$36</definedName>
    <definedName name="_xlnm.Print_Area" localSheetId="14">CAPM!$A$1:$H$86</definedName>
    <definedName name="_xlnm.Print_Area" localSheetId="0">'Cover Sheet'!$A$1:$I$37</definedName>
    <definedName name="_xlnm.Print_Area" localSheetId="9">Debt!$A$1:$M$58</definedName>
    <definedName name="_xlnm.Print_Area" localSheetId="2">'Direct CapRates'!$A$1:$H$66</definedName>
    <definedName name="_xlnm.Print_Area" localSheetId="10">'Direct GCF'!$A$1:$N$38</definedName>
    <definedName name="_xlnm.Print_Area" localSheetId="11">'Direct NOPAT'!$A$1:$N$61</definedName>
    <definedName name="_xlnm.Print_Area" localSheetId="7">'Dividends '!$A$1:$K$30</definedName>
    <definedName name="_xlnm.Print_Area" localSheetId="8">Earnings!$A$1:$K$30</definedName>
    <definedName name="_xlnm.Print_Area" localSheetId="12">'Growth &amp; Inflation Rates'!$A$1:$I$109</definedName>
    <definedName name="_xlnm.Print_Area" localSheetId="13">'Indicated Yield Equity Rate'!$A$1:$F$61</definedName>
    <definedName name="_xlnm.Print_Area" localSheetId="5">'Maintenance CapEx'!$A$1:$L$74</definedName>
    <definedName name="_xlnm.Print_Area" localSheetId="4">'Market to Book Ratios'!$A$1:$G$58</definedName>
    <definedName name="_xlnm.Print_Area" localSheetId="17">Multiples!$A$1:$K$36</definedName>
    <definedName name="_xlnm.Print_Area" localSheetId="3">'S&amp;D'!$A$1:$L$73</definedName>
    <definedName name="_xlnm.Print_Area" localSheetId="15">'Single Stage Div Growth Model'!$A$1:$K$46</definedName>
    <definedName name="_xlnm.Print_Area" localSheetId="16">'Two-Stage Div Growth Model'!$A$1:$I$44</definedName>
    <definedName name="_xlnm.Print_Area" localSheetId="1">'Yield CapRate'!$A$1:$H$34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3" l="1"/>
  <c r="G16" i="39" l="1"/>
  <c r="G15" i="39"/>
  <c r="F16" i="39"/>
  <c r="F15" i="39"/>
  <c r="G31" i="5" l="1"/>
  <c r="D38" i="3"/>
  <c r="J24" i="3"/>
  <c r="J23" i="3"/>
  <c r="E49" i="12" l="1"/>
  <c r="E50" i="12"/>
  <c r="E51" i="12"/>
  <c r="E52" i="12"/>
  <c r="E53" i="12"/>
  <c r="E48" i="12"/>
  <c r="K17" i="12"/>
  <c r="K18" i="12"/>
  <c r="K19" i="12"/>
  <c r="K20" i="12"/>
  <c r="K21" i="12"/>
  <c r="K16" i="12"/>
  <c r="E17" i="12"/>
  <c r="E18" i="12"/>
  <c r="E19" i="12"/>
  <c r="E20" i="12"/>
  <c r="E21" i="12"/>
  <c r="E16" i="12"/>
  <c r="D58" i="10" l="1"/>
  <c r="D25" i="10"/>
  <c r="I16" i="8" l="1"/>
  <c r="J16" i="8" s="1"/>
  <c r="I17" i="8"/>
  <c r="J17" i="8" s="1"/>
  <c r="I18" i="8"/>
  <c r="J18" i="8" s="1"/>
  <c r="I19" i="8"/>
  <c r="J19" i="8" s="1"/>
  <c r="I20" i="8"/>
  <c r="J20" i="8" s="1"/>
  <c r="I15" i="8"/>
  <c r="J15" i="8" s="1"/>
  <c r="C25" i="11" l="1"/>
  <c r="C24" i="11"/>
  <c r="C23" i="11"/>
  <c r="C22" i="11"/>
  <c r="C21" i="11"/>
  <c r="C20" i="11"/>
  <c r="E33" i="34"/>
  <c r="E32" i="34"/>
  <c r="E31" i="34"/>
  <c r="E26" i="34"/>
  <c r="E29" i="34"/>
  <c r="E28" i="34"/>
  <c r="E24" i="34"/>
  <c r="E22" i="34"/>
  <c r="E21" i="34"/>
  <c r="E20" i="34"/>
  <c r="F46" i="34" s="1"/>
  <c r="E19" i="34"/>
  <c r="E17" i="34"/>
  <c r="E16" i="34"/>
  <c r="E54" i="39"/>
  <c r="D54" i="39"/>
  <c r="F54" i="39" s="1"/>
  <c r="E53" i="39"/>
  <c r="D53" i="39"/>
  <c r="F53" i="39" s="1"/>
  <c r="F52" i="39"/>
  <c r="E52" i="39"/>
  <c r="D52" i="39"/>
  <c r="E51" i="39"/>
  <c r="D51" i="39"/>
  <c r="F50" i="39"/>
  <c r="F48" i="39"/>
  <c r="F47" i="39"/>
  <c r="F46" i="39"/>
  <c r="F45" i="39"/>
  <c r="F44" i="39"/>
  <c r="F43" i="39"/>
  <c r="F42" i="39"/>
  <c r="F51" i="39" s="1"/>
  <c r="A15" i="39"/>
  <c r="F22" i="20" l="1"/>
  <c r="F21" i="20"/>
  <c r="F23" i="20"/>
  <c r="F26" i="20"/>
  <c r="F24" i="20"/>
  <c r="F25" i="20"/>
  <c r="J27" i="3"/>
  <c r="G23" i="11"/>
  <c r="J26" i="3"/>
  <c r="G40" i="3" s="1"/>
  <c r="G38" i="3"/>
  <c r="J25" i="3"/>
  <c r="G39" i="3" s="1"/>
  <c r="H25" i="3"/>
  <c r="E24" i="29"/>
  <c r="G37" i="3"/>
  <c r="H23" i="3"/>
  <c r="D20" i="11"/>
  <c r="J22" i="3"/>
  <c r="G36" i="3" s="1"/>
  <c r="E20" i="11" l="1"/>
  <c r="I23" i="8" l="1"/>
  <c r="I22" i="8"/>
  <c r="G23" i="8"/>
  <c r="G22" i="8"/>
  <c r="J23" i="8"/>
  <c r="J22" i="8"/>
  <c r="B46" i="34" l="1"/>
  <c r="F24" i="11" l="1"/>
  <c r="H24" i="25"/>
  <c r="H23" i="25"/>
  <c r="H26" i="25"/>
  <c r="H25" i="25"/>
  <c r="E26" i="25"/>
  <c r="E25" i="25"/>
  <c r="E24" i="25"/>
  <c r="E23" i="25"/>
  <c r="H24" i="19"/>
  <c r="G24" i="19"/>
  <c r="H23" i="19"/>
  <c r="G23" i="19"/>
  <c r="K24" i="12"/>
  <c r="K23" i="12"/>
  <c r="E24" i="12"/>
  <c r="E23" i="12"/>
  <c r="E23" i="27"/>
  <c r="G23" i="27"/>
  <c r="I23" i="27"/>
  <c r="E24" i="27"/>
  <c r="G24" i="27"/>
  <c r="I24" i="27"/>
  <c r="I24" i="17"/>
  <c r="G24" i="17"/>
  <c r="I23" i="17"/>
  <c r="G23" i="17"/>
  <c r="E24" i="17"/>
  <c r="E23" i="17"/>
  <c r="J25" i="5"/>
  <c r="J24" i="5"/>
  <c r="D24" i="5"/>
  <c r="D25" i="5"/>
  <c r="E46" i="34" l="1"/>
  <c r="A46" i="34"/>
  <c r="A16" i="6" l="1"/>
  <c r="F47" i="34"/>
  <c r="B47" i="34"/>
  <c r="E47" i="34" s="1"/>
  <c r="A47" i="34"/>
  <c r="A6" i="25"/>
  <c r="A6" i="20"/>
  <c r="A6" i="19"/>
  <c r="A6" i="34"/>
  <c r="A6" i="35"/>
  <c r="A6" i="12"/>
  <c r="A6" i="5"/>
  <c r="A6" i="8"/>
  <c r="A6" i="27"/>
  <c r="A6" i="17"/>
  <c r="D15" i="7"/>
  <c r="D15" i="10"/>
  <c r="A8" i="14"/>
  <c r="A8" i="11"/>
  <c r="A9" i="29"/>
  <c r="F48" i="34"/>
  <c r="B48" i="34"/>
  <c r="E48" i="34" s="1"/>
  <c r="A48" i="34"/>
  <c r="A45" i="34"/>
  <c r="F59" i="34"/>
  <c r="B59" i="34"/>
  <c r="E59" i="34" s="1"/>
  <c r="A61" i="34"/>
  <c r="A59" i="34"/>
  <c r="A58" i="34"/>
  <c r="A57" i="34"/>
  <c r="B58" i="34"/>
  <c r="E58" i="34" s="1"/>
  <c r="C16" i="34"/>
  <c r="F58" i="34"/>
  <c r="F57" i="34"/>
  <c r="B57" i="34"/>
  <c r="E57" i="34" s="1"/>
  <c r="F55" i="34"/>
  <c r="B55" i="34"/>
  <c r="E55" i="34" s="1"/>
  <c r="F54" i="34"/>
  <c r="B54" i="34"/>
  <c r="E54" i="34" s="1"/>
  <c r="F52" i="34"/>
  <c r="B52" i="34"/>
  <c r="E52" i="34" s="1"/>
  <c r="F50" i="34"/>
  <c r="B50" i="34"/>
  <c r="E50" i="34" s="1"/>
  <c r="F45" i="34"/>
  <c r="B45" i="34"/>
  <c r="E45" i="34" s="1"/>
  <c r="F43" i="34"/>
  <c r="B43" i="34"/>
  <c r="E43" i="34" s="1"/>
  <c r="F42" i="34"/>
  <c r="B42" i="34"/>
  <c r="E42" i="34" s="1"/>
  <c r="D22" i="7"/>
  <c r="D44" i="35"/>
  <c r="D43" i="35"/>
  <c r="D42" i="35"/>
  <c r="D41" i="35"/>
  <c r="C21" i="34" l="1"/>
  <c r="C42" i="34"/>
  <c r="D42" i="34" s="1"/>
  <c r="G42" i="34" s="1"/>
  <c r="D28" i="35" s="1"/>
  <c r="C19" i="34"/>
  <c r="C28" i="34"/>
  <c r="C54" i="34" s="1"/>
  <c r="D54" i="34" s="1"/>
  <c r="G54" i="34" s="1"/>
  <c r="D36" i="35" s="1"/>
  <c r="C29" i="34"/>
  <c r="D29" i="34" s="1"/>
  <c r="F29" i="34" s="1"/>
  <c r="C31" i="34"/>
  <c r="C57" i="34" s="1"/>
  <c r="D57" i="34" s="1"/>
  <c r="G57" i="34" s="1"/>
  <c r="D38" i="35" s="1"/>
  <c r="C61" i="34"/>
  <c r="C17" i="34"/>
  <c r="C20" i="34" s="1"/>
  <c r="C26" i="34"/>
  <c r="C32" i="34"/>
  <c r="C58" i="34" s="1"/>
  <c r="D58" i="34" s="1"/>
  <c r="G58" i="34" s="1"/>
  <c r="D39" i="35" s="1"/>
  <c r="D16" i="34"/>
  <c r="F16" i="34" s="1"/>
  <c r="D15" i="35" s="1"/>
  <c r="C24" i="34"/>
  <c r="D20" i="34" l="1"/>
  <c r="F20" i="34" s="1"/>
  <c r="D18" i="35" s="1"/>
  <c r="C46" i="34"/>
  <c r="D46" i="34" s="1"/>
  <c r="G46" i="34" s="1"/>
  <c r="D31" i="35" s="1"/>
  <c r="C45" i="34"/>
  <c r="D45" i="34" s="1"/>
  <c r="G45" i="34" s="1"/>
  <c r="D30" i="35" s="1"/>
  <c r="D19" i="34"/>
  <c r="F19" i="34" s="1"/>
  <c r="D17" i="35" s="1"/>
  <c r="D21" i="34"/>
  <c r="F21" i="34" s="1"/>
  <c r="D19" i="35" s="1"/>
  <c r="C47" i="34"/>
  <c r="D47" i="34" s="1"/>
  <c r="G47" i="34" s="1"/>
  <c r="D32" i="35" s="1"/>
  <c r="D17" i="34"/>
  <c r="F17" i="34" s="1"/>
  <c r="D16" i="35" s="1"/>
  <c r="C22" i="34"/>
  <c r="D28" i="34"/>
  <c r="F28" i="34" s="1"/>
  <c r="D23" i="35" s="1"/>
  <c r="C55" i="34"/>
  <c r="D55" i="34" s="1"/>
  <c r="G55" i="34" s="1"/>
  <c r="D37" i="35" s="1"/>
  <c r="D31" i="34"/>
  <c r="F31" i="34" s="1"/>
  <c r="D25" i="35" s="1"/>
  <c r="C43" i="34"/>
  <c r="D43" i="34" s="1"/>
  <c r="G43" i="34" s="1"/>
  <c r="D29" i="35" s="1"/>
  <c r="C33" i="34"/>
  <c r="C50" i="34"/>
  <c r="D50" i="34" s="1"/>
  <c r="G50" i="34" s="1"/>
  <c r="D34" i="35" s="1"/>
  <c r="D24" i="34"/>
  <c r="F24" i="34" s="1"/>
  <c r="D21" i="35" s="1"/>
  <c r="D26" i="34"/>
  <c r="F26" i="34" s="1"/>
  <c r="D22" i="35" s="1"/>
  <c r="C52" i="34"/>
  <c r="D52" i="34" s="1"/>
  <c r="G52" i="34" s="1"/>
  <c r="D35" i="35" s="1"/>
  <c r="D32" i="34"/>
  <c r="F32" i="34" s="1"/>
  <c r="D26" i="35" s="1"/>
  <c r="D24" i="35"/>
  <c r="C48" i="34" l="1"/>
  <c r="D48" i="34" s="1"/>
  <c r="G48" i="34" s="1"/>
  <c r="D33" i="35" s="1"/>
  <c r="D22" i="34"/>
  <c r="F22" i="34" s="1"/>
  <c r="D20" i="35" s="1"/>
  <c r="C59" i="34"/>
  <c r="D59" i="34" s="1"/>
  <c r="G59" i="34" s="1"/>
  <c r="D40" i="35" s="1"/>
  <c r="D33" i="34"/>
  <c r="F33" i="34" s="1"/>
  <c r="D27" i="35" s="1"/>
  <c r="D48" i="35" l="1"/>
  <c r="D47" i="35"/>
  <c r="D46" i="35"/>
  <c r="D49" i="35"/>
  <c r="A48" i="12"/>
  <c r="C48" i="12"/>
  <c r="D48" i="12"/>
  <c r="A49" i="12"/>
  <c r="C49" i="12"/>
  <c r="D49" i="12"/>
  <c r="A50" i="12"/>
  <c r="C50" i="12"/>
  <c r="D50" i="12"/>
  <c r="A51" i="12"/>
  <c r="C51" i="12"/>
  <c r="D51" i="12"/>
  <c r="A52" i="12"/>
  <c r="C52" i="12"/>
  <c r="D52" i="12"/>
  <c r="A53" i="12"/>
  <c r="C53" i="12"/>
  <c r="D53" i="12"/>
  <c r="G25" i="8"/>
  <c r="G24" i="8"/>
  <c r="E56" i="12" l="1"/>
  <c r="E55" i="12"/>
  <c r="F52" i="12"/>
  <c r="G52" i="12" s="1"/>
  <c r="F50" i="12"/>
  <c r="G50" i="12" s="1"/>
  <c r="F48" i="12"/>
  <c r="G48" i="12" s="1"/>
  <c r="F53" i="12"/>
  <c r="G53" i="12" s="1"/>
  <c r="F51" i="12"/>
  <c r="G51" i="12" s="1"/>
  <c r="F49" i="12"/>
  <c r="G49" i="12" s="1"/>
  <c r="E58" i="12"/>
  <c r="E57" i="12"/>
  <c r="E26" i="20"/>
  <c r="E25" i="20"/>
  <c r="E24" i="20"/>
  <c r="E23" i="20"/>
  <c r="E22" i="20"/>
  <c r="E21" i="20"/>
  <c r="F56" i="12" l="1"/>
  <c r="F55" i="12"/>
  <c r="G56" i="12"/>
  <c r="G55" i="12"/>
  <c r="F57" i="12"/>
  <c r="F58" i="12"/>
  <c r="G58" i="12"/>
  <c r="G57" i="12"/>
  <c r="E37" i="3" l="1"/>
  <c r="D24" i="29"/>
  <c r="A20" i="11" l="1"/>
  <c r="D21" i="27" l="1"/>
  <c r="D20" i="27"/>
  <c r="J20" i="27" s="1"/>
  <c r="D19" i="27"/>
  <c r="D18" i="27"/>
  <c r="D17" i="27"/>
  <c r="C26" i="20"/>
  <c r="B26" i="20"/>
  <c r="A26" i="20"/>
  <c r="C25" i="20"/>
  <c r="B25" i="20"/>
  <c r="A25" i="20"/>
  <c r="C24" i="20"/>
  <c r="B24" i="20"/>
  <c r="A24" i="20"/>
  <c r="C23" i="20"/>
  <c r="B23" i="20"/>
  <c r="A23" i="20"/>
  <c r="C22" i="20"/>
  <c r="B22" i="20"/>
  <c r="A22" i="20"/>
  <c r="C21" i="20"/>
  <c r="B21" i="20"/>
  <c r="A21" i="20"/>
  <c r="D21" i="17"/>
  <c r="D20" i="17"/>
  <c r="D19" i="17"/>
  <c r="D18" i="17"/>
  <c r="F18" i="17" s="1"/>
  <c r="D17" i="17"/>
  <c r="F17" i="17" s="1"/>
  <c r="E19" i="19"/>
  <c r="D22" i="19"/>
  <c r="D21" i="19"/>
  <c r="D20" i="19"/>
  <c r="D19" i="19"/>
  <c r="D18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C18" i="19"/>
  <c r="B18" i="19"/>
  <c r="A18" i="19"/>
  <c r="C17" i="19"/>
  <c r="B17" i="19"/>
  <c r="A17" i="19"/>
  <c r="A21" i="12"/>
  <c r="A20" i="12"/>
  <c r="A19" i="12"/>
  <c r="A18" i="12"/>
  <c r="A17" i="12"/>
  <c r="C21" i="12"/>
  <c r="I21" i="12" s="1"/>
  <c r="C20" i="12"/>
  <c r="I20" i="12" s="1"/>
  <c r="C19" i="12"/>
  <c r="I19" i="12" s="1"/>
  <c r="C18" i="12"/>
  <c r="I18" i="12" s="1"/>
  <c r="C17" i="12"/>
  <c r="I17" i="12" s="1"/>
  <c r="C16" i="12"/>
  <c r="I16" i="12" s="1"/>
  <c r="D21" i="12"/>
  <c r="D20" i="12"/>
  <c r="D19" i="12"/>
  <c r="D18" i="12"/>
  <c r="D17" i="12"/>
  <c r="A16" i="12"/>
  <c r="C22" i="5"/>
  <c r="B22" i="5"/>
  <c r="H22" i="5" s="1"/>
  <c r="A22" i="5"/>
  <c r="C21" i="5"/>
  <c r="B21" i="5"/>
  <c r="H21" i="5" s="1"/>
  <c r="A21" i="5"/>
  <c r="C20" i="5"/>
  <c r="B20" i="5"/>
  <c r="H20" i="5" s="1"/>
  <c r="A20" i="5"/>
  <c r="C19" i="5"/>
  <c r="B19" i="5"/>
  <c r="H19" i="5" s="1"/>
  <c r="A19" i="5"/>
  <c r="C18" i="5"/>
  <c r="B18" i="5"/>
  <c r="H18" i="5" s="1"/>
  <c r="A18" i="5"/>
  <c r="B17" i="5"/>
  <c r="H17" i="5" s="1"/>
  <c r="A17" i="5"/>
  <c r="D20" i="8"/>
  <c r="D19" i="8"/>
  <c r="D18" i="8"/>
  <c r="D17" i="8"/>
  <c r="D16" i="8"/>
  <c r="D15" i="8"/>
  <c r="D21" i="25" l="1"/>
  <c r="I21" i="25" s="1"/>
  <c r="J21" i="25" s="1"/>
  <c r="D20" i="25"/>
  <c r="I20" i="25" s="1"/>
  <c r="J20" i="25" s="1"/>
  <c r="D19" i="25"/>
  <c r="I19" i="25" s="1"/>
  <c r="J19" i="25" s="1"/>
  <c r="D18" i="25"/>
  <c r="I18" i="25" s="1"/>
  <c r="J18" i="25" s="1"/>
  <c r="D17" i="25"/>
  <c r="I17" i="25" s="1"/>
  <c r="J17" i="25" s="1"/>
  <c r="C21" i="25"/>
  <c r="B21" i="25"/>
  <c r="C20" i="25"/>
  <c r="B20" i="25"/>
  <c r="C19" i="25"/>
  <c r="B19" i="25"/>
  <c r="C18" i="25"/>
  <c r="B18" i="25"/>
  <c r="C17" i="25"/>
  <c r="B17" i="25"/>
  <c r="C16" i="25"/>
  <c r="B16" i="25"/>
  <c r="C20" i="8"/>
  <c r="B20" i="8"/>
  <c r="A20" i="8"/>
  <c r="C19" i="8"/>
  <c r="B19" i="8"/>
  <c r="A19" i="8"/>
  <c r="C18" i="8"/>
  <c r="B18" i="8"/>
  <c r="A18" i="8"/>
  <c r="C17" i="8"/>
  <c r="B17" i="8"/>
  <c r="A17" i="8"/>
  <c r="A16" i="8"/>
  <c r="B16" i="8"/>
  <c r="C16" i="8"/>
  <c r="C15" i="8"/>
  <c r="B15" i="8"/>
  <c r="A15" i="8"/>
  <c r="C21" i="27"/>
  <c r="B21" i="27"/>
  <c r="A21" i="27"/>
  <c r="C20" i="27"/>
  <c r="B20" i="27"/>
  <c r="A20" i="27"/>
  <c r="C19" i="27"/>
  <c r="B19" i="27"/>
  <c r="A19" i="27"/>
  <c r="C18" i="27"/>
  <c r="B18" i="27"/>
  <c r="A18" i="27"/>
  <c r="C17" i="27"/>
  <c r="B17" i="27"/>
  <c r="A17" i="27"/>
  <c r="C16" i="27"/>
  <c r="B16" i="27"/>
  <c r="A16" i="27"/>
  <c r="C21" i="17"/>
  <c r="B21" i="17"/>
  <c r="A21" i="17"/>
  <c r="C20" i="17"/>
  <c r="B20" i="17"/>
  <c r="A20" i="17"/>
  <c r="C19" i="17"/>
  <c r="B19" i="17"/>
  <c r="A19" i="17"/>
  <c r="C18" i="17"/>
  <c r="B18" i="17"/>
  <c r="A18" i="17"/>
  <c r="C17" i="17"/>
  <c r="B17" i="17"/>
  <c r="A17" i="17"/>
  <c r="C16" i="17"/>
  <c r="B16" i="17"/>
  <c r="A16" i="17"/>
  <c r="C23" i="14" l="1"/>
  <c r="B23" i="14"/>
  <c r="A23" i="14"/>
  <c r="C22" i="14"/>
  <c r="B22" i="14"/>
  <c r="A22" i="14"/>
  <c r="C21" i="14"/>
  <c r="B21" i="14"/>
  <c r="A21" i="14"/>
  <c r="C20" i="14"/>
  <c r="B20" i="14"/>
  <c r="A20" i="14"/>
  <c r="C19" i="14"/>
  <c r="B19" i="14"/>
  <c r="A19" i="14"/>
  <c r="C18" i="14"/>
  <c r="B18" i="14"/>
  <c r="A18" i="14"/>
  <c r="B23" i="11"/>
  <c r="A23" i="11"/>
  <c r="B22" i="11"/>
  <c r="A22" i="11"/>
  <c r="B21" i="11"/>
  <c r="A21" i="11"/>
  <c r="E39" i="3"/>
  <c r="E38" i="3"/>
  <c r="D41" i="29"/>
  <c r="E41" i="29"/>
  <c r="C24" i="29"/>
  <c r="B24" i="29"/>
  <c r="A24" i="29"/>
  <c r="C23" i="29"/>
  <c r="B23" i="29"/>
  <c r="A23" i="29"/>
  <c r="C38" i="3"/>
  <c r="B38" i="3"/>
  <c r="A38" i="3"/>
  <c r="C37" i="3"/>
  <c r="B37" i="3"/>
  <c r="A37" i="3"/>
  <c r="F24" i="3"/>
  <c r="H38" i="3" l="1"/>
  <c r="I38" i="3" s="1"/>
  <c r="B39" i="3"/>
  <c r="B25" i="11"/>
  <c r="A25" i="11"/>
  <c r="B24" i="11"/>
  <c r="A24" i="11"/>
  <c r="B20" i="11"/>
  <c r="C27" i="29"/>
  <c r="C44" i="29" s="1"/>
  <c r="B27" i="29"/>
  <c r="B44" i="29" s="1"/>
  <c r="A27" i="29"/>
  <c r="A44" i="29" s="1"/>
  <c r="C26" i="29"/>
  <c r="C43" i="29" s="1"/>
  <c r="B26" i="29"/>
  <c r="B43" i="29" s="1"/>
  <c r="A26" i="29"/>
  <c r="A43" i="29" s="1"/>
  <c r="C25" i="29"/>
  <c r="C42" i="29" s="1"/>
  <c r="B25" i="29"/>
  <c r="B42" i="29" s="1"/>
  <c r="A25" i="29"/>
  <c r="A42" i="29" s="1"/>
  <c r="C41" i="29"/>
  <c r="B41" i="29"/>
  <c r="A41" i="29"/>
  <c r="C40" i="29"/>
  <c r="B40" i="29"/>
  <c r="A40" i="29"/>
  <c r="C22" i="29"/>
  <c r="C39" i="29" s="1"/>
  <c r="B22" i="29"/>
  <c r="B39" i="29" s="1"/>
  <c r="A22" i="29"/>
  <c r="A39" i="29" s="1"/>
  <c r="J38" i="3" l="1"/>
  <c r="D48" i="10"/>
  <c r="G64" i="10"/>
  <c r="K17" i="17"/>
  <c r="K16" i="17"/>
  <c r="B53" i="29"/>
  <c r="I26" i="27"/>
  <c r="G26" i="27"/>
  <c r="E26" i="27"/>
  <c r="I25" i="27"/>
  <c r="G25" i="27"/>
  <c r="E25" i="27"/>
  <c r="K21" i="27"/>
  <c r="H21" i="27"/>
  <c r="K20" i="27"/>
  <c r="K19" i="27"/>
  <c r="H19" i="27"/>
  <c r="K18" i="27"/>
  <c r="F18" i="27"/>
  <c r="K17" i="27"/>
  <c r="H17" i="27"/>
  <c r="K16" i="27"/>
  <c r="D16" i="27"/>
  <c r="K21" i="17"/>
  <c r="K20" i="17"/>
  <c r="K19" i="17"/>
  <c r="K18" i="17"/>
  <c r="K23" i="27" l="1"/>
  <c r="K24" i="27"/>
  <c r="K24" i="17"/>
  <c r="K23" i="17"/>
  <c r="J16" i="27"/>
  <c r="D24" i="27"/>
  <c r="D23" i="27"/>
  <c r="F21" i="27"/>
  <c r="J21" i="27"/>
  <c r="F17" i="27"/>
  <c r="J17" i="27"/>
  <c r="H20" i="27"/>
  <c r="F19" i="27"/>
  <c r="J19" i="27"/>
  <c r="K26" i="27"/>
  <c r="H18" i="27"/>
  <c r="K25" i="27"/>
  <c r="F16" i="27"/>
  <c r="J18" i="27"/>
  <c r="F20" i="27"/>
  <c r="D25" i="27"/>
  <c r="D26" i="27"/>
  <c r="H16" i="27"/>
  <c r="K25" i="17"/>
  <c r="K26" i="17"/>
  <c r="F24" i="27" l="1"/>
  <c r="F23" i="27"/>
  <c r="H24" i="27"/>
  <c r="H23" i="27"/>
  <c r="J24" i="27"/>
  <c r="J23" i="27"/>
  <c r="J26" i="27"/>
  <c r="J25" i="27"/>
  <c r="F26" i="27"/>
  <c r="F25" i="27"/>
  <c r="H26" i="27"/>
  <c r="H25" i="27"/>
  <c r="I26" i="17" l="1"/>
  <c r="I25" i="17"/>
  <c r="G31" i="10" l="1"/>
  <c r="F18" i="25"/>
  <c r="G18" i="25" s="1"/>
  <c r="D16" i="25"/>
  <c r="I16" i="25" s="1"/>
  <c r="I23" i="25" l="1"/>
  <c r="I24" i="25"/>
  <c r="J16" i="25"/>
  <c r="I26" i="25"/>
  <c r="I25" i="25"/>
  <c r="G23" i="20"/>
  <c r="G21" i="20"/>
  <c r="G24" i="20"/>
  <c r="G22" i="20"/>
  <c r="G25" i="20"/>
  <c r="G26" i="20"/>
  <c r="F19" i="25"/>
  <c r="G19" i="25" s="1"/>
  <c r="F17" i="25"/>
  <c r="G17" i="25" s="1"/>
  <c r="F21" i="25"/>
  <c r="G21" i="25" s="1"/>
  <c r="F16" i="25"/>
  <c r="F20" i="25"/>
  <c r="G20" i="25" s="1"/>
  <c r="H26" i="19"/>
  <c r="G26" i="19"/>
  <c r="H25" i="19"/>
  <c r="G25" i="19"/>
  <c r="D17" i="19"/>
  <c r="G26" i="17"/>
  <c r="G25" i="17"/>
  <c r="J21" i="17"/>
  <c r="J20" i="17"/>
  <c r="J19" i="17"/>
  <c r="J18" i="17"/>
  <c r="J17" i="17"/>
  <c r="D16" i="17"/>
  <c r="J16" i="17" s="1"/>
  <c r="E26" i="17"/>
  <c r="E25" i="17"/>
  <c r="H27" i="14"/>
  <c r="H26" i="14"/>
  <c r="I25" i="8"/>
  <c r="I24" i="8"/>
  <c r="F25" i="11"/>
  <c r="H25" i="11" s="1"/>
  <c r="H24" i="11"/>
  <c r="F23" i="11"/>
  <c r="H23" i="11" s="1"/>
  <c r="F22" i="11"/>
  <c r="H22" i="11" s="1"/>
  <c r="F21" i="11"/>
  <c r="H21" i="11" s="1"/>
  <c r="F20" i="11"/>
  <c r="H20" i="11" s="1"/>
  <c r="I20" i="11" s="1"/>
  <c r="E20" i="8"/>
  <c r="E19" i="8"/>
  <c r="E18" i="8"/>
  <c r="E17" i="8"/>
  <c r="E16" i="8"/>
  <c r="E15" i="8"/>
  <c r="I22" i="5"/>
  <c r="L22" i="5" s="1"/>
  <c r="I21" i="5"/>
  <c r="L21" i="5" s="1"/>
  <c r="I20" i="5"/>
  <c r="L20" i="5" s="1"/>
  <c r="I19" i="5"/>
  <c r="L19" i="5" s="1"/>
  <c r="I18" i="5"/>
  <c r="L18" i="5" s="1"/>
  <c r="C17" i="5"/>
  <c r="J32" i="12"/>
  <c r="D23" i="10" s="1"/>
  <c r="I32" i="12"/>
  <c r="H31" i="5"/>
  <c r="D56" i="10" s="1"/>
  <c r="K26" i="12"/>
  <c r="E26" i="12"/>
  <c r="K25" i="12"/>
  <c r="E25" i="12"/>
  <c r="J21" i="12"/>
  <c r="F19" i="12"/>
  <c r="G19" i="12" s="1"/>
  <c r="F18" i="12"/>
  <c r="G18" i="12" s="1"/>
  <c r="J17" i="12"/>
  <c r="D16" i="12"/>
  <c r="I17" i="5" l="1"/>
  <c r="C25" i="5"/>
  <c r="C24" i="5"/>
  <c r="J24" i="17"/>
  <c r="J23" i="17"/>
  <c r="J23" i="25"/>
  <c r="J24" i="25"/>
  <c r="J16" i="12"/>
  <c r="D24" i="12"/>
  <c r="D23" i="12"/>
  <c r="G16" i="25"/>
  <c r="G25" i="25" s="1"/>
  <c r="F24" i="25"/>
  <c r="F23" i="25"/>
  <c r="J25" i="25"/>
  <c r="J26" i="25"/>
  <c r="J22" i="11"/>
  <c r="I22" i="11"/>
  <c r="J23" i="11"/>
  <c r="I23" i="11"/>
  <c r="J21" i="11"/>
  <c r="I21" i="11"/>
  <c r="J26" i="17"/>
  <c r="J25" i="17"/>
  <c r="J18" i="12"/>
  <c r="L21" i="12"/>
  <c r="M21" i="12" s="1"/>
  <c r="L16" i="12"/>
  <c r="H17" i="17"/>
  <c r="F18" i="19" s="1"/>
  <c r="D22" i="20" s="1"/>
  <c r="H22" i="20" s="1"/>
  <c r="H19" i="17"/>
  <c r="F20" i="19" s="1"/>
  <c r="D24" i="20" s="1"/>
  <c r="H24" i="20" s="1"/>
  <c r="F19" i="17"/>
  <c r="H21" i="17"/>
  <c r="F22" i="19" s="1"/>
  <c r="D26" i="20" s="1"/>
  <c r="H26" i="20" s="1"/>
  <c r="F21" i="17"/>
  <c r="H18" i="17"/>
  <c r="F19" i="19" s="1"/>
  <c r="D23" i="20" s="1"/>
  <c r="H23" i="20" s="1"/>
  <c r="H16" i="17"/>
  <c r="F16" i="17"/>
  <c r="H20" i="17"/>
  <c r="F21" i="19" s="1"/>
  <c r="D25" i="20" s="1"/>
  <c r="H25" i="20" s="1"/>
  <c r="F20" i="17"/>
  <c r="J19" i="12"/>
  <c r="L17" i="12"/>
  <c r="M17" i="12" s="1"/>
  <c r="J20" i="12"/>
  <c r="F26" i="25"/>
  <c r="F25" i="25"/>
  <c r="D25" i="12"/>
  <c r="I27" i="5"/>
  <c r="I26" i="5"/>
  <c r="F16" i="12"/>
  <c r="F20" i="12"/>
  <c r="G20" i="12" s="1"/>
  <c r="F21" i="12"/>
  <c r="G21" i="12" s="1"/>
  <c r="D26" i="12"/>
  <c r="F17" i="12"/>
  <c r="G17" i="12" s="1"/>
  <c r="G26" i="25" l="1"/>
  <c r="G16" i="12"/>
  <c r="G25" i="12" s="1"/>
  <c r="F23" i="12"/>
  <c r="F24" i="12"/>
  <c r="G24" i="25"/>
  <c r="G23" i="25"/>
  <c r="F23" i="17"/>
  <c r="F24" i="17"/>
  <c r="F17" i="19"/>
  <c r="D21" i="20" s="1"/>
  <c r="H21" i="20" s="1"/>
  <c r="H24" i="17"/>
  <c r="H23" i="17"/>
  <c r="J24" i="12"/>
  <c r="J23" i="12"/>
  <c r="L17" i="5"/>
  <c r="I25" i="5"/>
  <c r="I24" i="5"/>
  <c r="K23" i="11"/>
  <c r="L23" i="11" s="1"/>
  <c r="K21" i="11"/>
  <c r="L21" i="11" s="1"/>
  <c r="K22" i="11"/>
  <c r="L22" i="11" s="1"/>
  <c r="L18" i="12"/>
  <c r="M18" i="12" s="1"/>
  <c r="J19" i="19"/>
  <c r="I19" i="19"/>
  <c r="F25" i="17"/>
  <c r="F26" i="17"/>
  <c r="J20" i="19"/>
  <c r="I20" i="19"/>
  <c r="J18" i="19"/>
  <c r="I18" i="19"/>
  <c r="L20" i="12"/>
  <c r="M20" i="12" s="1"/>
  <c r="L19" i="12"/>
  <c r="M19" i="12" s="1"/>
  <c r="H25" i="17"/>
  <c r="H26" i="17"/>
  <c r="J21" i="19"/>
  <c r="I21" i="19"/>
  <c r="J22" i="19"/>
  <c r="I22" i="19"/>
  <c r="J26" i="12"/>
  <c r="J25" i="12"/>
  <c r="F26" i="12"/>
  <c r="F25" i="12"/>
  <c r="M16" i="12"/>
  <c r="G26" i="12"/>
  <c r="H29" i="20" l="1"/>
  <c r="H28" i="20"/>
  <c r="H30" i="20"/>
  <c r="L24" i="5"/>
  <c r="L25" i="5"/>
  <c r="M24" i="12"/>
  <c r="M23" i="12"/>
  <c r="F23" i="19"/>
  <c r="L23" i="12"/>
  <c r="G23" i="12"/>
  <c r="G24" i="12"/>
  <c r="F24" i="19"/>
  <c r="L24" i="12"/>
  <c r="H27" i="20"/>
  <c r="L26" i="12"/>
  <c r="L25" i="12"/>
  <c r="J17" i="19"/>
  <c r="F26" i="19"/>
  <c r="F25" i="19"/>
  <c r="I17" i="19"/>
  <c r="M26" i="12"/>
  <c r="M25" i="12"/>
  <c r="J24" i="19" l="1"/>
  <c r="J23" i="19"/>
  <c r="I24" i="19"/>
  <c r="I23" i="19"/>
  <c r="J26" i="19"/>
  <c r="J25" i="19"/>
  <c r="I26" i="19"/>
  <c r="I25" i="19"/>
  <c r="J27" i="5"/>
  <c r="J26" i="5"/>
  <c r="J25" i="11"/>
  <c r="J24" i="11"/>
  <c r="J20" i="11"/>
  <c r="I25" i="11"/>
  <c r="I24" i="11"/>
  <c r="F56" i="10"/>
  <c r="C58" i="10"/>
  <c r="C56" i="10"/>
  <c r="F58" i="10"/>
  <c r="F25" i="10"/>
  <c r="C25" i="10"/>
  <c r="F23" i="10"/>
  <c r="C23" i="10"/>
  <c r="K20" i="11" l="1"/>
  <c r="L20" i="11" s="1"/>
  <c r="K25" i="11"/>
  <c r="L25" i="11" s="1"/>
  <c r="K24" i="11"/>
  <c r="L24" i="11" s="1"/>
  <c r="G25" i="10"/>
  <c r="C27" i="10"/>
  <c r="C60" i="10"/>
  <c r="G23" i="10"/>
  <c r="G56" i="10"/>
  <c r="G58" i="10"/>
  <c r="E40" i="29"/>
  <c r="L28" i="11" l="1"/>
  <c r="L27" i="11"/>
  <c r="D44" i="29"/>
  <c r="E44" i="29"/>
  <c r="D40" i="29"/>
  <c r="F40" i="29" s="1"/>
  <c r="D43" i="29"/>
  <c r="E43" i="29"/>
  <c r="D39" i="29"/>
  <c r="E39" i="29"/>
  <c r="D42" i="29"/>
  <c r="E42" i="29"/>
  <c r="L29" i="11"/>
  <c r="L30" i="11"/>
  <c r="G27" i="10"/>
  <c r="G60" i="10"/>
  <c r="M18" i="5"/>
  <c r="M19" i="5"/>
  <c r="M20" i="5"/>
  <c r="M21" i="5"/>
  <c r="M22" i="5"/>
  <c r="F42" i="29" l="1"/>
  <c r="F43" i="29"/>
  <c r="F41" i="29"/>
  <c r="F44" i="29"/>
  <c r="F39" i="29"/>
  <c r="M17" i="5"/>
  <c r="L26" i="5"/>
  <c r="L27" i="5"/>
  <c r="M25" i="5" l="1"/>
  <c r="M24" i="5"/>
  <c r="F45" i="29"/>
  <c r="D53" i="29" s="1"/>
  <c r="M27" i="5"/>
  <c r="M26" i="5"/>
  <c r="E40" i="3"/>
  <c r="C26" i="5" l="1"/>
  <c r="C27" i="5"/>
  <c r="E17" i="5"/>
  <c r="A41" i="3" l="1"/>
  <c r="A40" i="3"/>
  <c r="A39" i="3"/>
  <c r="D41" i="3"/>
  <c r="D40" i="3"/>
  <c r="D39" i="3"/>
  <c r="D37" i="3"/>
  <c r="E20" i="19" l="1"/>
  <c r="E21" i="19"/>
  <c r="E22" i="19"/>
  <c r="E18" i="19"/>
  <c r="D23" i="29"/>
  <c r="F23" i="29" s="1"/>
  <c r="D27" i="29"/>
  <c r="F27" i="29" s="1"/>
  <c r="D26" i="29"/>
  <c r="F26" i="29" s="1"/>
  <c r="H40" i="3"/>
  <c r="J40" i="3" s="1"/>
  <c r="D25" i="29"/>
  <c r="F25" i="29" s="1"/>
  <c r="F24" i="29"/>
  <c r="J37" i="3"/>
  <c r="F22" i="3" l="1"/>
  <c r="F23" i="3"/>
  <c r="F25" i="3"/>
  <c r="F26" i="3"/>
  <c r="F27" i="3"/>
  <c r="C22" i="7" l="1"/>
  <c r="C52" i="29" s="1"/>
  <c r="C24" i="7"/>
  <c r="C53" i="29" s="1"/>
  <c r="E53" i="29" s="1"/>
  <c r="D24" i="7" l="1"/>
  <c r="J24" i="8" l="1"/>
  <c r="J25" i="8" l="1"/>
  <c r="E41" i="3" l="1"/>
  <c r="H41" i="3" s="1"/>
  <c r="J41" i="3" s="1"/>
  <c r="H39" i="3"/>
  <c r="J39" i="3" s="1"/>
  <c r="D36" i="3"/>
  <c r="E17" i="19" l="1"/>
  <c r="D22" i="29"/>
  <c r="F22" i="29" s="1"/>
  <c r="F28" i="29" s="1"/>
  <c r="D52" i="29" s="1"/>
  <c r="E52" i="29" s="1"/>
  <c r="E54" i="29" s="1"/>
  <c r="I41" i="3"/>
  <c r="I40" i="3"/>
  <c r="I39" i="3" l="1"/>
  <c r="D27" i="5" l="1"/>
  <c r="D26" i="5"/>
  <c r="E36" i="3" l="1"/>
  <c r="H36" i="3" l="1"/>
  <c r="J36" i="3" s="1"/>
  <c r="I37" i="3"/>
  <c r="J44" i="3" l="1"/>
  <c r="J43" i="3"/>
  <c r="I36" i="3"/>
  <c r="J46" i="3"/>
  <c r="I45" i="3" l="1"/>
  <c r="I43" i="3"/>
  <c r="I44" i="3"/>
  <c r="B41" i="3"/>
  <c r="B40" i="3"/>
  <c r="C41" i="3"/>
  <c r="C40" i="3"/>
  <c r="C39" i="3"/>
  <c r="C36" i="3"/>
  <c r="B36" i="3" l="1"/>
  <c r="A36" i="3"/>
  <c r="E22" i="5"/>
  <c r="F22" i="5" s="1"/>
  <c r="E21" i="5"/>
  <c r="F21" i="5" s="1"/>
  <c r="E20" i="5"/>
  <c r="F20" i="5" s="1"/>
  <c r="E19" i="5"/>
  <c r="F19" i="5" s="1"/>
  <c r="E18" i="5"/>
  <c r="F18" i="5" l="1"/>
  <c r="E25" i="5"/>
  <c r="E24" i="5"/>
  <c r="E26" i="5"/>
  <c r="J45" i="3"/>
  <c r="E27" i="5"/>
  <c r="I46" i="3"/>
  <c r="F17" i="5"/>
  <c r="F26" i="5" l="1"/>
  <c r="F25" i="5"/>
  <c r="F24" i="5"/>
  <c r="F22" i="7"/>
  <c r="G22" i="7" s="1"/>
  <c r="F27" i="5"/>
  <c r="C26" i="7"/>
  <c r="F24" i="7"/>
  <c r="G24" i="7" s="1"/>
  <c r="G26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rev4175</author>
    <author>rev4440</author>
    <author>Baker, Mike A (DOR)</author>
    <author>REVT221</author>
    <author>Moss, Brittney (DOR)</author>
    <author>rev3569</author>
    <author>rev3857</author>
  </authors>
  <commentList>
    <comment ref="D22" authorId="0" shapeId="0" xr:uid="{DC70B67E-F73E-480D-B658-47DA02AFE4E2}">
      <text>
        <r>
          <rPr>
            <b/>
            <sz val="9"/>
            <color indexed="81"/>
            <rFont val="Tahoma"/>
            <family val="2"/>
          </rPr>
          <t>rev4175
Value Line</t>
        </r>
      </text>
    </comment>
    <comment ref="E22" authorId="0" shapeId="0" xr:uid="{6870E5CD-0C51-4EA2-84D9-591AB32EF649}">
      <text>
        <r>
          <rPr>
            <b/>
            <sz val="9"/>
            <color indexed="81"/>
            <rFont val="Tahoma"/>
            <family val="2"/>
          </rPr>
          <t>rev4175
Value Line</t>
        </r>
      </text>
    </comment>
    <comment ref="G22" authorId="0" shapeId="0" xr:uid="{67A45121-894C-4461-A4A4-B01AC83F8EE3}">
      <text>
        <r>
          <rPr>
            <b/>
            <sz val="9"/>
            <color indexed="81"/>
            <rFont val="Tahoma"/>
            <family val="2"/>
          </rPr>
          <t>rev4175
Value Line</t>
        </r>
      </text>
    </comment>
    <comment ref="H22" authorId="1" shapeId="0" xr:uid="{CD9F360F-B6DB-448F-A5A0-EA2D672D1E39}">
      <text>
        <r>
          <rPr>
            <sz val="9"/>
            <color indexed="81"/>
            <rFont val="Tahoma"/>
            <family val="2"/>
          </rPr>
          <t>Page 77 of PDF, 10-K</t>
        </r>
      </text>
    </comment>
    <comment ref="J22" authorId="1" shapeId="0" xr:uid="{BF9DED12-0B4F-4A8D-BD46-7F315905566C}">
      <text>
        <r>
          <rPr>
            <sz val="9"/>
            <color indexed="81"/>
            <rFont val="Tahoma"/>
            <family val="2"/>
          </rPr>
          <t>Page 76 of PDF, 10-K</t>
        </r>
      </text>
    </comment>
    <comment ref="D23" authorId="0" shapeId="0" xr:uid="{F7BDD7E3-EB39-4066-A594-9FC7A48C3516}">
      <text>
        <r>
          <rPr>
            <b/>
            <sz val="9"/>
            <color indexed="81"/>
            <rFont val="Tahoma"/>
            <family val="2"/>
          </rPr>
          <t>rev4175
Value Line</t>
        </r>
      </text>
    </comment>
    <comment ref="E23" authorId="0" shapeId="0" xr:uid="{F053E16A-8012-4E2E-87F6-9387C28ED336}">
      <text>
        <r>
          <rPr>
            <b/>
            <sz val="9"/>
            <color indexed="81"/>
            <rFont val="Tahoma"/>
            <family val="2"/>
          </rPr>
          <t>rev4175
Value Line</t>
        </r>
      </text>
    </comment>
    <comment ref="G23" authorId="0" shapeId="0" xr:uid="{2292EFD5-7546-4290-AEB8-C8C79209D54E}">
      <text>
        <r>
          <rPr>
            <b/>
            <sz val="9"/>
            <color indexed="81"/>
            <rFont val="Tahoma"/>
            <family val="2"/>
          </rPr>
          <t>rev4175
Value Line</t>
        </r>
      </text>
    </comment>
    <comment ref="H23" authorId="1" shapeId="0" xr:uid="{BA9F0DC4-5888-445C-944D-FC89DFBAAE3C}">
      <text>
        <r>
          <rPr>
            <sz val="9"/>
            <color indexed="81"/>
            <rFont val="Tahoma"/>
            <family val="2"/>
          </rPr>
          <t>Page 82 of PDF, 10-K</t>
        </r>
      </text>
    </comment>
    <comment ref="I23" authorId="2" shapeId="0" xr:uid="{6C624364-518A-490E-8735-0E7E07B4EA60}">
      <text>
        <r>
          <rPr>
            <b/>
            <sz val="9"/>
            <color indexed="81"/>
            <rFont val="Tahoma"/>
            <family val="2"/>
          </rPr>
          <t>Baker, Mike A (DOR):</t>
        </r>
        <r>
          <rPr>
            <sz val="9"/>
            <color indexed="81"/>
            <rFont val="Tahoma"/>
            <family val="2"/>
          </rPr>
          <t xml:space="preserve">
Page 82   10K PDF</t>
        </r>
      </text>
    </comment>
    <comment ref="J23" authorId="1" shapeId="0" xr:uid="{0D9669BA-F256-45A7-8632-A07966F38D2C}">
      <text>
        <r>
          <rPr>
            <sz val="9"/>
            <color indexed="81"/>
            <rFont val="Tahoma"/>
            <family val="2"/>
          </rPr>
          <t>Page 82 of PDF, 10-K</t>
        </r>
      </text>
    </comment>
    <comment ref="D24" authorId="0" shapeId="0" xr:uid="{D8E915D1-6C3C-4B43-B404-9B791ABBADF4}">
      <text>
        <r>
          <rPr>
            <b/>
            <sz val="9"/>
            <color indexed="81"/>
            <rFont val="Tahoma"/>
            <family val="2"/>
          </rPr>
          <t>rev4175
Value Line</t>
        </r>
      </text>
    </comment>
    <comment ref="E24" authorId="0" shapeId="0" xr:uid="{D8048B3E-5AAD-4E61-A75E-9133E29E69DB}">
      <text>
        <r>
          <rPr>
            <b/>
            <sz val="9"/>
            <color indexed="81"/>
            <rFont val="Tahoma"/>
            <family val="2"/>
          </rPr>
          <t>rev4175
Value Line</t>
        </r>
      </text>
    </comment>
    <comment ref="G24" authorId="0" shapeId="0" xr:uid="{80355BD6-8C72-4C45-95F9-2139FC21120B}">
      <text>
        <r>
          <rPr>
            <b/>
            <sz val="9"/>
            <color indexed="81"/>
            <rFont val="Tahoma"/>
            <family val="2"/>
          </rPr>
          <t>rev4175
Value Line</t>
        </r>
      </text>
    </comment>
    <comment ref="H24" authorId="1" shapeId="0" xr:uid="{2DBF7BC6-0232-4FDF-8A3C-0053A9953FAA}">
      <text>
        <r>
          <rPr>
            <sz val="9"/>
            <color indexed="81"/>
            <rFont val="Tahoma"/>
            <family val="2"/>
          </rPr>
          <t>Page 56 of PDF, 10-K</t>
        </r>
      </text>
    </comment>
    <comment ref="J24" authorId="1" shapeId="0" xr:uid="{D66165F2-832B-4545-B3CD-9C8D43EFF746}">
      <text>
        <r>
          <rPr>
            <sz val="9"/>
            <color indexed="81"/>
            <rFont val="Tahoma"/>
            <family val="2"/>
          </rPr>
          <t>Page 56 of PDF, 10-K Includes finance leses</t>
        </r>
      </text>
    </comment>
    <comment ref="D25" authorId="0" shapeId="0" xr:uid="{9ADB82D2-7367-44DA-8040-3D0C01281A07}">
      <text>
        <r>
          <rPr>
            <b/>
            <sz val="9"/>
            <color indexed="81"/>
            <rFont val="Tahoma"/>
            <family val="2"/>
          </rPr>
          <t>rev4175
Value Line</t>
        </r>
      </text>
    </comment>
    <comment ref="E25" authorId="0" shapeId="0" xr:uid="{BA947301-9318-4193-A243-F892EFB5933E}">
      <text>
        <r>
          <rPr>
            <b/>
            <sz val="9"/>
            <color indexed="81"/>
            <rFont val="Tahoma"/>
            <family val="2"/>
          </rPr>
          <t>rev4175
Value Line</t>
        </r>
      </text>
    </comment>
    <comment ref="G25" authorId="0" shapeId="0" xr:uid="{D8A04624-5C95-4555-93A5-492EFB63C947}">
      <text>
        <r>
          <rPr>
            <b/>
            <sz val="9"/>
            <color indexed="81"/>
            <rFont val="Tahoma"/>
            <family val="2"/>
          </rPr>
          <t>rev4175
Value Line</t>
        </r>
      </text>
    </comment>
    <comment ref="H25" authorId="3" shapeId="0" xr:uid="{9964A07B-702C-4B5E-83E9-6D9553C51C61}">
      <text>
        <r>
          <rPr>
            <sz val="9"/>
            <color indexed="81"/>
            <rFont val="Tahoma"/>
            <family val="2"/>
          </rPr>
          <t>Page 65  of PDF, 10-K</t>
        </r>
      </text>
    </comment>
    <comment ref="J25" authorId="3" shapeId="0" xr:uid="{073E0E9C-5784-407D-9CD1-F2A9685BB24A}">
      <text>
        <r>
          <rPr>
            <sz val="9"/>
            <color indexed="81"/>
            <rFont val="Tahoma"/>
            <family val="2"/>
          </rPr>
          <t>Page 65 of PDF, 10-K</t>
        </r>
      </text>
    </comment>
    <comment ref="D26" authorId="0" shapeId="0" xr:uid="{98F74EA6-CA98-4278-92EA-0C7BB617633A}">
      <text>
        <r>
          <rPr>
            <b/>
            <sz val="9"/>
            <color indexed="81"/>
            <rFont val="Tahoma"/>
            <family val="2"/>
          </rPr>
          <t>rev4175
Value Line</t>
        </r>
      </text>
    </comment>
    <comment ref="E26" authorId="0" shapeId="0" xr:uid="{76860FFE-230E-47AE-976C-46E677FFF090}">
      <text>
        <r>
          <rPr>
            <b/>
            <sz val="9"/>
            <color indexed="81"/>
            <rFont val="Tahoma"/>
            <family val="2"/>
          </rPr>
          <t>rev4175
Value Line</t>
        </r>
      </text>
    </comment>
    <comment ref="G26" authorId="0" shapeId="0" xr:uid="{71B47E2E-5A56-4981-B0D1-7C35DA06DBA1}">
      <text>
        <r>
          <rPr>
            <b/>
            <sz val="9"/>
            <color indexed="81"/>
            <rFont val="Tahoma"/>
            <family val="2"/>
          </rPr>
          <t>rev4175
Value Line</t>
        </r>
      </text>
    </comment>
    <comment ref="H26" authorId="1" shapeId="0" xr:uid="{38D4E995-D523-4D1D-83D3-F3A0FE1B01B6}">
      <text>
        <r>
          <rPr>
            <sz val="9"/>
            <color indexed="81"/>
            <rFont val="Tahoma"/>
            <family val="2"/>
          </rPr>
          <t xml:space="preserve">Page 46 of PDF, 10-K  </t>
        </r>
      </text>
    </comment>
    <comment ref="I26" authorId="1" shapeId="0" xr:uid="{6AA0BFAA-4950-4B20-854D-11D72D286A0A}">
      <text>
        <r>
          <rPr>
            <sz val="9"/>
            <color indexed="81"/>
            <rFont val="Tahoma"/>
            <family val="2"/>
          </rPr>
          <t xml:space="preserve">Page 46 of PDF, 10-K
</t>
        </r>
      </text>
    </comment>
    <comment ref="J26" authorId="1" shapeId="0" xr:uid="{82DEEF9B-0BC9-4D3D-9B75-3008E331F516}">
      <text>
        <r>
          <rPr>
            <sz val="9"/>
            <color indexed="81"/>
            <rFont val="Tahoma"/>
            <family val="2"/>
          </rPr>
          <t>Page 50 of PDF, 10-K</t>
        </r>
      </text>
    </comment>
    <comment ref="A27" authorId="4" shapeId="0" xr:uid="{EA37C39B-D003-4B9F-B604-CC62F1D9F484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SJW CORP IS NOW H2O AMERICA (HTO)</t>
        </r>
      </text>
    </comment>
    <comment ref="H27" authorId="1" shapeId="0" xr:uid="{BAD08CFB-BA9E-486F-BB66-2B50E9CDD1C9}">
      <text>
        <r>
          <rPr>
            <sz val="9"/>
            <color indexed="81"/>
            <rFont val="Tahoma"/>
            <family val="2"/>
          </rPr>
          <t>Page 53 of PDF, 10-K</t>
        </r>
      </text>
    </comment>
    <comment ref="J27" authorId="1" shapeId="0" xr:uid="{27AA6159-18FC-4D7E-B951-8C80B5A4F50A}">
      <text>
        <r>
          <rPr>
            <sz val="9"/>
            <color indexed="81"/>
            <rFont val="Tahoma"/>
            <family val="2"/>
          </rPr>
          <t>Page 53 of PDF, 10-K</t>
        </r>
      </text>
    </comment>
    <comment ref="F32" authorId="5" shapeId="0" xr:uid="{CEF678F7-6580-4CF3-AC8E-A803AFF27478}">
      <text>
        <r>
          <rPr>
            <b/>
            <sz val="11"/>
            <color indexed="81"/>
            <rFont val="Tahoma"/>
            <family val="2"/>
          </rPr>
          <t>rev3569:</t>
        </r>
        <r>
          <rPr>
            <sz val="11"/>
            <color indexed="81"/>
            <rFont val="Tahoma"/>
            <family val="2"/>
          </rPr>
          <t xml:space="preserve">
identify present value in 10K</t>
        </r>
      </text>
    </comment>
    <comment ref="F36" authorId="2" shapeId="0" xr:uid="{5D3A7E9E-31FD-48DE-A814-52821D26E9B2}">
      <text>
        <r>
          <rPr>
            <b/>
            <sz val="9"/>
            <color indexed="81"/>
            <rFont val="Tahoma"/>
            <family val="2"/>
          </rPr>
          <t>Rev4175(DOR):</t>
        </r>
        <r>
          <rPr>
            <sz val="9"/>
            <color indexed="81"/>
            <rFont val="Tahoma"/>
            <family val="2"/>
          </rPr>
          <t xml:space="preserve">
Page 120 Note 16  10K</t>
        </r>
      </text>
    </comment>
    <comment ref="G36" authorId="6" shapeId="0" xr:uid="{32758C80-C783-4890-9BF5-A04AE5CA4564}">
      <text>
        <r>
          <rPr>
            <sz val="9"/>
            <color indexed="81"/>
            <rFont val="Tahoma"/>
            <family val="2"/>
          </rPr>
          <t>Page 87 of PDF, 10-K</t>
        </r>
      </text>
    </comment>
    <comment ref="F37" authorId="2" shapeId="0" xr:uid="{A1E1988B-37EE-4C04-B756-E04B811F51BA}">
      <text>
        <r>
          <rPr>
            <b/>
            <sz val="9"/>
            <color indexed="81"/>
            <rFont val="Tahoma"/>
            <family val="2"/>
          </rPr>
          <t>Rev4175 (DOR):</t>
        </r>
        <r>
          <rPr>
            <sz val="9"/>
            <color indexed="81"/>
            <rFont val="Tahoma"/>
            <family val="2"/>
          </rPr>
          <t xml:space="preserve">
Page 81   10K</t>
        </r>
      </text>
    </comment>
    <comment ref="G37" authorId="6" shapeId="0" xr:uid="{27DEC5AF-944A-42A5-9079-31A42D4041E1}">
      <text>
        <r>
          <rPr>
            <sz val="9"/>
            <color indexed="81"/>
            <rFont val="Tahoma"/>
            <family val="2"/>
          </rPr>
          <t>Page 132 of PDF, 10-K</t>
        </r>
      </text>
    </comment>
    <comment ref="F38" authorId="2" shapeId="0" xr:uid="{16FC21F1-8651-4155-8512-79B5C51FBC56}">
      <text>
        <r>
          <rPr>
            <b/>
            <sz val="9"/>
            <color indexed="81"/>
            <rFont val="Tahoma"/>
            <family val="2"/>
          </rPr>
          <t>Rev4175 (DOR):</t>
        </r>
        <r>
          <rPr>
            <sz val="9"/>
            <color indexed="81"/>
            <rFont val="Tahoma"/>
            <family val="2"/>
          </rPr>
          <t xml:space="preserve">
Page 90 10K</t>
        </r>
      </text>
    </comment>
    <comment ref="G38" authorId="6" shapeId="0" xr:uid="{3DAB41D3-DD88-45C0-BA80-88DBD1BF86EB}">
      <text>
        <r>
          <rPr>
            <sz val="9"/>
            <color indexed="81"/>
            <rFont val="Tahoma"/>
            <family val="2"/>
          </rPr>
          <t>Page 87 of PDF, 10-K</t>
        </r>
      </text>
    </comment>
    <comment ref="F39" authorId="6" shapeId="0" xr:uid="{8E7F1572-9A1A-4005-95A9-3D8EEDEBB39C}">
      <text>
        <r>
          <rPr>
            <sz val="9"/>
            <color indexed="81"/>
            <rFont val="Tahoma"/>
            <family val="2"/>
          </rPr>
          <t>Page 91 of PDF, 10-K</t>
        </r>
      </text>
    </comment>
    <comment ref="G39" authorId="6" shapeId="0" xr:uid="{D21694DF-9373-4B4C-B689-F1D0822FC211}">
      <text>
        <r>
          <rPr>
            <sz val="9"/>
            <color indexed="81"/>
            <rFont val="Tahoma"/>
            <family val="2"/>
          </rPr>
          <t>Page 94 of PDF, 10-K</t>
        </r>
      </text>
    </comment>
    <comment ref="F40" authorId="2" shapeId="0" xr:uid="{0EBB846C-11BD-46CE-B78D-41BC0CD4BC9A}">
      <text>
        <r>
          <rPr>
            <b/>
            <sz val="9"/>
            <color indexed="81"/>
            <rFont val="Tahoma"/>
            <family val="2"/>
          </rPr>
          <t>Rev4175(DOR):</t>
        </r>
        <r>
          <rPr>
            <sz val="9"/>
            <color indexed="81"/>
            <rFont val="Tahoma"/>
            <family val="2"/>
          </rPr>
          <t xml:space="preserve">
Page 57 10K </t>
        </r>
      </text>
    </comment>
    <comment ref="G40" authorId="6" shapeId="0" xr:uid="{223F66E5-BD0A-4142-B129-ED0F42D293C2}">
      <text>
        <r>
          <rPr>
            <sz val="9"/>
            <color indexed="81"/>
            <rFont val="Tahoma"/>
            <family val="2"/>
          </rPr>
          <t>Page 61 of PDF, 10-K</t>
        </r>
      </text>
    </comment>
    <comment ref="G41" authorId="6" shapeId="0" xr:uid="{19CA84F0-8F40-46FB-A37E-6AB9CD6AA86B}">
      <text>
        <r>
          <rPr>
            <sz val="9"/>
            <color indexed="81"/>
            <rFont val="Tahoma"/>
            <family val="2"/>
          </rPr>
          <t>Page 68 of PDF, 10-K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rev3569</author>
  </authors>
  <commentList>
    <comment ref="E22" authorId="0" shapeId="0" xr:uid="{4C990E4B-559E-4BDC-B008-727700064683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BS pg 77</t>
        </r>
      </text>
    </comment>
    <comment ref="E23" authorId="0" shapeId="0" xr:uid="{1C142D92-EBEF-49E8-A611-706FDE6E2D44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BS pg83 or CSE pg 82</t>
        </r>
      </text>
    </comment>
    <comment ref="E24" authorId="0" shapeId="0" xr:uid="{02304C67-F19F-4DB4-A5FA-6981D8F360EA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BS pg 56</t>
        </r>
      </text>
    </comment>
    <comment ref="E25" authorId="0" shapeId="0" xr:uid="{52E91469-FFBD-4075-810A-9C50C8E5F2EE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BS pg 65</t>
        </r>
      </text>
    </comment>
    <comment ref="E26" authorId="0" shapeId="0" xr:uid="{26D5BB1F-7C64-4341-A893-2437DB86D0B0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BS pg 44</t>
        </r>
      </text>
    </comment>
    <comment ref="E27" authorId="0" shapeId="0" xr:uid="{A017E581-FF59-47C4-A7C1-9C5F68A0D121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BS pg 53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rev3569</author>
    <author>Baker, Mike A (DOR)</author>
  </authors>
  <commentList>
    <comment ref="D20" authorId="0" shapeId="0" xr:uid="{6ED5FDF5-8358-448A-B798-79C8E0464FBF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7</t>
        </r>
      </text>
    </comment>
    <comment ref="E20" authorId="0" shapeId="0" xr:uid="{1301E226-945E-4AD1-B744-F9DA4282E992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2024 Cap Rate Study</t>
        </r>
      </text>
    </comment>
    <comment ref="G20" authorId="0" shapeId="0" xr:uid="{22EA250A-1FFF-4448-A877-EC7EAD4CC6FA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78</t>
        </r>
      </text>
    </comment>
    <comment ref="D21" authorId="0" shapeId="0" xr:uid="{2DD75A5E-9B66-42D7-AA05-1E284D69B2A1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81</t>
        </r>
      </text>
    </comment>
    <comment ref="E21" authorId="0" shapeId="0" xr:uid="{10A51BD0-B3A7-4238-8BE1-B32C0633B84C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2024 Cap Rate Study</t>
        </r>
      </text>
    </comment>
    <comment ref="G21" authorId="1" shapeId="0" xr:uid="{B7A66813-86FA-467E-83D5-0B31410BFF75}">
      <text>
        <r>
          <rPr>
            <b/>
            <sz val="9"/>
            <color indexed="81"/>
            <rFont val="Tahoma"/>
            <family val="2"/>
          </rPr>
          <t>Rev4175(DOR):</t>
        </r>
        <r>
          <rPr>
            <sz val="9"/>
            <color indexed="81"/>
            <rFont val="Tahoma"/>
            <family val="2"/>
          </rPr>
          <t xml:space="preserve">
See 10K page 83</t>
        </r>
      </text>
    </comment>
    <comment ref="D22" authorId="0" shapeId="0" xr:uid="{58CB2FF6-BA6B-4265-9C71-FC55DC210226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56</t>
        </r>
      </text>
    </comment>
    <comment ref="E22" authorId="0" shapeId="0" xr:uid="{ACF3E53E-D0E5-4BD6-929E-E86A92918E70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2024 Cap Rate Study</t>
        </r>
      </text>
    </comment>
    <comment ref="G22" authorId="0" shapeId="0" xr:uid="{64A9B1EB-A3C7-46BC-AF84-C01CF98BBD96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57</t>
        </r>
      </text>
    </comment>
    <comment ref="D23" authorId="0" shapeId="0" xr:uid="{2FA6AB06-4C2A-4C0F-AEC8-7177A8193270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64 of pdf</t>
        </r>
      </text>
    </comment>
    <comment ref="E23" authorId="0" shapeId="0" xr:uid="{6C85D4F1-181B-4A2C-AF01-8CEA071A4622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2024 Cap Rate Study</t>
        </r>
      </text>
    </comment>
    <comment ref="G23" authorId="1" shapeId="0" xr:uid="{A83481BB-66B5-4064-8F25-72867251FC97}">
      <text>
        <r>
          <rPr>
            <b/>
            <sz val="9"/>
            <color indexed="81"/>
            <rFont val="Tahoma"/>
            <family val="2"/>
          </rPr>
          <t>Rev4175:(DOR):</t>
        </r>
        <r>
          <rPr>
            <sz val="9"/>
            <color indexed="81"/>
            <rFont val="Tahoma"/>
            <family val="2"/>
          </rPr>
          <t xml:space="preserve">
See 10K page 66</t>
        </r>
      </text>
    </comment>
    <comment ref="D24" authorId="0" shapeId="0" xr:uid="{47B87F31-512D-4B4D-A18A-87CF438BA597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44</t>
        </r>
      </text>
    </comment>
    <comment ref="E24" authorId="0" shapeId="0" xr:uid="{C76AF2A7-5B35-4678-BED1-951BB994BAE7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2024 Cap Rate Study</t>
        </r>
      </text>
    </comment>
    <comment ref="G24" authorId="1" shapeId="0" xr:uid="{FCE70384-2EFA-4289-B030-40F1A816F291}">
      <text>
        <r>
          <rPr>
            <b/>
            <sz val="9"/>
            <color indexed="81"/>
            <rFont val="Tahoma"/>
            <family val="2"/>
          </rPr>
          <t>Rev4175(DOR):</t>
        </r>
        <r>
          <rPr>
            <sz val="9"/>
            <color indexed="81"/>
            <rFont val="Tahoma"/>
            <family val="2"/>
          </rPr>
          <t xml:space="preserve">
See 10K page 43</t>
        </r>
      </text>
    </comment>
    <comment ref="D25" authorId="0" shapeId="0" xr:uid="{8D8F0F9D-9ED0-476B-A63B-61DA7A5411CD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10K pg 52
</t>
        </r>
      </text>
    </comment>
    <comment ref="E25" authorId="0" shapeId="0" xr:uid="{30FA2927-B83C-43D1-B2D4-57F8D6B2E167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2024 Cap Rate Study</t>
        </r>
      </text>
    </comment>
    <comment ref="G25" authorId="1" shapeId="0" xr:uid="{DC614E0E-2ADD-4D0E-94C1-05A09225FF5E}">
      <text>
        <r>
          <rPr>
            <b/>
            <sz val="9"/>
            <color indexed="81"/>
            <rFont val="Tahoma"/>
            <family val="2"/>
          </rPr>
          <t>Rev4175: (DOR):</t>
        </r>
        <r>
          <rPr>
            <sz val="9"/>
            <color indexed="81"/>
            <rFont val="Tahoma"/>
            <family val="2"/>
          </rPr>
          <t xml:space="preserve">
See 10K page 54</t>
        </r>
      </text>
    </comment>
  </commentList>
</comments>
</file>

<file path=xl/sharedStrings.xml><?xml version="1.0" encoding="utf-8"?>
<sst xmlns="http://schemas.openxmlformats.org/spreadsheetml/2006/main" count="1434" uniqueCount="486">
  <si>
    <t xml:space="preserve"> </t>
  </si>
  <si>
    <t>KENTUCKY DEPARTMENT OF REVENUE</t>
  </si>
  <si>
    <t>Company</t>
  </si>
  <si>
    <t>Ticker</t>
  </si>
  <si>
    <t>Symbol</t>
  </si>
  <si>
    <t xml:space="preserve">Industry </t>
  </si>
  <si>
    <t>Group</t>
  </si>
  <si>
    <t>VL</t>
  </si>
  <si>
    <t>10K / SEC</t>
  </si>
  <si>
    <t>DIVISION OF STATE VALUATION, PUBLIC SERVICE BRANCH</t>
  </si>
  <si>
    <t>Stock Price</t>
  </si>
  <si>
    <t>Preferred Stock</t>
  </si>
  <si>
    <t>Common Stock</t>
  </si>
  <si>
    <t>4th Qtr</t>
  </si>
  <si>
    <t>FMV</t>
  </si>
  <si>
    <t>Calculated</t>
  </si>
  <si>
    <t>Total Market Value</t>
  </si>
  <si>
    <t>% Common Stock</t>
  </si>
  <si>
    <t>Median</t>
  </si>
  <si>
    <t>Average</t>
  </si>
  <si>
    <t xml:space="preserve">Financial </t>
  </si>
  <si>
    <t xml:space="preserve">Actual </t>
  </si>
  <si>
    <t>Strength</t>
  </si>
  <si>
    <t>Tax Rate</t>
  </si>
  <si>
    <t>A</t>
  </si>
  <si>
    <t>B+</t>
  </si>
  <si>
    <t>Computed</t>
  </si>
  <si>
    <t>Price</t>
  </si>
  <si>
    <t>Multiple</t>
  </si>
  <si>
    <t>Inverse</t>
  </si>
  <si>
    <t>KENTUCKY</t>
  </si>
  <si>
    <t xml:space="preserve">Source of </t>
  </si>
  <si>
    <t>Capital</t>
  </si>
  <si>
    <t>Cost of Capital</t>
  </si>
  <si>
    <t>Weighted</t>
  </si>
  <si>
    <t>Structure</t>
  </si>
  <si>
    <t>Rate</t>
  </si>
  <si>
    <t>After Tax</t>
  </si>
  <si>
    <t>Cost</t>
  </si>
  <si>
    <t>EQUITY</t>
  </si>
  <si>
    <t>-</t>
  </si>
  <si>
    <t>DEBT</t>
  </si>
  <si>
    <t>TOTAL</t>
  </si>
  <si>
    <t>A+</t>
  </si>
  <si>
    <t xml:space="preserve">  </t>
  </si>
  <si>
    <t>High</t>
  </si>
  <si>
    <t>Low</t>
  </si>
  <si>
    <t>Mergent Bond</t>
  </si>
  <si>
    <t>Rating</t>
  </si>
  <si>
    <t>Debt Rate</t>
  </si>
  <si>
    <t>S &amp; P</t>
  </si>
  <si>
    <t>% LT Debt &amp; Pref Stock</t>
  </si>
  <si>
    <t>Baa1</t>
  </si>
  <si>
    <t>Baa2</t>
  </si>
  <si>
    <t>The capital structure of this industry is a representative or typical capital structure of the group, not that of the present owner.  The capital structure selected reflects the most likely arrangement of a prospective buyer.</t>
  </si>
  <si>
    <t>A1</t>
  </si>
  <si>
    <t>Ba1</t>
  </si>
  <si>
    <t>A3</t>
  </si>
  <si>
    <t>Baa3</t>
  </si>
  <si>
    <t>A-</t>
  </si>
  <si>
    <t>Book Value</t>
  </si>
  <si>
    <t>Shares Issued less Treasury</t>
  </si>
  <si>
    <t>DIRECT CAPITALIZATION RATE CONCLUSION</t>
  </si>
  <si>
    <t>YIELD CAPITALIZATION RATE CONCLUSION</t>
  </si>
  <si>
    <t>GCF After Tax</t>
  </si>
  <si>
    <t>Capitalization Rate</t>
  </si>
  <si>
    <t>Capitalization</t>
  </si>
  <si>
    <t>Marginal</t>
  </si>
  <si>
    <t>CAP RATE</t>
  </si>
  <si>
    <t>NOI After Tax  (NOPAT)</t>
  </si>
  <si>
    <t>WACC</t>
  </si>
  <si>
    <t>Notes:</t>
  </si>
  <si>
    <t>Shares Outstanding *</t>
  </si>
  <si>
    <t>Selected</t>
  </si>
  <si>
    <t>CAPITAL STRUCTURE</t>
  </si>
  <si>
    <t>Maintenance Capital Expenditures</t>
  </si>
  <si>
    <t>Estimate using Guideline Companies</t>
  </si>
  <si>
    <t>Inflation</t>
  </si>
  <si>
    <t>Rate %</t>
  </si>
  <si>
    <t>CPI</t>
  </si>
  <si>
    <t>PP&amp;E Gross</t>
  </si>
  <si>
    <t>PP&amp;E</t>
  </si>
  <si>
    <t>Previous Year</t>
  </si>
  <si>
    <t>Current Year</t>
  </si>
  <si>
    <t>Depreciation</t>
  </si>
  <si>
    <t>Expense</t>
  </si>
  <si>
    <t xml:space="preserve">Average Life of </t>
  </si>
  <si>
    <t>Assets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</si>
  <si>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</si>
  <si>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</si>
  <si>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</si>
  <si>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</si>
  <si>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</si>
  <si>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</si>
  <si>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</si>
  <si>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</si>
  <si>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</si>
  <si>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</si>
  <si>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F/G</t>
  </si>
  <si>
    <t>C*H</t>
  </si>
  <si>
    <t>1/(1=C)^H</t>
  </si>
  <si>
    <t>Replacement</t>
  </si>
  <si>
    <t xml:space="preserve">Cost </t>
  </si>
  <si>
    <t>RC as % of</t>
  </si>
  <si>
    <t>K/G</t>
  </si>
  <si>
    <t>L</t>
  </si>
  <si>
    <t>(D+E)/2</t>
  </si>
  <si>
    <t>(G*I) / (1-J)</t>
  </si>
  <si>
    <t>*</t>
  </si>
  <si>
    <t>Gross Cash Flow</t>
  </si>
  <si>
    <t>NOPAT</t>
  </si>
  <si>
    <t>VL Projected NOI</t>
  </si>
  <si>
    <t xml:space="preserve">Year End </t>
  </si>
  <si>
    <t>VL Historic</t>
  </si>
  <si>
    <t>VL Projected</t>
  </si>
  <si>
    <t>Current</t>
  </si>
  <si>
    <t>Yield</t>
  </si>
  <si>
    <t>BETA SELECTION for CAPM</t>
  </si>
  <si>
    <t>SELECTED AVERAGE &gt;</t>
  </si>
  <si>
    <t>Source</t>
  </si>
  <si>
    <t>GDP</t>
  </si>
  <si>
    <t>Nominal</t>
  </si>
  <si>
    <t>Growth</t>
  </si>
  <si>
    <t>Book Ratio</t>
  </si>
  <si>
    <t>Numeric</t>
  </si>
  <si>
    <t>Caa3</t>
  </si>
  <si>
    <t>Caa2</t>
  </si>
  <si>
    <t>Caa1</t>
  </si>
  <si>
    <t>B3</t>
  </si>
  <si>
    <t>B2</t>
  </si>
  <si>
    <t>B1</t>
  </si>
  <si>
    <t>Ba3</t>
  </si>
  <si>
    <t>Ba2</t>
  </si>
  <si>
    <t>A2</t>
  </si>
  <si>
    <t>Aa3</t>
  </si>
  <si>
    <t>Aa2</t>
  </si>
  <si>
    <t>Aa1</t>
  </si>
  <si>
    <t>Bond Rating Scale</t>
  </si>
  <si>
    <t>Levered Beta</t>
  </si>
  <si>
    <t>https://www.philadelphiafed.org/research-and-data/real-time-center/livingston-survey</t>
  </si>
  <si>
    <t>https://www.philadelphiafed.org/surveys-and-data/real-time-data-research/survey-of-professional-forecasters</t>
  </si>
  <si>
    <t>Preferred Stock ***</t>
  </si>
  <si>
    <t>Long Term Debt **</t>
  </si>
  <si>
    <t xml:space="preserve">** Debt includes  LT Debt , Current portion of LT Debt, and Finance leases from 10K </t>
  </si>
  <si>
    <t>*** Market value of preferred stock assumed to equal book value</t>
  </si>
  <si>
    <t>* Outstanding stock shares are generally already net of Treasury stock shares</t>
  </si>
  <si>
    <t>MODEL</t>
  </si>
  <si>
    <t>EQUITY RATES for YIELD APPROACH</t>
  </si>
  <si>
    <t>CAPM - The CFO Survey</t>
  </si>
  <si>
    <t>CAPM - Fernandez, Banuls, &amp; Acin</t>
  </si>
  <si>
    <t>CAPM - Ex Post (BVR Historical, Arithmeic)</t>
  </si>
  <si>
    <t>CAPM - Ex Post (BVR Historical, Geometric)</t>
  </si>
  <si>
    <t>Empirical CAPM - The CFO Survey</t>
  </si>
  <si>
    <t>Empirical CAPM - Fernandez, Banuls, &amp; Acin</t>
  </si>
  <si>
    <t>Empirical CAPM - Ex Post (BVR Historical, Arithmeic)</t>
  </si>
  <si>
    <t>Empirical CAPM - Ex Post (BVR Historical, Geometric)</t>
  </si>
  <si>
    <t>Stock</t>
  </si>
  <si>
    <t>Dividends</t>
  </si>
  <si>
    <t>Per Share</t>
  </si>
  <si>
    <t>Dividend</t>
  </si>
  <si>
    <t>Historic</t>
  </si>
  <si>
    <t>Dividend Data</t>
  </si>
  <si>
    <t>Earnings</t>
  </si>
  <si>
    <t>Equity</t>
  </si>
  <si>
    <t>Equity Rate</t>
  </si>
  <si>
    <t>(F+G)</t>
  </si>
  <si>
    <t>(F+H)</t>
  </si>
  <si>
    <t>Dividend Yield</t>
  </si>
  <si>
    <t xml:space="preserve">Projected Short Term </t>
  </si>
  <si>
    <t>DGM - Earnings Growth Rate &gt;</t>
  </si>
  <si>
    <t>DGM - Dividend Growth Rate &gt;</t>
  </si>
  <si>
    <t>Yield Equity Rate - DGM (Two-Stage)</t>
  </si>
  <si>
    <t>Stable</t>
  </si>
  <si>
    <t>Growth Rate</t>
  </si>
  <si>
    <t>Cost of</t>
  </si>
  <si>
    <t>g</t>
  </si>
  <si>
    <t>DY</t>
  </si>
  <si>
    <t>G1</t>
  </si>
  <si>
    <t>(G1 + g)/2</t>
  </si>
  <si>
    <t>KE = (DY X (1 + .5(G))) + .67 (G1) + .33(g)</t>
  </si>
  <si>
    <t>Kentucky</t>
  </si>
  <si>
    <t>Common Equity</t>
  </si>
  <si>
    <t>.</t>
  </si>
  <si>
    <t xml:space="preserve">Obligations rated Ca are highly speculative and are likely in, or very near, default, with some prospect of recovery in principal and interest. </t>
  </si>
  <si>
    <t xml:space="preserve">Obligations rated C are the lowest-rated class of bonds and are typical­ly in default, with little prospect for recovery of principal and interest. </t>
  </si>
  <si>
    <t xml:space="preserve">Obligations rated Caa are judged to be of poor standing and are subject to very high credit risk . </t>
  </si>
  <si>
    <t>Obligations rated Aaa are judged to be of the highest quality, with minimal risk.</t>
  </si>
  <si>
    <t xml:space="preserve">Obligations rated A are considered upper-medium-grade and are sub­ject to low credit risk. </t>
  </si>
  <si>
    <t xml:space="preserve">Obligations rated B are considered speculative and are subject to high credit risk. </t>
  </si>
  <si>
    <t xml:space="preserve">Obligations rated Ba are judged to have speculative elements and are subject to substantial credit risk. </t>
  </si>
  <si>
    <t xml:space="preserve">Obligations rated Baa are subject to moderate credit risk. They are considered medium-grade and as such may possess speculative characteristics. </t>
  </si>
  <si>
    <t>D1 = Expected Dividends</t>
  </si>
  <si>
    <r>
      <t>K</t>
    </r>
    <r>
      <rPr>
        <b/>
        <sz val="10"/>
        <color theme="1"/>
        <rFont val="Microsoft GothicNeo"/>
        <family val="2"/>
        <charset val="129"/>
      </rPr>
      <t>E</t>
    </r>
    <r>
      <rPr>
        <b/>
        <sz val="16"/>
        <color theme="1"/>
        <rFont val="Microsoft GothicNeo"/>
        <family val="2"/>
        <charset val="129"/>
      </rPr>
      <t xml:space="preserve"> = (D</t>
    </r>
    <r>
      <rPr>
        <b/>
        <sz val="10"/>
        <color theme="1"/>
        <rFont val="Microsoft GothicNeo"/>
        <family val="2"/>
        <charset val="129"/>
      </rPr>
      <t>1</t>
    </r>
    <r>
      <rPr>
        <b/>
        <sz val="16"/>
        <color theme="1"/>
        <rFont val="Microsoft GothicNeo"/>
        <family val="2"/>
        <charset val="129"/>
      </rPr>
      <t xml:space="preserve"> / P</t>
    </r>
    <r>
      <rPr>
        <b/>
        <sz val="10"/>
        <color theme="1"/>
        <rFont val="Microsoft GothicNeo"/>
        <family val="2"/>
        <charset val="129"/>
      </rPr>
      <t>o</t>
    </r>
    <r>
      <rPr>
        <b/>
        <sz val="16"/>
        <color theme="1"/>
        <rFont val="Microsoft GothicNeo"/>
        <family val="2"/>
        <charset val="129"/>
      </rPr>
      <t>) + G</t>
    </r>
  </si>
  <si>
    <t>KE = Cost of Equity</t>
  </si>
  <si>
    <t>Po   = Current Price</t>
  </si>
  <si>
    <r>
      <t>Price (P</t>
    </r>
    <r>
      <rPr>
        <b/>
        <sz val="9"/>
        <color theme="1"/>
        <rFont val="Microsoft GothicNeo"/>
        <family val="2"/>
        <charset val="129"/>
      </rPr>
      <t>0</t>
    </r>
    <r>
      <rPr>
        <b/>
        <sz val="11"/>
        <color theme="1"/>
        <rFont val="Microsoft GothicNeo"/>
        <family val="2"/>
        <charset val="129"/>
      </rPr>
      <t>)</t>
    </r>
  </si>
  <si>
    <t xml:space="preserve">Dividend Growth Rate </t>
  </si>
  <si>
    <t xml:space="preserve">Earnings Per Share Growth Rate </t>
  </si>
  <si>
    <r>
      <t>Long Term Debt</t>
    </r>
    <r>
      <rPr>
        <b/>
        <sz val="10"/>
        <color theme="1"/>
        <rFont val="Microsoft GothicNeo"/>
        <family val="2"/>
        <charset val="129"/>
      </rPr>
      <t xml:space="preserve"> </t>
    </r>
  </si>
  <si>
    <t>CAPITAL ASSET PRICING MODEL (CAPM)</t>
  </si>
  <si>
    <t>Selected &gt;</t>
  </si>
  <si>
    <t>Inflation and Gross Domestic Product (GDP) Data</t>
  </si>
  <si>
    <t>SELECTED &gt;</t>
  </si>
  <si>
    <t>Equity Risk Premium (ERP)</t>
  </si>
  <si>
    <t>Indicated Equity Rate</t>
  </si>
  <si>
    <t>Industry Risk Premium</t>
  </si>
  <si>
    <t>Weighted Industry Risk Premium (75%)</t>
  </si>
  <si>
    <t>Weighted Equity Risk Premium (25%)</t>
  </si>
  <si>
    <t xml:space="preserve">The CFO Survey  (4) </t>
  </si>
  <si>
    <t>Fernandez, Banuls &amp; Acin  (5)</t>
  </si>
  <si>
    <t>BVR - Historical, Arithmetic Mean  (6)</t>
  </si>
  <si>
    <t>BVR - Historical, Geometric Mean  (7)</t>
  </si>
  <si>
    <t>Empirical CAPM Models</t>
  </si>
  <si>
    <t>CAPM Models</t>
  </si>
  <si>
    <t>KE = Rf + (B  X  ERP X  75%) = (ERP  X  25%)</t>
  </si>
  <si>
    <t>KE = Rf + (B  X  ERP)</t>
  </si>
  <si>
    <t>Industry Beta (B)</t>
  </si>
  <si>
    <t>Value Line Earnings</t>
  </si>
  <si>
    <t>Value Line Dividends</t>
  </si>
  <si>
    <t>Yahoo Finance</t>
  </si>
  <si>
    <t>Return on</t>
  </si>
  <si>
    <t>Gross Revenue</t>
  </si>
  <si>
    <t>Multiplier</t>
  </si>
  <si>
    <t>NOPAT CASH FLOW MULTIPLE &amp; EQUITY RATE</t>
  </si>
  <si>
    <r>
      <t xml:space="preserve">NOPAT CASH FLOW MULTIPLE &amp; EQUITY RATE </t>
    </r>
    <r>
      <rPr>
        <b/>
        <sz val="12"/>
        <color theme="1"/>
        <rFont val="Microsoft GothicNeo"/>
        <family val="2"/>
        <charset val="129"/>
      </rPr>
      <t>(1 Yr Projected VL)</t>
    </r>
  </si>
  <si>
    <t>Two-Stage DGM Rate &gt;</t>
  </si>
  <si>
    <t>DGM - Single Stage - Earnings Growth</t>
  </si>
  <si>
    <t>DGM - Single Stage - Dividend Growth</t>
  </si>
  <si>
    <t>DGM - Two Stage - Dividend Growth</t>
  </si>
  <si>
    <t>VL LT Projected NOI</t>
  </si>
  <si>
    <t>Indicated Rate of Debt &gt;</t>
  </si>
  <si>
    <t>Year End</t>
  </si>
  <si>
    <t>&amp; Finance Leases</t>
  </si>
  <si>
    <t>10K Income Statement</t>
  </si>
  <si>
    <t>10K Balance Sheet</t>
  </si>
  <si>
    <t>Indicated Rate of Equity Selected &gt;</t>
  </si>
  <si>
    <t>NOTE:</t>
  </si>
  <si>
    <t>SHORT-TERM GROWTH RATES (5 years)</t>
  </si>
  <si>
    <t>GROWTH &amp; INFLATION RATES</t>
  </si>
  <si>
    <t>Real LT Growth</t>
  </si>
  <si>
    <t>Federal Reserve Statistical Release  10 Yr Inflation protected Treasury securities (1)</t>
  </si>
  <si>
    <t xml:space="preserve">Federal Reserve Statistical Release  20 Yr Inflation protected Treasury securities (1) </t>
  </si>
  <si>
    <t xml:space="preserve">Federal Reserve Statistical Release  30 Yr Inflation protected Treasury securities (1) </t>
  </si>
  <si>
    <t>Federal Reserve Bank of Philadelphia / Livingston Survey Mean  (2)</t>
  </si>
  <si>
    <t>“Since no firm can grow forever at a rate higher than the growth rate of the economy in which it operates, the constant growth rate cannot be greater</t>
  </si>
  <si>
    <t>http://pages.stern.nyu.edu/~adamodar/New_Home_Page/valquestions/stablegrowthrate.htm</t>
  </si>
  <si>
    <t>*Cornell, B. &amp; Gerger, R. (2017) Estimating Terminal Values with Inflation : The Inputs Matter - It is Not a Formulaic Exercise.  Business Valuation Review, Vol.36, Number 4, 117-123.</t>
  </si>
  <si>
    <t>C1  C2  C3</t>
  </si>
  <si>
    <t>1 Yr Projected</t>
  </si>
  <si>
    <t>3-5 Yr Projected</t>
  </si>
  <si>
    <t>Short Term</t>
  </si>
  <si>
    <t>(1)</t>
  </si>
  <si>
    <t>(1)    4 Year compound annual growth rate (CAGR)  - 3 periods</t>
  </si>
  <si>
    <t>Earnings Data</t>
  </si>
  <si>
    <r>
      <t xml:space="preserve">KY DOR                    Earnings Growth Rate                 </t>
    </r>
    <r>
      <rPr>
        <b/>
        <sz val="9"/>
        <color theme="1"/>
        <rFont val="Microsoft GothicNeo"/>
        <family val="2"/>
        <charset val="129"/>
      </rPr>
      <t xml:space="preserve"> (Median / Average)</t>
    </r>
  </si>
  <si>
    <r>
      <t xml:space="preserve">KY DOR                Dividends Growth Rate </t>
    </r>
    <r>
      <rPr>
        <b/>
        <sz val="9"/>
        <color theme="1"/>
        <rFont val="Microsoft GothicNeo"/>
        <family val="2"/>
        <charset val="129"/>
      </rPr>
      <t xml:space="preserve"> (Median / Average)</t>
    </r>
  </si>
  <si>
    <t>YIELD EQUITY RATE</t>
  </si>
  <si>
    <t>g = b X ROE</t>
  </si>
  <si>
    <t>g = LT growth rate</t>
  </si>
  <si>
    <t>b = reinvestment rate</t>
  </si>
  <si>
    <t>ROE = Return on equity (or return on investment)</t>
  </si>
  <si>
    <t>b = g  / ROE</t>
  </si>
  <si>
    <t>The plowback ratio is multiplied by Net Cash Flow to estimate the amount of additional capital expenditures needed to achieve projected results.</t>
  </si>
  <si>
    <t>Reinvestment Rate =</t>
  </si>
  <si>
    <t>EBIT (1-Tax Rate)</t>
  </si>
  <si>
    <t>Capital Expenditures - Depreciation + Change in Working Capital</t>
  </si>
  <si>
    <t>Aswath Damodaran's model to determine the Reinvesment Rate &gt;</t>
  </si>
  <si>
    <t>It is assumed that the ROE is a fixed (unchanging) rate.</t>
  </si>
  <si>
    <t>Maintenance Capital Expenditures and Change in Working Capital</t>
  </si>
  <si>
    <t>Operating Leases ****</t>
  </si>
  <si>
    <t>Market Value</t>
  </si>
  <si>
    <t>10K</t>
  </si>
  <si>
    <t>Market to</t>
  </si>
  <si>
    <t>Long Term Debt</t>
  </si>
  <si>
    <t xml:space="preserve">Capital </t>
  </si>
  <si>
    <t>Market</t>
  </si>
  <si>
    <t>to Book</t>
  </si>
  <si>
    <t>Composite</t>
  </si>
  <si>
    <t>Total</t>
  </si>
  <si>
    <t>AVERAGE</t>
  </si>
  <si>
    <t>Market to Book Ratios - Obsolescence Measurement</t>
  </si>
  <si>
    <t>Common Total Equity</t>
  </si>
  <si>
    <t>FMV / PV</t>
  </si>
  <si>
    <t>GCF CASH FLOW MULTIPLE &amp; EQUITY RATE</t>
  </si>
  <si>
    <r>
      <t xml:space="preserve">GCF CASH FLOW MULTIPLE &amp; EQUITY RATE </t>
    </r>
    <r>
      <rPr>
        <b/>
        <sz val="12"/>
        <color theme="1"/>
        <rFont val="Microsoft GothicNeo"/>
        <family val="2"/>
        <charset val="129"/>
      </rPr>
      <t>(1 Yr Projected VL)</t>
    </r>
  </si>
  <si>
    <t>CFRA                                    S&amp;P Net Advantage</t>
  </si>
  <si>
    <t>Zacks Investment Research</t>
  </si>
  <si>
    <t>*** Market value of operating leases for all companies including the airlines and railroads</t>
  </si>
  <si>
    <t>Companies excluded from the study &gt;</t>
  </si>
  <si>
    <t>Companies added to the study &gt;</t>
  </si>
  <si>
    <t>American States Water Company</t>
  </si>
  <si>
    <t>AWR</t>
  </si>
  <si>
    <t>American Water Works Company Inc</t>
  </si>
  <si>
    <t>AWK</t>
  </si>
  <si>
    <t xml:space="preserve">California Water Service Group </t>
  </si>
  <si>
    <t>CWT</t>
  </si>
  <si>
    <t>Essential Utilities, Inc.</t>
  </si>
  <si>
    <t>WTRG</t>
  </si>
  <si>
    <t>Middlesex Water Company</t>
  </si>
  <si>
    <t>MSEX</t>
  </si>
  <si>
    <t>SJW Corporation</t>
  </si>
  <si>
    <t>SJW</t>
  </si>
  <si>
    <t>Water Utility</t>
  </si>
  <si>
    <r>
      <t>K</t>
    </r>
    <r>
      <rPr>
        <b/>
        <sz val="10"/>
        <color theme="1"/>
        <rFont val="Microsoft GothicNeo"/>
        <family val="2"/>
        <charset val="129"/>
      </rPr>
      <t>E</t>
    </r>
    <r>
      <rPr>
        <b/>
        <sz val="16"/>
        <color theme="1"/>
        <rFont val="Microsoft GothicNeo"/>
        <family val="2"/>
        <charset val="129"/>
      </rPr>
      <t xml:space="preserve"> = (DY  X  (1+ .5(G)))  + .67(G1)  +  .33(g)</t>
    </r>
  </si>
  <si>
    <t>G   = Average growth rate</t>
  </si>
  <si>
    <t>G1 = Short term growth estimate</t>
  </si>
  <si>
    <t>DY = Dividend Yield     See ValueLine</t>
  </si>
  <si>
    <t>g   = Stable Growth - Nominal growth rate</t>
  </si>
  <si>
    <t>AA+</t>
  </si>
  <si>
    <t>AAA</t>
  </si>
  <si>
    <t>AA</t>
  </si>
  <si>
    <t>Obligations rated Aa are judged to be of high quality, with minimal risk.</t>
  </si>
  <si>
    <t>AA-</t>
  </si>
  <si>
    <t>BBB+</t>
  </si>
  <si>
    <t>BBB</t>
  </si>
  <si>
    <t>BBB-</t>
  </si>
  <si>
    <t>BB+</t>
  </si>
  <si>
    <t>BB</t>
  </si>
  <si>
    <t>BB-</t>
  </si>
  <si>
    <t>B-</t>
  </si>
  <si>
    <t>CCC+</t>
  </si>
  <si>
    <t>CCC</t>
  </si>
  <si>
    <t>CCC-</t>
  </si>
  <si>
    <t>CC</t>
  </si>
  <si>
    <t>Scale</t>
  </si>
  <si>
    <t>Retained to</t>
  </si>
  <si>
    <t>Shareholders Equity</t>
  </si>
  <si>
    <t>Retained to Common Equity -- Net profit less all common and preferred dividends divided by common equity including intangible assets, expressed as a percentage.  Also known as the plowback ratio.</t>
  </si>
  <si>
    <t>Return on Shareholders Equity -- Annual net profit divided by year-end shareholders equity, expressed as a percentage.</t>
  </si>
  <si>
    <t>Ca1</t>
  </si>
  <si>
    <t>Ca2</t>
  </si>
  <si>
    <t>Ca3</t>
  </si>
  <si>
    <t>CC+</t>
  </si>
  <si>
    <t>CC-</t>
  </si>
  <si>
    <t>AAA-</t>
  </si>
  <si>
    <t>AAA+</t>
  </si>
  <si>
    <t>Aaa1</t>
  </si>
  <si>
    <t>Aaa2</t>
  </si>
  <si>
    <t>Aaa3</t>
  </si>
  <si>
    <t>York Water Company was removed from the guidline companies because Valueline did not create a summary sheet for the company.</t>
  </si>
  <si>
    <t>Share</t>
  </si>
  <si>
    <t>Gross Revenues</t>
  </si>
  <si>
    <t>NOPAT Earnings</t>
  </si>
  <si>
    <t>The purpose of this ratio is to test whether the market price is worth more (or less) than the cost of the assets.</t>
  </si>
  <si>
    <t>If the result is greater than one(1), it indicates the market value exceeds book value and can often be used as a sign of competent management.</t>
  </si>
  <si>
    <t>The higher the return on revenue the higher the price to revenue will be.</t>
  </si>
  <si>
    <t>Cash flow is typically defined to be net income plus depreciation and amortization.</t>
  </si>
  <si>
    <t xml:space="preserve">This measure is considered relevant for companies with high non-cash charges reflected in the income statement.  Non-cash charges include depreciation &amp; amortization, goodwill impairments, asset write downs, </t>
  </si>
  <si>
    <t>stock based compensation, and deferred income taxes and investment tax credits.</t>
  </si>
  <si>
    <t>P/E Ratio - Long Term Projection NOPAT</t>
  </si>
  <si>
    <t>CS+LTD +PS + OL</t>
  </si>
  <si>
    <t>&amp; Op Leases</t>
  </si>
  <si>
    <t xml:space="preserve">For rate based companies, the maximum allowed  'rate of return' established by state regulators is not comparable (a mismatch) to the 'cost of equity' calculated above.   </t>
  </si>
  <si>
    <t>Earnings Growth = DY + EG</t>
  </si>
  <si>
    <t>Dividend Growth = DY + DG</t>
  </si>
  <si>
    <t>EG = Earnings Growth</t>
  </si>
  <si>
    <t>DG = Dividend Growth</t>
  </si>
  <si>
    <t>DY = Dividend Yield</t>
  </si>
  <si>
    <t>G = Projected Growth (Earnings Per Share 5 Yr Growth Rate)</t>
  </si>
  <si>
    <t>G = Projected Growth (Div. 5 Yr Growth Rate)</t>
  </si>
  <si>
    <t>GROSS REVENUE &amp; GROSS BOOK (EQUITY) MULTIPLES</t>
  </si>
  <si>
    <t>Per Share **</t>
  </si>
  <si>
    <t>Multiple *</t>
  </si>
  <si>
    <t>** The book value, or common equity, per share is total owners' equity minus preferred stock divided by the number of common shares outstanding.</t>
  </si>
  <si>
    <t>*This multiple is applicable to service type companies, or those with few assets.  These companies sell at prices related to their revenues.</t>
  </si>
  <si>
    <t>Gross Book Equity  Value</t>
  </si>
  <si>
    <t>Common Total Equity excludes 'noncontrolling interests' equity value.</t>
  </si>
  <si>
    <t xml:space="preserve">http://www.federalreserve.gov/Releases/H15/Current/ </t>
  </si>
  <si>
    <t>Projected 1 Yr</t>
  </si>
  <si>
    <t>Earnings Per Share Growth Rate</t>
  </si>
  <si>
    <t xml:space="preserve">Risk Free Rate (Rf) </t>
  </si>
  <si>
    <t>Yield Equity Rate - DGM (Dividend Growth) &amp; DGM (Earnings Growth)  -- Gordon Growth</t>
  </si>
  <si>
    <t>Three Stage Ex Ante  Version 1  (1) (2)</t>
  </si>
  <si>
    <t>Three Stage Ex Ante  Version 2   (1) (2)</t>
  </si>
  <si>
    <t>Mean</t>
  </si>
  <si>
    <t>Water Utility Companies (Private)</t>
  </si>
  <si>
    <t xml:space="preserve">S&amp;P Rating </t>
  </si>
  <si>
    <t>http://pages.stern.nyu.edu/~adamodar/New_Home_Page/datacurrent.html</t>
  </si>
  <si>
    <t>https://www.richmondfed.org/research/national_economy/cfo_survey</t>
  </si>
  <si>
    <t>https://www.bvresources.com/products/faqs/cost-of-capital-professional</t>
  </si>
  <si>
    <t>KROLL Ex Post  - ERP Historical (8)</t>
  </si>
  <si>
    <t>KROLL Ex Ante - ERP Conditional (8)</t>
  </si>
  <si>
    <t>KROLL Ex Post - ERP Supply Side (8)</t>
  </si>
  <si>
    <t>Damodaran Implied ERP Ex Ante   Trailing 12 mo Cash Yield (3)</t>
  </si>
  <si>
    <t>Damodaran Implied ERP Ex Ante   Norm. Earnings &amp; Payout (3)</t>
  </si>
  <si>
    <t>CAPM - Ex Ante  Damodaran NEP</t>
  </si>
  <si>
    <t>CAPM - Ex Ante  Damodaran 12 Mo Cash Yield</t>
  </si>
  <si>
    <t>Empirical CAPM - Ex Ante  Damodaran 12 Mo Cash Yield</t>
  </si>
  <si>
    <t>Empirical CAPM - Ex Ante  Damodaran NEP</t>
  </si>
  <si>
    <t>Damodaran Implied ERP Ex Ante   Net Cash Yield (3)</t>
  </si>
  <si>
    <t>CAPM - Ex Ante  Damodaran Net Cash Yield</t>
  </si>
  <si>
    <t>Empirical CAPM - Ex Ante  Damodaran Net Cash Yield</t>
  </si>
  <si>
    <t>CAPM - Ex Post KROLL ERP Historical</t>
  </si>
  <si>
    <t>CAPM - Ex Post  KROLL ERP Supply Side</t>
  </si>
  <si>
    <t>CAPM - Ex Ante  KROLL ERP Conditional</t>
  </si>
  <si>
    <t>Empirical CAPM - Ex Post KROLL ERP Historical</t>
  </si>
  <si>
    <t>Empirical CAPM - Ex Post  KROLL ERP Supply Side</t>
  </si>
  <si>
    <t>Empirical CAPM - Ex Ante  KROLL ERP Conditional</t>
  </si>
  <si>
    <t>P. Fernandez, T. Garcia de Santos &amp; J.F.Acin  (5)</t>
  </si>
  <si>
    <t>Damodaran Implied ERP Ex Ante   Avg CF Yield Last 10 Yrs (3)</t>
  </si>
  <si>
    <t>CAPM - Ex Ante  Damodaran Avg CF Yield Last 10 Yrs</t>
  </si>
  <si>
    <t>Empirical CAPM - Ex Ante  Damodaran Avg CF Yield Last 10 Yrs</t>
  </si>
  <si>
    <t>A market to book ratio over one would be an indication of no obsolescence</t>
  </si>
  <si>
    <t>CAPM - Ex Ante  Three Stage - V1</t>
  </si>
  <si>
    <t>CAPM - Ex Ante  Three Stage - V2</t>
  </si>
  <si>
    <t>Empirical CAPM - Ex Ante  Three Stage - V1</t>
  </si>
  <si>
    <t>Empirical CAPM - Ex Ante  Three Stage - V2</t>
  </si>
  <si>
    <t>Estimated 20-22 to 26-28</t>
  </si>
  <si>
    <t>B++</t>
  </si>
  <si>
    <r>
      <t xml:space="preserve">NOPAT CASH FLOW MULTIPLE &amp; EQUITY RATE </t>
    </r>
    <r>
      <rPr>
        <b/>
        <sz val="12"/>
        <color theme="1"/>
        <rFont val="Microsoft GothicNeo"/>
        <family val="2"/>
        <charset val="129"/>
      </rPr>
      <t>(LT 27-29 Yr Projected VL)</t>
    </r>
  </si>
  <si>
    <t>Corporate                          December Avg</t>
  </si>
  <si>
    <t>Utility                                                December Avg</t>
  </si>
  <si>
    <t>2025 Tax Year</t>
  </si>
  <si>
    <t>YEAR END 12/31/2024</t>
  </si>
  <si>
    <t>2025 CAPITALIZATION RATE STUDY</t>
  </si>
  <si>
    <t>Dec. 31, 2024</t>
  </si>
  <si>
    <t>Vl Projected 2025</t>
  </si>
  <si>
    <t>INFLATION (CPI) &amp; GROSS DOMESTIC PRODUCT (GDP)</t>
  </si>
  <si>
    <t>The Congressional Budget Office projects the U.S. Real GDP annual growth rates of 1.8% from 2028 to 2029 and 1.8% from 2030 to 2035</t>
  </si>
  <si>
    <t>SOURCES:</t>
  </si>
  <si>
    <t>The Congressional Budget Office projects the U.S. Real GDP average annual (Yr to Yr) growth rates of 2.20% from 2025 to 2029 and 1.90% from 2030 to 2035 and 2.00 GDP overall from 2025 to 2035</t>
  </si>
  <si>
    <t>Federal Reserve Bank of Philadelphia / Livingston Survey  Median (2a)</t>
  </si>
  <si>
    <t>Federal Reserve Bank of Philadelphia  /Survey of Professional Forecasters  Mean (2b)</t>
  </si>
  <si>
    <t>(2b)  Federal Reserve Bank of Philadelphia - Survey of Professional Forecasters</t>
  </si>
  <si>
    <t xml:space="preserve">Congressional Budget Office Real Economic Projections (3)  </t>
  </si>
  <si>
    <t xml:space="preserve">Congressional Budget Office Real Economic Projections (3a)  </t>
  </si>
  <si>
    <t>The Trading Economics (4)</t>
  </si>
  <si>
    <r>
      <t xml:space="preserve">Dec. 20, 2024, Table 3, pg. 8 </t>
    </r>
    <r>
      <rPr>
        <u/>
        <sz val="10"/>
        <color theme="1"/>
        <rFont val="Cordia New"/>
        <family val="2"/>
        <charset val="222"/>
      </rPr>
      <t>Mean</t>
    </r>
    <r>
      <rPr>
        <sz val="10"/>
        <color theme="1"/>
        <rFont val="Cordia New"/>
        <family val="2"/>
        <charset val="222"/>
      </rPr>
      <t xml:space="preserve"> Inflation Rate &amp; Real GDP for next 10 yrs. </t>
    </r>
  </si>
  <si>
    <r>
      <t xml:space="preserve">Dec. 20, 2024, Table 3, pg. 8 </t>
    </r>
    <r>
      <rPr>
        <u/>
        <sz val="10"/>
        <color theme="1"/>
        <rFont val="Cordia New"/>
        <family val="2"/>
        <charset val="222"/>
      </rPr>
      <t>Median</t>
    </r>
    <r>
      <rPr>
        <sz val="10"/>
        <color theme="1"/>
        <rFont val="Cordia New"/>
        <family val="2"/>
        <charset val="222"/>
      </rPr>
      <t xml:space="preserve"> Annual CPI Rate &amp; Real GDP Growth Rate over next 10 yrs.</t>
    </r>
  </si>
  <si>
    <t>First Qtr. 2025,  Feb. 14, 2025, Table 8 &amp; Table 9, Average (Mean) over next 10 yrs</t>
  </si>
  <si>
    <t>(1)  Federal Reserve Statistical Release</t>
  </si>
  <si>
    <t xml:space="preserve">than the overall growth rate of the economy.”  Dr. Aswath Damodaran (n.d.) The Stable Growth Rate </t>
  </si>
  <si>
    <t>(4) The Trading Economics</t>
  </si>
  <si>
    <t>https://tradingeconomics.com/united-states/full-year-gdp-growth</t>
  </si>
  <si>
    <t>The World Bank (5)</t>
  </si>
  <si>
    <t xml:space="preserve">(5) The World Bank </t>
  </si>
  <si>
    <t>January 2024-2025</t>
  </si>
  <si>
    <t>http://www.worldbank.org/en/publication/global-economic-prospects</t>
  </si>
  <si>
    <t>(6) Board of Governors of the Federal Reserve System - Federal Reserve Bank Members &amp; Presidents Opinion</t>
  </si>
  <si>
    <t>https://www.federalreserve.gov/monetarypolicy/files/fomcprojtabl20241218.pd</t>
  </si>
  <si>
    <t>Trading Economics, United States,  Full Year GDP Growth Rate Forecast for 2025</t>
  </si>
  <si>
    <t xml:space="preserve">https://www.cbo.gov/system/files/2025-01/60870-Outlook-2025.pdf </t>
  </si>
  <si>
    <t>https://www.cbo.gov/publication/60870</t>
  </si>
  <si>
    <t>The Budget and Economic Outlook: 2025 to 2035</t>
  </si>
  <si>
    <t xml:space="preserve">Congressional Budget Office Real Economic Projections (3b)  </t>
  </si>
  <si>
    <t>The Federal Reserve Bank projects their "long-term" estimate of Change in US real GDP at 1.8%</t>
  </si>
  <si>
    <t xml:space="preserve">Federal Reserve Bank "Long Term" Projection - Members &amp; Presidents opinion (6) </t>
  </si>
  <si>
    <t>(3) (3a) (3b)  The Congressional Budget Office</t>
  </si>
  <si>
    <t>Budget and Economic Data | Congressional Budget Office</t>
  </si>
  <si>
    <t>Real Economic Projections, Table C-1 Table C-2 pages 27 &amp; 28 Annual Avg. Economic Projections for Calendar years 2025to 2035</t>
  </si>
  <si>
    <t>World Bank Group Flagship Report, GlobalEconomic Prospects,  Page 4  Table 1.1 Real GDP</t>
  </si>
  <si>
    <t>Medium projection value from Dec. 18, 2024 report Table 1</t>
  </si>
  <si>
    <t>(2) (2a)  Federal Reserve Bank of Philadelphia - The Livingston Survey</t>
  </si>
  <si>
    <t>The Congressional Budget Office projects the U.S. Inflation CPI 4th Qtr. To 4th Qtr. 2.2% in 2025  2.1% in 2026, 2.0% in 2027 and 2028 to 2029.  2.0% 2030 to 2035</t>
  </si>
  <si>
    <t>The Congressional Budget Office projects the U.S. Real GDP annual growth rate of 1.9% in 2025 and 1.8% in 2026       Core CPI = 2.30%</t>
  </si>
  <si>
    <t>na</t>
  </si>
  <si>
    <t>January 2, 2025  Compare inflation indexed securities to non-inflation indexed securities.  The difference is the inflation rate.  See Minnesota study page 26 or Wsahington study page 6.</t>
  </si>
  <si>
    <t>RISK FREE RATE (Rf)</t>
  </si>
  <si>
    <t>Federal Reserve Statistical Release (January 2, 2025)  Treasury Constant Maturities, Nominal (1) :</t>
  </si>
  <si>
    <t xml:space="preserve">10-year U.S. Treasury coupon bonds </t>
  </si>
  <si>
    <t xml:space="preserve">20-year U.S. Treasury coupon bonds (5 yr. monthly avg) </t>
  </si>
  <si>
    <r>
      <rPr>
        <b/>
        <sz val="7"/>
        <color theme="1"/>
        <rFont val="Microsoft GothicNeo Light"/>
        <family val="2"/>
        <charset val="129"/>
      </rPr>
      <t xml:space="preserve"> </t>
    </r>
    <r>
      <rPr>
        <b/>
        <sz val="10"/>
        <color theme="1"/>
        <rFont val="Microsoft GothicNeo Light"/>
        <family val="2"/>
        <charset val="129"/>
      </rPr>
      <t>20-year U.S. Treasury coupon bonds</t>
    </r>
  </si>
  <si>
    <t>30-year U.S. Treasury coupon bonds</t>
  </si>
  <si>
    <t>KDOR Selected Risk Free Rate (Rf) &gt;</t>
  </si>
  <si>
    <t>Value Line Investment Survey (January 10, 2025)  Selected Yields on Taxable U.S. Treasury Securities :</t>
  </si>
  <si>
    <t>20-year U.S. Treasury coupon bonds</t>
  </si>
  <si>
    <r>
      <rPr>
        <b/>
        <sz val="7"/>
        <color theme="1"/>
        <rFont val="Microsoft GothicNeo Light"/>
        <family val="2"/>
        <charset val="129"/>
      </rPr>
      <t xml:space="preserve"> </t>
    </r>
    <r>
      <rPr>
        <b/>
        <sz val="10"/>
        <color theme="1"/>
        <rFont val="Microsoft GothicNeo Light"/>
        <family val="2"/>
        <charset val="129"/>
      </rPr>
      <t>30-year U.S. Treasury coupon bonds</t>
    </r>
  </si>
  <si>
    <t>Damodaran selected Risk-Free rate (January 1, 2025) (7) :</t>
  </si>
  <si>
    <t>KROLL Cost of Capital Navigator Risk-Free rate Ex Post  (January 1, 2025) :</t>
  </si>
  <si>
    <t>(7) Aswath Damoodaran</t>
  </si>
  <si>
    <t>http://pages.stern.nyu.edu/~adamodar/</t>
  </si>
  <si>
    <t>https://pages.stern.nyu.edu/~adamodar/pc/blog/S&amp;P500ValueJan2025.xlsx</t>
  </si>
  <si>
    <t xml:space="preserve">(1) Three Stage Dividend Growth Model, S&amp;P 500.  The Three Stage Ex Ante calculations were performed by Montana.  The Equity risk premiums are shown above.  </t>
  </si>
  <si>
    <t xml:space="preserve">(2) Three Stage Dividend Growth Model, S&amp;P 500.  The Three Stage Ex Ante calculations were performed by Minnesota.  The Equity risk premiums are shown above.  </t>
  </si>
  <si>
    <t>Estimated 21-23 to 27-29</t>
  </si>
  <si>
    <t>Moody's Bond</t>
  </si>
  <si>
    <t>Moody's Rating</t>
  </si>
  <si>
    <t>S&amp;P Selected</t>
  </si>
  <si>
    <t>SJW CORP IS NOW H2O AMERICA TICKER HTO IN MAY 2025</t>
  </si>
  <si>
    <t>(3) Implied Equity Risk Premium on January 9, 2025 as determined by Dr. Aswath Damodaran</t>
  </si>
  <si>
    <t xml:space="preserve">(4) The CFO Survey (2024). Data &amp; Results December 4, 2024. Mean average annual S&amp;P return over next ten years (9.6%) less annual yield on 10‐year Treasury Bonds (4.21%). </t>
  </si>
  <si>
    <t>(5) Fernandez, P., Garcia D., &amp; Acin, J. F. (2024). Survey: Market Risk Premium and Risk‐Free Rate used for 96 countries in 2024. SSRN Electronic Journal.</t>
  </si>
  <si>
    <t>https://papers.ssrn.com/sol3/papers.cfm?abstract_id=4754347</t>
  </si>
  <si>
    <t xml:space="preserve">(6) &amp; (7) Business Valuation Resources, Cost of Capital Professional. (2025). Historical ERP 1928 to present, using arithmetic mean, geometric mean, and 20-Year Treasury Securities. </t>
  </si>
  <si>
    <t>(8) KROLL, Cost of Capital Navigator. (2025).  See Montana Cap Rate Study.</t>
  </si>
  <si>
    <t>DEBT RATE for Direct and Yield Approach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</si>
</sst>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_);_(* \(#,##0.0000\);_(* &quot;-&quot;??_);_(@_)"/>
    <numFmt numFmtId="167" formatCode="0.000"/>
    <numFmt numFmtId="168" formatCode="_(* #,##0.000_);_(* \(#,##0.000\);_(* &quot;-&quot;??_);_(@_)"/>
  </numFmts>
  <fonts count="8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Helvetica Narrow Bold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Georgia"/>
      <family val="1"/>
    </font>
    <font>
      <sz val="11"/>
      <color theme="1"/>
      <name val="Georgia"/>
      <family val="1"/>
    </font>
    <font>
      <b/>
      <i/>
      <sz val="22"/>
      <color theme="1"/>
      <name val="Georgia"/>
      <family val="1"/>
    </font>
    <font>
      <i/>
      <sz val="11"/>
      <color theme="1"/>
      <name val="Georgia"/>
      <family val="1"/>
    </font>
    <font>
      <b/>
      <sz val="11"/>
      <color theme="1"/>
      <name val="Palatino Roman"/>
      <family val="1"/>
    </font>
    <font>
      <sz val="11"/>
      <color theme="1"/>
      <name val="Palatino Roman"/>
      <family val="1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12"/>
      <name val="TIMES"/>
    </font>
    <font>
      <u/>
      <sz val="11"/>
      <color theme="10"/>
      <name val="Calibri"/>
      <family val="2"/>
      <scheme val="minor"/>
    </font>
    <font>
      <sz val="11"/>
      <color theme="1"/>
      <name val="Microsoft GothicNeo"/>
      <family val="2"/>
      <charset val="129"/>
    </font>
    <font>
      <sz val="11"/>
      <name val="Microsoft GothicNeo"/>
      <family val="2"/>
      <charset val="129"/>
    </font>
    <font>
      <b/>
      <sz val="11"/>
      <color theme="1"/>
      <name val="Microsoft GothicNeo"/>
      <family val="2"/>
      <charset val="129"/>
    </font>
    <font>
      <b/>
      <sz val="11"/>
      <name val="Microsoft GothicNeo"/>
      <family val="2"/>
      <charset val="129"/>
    </font>
    <font>
      <b/>
      <sz val="18"/>
      <color theme="1"/>
      <name val="Microsoft GothicNeo"/>
      <family val="2"/>
      <charset val="129"/>
    </font>
    <font>
      <b/>
      <sz val="16"/>
      <color theme="1"/>
      <name val="Microsoft GothicNeo"/>
      <family val="2"/>
      <charset val="129"/>
    </font>
    <font>
      <b/>
      <sz val="12"/>
      <color indexed="8"/>
      <name val="Microsoft GothicNeo"/>
      <family val="2"/>
      <charset val="129"/>
    </font>
    <font>
      <b/>
      <sz val="11"/>
      <color indexed="8"/>
      <name val="Microsoft GothicNeo"/>
      <family val="2"/>
      <charset val="129"/>
    </font>
    <font>
      <b/>
      <sz val="11"/>
      <color rgb="FFFF0000"/>
      <name val="Microsoft GothicNeo"/>
      <family val="2"/>
      <charset val="129"/>
    </font>
    <font>
      <b/>
      <sz val="14"/>
      <color theme="1"/>
      <name val="Microsoft GothicNeo"/>
      <family val="2"/>
      <charset val="129"/>
    </font>
    <font>
      <b/>
      <sz val="10"/>
      <color theme="1"/>
      <name val="Microsoft GothicNeo"/>
      <family val="2"/>
      <charset val="129"/>
    </font>
    <font>
      <sz val="9"/>
      <color theme="1"/>
      <name val="Microsoft GothicNeo"/>
      <family val="2"/>
      <charset val="129"/>
    </font>
    <font>
      <sz val="10"/>
      <color theme="1"/>
      <name val="Microsoft GothicNeo"/>
      <family val="2"/>
      <charset val="129"/>
    </font>
    <font>
      <i/>
      <sz val="9"/>
      <color theme="1"/>
      <name val="Microsoft GothicNeo"/>
      <family val="2"/>
      <charset val="129"/>
    </font>
    <font>
      <b/>
      <sz val="9"/>
      <color theme="1"/>
      <name val="Microsoft GothicNeo"/>
      <family val="2"/>
      <charset val="129"/>
    </font>
    <font>
      <b/>
      <sz val="12"/>
      <color theme="1"/>
      <name val="Microsoft GothicNeo"/>
      <family val="2"/>
      <charset val="129"/>
    </font>
    <font>
      <b/>
      <i/>
      <sz val="10"/>
      <color theme="1"/>
      <name val="Microsoft GothicNeo"/>
      <family val="2"/>
      <charset val="129"/>
    </font>
    <font>
      <sz val="16"/>
      <color theme="1"/>
      <name val="Microsoft GothicNeo"/>
      <family val="2"/>
      <charset val="129"/>
    </font>
    <font>
      <sz val="12"/>
      <color theme="1"/>
      <name val="Microsoft GothicNeo"/>
      <family val="2"/>
      <charset val="129"/>
    </font>
    <font>
      <b/>
      <sz val="12"/>
      <name val="Microsoft GothicNeo"/>
      <family val="2"/>
      <charset val="129"/>
    </font>
    <font>
      <b/>
      <i/>
      <u/>
      <sz val="11"/>
      <color theme="1"/>
      <name val="Microsoft GothicNeo"/>
      <family val="2"/>
      <charset val="129"/>
    </font>
    <font>
      <b/>
      <i/>
      <sz val="11"/>
      <color theme="1"/>
      <name val="Microsoft GothicNeo"/>
      <family val="2"/>
      <charset val="129"/>
    </font>
    <font>
      <i/>
      <sz val="10"/>
      <color theme="1"/>
      <name val="Microsoft GothicNeo"/>
      <family val="2"/>
      <charset val="129"/>
    </font>
    <font>
      <b/>
      <sz val="11"/>
      <color theme="9" tint="-0.249977111117893"/>
      <name val="Microsoft GothicNeo"/>
      <family val="2"/>
      <charset val="129"/>
    </font>
    <font>
      <b/>
      <sz val="16"/>
      <name val="Microsoft GothicNeo"/>
      <family val="2"/>
      <charset val="129"/>
    </font>
    <font>
      <b/>
      <sz val="16"/>
      <color rgb="FFFF0000"/>
      <name val="Microsoft GothicNeo"/>
      <family val="2"/>
      <charset val="129"/>
    </font>
    <font>
      <sz val="12"/>
      <color rgb="FFFF0000"/>
      <name val="Microsoft GothicNeo"/>
      <family val="2"/>
      <charset val="129"/>
    </font>
    <font>
      <b/>
      <sz val="12"/>
      <color rgb="FF0000CC"/>
      <name val="Microsoft GothicNeo"/>
      <family val="2"/>
      <charset val="129"/>
    </font>
    <font>
      <b/>
      <sz val="14"/>
      <name val="Microsoft GothicNeo"/>
      <family val="2"/>
      <charset val="129"/>
    </font>
    <font>
      <u/>
      <sz val="11"/>
      <color theme="10"/>
      <name val="Microsoft GothicNeo"/>
      <family val="2"/>
      <charset val="129"/>
    </font>
    <font>
      <b/>
      <sz val="12"/>
      <color rgb="FFFF0000"/>
      <name val="Microsoft GothicNeo"/>
      <family val="2"/>
      <charset val="129"/>
    </font>
    <font>
      <b/>
      <sz val="14"/>
      <color rgb="FFFF0000"/>
      <name val="Microsoft GothicNeo"/>
      <family val="2"/>
      <charset val="129"/>
    </font>
    <font>
      <b/>
      <sz val="11"/>
      <color theme="1"/>
      <name val="Calibri"/>
      <family val="2"/>
      <scheme val="minor"/>
    </font>
    <font>
      <sz val="14"/>
      <color theme="1"/>
      <name val="Microsoft GothicNeo"/>
      <family val="2"/>
      <charset val="129"/>
    </font>
    <font>
      <sz val="11"/>
      <color rgb="FFFF0000"/>
      <name val="Microsoft GothicNeo"/>
      <family val="2"/>
      <charset val="129"/>
    </font>
    <font>
      <sz val="20"/>
      <color theme="1"/>
      <name val="Microsoft GothicNeo"/>
      <family val="2"/>
      <charset val="129"/>
    </font>
    <font>
      <b/>
      <sz val="20"/>
      <color theme="1"/>
      <name val="Microsoft GothicNeo"/>
      <family val="2"/>
      <charset val="129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i/>
      <sz val="18"/>
      <name val="Microsoft GothicNeo"/>
      <family val="2"/>
      <charset val="129"/>
    </font>
    <font>
      <b/>
      <i/>
      <sz val="18"/>
      <color rgb="FF0000CC"/>
      <name val="Microsoft GothicNeo"/>
      <family val="2"/>
      <charset val="129"/>
    </font>
    <font>
      <sz val="12"/>
      <color rgb="FF000000"/>
      <name val="Microsoft GothicNeo"/>
      <family val="2"/>
      <charset val="129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9"/>
      <name val="Microsoft GothicNeo"/>
      <family val="2"/>
      <charset val="129"/>
    </font>
    <font>
      <b/>
      <sz val="12"/>
      <color rgb="FF000000"/>
      <name val="Microsoft GothicNeo"/>
      <family val="2"/>
      <charset val="129"/>
    </font>
    <font>
      <i/>
      <sz val="11"/>
      <color theme="1"/>
      <name val="Microsoft GothicNeo"/>
      <family val="2"/>
      <charset val="129"/>
    </font>
    <font>
      <b/>
      <i/>
      <sz val="12"/>
      <name val="Microsoft GothicNeo"/>
      <family val="2"/>
      <charset val="129"/>
    </font>
    <font>
      <sz val="11"/>
      <color rgb="FF0000CC"/>
      <name val="Microsoft GothicNeo"/>
      <family val="2"/>
      <charset val="129"/>
    </font>
    <font>
      <u/>
      <sz val="12"/>
      <color theme="10"/>
      <name val="Calibri"/>
      <family val="2"/>
      <scheme val="minor"/>
    </font>
    <font>
      <sz val="12"/>
      <color rgb="FF767676"/>
      <name val="Arial"/>
      <family val="2"/>
    </font>
    <font>
      <sz val="16"/>
      <name val="Arial"/>
      <family val="2"/>
    </font>
    <font>
      <sz val="11"/>
      <color theme="1"/>
      <name val="Cordia New"/>
      <family val="2"/>
      <charset val="222"/>
    </font>
    <font>
      <b/>
      <sz val="11"/>
      <color theme="1"/>
      <name val="Cordia New"/>
      <family val="2"/>
      <charset val="222"/>
    </font>
    <font>
      <u/>
      <sz val="11"/>
      <color theme="10"/>
      <name val="Cordia New"/>
      <family val="2"/>
      <charset val="222"/>
    </font>
    <font>
      <sz val="10"/>
      <color theme="1"/>
      <name val="Cordia New"/>
      <family val="2"/>
      <charset val="222"/>
    </font>
    <font>
      <u/>
      <sz val="10"/>
      <color theme="1"/>
      <name val="Cordia New"/>
      <family val="2"/>
      <charset val="222"/>
    </font>
    <font>
      <u/>
      <sz val="11"/>
      <color rgb="FF0000CC"/>
      <name val="Cordia New"/>
      <family val="2"/>
      <charset val="222"/>
    </font>
    <font>
      <sz val="11"/>
      <name val="Cordia New"/>
      <family val="2"/>
      <charset val="222"/>
    </font>
    <font>
      <sz val="10"/>
      <name val="Cordia New"/>
      <family val="2"/>
      <charset val="222"/>
    </font>
    <font>
      <sz val="9"/>
      <color rgb="FFC00000"/>
      <name val="Aptos"/>
      <family val="2"/>
    </font>
    <font>
      <b/>
      <i/>
      <sz val="14"/>
      <name val="Microsoft GothicNeo"/>
      <family val="2"/>
      <charset val="129"/>
    </font>
    <font>
      <sz val="12"/>
      <color theme="1"/>
      <name val="Cordia New"/>
      <family val="2"/>
      <charset val="222"/>
    </font>
    <font>
      <u/>
      <sz val="12"/>
      <color rgb="FF0000CC"/>
      <name val="Microsoft GothicNeo"/>
      <family val="2"/>
      <charset val="129"/>
    </font>
    <font>
      <b/>
      <sz val="14"/>
      <color theme="1"/>
      <name val="Microsoft GothicNeo Light"/>
      <family val="2"/>
      <charset val="129"/>
    </font>
    <font>
      <b/>
      <sz val="10"/>
      <color theme="1"/>
      <name val="Microsoft GothicNeo Light"/>
      <family val="2"/>
      <charset val="129"/>
    </font>
    <font>
      <b/>
      <sz val="7"/>
      <color theme="1"/>
      <name val="Microsoft GothicNeo Light"/>
      <family val="2"/>
      <charset val="129"/>
    </font>
    <font>
      <b/>
      <sz val="11"/>
      <color theme="1"/>
      <name val="Microsoft GothicNeo Light"/>
      <family val="2"/>
      <charset val="129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7" fillId="0" borderId="0"/>
    <xf numFmtId="0" fontId="18" fillId="0" borderId="0" applyNumberFormat="0" applyFill="0" applyBorder="0" applyAlignment="0" applyProtection="0"/>
  </cellStyleXfs>
  <cellXfs count="482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3" fontId="2" fillId="0" borderId="0" xfId="0" applyNumberFormat="1" applyFont="1"/>
    <xf numFmtId="167" fontId="15" fillId="2" borderId="0" xfId="0" applyNumberFormat="1" applyFont="1" applyFill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43" fontId="22" fillId="0" borderId="0" xfId="1" applyFont="1" applyAlignment="1">
      <alignment horizontal="right" vertical="center"/>
    </xf>
    <xf numFmtId="43" fontId="22" fillId="0" borderId="0" xfId="1" applyFont="1" applyFill="1" applyAlignment="1">
      <alignment horizontal="right" vertical="center"/>
    </xf>
    <xf numFmtId="43" fontId="21" fillId="0" borderId="0" xfId="1" applyFont="1" applyFill="1" applyAlignment="1">
      <alignment horizontal="right"/>
    </xf>
    <xf numFmtId="43" fontId="21" fillId="0" borderId="0" xfId="1" applyFont="1" applyFill="1" applyAlignment="1">
      <alignment horizontal="center"/>
    </xf>
    <xf numFmtId="43" fontId="21" fillId="0" borderId="0" xfId="1" applyFont="1" applyFill="1" applyAlignment="1">
      <alignment horizontal="center" vertical="center"/>
    </xf>
    <xf numFmtId="43" fontId="21" fillId="0" borderId="0" xfId="1" applyFont="1" applyFill="1" applyBorder="1" applyAlignment="1">
      <alignment horizontal="center" vertical="center"/>
    </xf>
    <xf numFmtId="43" fontId="21" fillId="0" borderId="0" xfId="1" applyFont="1" applyFill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16" xfId="0" applyFont="1" applyBorder="1"/>
    <xf numFmtId="0" fontId="19" fillId="0" borderId="2" xfId="0" applyFont="1" applyBorder="1"/>
    <xf numFmtId="0" fontId="27" fillId="0" borderId="2" xfId="0" applyFont="1" applyBorder="1"/>
    <xf numFmtId="0" fontId="28" fillId="0" borderId="0" xfId="0" applyFont="1"/>
    <xf numFmtId="0" fontId="24" fillId="0" borderId="0" xfId="0" applyFont="1" applyAlignment="1">
      <alignment horizontal="center"/>
    </xf>
    <xf numFmtId="0" fontId="29" fillId="0" borderId="2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1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3" fillId="0" borderId="2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21" fillId="0" borderId="0" xfId="0" applyFont="1"/>
    <xf numFmtId="166" fontId="22" fillId="0" borderId="0" xfId="1" applyNumberFormat="1" applyFont="1" applyFill="1" applyAlignment="1">
      <alignment horizontal="center"/>
    </xf>
    <xf numFmtId="166" fontId="22" fillId="0" borderId="0" xfId="1" applyNumberFormat="1" applyFont="1" applyFill="1"/>
    <xf numFmtId="0" fontId="21" fillId="0" borderId="4" xfId="0" applyFont="1" applyBorder="1"/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right"/>
    </xf>
    <xf numFmtId="10" fontId="21" fillId="0" borderId="0" xfId="2" applyNumberFormat="1" applyFont="1" applyFill="1" applyAlignment="1">
      <alignment horizontal="center" vertical="center"/>
    </xf>
    <xf numFmtId="10" fontId="21" fillId="0" borderId="0" xfId="2" applyNumberFormat="1" applyFont="1" applyFill="1" applyBorder="1" applyAlignment="1">
      <alignment horizontal="center" vertical="center"/>
    </xf>
    <xf numFmtId="10" fontId="22" fillId="0" borderId="0" xfId="2" applyNumberFormat="1" applyFont="1" applyAlignment="1">
      <alignment horizontal="right" vertical="center"/>
    </xf>
    <xf numFmtId="10" fontId="22" fillId="0" borderId="0" xfId="2" applyNumberFormat="1" applyFont="1" applyFill="1" applyAlignment="1">
      <alignment horizontal="right"/>
    </xf>
    <xf numFmtId="10" fontId="21" fillId="0" borderId="0" xfId="2" applyNumberFormat="1" applyFont="1" applyFill="1" applyAlignment="1">
      <alignment horizontal="right"/>
    </xf>
    <xf numFmtId="10" fontId="21" fillId="0" borderId="0" xfId="2" applyNumberFormat="1" applyFont="1" applyFill="1" applyAlignment="1">
      <alignment horizontal="center"/>
    </xf>
    <xf numFmtId="10" fontId="21" fillId="0" borderId="0" xfId="2" applyNumberFormat="1" applyFont="1" applyFill="1"/>
    <xf numFmtId="0" fontId="19" fillId="3" borderId="19" xfId="0" applyFont="1" applyFill="1" applyBorder="1" applyAlignment="1">
      <alignment horizontal="center"/>
    </xf>
    <xf numFmtId="0" fontId="19" fillId="3" borderId="21" xfId="0" applyFont="1" applyFill="1" applyBorder="1" applyAlignment="1">
      <alignment horizontal="center"/>
    </xf>
    <xf numFmtId="2" fontId="38" fillId="0" borderId="0" xfId="0" applyNumberFormat="1" applyFont="1" applyAlignment="1">
      <alignment horizontal="center"/>
    </xf>
    <xf numFmtId="164" fontId="38" fillId="0" borderId="0" xfId="1" applyNumberFormat="1" applyFont="1" applyAlignment="1"/>
    <xf numFmtId="2" fontId="22" fillId="0" borderId="0" xfId="0" applyNumberFormat="1" applyFont="1" applyAlignment="1">
      <alignment horizontal="center"/>
    </xf>
    <xf numFmtId="0" fontId="34" fillId="0" borderId="0" xfId="0" applyFont="1"/>
    <xf numFmtId="43" fontId="24" fillId="0" borderId="0" xfId="1" applyFont="1" applyFill="1"/>
    <xf numFmtId="2" fontId="38" fillId="0" borderId="4" xfId="0" applyNumberFormat="1" applyFont="1" applyBorder="1" applyAlignment="1">
      <alignment horizontal="center"/>
    </xf>
    <xf numFmtId="10" fontId="22" fillId="0" borderId="0" xfId="2" applyNumberFormat="1" applyFont="1" applyFill="1" applyAlignment="1">
      <alignment horizontal="center"/>
    </xf>
    <xf numFmtId="0" fontId="19" fillId="0" borderId="2" xfId="0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/>
    </xf>
    <xf numFmtId="0" fontId="19" fillId="0" borderId="4" xfId="0" applyFont="1" applyBorder="1"/>
    <xf numFmtId="2" fontId="22" fillId="0" borderId="0" xfId="0" applyNumberFormat="1" applyFont="1" applyAlignment="1">
      <alignment horizontal="right" vertical="center"/>
    </xf>
    <xf numFmtId="2" fontId="21" fillId="0" borderId="0" xfId="0" applyNumberFormat="1" applyFont="1"/>
    <xf numFmtId="2" fontId="21" fillId="0" borderId="0" xfId="0" applyNumberFormat="1" applyFont="1" applyAlignment="1">
      <alignment horizontal="right"/>
    </xf>
    <xf numFmtId="10" fontId="21" fillId="0" borderId="0" xfId="0" applyNumberFormat="1" applyFont="1"/>
    <xf numFmtId="0" fontId="39" fillId="0" borderId="0" xfId="0" applyFont="1" applyAlignment="1">
      <alignment horizontal="center"/>
    </xf>
    <xf numFmtId="0" fontId="40" fillId="0" borderId="0" xfId="0" applyFont="1"/>
    <xf numFmtId="0" fontId="41" fillId="0" borderId="17" xfId="0" applyFont="1" applyBorder="1" applyAlignment="1">
      <alignment horizontal="center"/>
    </xf>
    <xf numFmtId="0" fontId="36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10" fontId="21" fillId="0" borderId="0" xfId="2" applyNumberFormat="1" applyFont="1"/>
    <xf numFmtId="10" fontId="21" fillId="0" borderId="0" xfId="1" applyNumberFormat="1" applyFont="1" applyFill="1"/>
    <xf numFmtId="10" fontId="44" fillId="0" borderId="0" xfId="2" applyNumberFormat="1" applyFont="1" applyFill="1" applyAlignment="1">
      <alignment horizontal="center"/>
    </xf>
    <xf numFmtId="164" fontId="21" fillId="0" borderId="0" xfId="1" applyNumberFormat="1" applyFont="1"/>
    <xf numFmtId="0" fontId="19" fillId="0" borderId="0" xfId="0" applyFont="1" applyAlignment="1">
      <alignment horizontal="left"/>
    </xf>
    <xf numFmtId="0" fontId="21" fillId="0" borderId="2" xfId="0" applyFont="1" applyBorder="1"/>
    <xf numFmtId="0" fontId="34" fillId="0" borderId="7" xfId="0" applyFont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34" fillId="0" borderId="0" xfId="0" applyFont="1" applyAlignment="1">
      <alignment horizontal="center"/>
    </xf>
    <xf numFmtId="15" fontId="34" fillId="0" borderId="10" xfId="0" applyNumberFormat="1" applyFont="1" applyBorder="1" applyAlignment="1">
      <alignment horizontal="center"/>
    </xf>
    <xf numFmtId="15" fontId="34" fillId="0" borderId="0" xfId="0" quotePrefix="1" applyNumberFormat="1" applyFont="1" applyAlignment="1">
      <alignment horizontal="center"/>
    </xf>
    <xf numFmtId="0" fontId="38" fillId="0" borderId="10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34" fillId="0" borderId="10" xfId="0" applyFont="1" applyBorder="1"/>
    <xf numFmtId="0" fontId="34" fillId="0" borderId="7" xfId="0" applyFont="1" applyBorder="1"/>
    <xf numFmtId="0" fontId="38" fillId="0" borderId="0" xfId="0" applyFont="1" applyAlignment="1">
      <alignment horizontal="center"/>
    </xf>
    <xf numFmtId="2" fontId="38" fillId="0" borderId="10" xfId="0" applyNumberFormat="1" applyFont="1" applyBorder="1" applyAlignment="1">
      <alignment horizontal="center"/>
    </xf>
    <xf numFmtId="0" fontId="38" fillId="0" borderId="7" xfId="0" applyFont="1" applyBorder="1"/>
    <xf numFmtId="0" fontId="37" fillId="0" borderId="0" xfId="0" applyFont="1"/>
    <xf numFmtId="0" fontId="45" fillId="0" borderId="2" xfId="0" applyFont="1" applyBorder="1"/>
    <xf numFmtId="0" fontId="37" fillId="0" borderId="2" xfId="0" applyFont="1" applyBorder="1"/>
    <xf numFmtId="15" fontId="34" fillId="0" borderId="6" xfId="0" quotePrefix="1" applyNumberFormat="1" applyFont="1" applyBorder="1" applyAlignment="1">
      <alignment horizontal="center"/>
    </xf>
    <xf numFmtId="0" fontId="19" fillId="0" borderId="6" xfId="0" applyFont="1" applyBorder="1"/>
    <xf numFmtId="0" fontId="34" fillId="0" borderId="14" xfId="0" applyFont="1" applyBorder="1" applyAlignment="1">
      <alignment horizontal="center"/>
    </xf>
    <xf numFmtId="0" fontId="35" fillId="0" borderId="15" xfId="0" applyFont="1" applyBorder="1" applyAlignment="1">
      <alignment horizontal="center"/>
    </xf>
    <xf numFmtId="164" fontId="38" fillId="0" borderId="0" xfId="1" applyNumberFormat="1" applyFont="1" applyFill="1" applyBorder="1"/>
    <xf numFmtId="10" fontId="38" fillId="0" borderId="0" xfId="2" applyNumberFormat="1" applyFont="1" applyFill="1" applyBorder="1"/>
    <xf numFmtId="0" fontId="37" fillId="0" borderId="8" xfId="0" applyFont="1" applyBorder="1"/>
    <xf numFmtId="0" fontId="37" fillId="0" borderId="14" xfId="0" applyFont="1" applyBorder="1"/>
    <xf numFmtId="0" fontId="34" fillId="0" borderId="0" xfId="0" applyFont="1" applyAlignment="1">
      <alignment horizontal="right"/>
    </xf>
    <xf numFmtId="164" fontId="21" fillId="0" borderId="0" xfId="0" applyNumberFormat="1" applyFont="1"/>
    <xf numFmtId="10" fontId="34" fillId="0" borderId="0" xfId="0" applyNumberFormat="1" applyFont="1" applyAlignment="1">
      <alignment horizontal="right"/>
    </xf>
    <xf numFmtId="10" fontId="34" fillId="0" borderId="0" xfId="2" applyNumberFormat="1" applyFont="1" applyFill="1"/>
    <xf numFmtId="10" fontId="34" fillId="0" borderId="0" xfId="2" applyNumberFormat="1" applyFont="1"/>
    <xf numFmtId="2" fontId="19" fillId="0" borderId="0" xfId="0" applyNumberFormat="1" applyFont="1"/>
    <xf numFmtId="0" fontId="28" fillId="0" borderId="0" xfId="0" applyFont="1" applyAlignment="1">
      <alignment horizontal="right"/>
    </xf>
    <xf numFmtId="0" fontId="22" fillId="0" borderId="0" xfId="0" applyFont="1"/>
    <xf numFmtId="0" fontId="20" fillId="0" borderId="0" xfId="0" applyFont="1"/>
    <xf numFmtId="0" fontId="20" fillId="0" borderId="0" xfId="0" applyFont="1" applyAlignment="1">
      <alignment horizontal="left"/>
    </xf>
    <xf numFmtId="165" fontId="21" fillId="0" borderId="0" xfId="3" applyNumberFormat="1" applyFont="1" applyFill="1" applyAlignment="1">
      <alignment horizontal="center"/>
    </xf>
    <xf numFmtId="164" fontId="22" fillId="0" borderId="0" xfId="1" applyNumberFormat="1" applyFont="1" applyFill="1"/>
    <xf numFmtId="10" fontId="22" fillId="0" borderId="0" xfId="2" applyNumberFormat="1" applyFont="1" applyFill="1"/>
    <xf numFmtId="0" fontId="28" fillId="0" borderId="2" xfId="0" applyFont="1" applyBorder="1" applyAlignment="1">
      <alignment horizontal="center"/>
    </xf>
    <xf numFmtId="10" fontId="38" fillId="0" borderId="0" xfId="2" applyNumberFormat="1" applyFont="1" applyFill="1" applyAlignment="1">
      <alignment horizontal="center"/>
    </xf>
    <xf numFmtId="10" fontId="38" fillId="0" borderId="0" xfId="2" applyNumberFormat="1" applyFont="1" applyFill="1"/>
    <xf numFmtId="2" fontId="49" fillId="0" borderId="0" xfId="0" applyNumberFormat="1" applyFont="1" applyAlignment="1">
      <alignment horizontal="center"/>
    </xf>
    <xf numFmtId="2" fontId="34" fillId="0" borderId="2" xfId="0" applyNumberFormat="1" applyFont="1" applyBorder="1" applyAlignment="1">
      <alignment horizontal="center"/>
    </xf>
    <xf numFmtId="10" fontId="34" fillId="0" borderId="2" xfId="2" applyNumberFormat="1" applyFont="1" applyBorder="1"/>
    <xf numFmtId="10" fontId="34" fillId="0" borderId="0" xfId="0" applyNumberFormat="1" applyFont="1" applyAlignment="1">
      <alignment horizontal="center"/>
    </xf>
    <xf numFmtId="2" fontId="34" fillId="0" borderId="0" xfId="0" applyNumberFormat="1" applyFont="1" applyAlignment="1">
      <alignment horizontal="center"/>
    </xf>
    <xf numFmtId="0" fontId="38" fillId="0" borderId="0" xfId="0" applyFont="1"/>
    <xf numFmtId="0" fontId="34" fillId="0" borderId="0" xfId="0" applyFont="1" applyAlignment="1">
      <alignment horizontal="left"/>
    </xf>
    <xf numFmtId="10" fontId="22" fillId="0" borderId="4" xfId="2" applyNumberFormat="1" applyFont="1" applyFill="1" applyBorder="1" applyAlignment="1">
      <alignment horizontal="center"/>
    </xf>
    <xf numFmtId="10" fontId="19" fillId="0" borderId="0" xfId="0" applyNumberFormat="1" applyFont="1"/>
    <xf numFmtId="0" fontId="50" fillId="0" borderId="2" xfId="0" applyFont="1" applyBorder="1"/>
    <xf numFmtId="0" fontId="0" fillId="0" borderId="2" xfId="0" applyBorder="1"/>
    <xf numFmtId="0" fontId="28" fillId="0" borderId="2" xfId="0" applyFont="1" applyBorder="1"/>
    <xf numFmtId="0" fontId="19" fillId="0" borderId="5" xfId="0" applyFont="1" applyBorder="1"/>
    <xf numFmtId="0" fontId="19" fillId="0" borderId="12" xfId="0" applyFont="1" applyBorder="1"/>
    <xf numFmtId="0" fontId="21" fillId="0" borderId="8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10" fontId="28" fillId="0" borderId="2" xfId="2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50" fillId="0" borderId="32" xfId="0" applyFont="1" applyBorder="1"/>
    <xf numFmtId="0" fontId="34" fillId="0" borderId="1" xfId="0" applyFont="1" applyBorder="1"/>
    <xf numFmtId="10" fontId="38" fillId="0" borderId="0" xfId="2" applyNumberFormat="1" applyFont="1" applyAlignment="1">
      <alignment horizontal="right" vertical="center"/>
    </xf>
    <xf numFmtId="43" fontId="38" fillId="0" borderId="0" xfId="1" applyFont="1" applyFill="1" applyAlignment="1">
      <alignment horizontal="right" vertical="center"/>
    </xf>
    <xf numFmtId="10" fontId="34" fillId="0" borderId="0" xfId="2" applyNumberFormat="1" applyFont="1" applyFill="1" applyAlignment="1">
      <alignment horizontal="right"/>
    </xf>
    <xf numFmtId="43" fontId="34" fillId="0" borderId="0" xfId="1" applyFont="1" applyFill="1" applyAlignment="1">
      <alignment horizontal="right"/>
    </xf>
    <xf numFmtId="43" fontId="34" fillId="0" borderId="0" xfId="1" applyFont="1" applyFill="1"/>
    <xf numFmtId="0" fontId="34" fillId="0" borderId="0" xfId="0" applyFont="1" applyAlignment="1">
      <alignment horizontal="center" vertical="center"/>
    </xf>
    <xf numFmtId="44" fontId="38" fillId="0" borderId="0" xfId="3" applyFont="1" applyAlignment="1">
      <alignment horizontal="center"/>
    </xf>
    <xf numFmtId="0" fontId="21" fillId="0" borderId="0" xfId="0" applyFont="1" applyAlignment="1">
      <alignment horizontal="right" vertical="center"/>
    </xf>
    <xf numFmtId="0" fontId="0" fillId="0" borderId="33" xfId="0" applyBorder="1"/>
    <xf numFmtId="0" fontId="19" fillId="0" borderId="31" xfId="0" applyFont="1" applyBorder="1"/>
    <xf numFmtId="0" fontId="24" fillId="0" borderId="33" xfId="0" applyFont="1" applyBorder="1" applyAlignment="1">
      <alignment horizontal="right"/>
    </xf>
    <xf numFmtId="10" fontId="24" fillId="0" borderId="16" xfId="2" applyNumberFormat="1" applyFont="1" applyFill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23" fillId="0" borderId="31" xfId="0" applyFont="1" applyBorder="1"/>
    <xf numFmtId="0" fontId="23" fillId="0" borderId="33" xfId="0" applyFont="1" applyBorder="1" applyAlignment="1">
      <alignment horizontal="right"/>
    </xf>
    <xf numFmtId="0" fontId="23" fillId="0" borderId="33" xfId="0" applyFont="1" applyBorder="1"/>
    <xf numFmtId="0" fontId="19" fillId="0" borderId="33" xfId="0" applyFont="1" applyBorder="1"/>
    <xf numFmtId="0" fontId="34" fillId="0" borderId="7" xfId="0" applyFont="1" applyBorder="1" applyAlignment="1">
      <alignment horizontal="center" vertical="center"/>
    </xf>
    <xf numFmtId="10" fontId="34" fillId="0" borderId="0" xfId="2" applyNumberFormat="1" applyFont="1" applyBorder="1" applyAlignment="1">
      <alignment horizontal="center" vertical="center"/>
    </xf>
    <xf numFmtId="10" fontId="34" fillId="0" borderId="13" xfId="2" applyNumberFormat="1" applyFont="1" applyBorder="1" applyAlignment="1">
      <alignment horizontal="center" vertical="center"/>
    </xf>
    <xf numFmtId="0" fontId="37" fillId="0" borderId="7" xfId="0" applyFont="1" applyBorder="1"/>
    <xf numFmtId="0" fontId="37" fillId="0" borderId="13" xfId="0" applyFont="1" applyBorder="1"/>
    <xf numFmtId="0" fontId="24" fillId="0" borderId="16" xfId="0" applyFont="1" applyBorder="1" applyAlignment="1">
      <alignment horizontal="center" vertical="center"/>
    </xf>
    <xf numFmtId="0" fontId="53" fillId="0" borderId="0" xfId="0" applyFont="1"/>
    <xf numFmtId="0" fontId="24" fillId="0" borderId="16" xfId="0" applyFont="1" applyBorder="1" applyAlignment="1">
      <alignment horizontal="right"/>
    </xf>
    <xf numFmtId="2" fontId="34" fillId="0" borderId="16" xfId="0" applyNumberFormat="1" applyFont="1" applyBorder="1" applyAlignment="1">
      <alignment horizontal="center"/>
    </xf>
    <xf numFmtId="43" fontId="34" fillId="0" borderId="0" xfId="1" applyFont="1" applyBorder="1" applyAlignment="1">
      <alignment horizontal="center" vertical="center"/>
    </xf>
    <xf numFmtId="43" fontId="34" fillId="0" borderId="0" xfId="1" applyFont="1" applyBorder="1" applyAlignment="1">
      <alignment vertical="center"/>
    </xf>
    <xf numFmtId="10" fontId="34" fillId="0" borderId="0" xfId="2" applyNumberFormat="1" applyFont="1" applyBorder="1" applyAlignment="1">
      <alignment vertical="center"/>
    </xf>
    <xf numFmtId="10" fontId="0" fillId="0" borderId="0" xfId="2" applyNumberFormat="1" applyFont="1"/>
    <xf numFmtId="10" fontId="34" fillId="0" borderId="0" xfId="2" applyNumberFormat="1" applyFont="1" applyFill="1" applyBorder="1" applyAlignment="1">
      <alignment horizontal="center" vertical="center"/>
    </xf>
    <xf numFmtId="0" fontId="34" fillId="0" borderId="20" xfId="0" applyFont="1" applyBorder="1"/>
    <xf numFmtId="0" fontId="34" fillId="0" borderId="22" xfId="0" applyFont="1" applyBorder="1"/>
    <xf numFmtId="10" fontId="38" fillId="3" borderId="25" xfId="2" applyNumberFormat="1" applyFont="1" applyFill="1" applyBorder="1" applyAlignment="1">
      <alignment horizontal="center"/>
    </xf>
    <xf numFmtId="0" fontId="19" fillId="0" borderId="23" xfId="0" applyFont="1" applyBorder="1"/>
    <xf numFmtId="10" fontId="28" fillId="0" borderId="3" xfId="2" applyNumberFormat="1" applyFont="1" applyBorder="1" applyAlignment="1">
      <alignment horizontal="center" vertical="center"/>
    </xf>
    <xf numFmtId="164" fontId="21" fillId="0" borderId="0" xfId="1" applyNumberFormat="1" applyFont="1" applyFill="1" applyAlignment="1">
      <alignment horizontal="center"/>
    </xf>
    <xf numFmtId="164" fontId="21" fillId="0" borderId="0" xfId="1" applyNumberFormat="1" applyFont="1" applyFill="1" applyAlignment="1"/>
    <xf numFmtId="2" fontId="24" fillId="0" borderId="16" xfId="0" applyNumberFormat="1" applyFont="1" applyBorder="1" applyAlignment="1">
      <alignment horizontal="center"/>
    </xf>
    <xf numFmtId="10" fontId="24" fillId="0" borderId="16" xfId="2" applyNumberFormat="1" applyFont="1" applyBorder="1" applyAlignment="1">
      <alignment horizontal="center"/>
    </xf>
    <xf numFmtId="2" fontId="24" fillId="0" borderId="16" xfId="0" applyNumberFormat="1" applyFont="1" applyBorder="1" applyAlignment="1">
      <alignment horizontal="center" vertical="center"/>
    </xf>
    <xf numFmtId="10" fontId="24" fillId="0" borderId="16" xfId="2" applyNumberFormat="1" applyFont="1" applyBorder="1" applyAlignment="1">
      <alignment horizontal="center" vertical="center"/>
    </xf>
    <xf numFmtId="0" fontId="28" fillId="0" borderId="8" xfId="0" applyFont="1" applyBorder="1" applyAlignment="1">
      <alignment horizontal="right" vertical="center"/>
    </xf>
    <xf numFmtId="0" fontId="30" fillId="0" borderId="17" xfId="0" applyFont="1" applyBorder="1" applyAlignment="1">
      <alignment horizontal="center"/>
    </xf>
    <xf numFmtId="10" fontId="21" fillId="0" borderId="0" xfId="0" applyNumberFormat="1" applyFont="1" applyAlignment="1">
      <alignment horizontal="center"/>
    </xf>
    <xf numFmtId="0" fontId="21" fillId="0" borderId="2" xfId="0" quotePrefix="1" applyFont="1" applyBorder="1" applyAlignment="1">
      <alignment horizontal="center"/>
    </xf>
    <xf numFmtId="0" fontId="6" fillId="0" borderId="0" xfId="0" applyFont="1"/>
    <xf numFmtId="0" fontId="54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52" fillId="0" borderId="0" xfId="0" applyFont="1" applyAlignment="1">
      <alignment horizontal="left"/>
    </xf>
    <xf numFmtId="0" fontId="55" fillId="0" borderId="0" xfId="0" applyFont="1"/>
    <xf numFmtId="0" fontId="37" fillId="0" borderId="0" xfId="0" applyFont="1" applyAlignment="1">
      <alignment horizontal="right"/>
    </xf>
    <xf numFmtId="0" fontId="37" fillId="0" borderId="2" xfId="0" applyFont="1" applyBorder="1" applyAlignment="1">
      <alignment horizontal="center"/>
    </xf>
    <xf numFmtId="0" fontId="52" fillId="0" borderId="0" xfId="0" applyFont="1"/>
    <xf numFmtId="10" fontId="28" fillId="0" borderId="10" xfId="2" applyNumberFormat="1" applyFont="1" applyFill="1" applyBorder="1" applyAlignment="1">
      <alignment horizontal="center" vertical="center"/>
    </xf>
    <xf numFmtId="43" fontId="24" fillId="0" borderId="16" xfId="1" applyFont="1" applyBorder="1" applyAlignment="1">
      <alignment horizontal="center" vertical="center"/>
    </xf>
    <xf numFmtId="168" fontId="38" fillId="0" borderId="16" xfId="1" applyNumberFormat="1" applyFont="1" applyFill="1" applyBorder="1"/>
    <xf numFmtId="15" fontId="34" fillId="0" borderId="23" xfId="0" applyNumberFormat="1" applyFont="1" applyBorder="1" applyAlignment="1">
      <alignment horizontal="center"/>
    </xf>
    <xf numFmtId="15" fontId="34" fillId="0" borderId="12" xfId="0" applyNumberFormat="1" applyFont="1" applyBorder="1" applyAlignment="1">
      <alignment horizontal="center"/>
    </xf>
    <xf numFmtId="15" fontId="34" fillId="0" borderId="13" xfId="0" applyNumberFormat="1" applyFont="1" applyBorder="1" applyAlignment="1">
      <alignment horizontal="center"/>
    </xf>
    <xf numFmtId="0" fontId="34" fillId="0" borderId="13" xfId="0" applyFont="1" applyBorder="1" applyAlignment="1">
      <alignment horizontal="center"/>
    </xf>
    <xf numFmtId="0" fontId="51" fillId="0" borderId="0" xfId="0" applyFont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0" fillId="0" borderId="1" xfId="0" applyBorder="1"/>
    <xf numFmtId="0" fontId="34" fillId="0" borderId="1" xfId="0" applyFont="1" applyBorder="1" applyAlignment="1">
      <alignment horizontal="center"/>
    </xf>
    <xf numFmtId="10" fontId="38" fillId="0" borderId="1" xfId="2" applyNumberFormat="1" applyFont="1" applyFill="1" applyBorder="1" applyAlignment="1">
      <alignment horizontal="center"/>
    </xf>
    <xf numFmtId="43" fontId="38" fillId="0" borderId="1" xfId="1" applyFont="1" applyFill="1" applyBorder="1" applyAlignment="1">
      <alignment horizontal="center"/>
    </xf>
    <xf numFmtId="43" fontId="38" fillId="0" borderId="0" xfId="1" applyFont="1" applyAlignment="1">
      <alignment horizontal="center"/>
    </xf>
    <xf numFmtId="43" fontId="38" fillId="0" borderId="0" xfId="1" applyFont="1" applyFill="1" applyAlignment="1">
      <alignment horizontal="center"/>
    </xf>
    <xf numFmtId="0" fontId="51" fillId="0" borderId="0" xfId="0" applyFont="1" applyAlignment="1">
      <alignment horizontal="right"/>
    </xf>
    <xf numFmtId="43" fontId="51" fillId="0" borderId="0" xfId="0" applyNumberFormat="1" applyFont="1"/>
    <xf numFmtId="2" fontId="51" fillId="0" borderId="0" xfId="0" applyNumberFormat="1" applyFont="1"/>
    <xf numFmtId="0" fontId="34" fillId="0" borderId="5" xfId="0" applyFont="1" applyBorder="1" applyAlignment="1">
      <alignment horizontal="center"/>
    </xf>
    <xf numFmtId="0" fontId="34" fillId="0" borderId="23" xfId="0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164" fontId="38" fillId="0" borderId="10" xfId="1" applyNumberFormat="1" applyFont="1" applyFill="1" applyBorder="1" applyAlignment="1">
      <alignment horizontal="center"/>
    </xf>
    <xf numFmtId="164" fontId="38" fillId="0" borderId="13" xfId="1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10" fontId="38" fillId="0" borderId="0" xfId="2" applyNumberFormat="1" applyFont="1" applyFill="1" applyBorder="1" applyAlignment="1">
      <alignment horizontal="center"/>
    </xf>
    <xf numFmtId="10" fontId="38" fillId="0" borderId="0" xfId="2" applyNumberFormat="1" applyFont="1" applyBorder="1" applyAlignment="1">
      <alignment horizontal="center" vertical="center"/>
    </xf>
    <xf numFmtId="10" fontId="28" fillId="0" borderId="3" xfId="2" applyNumberFormat="1" applyFont="1" applyFill="1" applyBorder="1" applyAlignment="1">
      <alignment horizontal="center" vertical="center"/>
    </xf>
    <xf numFmtId="0" fontId="28" fillId="0" borderId="31" xfId="0" applyFont="1" applyBorder="1"/>
    <xf numFmtId="0" fontId="19" fillId="0" borderId="32" xfId="0" applyFont="1" applyBorder="1"/>
    <xf numFmtId="0" fontId="34" fillId="0" borderId="31" xfId="0" applyFont="1" applyBorder="1"/>
    <xf numFmtId="0" fontId="34" fillId="0" borderId="33" xfId="0" applyFont="1" applyBorder="1"/>
    <xf numFmtId="15" fontId="34" fillId="0" borderId="6" xfId="0" applyNumberFormat="1" applyFont="1" applyBorder="1" applyAlignment="1">
      <alignment horizontal="center"/>
    </xf>
    <xf numFmtId="15" fontId="34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58" fillId="0" borderId="0" xfId="0" applyFont="1"/>
    <xf numFmtId="0" fontId="59" fillId="0" borderId="0" xfId="0" applyFont="1"/>
    <xf numFmtId="0" fontId="34" fillId="0" borderId="12" xfId="0" applyFont="1" applyBorder="1" applyAlignment="1">
      <alignment horizontal="center"/>
    </xf>
    <xf numFmtId="0" fontId="22" fillId="0" borderId="7" xfId="0" applyFont="1" applyBorder="1"/>
    <xf numFmtId="0" fontId="35" fillId="0" borderId="34" xfId="0" applyFont="1" applyBorder="1" applyAlignment="1">
      <alignment horizontal="center"/>
    </xf>
    <xf numFmtId="10" fontId="36" fillId="0" borderId="0" xfId="2" applyNumberFormat="1" applyFont="1" applyFill="1" applyBorder="1"/>
    <xf numFmtId="0" fontId="38" fillId="3" borderId="19" xfId="0" applyFont="1" applyFill="1" applyBorder="1"/>
    <xf numFmtId="0" fontId="60" fillId="0" borderId="0" xfId="0" applyFont="1" applyAlignment="1">
      <alignment horizontal="left" vertical="top" wrapText="1"/>
    </xf>
    <xf numFmtId="0" fontId="37" fillId="0" borderId="0" xfId="0" applyFont="1" applyAlignment="1">
      <alignment horizontal="left" vertical="center"/>
    </xf>
    <xf numFmtId="0" fontId="28" fillId="0" borderId="27" xfId="0" applyFont="1" applyBorder="1" applyAlignment="1">
      <alignment horizontal="center"/>
    </xf>
    <xf numFmtId="0" fontId="37" fillId="3" borderId="25" xfId="0" applyFont="1" applyFill="1" applyBorder="1" applyAlignment="1">
      <alignment horizontal="center"/>
    </xf>
    <xf numFmtId="0" fontId="19" fillId="3" borderId="25" xfId="0" applyFont="1" applyFill="1" applyBorder="1" applyAlignment="1">
      <alignment horizontal="center"/>
    </xf>
    <xf numFmtId="0" fontId="37" fillId="3" borderId="26" xfId="0" applyFont="1" applyFill="1" applyBorder="1" applyAlignment="1">
      <alignment horizontal="center"/>
    </xf>
    <xf numFmtId="0" fontId="19" fillId="3" borderId="26" xfId="0" applyFont="1" applyFill="1" applyBorder="1" applyAlignment="1">
      <alignment horizontal="center"/>
    </xf>
    <xf numFmtId="43" fontId="24" fillId="0" borderId="0" xfId="1" applyFont="1" applyFill="1" applyBorder="1" applyAlignment="1">
      <alignment horizontal="center" vertical="center"/>
    </xf>
    <xf numFmtId="0" fontId="19" fillId="3" borderId="28" xfId="0" applyFont="1" applyFill="1" applyBorder="1" applyAlignment="1">
      <alignment horizontal="center"/>
    </xf>
    <xf numFmtId="0" fontId="19" fillId="3" borderId="29" xfId="0" applyFont="1" applyFill="1" applyBorder="1" applyAlignment="1">
      <alignment horizontal="center"/>
    </xf>
    <xf numFmtId="0" fontId="19" fillId="3" borderId="20" xfId="0" applyFont="1" applyFill="1" applyBorder="1" applyAlignment="1">
      <alignment horizontal="center"/>
    </xf>
    <xf numFmtId="0" fontId="19" fillId="3" borderId="22" xfId="0" applyFont="1" applyFill="1" applyBorder="1" applyAlignment="1">
      <alignment horizontal="center"/>
    </xf>
    <xf numFmtId="0" fontId="37" fillId="3" borderId="24" xfId="0" applyFont="1" applyFill="1" applyBorder="1" applyAlignment="1">
      <alignment horizontal="center"/>
    </xf>
    <xf numFmtId="1" fontId="22" fillId="0" borderId="0" xfId="0" applyNumberFormat="1" applyFont="1" applyAlignment="1">
      <alignment horizontal="center"/>
    </xf>
    <xf numFmtId="164" fontId="22" fillId="0" borderId="1" xfId="1" applyNumberFormat="1" applyFont="1" applyFill="1" applyBorder="1" applyAlignment="1">
      <alignment horizontal="center"/>
    </xf>
    <xf numFmtId="0" fontId="40" fillId="0" borderId="14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35" fillId="0" borderId="35" xfId="0" applyFont="1" applyBorder="1" applyAlignment="1">
      <alignment horizontal="center"/>
    </xf>
    <xf numFmtId="0" fontId="35" fillId="0" borderId="17" xfId="0" applyFont="1" applyBorder="1" applyAlignment="1">
      <alignment horizontal="center"/>
    </xf>
    <xf numFmtId="0" fontId="0" fillId="0" borderId="8" xfId="0" applyBorder="1"/>
    <xf numFmtId="0" fontId="0" fillId="0" borderId="14" xfId="0" applyBorder="1"/>
    <xf numFmtId="0" fontId="34" fillId="0" borderId="16" xfId="0" applyFont="1" applyBorder="1" applyAlignment="1">
      <alignment horizontal="right"/>
    </xf>
    <xf numFmtId="0" fontId="34" fillId="0" borderId="8" xfId="0" applyFont="1" applyBorder="1"/>
    <xf numFmtId="164" fontId="38" fillId="0" borderId="3" xfId="1" applyNumberFormat="1" applyFont="1" applyFill="1" applyBorder="1" applyAlignment="1">
      <alignment horizontal="center"/>
    </xf>
    <xf numFmtId="165" fontId="22" fillId="0" borderId="0" xfId="3" applyNumberFormat="1" applyFont="1" applyFill="1" applyAlignment="1">
      <alignment horizontal="right"/>
    </xf>
    <xf numFmtId="2" fontId="15" fillId="0" borderId="0" xfId="0" applyNumberFormat="1" applyFont="1" applyAlignment="1">
      <alignment horizontal="center"/>
    </xf>
    <xf numFmtId="2" fontId="15" fillId="0" borderId="4" xfId="0" applyNumberFormat="1" applyFont="1" applyBorder="1" applyAlignment="1">
      <alignment horizontal="center"/>
    </xf>
    <xf numFmtId="0" fontId="35" fillId="0" borderId="36" xfId="0" applyFont="1" applyBorder="1" applyAlignment="1">
      <alignment horizontal="center"/>
    </xf>
    <xf numFmtId="2" fontId="38" fillId="0" borderId="13" xfId="0" applyNumberFormat="1" applyFont="1" applyBorder="1" applyAlignment="1">
      <alignment horizontal="center"/>
    </xf>
    <xf numFmtId="0" fontId="35" fillId="0" borderId="23" xfId="0" applyFont="1" applyBorder="1" applyAlignment="1">
      <alignment horizontal="center"/>
    </xf>
    <xf numFmtId="164" fontId="46" fillId="0" borderId="0" xfId="1" applyNumberFormat="1" applyFont="1" applyFill="1" applyBorder="1"/>
    <xf numFmtId="164" fontId="0" fillId="0" borderId="0" xfId="1" applyNumberFormat="1" applyFont="1"/>
    <xf numFmtId="164" fontId="21" fillId="0" borderId="0" xfId="0" applyNumberFormat="1" applyFont="1" applyAlignment="1">
      <alignment horizontal="right"/>
    </xf>
    <xf numFmtId="10" fontId="24" fillId="0" borderId="31" xfId="2" applyNumberFormat="1" applyFont="1" applyFill="1" applyBorder="1" applyAlignment="1">
      <alignment horizontal="right"/>
    </xf>
    <xf numFmtId="10" fontId="24" fillId="0" borderId="33" xfId="0" applyNumberFormat="1" applyFont="1" applyBorder="1"/>
    <xf numFmtId="10" fontId="38" fillId="0" borderId="16" xfId="2" applyNumberFormat="1" applyFont="1" applyFill="1" applyBorder="1"/>
    <xf numFmtId="43" fontId="24" fillId="0" borderId="16" xfId="1" applyFont="1" applyFill="1" applyBorder="1" applyAlignment="1">
      <alignment horizontal="center" vertical="center"/>
    </xf>
    <xf numFmtId="0" fontId="0" fillId="0" borderId="6" xfId="0" applyBorder="1"/>
    <xf numFmtId="10" fontId="38" fillId="0" borderId="0" xfId="2" applyNumberFormat="1" applyFont="1" applyFill="1" applyBorder="1" applyAlignment="1">
      <alignment horizontal="right"/>
    </xf>
    <xf numFmtId="2" fontId="38" fillId="0" borderId="37" xfId="0" applyNumberFormat="1" applyFont="1" applyBorder="1" applyAlignment="1">
      <alignment horizontal="center"/>
    </xf>
    <xf numFmtId="10" fontId="22" fillId="0" borderId="1" xfId="2" applyNumberFormat="1" applyFont="1" applyFill="1" applyBorder="1" applyAlignment="1">
      <alignment horizontal="center" vertical="center"/>
    </xf>
    <xf numFmtId="10" fontId="22" fillId="0" borderId="0" xfId="2" applyNumberFormat="1" applyFont="1" applyFill="1" applyAlignment="1">
      <alignment horizontal="right" vertical="center"/>
    </xf>
    <xf numFmtId="10" fontId="36" fillId="0" borderId="27" xfId="2" applyNumberFormat="1" applyFont="1" applyFill="1" applyBorder="1"/>
    <xf numFmtId="43" fontId="36" fillId="0" borderId="27" xfId="1" applyFont="1" applyFill="1" applyBorder="1"/>
    <xf numFmtId="2" fontId="36" fillId="0" borderId="27" xfId="0" applyNumberFormat="1" applyFont="1" applyBorder="1"/>
    <xf numFmtId="10" fontId="21" fillId="0" borderId="0" xfId="2" applyNumberFormat="1" applyFont="1" applyFill="1" applyAlignment="1">
      <alignment horizontal="right" vertical="center"/>
    </xf>
    <xf numFmtId="10" fontId="21" fillId="0" borderId="0" xfId="2" applyNumberFormat="1" applyFont="1" applyFill="1" applyBorder="1" applyAlignment="1">
      <alignment horizontal="right" vertical="center"/>
    </xf>
    <xf numFmtId="10" fontId="23" fillId="0" borderId="16" xfId="2" applyNumberFormat="1" applyFont="1" applyFill="1" applyBorder="1"/>
    <xf numFmtId="10" fontId="23" fillId="0" borderId="16" xfId="2" applyNumberFormat="1" applyFont="1" applyFill="1" applyBorder="1" applyAlignment="1">
      <alignment horizontal="center"/>
    </xf>
    <xf numFmtId="0" fontId="0" fillId="0" borderId="32" xfId="0" applyBorder="1"/>
    <xf numFmtId="2" fontId="42" fillId="0" borderId="0" xfId="0" applyNumberFormat="1" applyFont="1" applyAlignment="1">
      <alignment horizontal="center"/>
    </xf>
    <xf numFmtId="10" fontId="22" fillId="0" borderId="0" xfId="2" applyNumberFormat="1" applyFont="1" applyAlignment="1">
      <alignment horizontal="right"/>
    </xf>
    <xf numFmtId="10" fontId="22" fillId="0" borderId="4" xfId="2" applyNumberFormat="1" applyFont="1" applyFill="1" applyBorder="1" applyAlignment="1">
      <alignment horizontal="right"/>
    </xf>
    <xf numFmtId="10" fontId="22" fillId="0" borderId="4" xfId="2" applyNumberFormat="1" applyFont="1" applyBorder="1" applyAlignment="1">
      <alignment horizontal="right"/>
    </xf>
    <xf numFmtId="2" fontId="22" fillId="0" borderId="1" xfId="0" applyNumberFormat="1" applyFont="1" applyBorder="1" applyAlignment="1">
      <alignment horizontal="right" vertical="center"/>
    </xf>
    <xf numFmtId="10" fontId="22" fillId="0" borderId="1" xfId="2" applyNumberFormat="1" applyFont="1" applyFill="1" applyBorder="1" applyAlignment="1">
      <alignment horizontal="right" vertical="center"/>
    </xf>
    <xf numFmtId="43" fontId="22" fillId="0" borderId="1" xfId="1" applyFont="1" applyFill="1" applyBorder="1" applyAlignment="1">
      <alignment horizontal="right" vertical="center"/>
    </xf>
    <xf numFmtId="10" fontId="22" fillId="0" borderId="1" xfId="2" applyNumberFormat="1" applyFont="1" applyBorder="1" applyAlignment="1">
      <alignment horizontal="right" vertical="center"/>
    </xf>
    <xf numFmtId="3" fontId="38" fillId="0" borderId="10" xfId="0" applyNumberFormat="1" applyFont="1" applyBorder="1"/>
    <xf numFmtId="3" fontId="34" fillId="0" borderId="10" xfId="0" applyNumberFormat="1" applyFont="1" applyBorder="1" applyAlignment="1">
      <alignment horizontal="right" vertical="center"/>
    </xf>
    <xf numFmtId="164" fontId="38" fillId="0" borderId="10" xfId="1" applyNumberFormat="1" applyFont="1" applyFill="1" applyBorder="1" applyAlignment="1">
      <alignment horizontal="right" vertical="center" wrapText="1"/>
    </xf>
    <xf numFmtId="3" fontId="34" fillId="0" borderId="10" xfId="0" applyNumberFormat="1" applyFont="1" applyBorder="1"/>
    <xf numFmtId="3" fontId="38" fillId="0" borderId="3" xfId="0" applyNumberFormat="1" applyFont="1" applyBorder="1"/>
    <xf numFmtId="2" fontId="38" fillId="0" borderId="3" xfId="0" applyNumberFormat="1" applyFont="1" applyBorder="1" applyAlignment="1">
      <alignment horizontal="center"/>
    </xf>
    <xf numFmtId="2" fontId="38" fillId="0" borderId="2" xfId="0" applyNumberFormat="1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34" fillId="4" borderId="19" xfId="0" applyFont="1" applyFill="1" applyBorder="1"/>
    <xf numFmtId="0" fontId="38" fillId="4" borderId="19" xfId="0" applyFont="1" applyFill="1" applyBorder="1"/>
    <xf numFmtId="10" fontId="38" fillId="4" borderId="19" xfId="2" applyNumberFormat="1" applyFont="1" applyFill="1" applyBorder="1" applyAlignment="1">
      <alignment horizontal="center"/>
    </xf>
    <xf numFmtId="0" fontId="19" fillId="0" borderId="19" xfId="0" applyFont="1" applyBorder="1"/>
    <xf numFmtId="0" fontId="21" fillId="0" borderId="38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44" fontId="22" fillId="0" borderId="19" xfId="3" applyFont="1" applyFill="1" applyBorder="1" applyAlignment="1">
      <alignment horizontal="center"/>
    </xf>
    <xf numFmtId="0" fontId="19" fillId="0" borderId="40" xfId="0" applyFont="1" applyBorder="1"/>
    <xf numFmtId="2" fontId="22" fillId="0" borderId="19" xfId="0" applyNumberFormat="1" applyFont="1" applyBorder="1" applyAlignment="1">
      <alignment horizontal="right" vertical="center"/>
    </xf>
    <xf numFmtId="2" fontId="22" fillId="0" borderId="21" xfId="0" applyNumberFormat="1" applyFont="1" applyBorder="1" applyAlignment="1">
      <alignment horizontal="right" vertical="center"/>
    </xf>
    <xf numFmtId="10" fontId="19" fillId="0" borderId="19" xfId="2" applyNumberFormat="1" applyFont="1" applyFill="1" applyBorder="1"/>
    <xf numFmtId="0" fontId="38" fillId="3" borderId="21" xfId="0" applyFont="1" applyFill="1" applyBorder="1"/>
    <xf numFmtId="10" fontId="38" fillId="3" borderId="26" xfId="2" applyNumberFormat="1" applyFont="1" applyFill="1" applyBorder="1" applyAlignment="1">
      <alignment horizontal="center"/>
    </xf>
    <xf numFmtId="0" fontId="65" fillId="0" borderId="0" xfId="0" applyFont="1"/>
    <xf numFmtId="2" fontId="22" fillId="0" borderId="0" xfId="0" applyNumberFormat="1" applyFont="1" applyAlignment="1">
      <alignment horizontal="right"/>
    </xf>
    <xf numFmtId="0" fontId="19" fillId="0" borderId="8" xfId="0" applyFont="1" applyBorder="1"/>
    <xf numFmtId="0" fontId="19" fillId="0" borderId="14" xfId="0" applyFont="1" applyBorder="1"/>
    <xf numFmtId="10" fontId="38" fillId="3" borderId="19" xfId="2" applyNumberFormat="1" applyFont="1" applyFill="1" applyBorder="1" applyAlignment="1">
      <alignment horizontal="center"/>
    </xf>
    <xf numFmtId="0" fontId="34" fillId="4" borderId="25" xfId="0" applyFont="1" applyFill="1" applyBorder="1"/>
    <xf numFmtId="0" fontId="66" fillId="0" borderId="18" xfId="0" applyFont="1" applyBorder="1"/>
    <xf numFmtId="10" fontId="66" fillId="0" borderId="27" xfId="2" applyNumberFormat="1" applyFont="1" applyFill="1" applyBorder="1" applyAlignment="1">
      <alignment horizontal="center"/>
    </xf>
    <xf numFmtId="10" fontId="43" fillId="0" borderId="0" xfId="2" applyNumberFormat="1" applyFont="1" applyFill="1" applyBorder="1" applyAlignment="1">
      <alignment horizontal="center"/>
    </xf>
    <xf numFmtId="43" fontId="38" fillId="0" borderId="1" xfId="1" applyFont="1" applyFill="1" applyBorder="1" applyAlignment="1">
      <alignment horizontal="right" vertical="center"/>
    </xf>
    <xf numFmtId="10" fontId="24" fillId="0" borderId="16" xfId="2" applyNumberFormat="1" applyFont="1" applyFill="1" applyBorder="1" applyAlignment="1">
      <alignment horizontal="center" vertical="center"/>
    </xf>
    <xf numFmtId="0" fontId="37" fillId="3" borderId="0" xfId="0" applyFont="1" applyFill="1" applyAlignment="1">
      <alignment horizontal="center"/>
    </xf>
    <xf numFmtId="0" fontId="19" fillId="3" borderId="41" xfId="0" applyFont="1" applyFill="1" applyBorder="1" applyAlignment="1">
      <alignment horizontal="center"/>
    </xf>
    <xf numFmtId="0" fontId="37" fillId="3" borderId="1" xfId="0" applyFont="1" applyFill="1" applyBorder="1" applyAlignment="1">
      <alignment horizontal="center"/>
    </xf>
    <xf numFmtId="0" fontId="19" fillId="3" borderId="42" xfId="0" applyFont="1" applyFill="1" applyBorder="1" applyAlignment="1">
      <alignment horizontal="center"/>
    </xf>
    <xf numFmtId="0" fontId="19" fillId="3" borderId="43" xfId="0" applyFont="1" applyFill="1" applyBorder="1" applyAlignment="1">
      <alignment horizontal="center"/>
    </xf>
    <xf numFmtId="10" fontId="43" fillId="0" borderId="16" xfId="2" applyNumberFormat="1" applyFont="1" applyFill="1" applyBorder="1" applyAlignment="1">
      <alignment horizontal="center"/>
    </xf>
    <xf numFmtId="0" fontId="0" fillId="0" borderId="19" xfId="0" applyBorder="1"/>
    <xf numFmtId="10" fontId="22" fillId="0" borderId="1" xfId="1" applyNumberFormat="1" applyFont="1" applyFill="1" applyBorder="1" applyAlignment="1"/>
    <xf numFmtId="10" fontId="22" fillId="0" borderId="0" xfId="1" applyNumberFormat="1" applyFont="1" applyFill="1" applyAlignment="1">
      <alignment horizontal="right"/>
    </xf>
    <xf numFmtId="10" fontId="22" fillId="0" borderId="1" xfId="2" applyNumberFormat="1" applyFont="1" applyFill="1" applyBorder="1" applyAlignment="1">
      <alignment horizontal="center"/>
    </xf>
    <xf numFmtId="0" fontId="48" fillId="0" borderId="0" xfId="6" applyFont="1"/>
    <xf numFmtId="10" fontId="38" fillId="0" borderId="0" xfId="2" applyNumberFormat="1" applyFont="1" applyFill="1" applyBorder="1" applyAlignment="1">
      <alignment horizontal="center" vertical="center"/>
    </xf>
    <xf numFmtId="43" fontId="38" fillId="0" borderId="0" xfId="1" applyFont="1" applyBorder="1" applyAlignment="1">
      <alignment vertical="center"/>
    </xf>
    <xf numFmtId="10" fontId="38" fillId="0" borderId="13" xfId="2" applyNumberFormat="1" applyFont="1" applyBorder="1" applyAlignment="1">
      <alignment horizontal="center" vertical="center"/>
    </xf>
    <xf numFmtId="15" fontId="34" fillId="0" borderId="23" xfId="0" quotePrefix="1" applyNumberFormat="1" applyFont="1" applyBorder="1" applyAlignment="1">
      <alignment horizontal="center"/>
    </xf>
    <xf numFmtId="3" fontId="64" fillId="0" borderId="10" xfId="0" applyNumberFormat="1" applyFont="1" applyBorder="1" applyAlignment="1">
      <alignment horizontal="right"/>
    </xf>
    <xf numFmtId="164" fontId="34" fillId="0" borderId="10" xfId="1" applyNumberFormat="1" applyFont="1" applyFill="1" applyBorder="1" applyAlignment="1">
      <alignment horizontal="right"/>
    </xf>
    <xf numFmtId="3" fontId="34" fillId="0" borderId="3" xfId="0" applyNumberFormat="1" applyFont="1" applyBorder="1"/>
    <xf numFmtId="0" fontId="35" fillId="0" borderId="6" xfId="0" applyFont="1" applyBorder="1" applyAlignment="1">
      <alignment horizontal="center"/>
    </xf>
    <xf numFmtId="0" fontId="34" fillId="0" borderId="6" xfId="0" applyFont="1" applyBorder="1"/>
    <xf numFmtId="3" fontId="38" fillId="0" borderId="0" xfId="0" applyNumberFormat="1" applyFont="1"/>
    <xf numFmtId="3" fontId="38" fillId="0" borderId="2" xfId="0" applyNumberFormat="1" applyFont="1" applyBorder="1"/>
    <xf numFmtId="0" fontId="34" fillId="0" borderId="1" xfId="0" applyFont="1" applyBorder="1" applyAlignment="1">
      <alignment horizontal="right"/>
    </xf>
    <xf numFmtId="10" fontId="34" fillId="0" borderId="1" xfId="2" applyNumberFormat="1" applyFont="1" applyFill="1" applyBorder="1"/>
    <xf numFmtId="10" fontId="21" fillId="0" borderId="0" xfId="2" applyNumberFormat="1" applyFont="1" applyAlignment="1">
      <alignment horizontal="center"/>
    </xf>
    <xf numFmtId="10" fontId="22" fillId="3" borderId="10" xfId="2" applyNumberFormat="1" applyFont="1" applyFill="1" applyBorder="1" applyAlignment="1">
      <alignment horizontal="center"/>
    </xf>
    <xf numFmtId="10" fontId="22" fillId="3" borderId="10" xfId="1" applyNumberFormat="1" applyFont="1" applyFill="1" applyBorder="1" applyAlignment="1">
      <alignment horizontal="center"/>
    </xf>
    <xf numFmtId="0" fontId="62" fillId="3" borderId="16" xfId="0" applyFont="1" applyFill="1" applyBorder="1"/>
    <xf numFmtId="0" fontId="28" fillId="3" borderId="24" xfId="0" applyFont="1" applyFill="1" applyBorder="1" applyAlignment="1">
      <alignment horizontal="center"/>
    </xf>
    <xf numFmtId="2" fontId="24" fillId="0" borderId="27" xfId="0" applyNumberFormat="1" applyFont="1" applyBorder="1"/>
    <xf numFmtId="10" fontId="24" fillId="0" borderId="27" xfId="2" applyNumberFormat="1" applyFont="1" applyFill="1" applyBorder="1"/>
    <xf numFmtId="0" fontId="63" fillId="3" borderId="23" xfId="0" applyFont="1" applyFill="1" applyBorder="1" applyAlignment="1">
      <alignment horizontal="center" vertical="center" wrapText="1"/>
    </xf>
    <xf numFmtId="0" fontId="68" fillId="0" borderId="0" xfId="6" applyFont="1" applyAlignment="1">
      <alignment vertical="center" wrapText="1"/>
    </xf>
    <xf numFmtId="0" fontId="69" fillId="0" borderId="0" xfId="0" applyFont="1" applyAlignment="1">
      <alignment vertical="center" wrapText="1"/>
    </xf>
    <xf numFmtId="0" fontId="68" fillId="0" borderId="0" xfId="6" applyFont="1" applyAlignment="1">
      <alignment horizontal="left" vertical="center" indent="2"/>
    </xf>
    <xf numFmtId="0" fontId="70" fillId="0" borderId="0" xfId="0" applyFont="1" applyAlignment="1">
      <alignment horizontal="left" vertical="center" indent="6"/>
    </xf>
    <xf numFmtId="0" fontId="71" fillId="0" borderId="0" xfId="0" applyFont="1"/>
    <xf numFmtId="0" fontId="72" fillId="0" borderId="0" xfId="0" applyFont="1"/>
    <xf numFmtId="0" fontId="37" fillId="0" borderId="10" xfId="0" applyFont="1" applyBorder="1"/>
    <xf numFmtId="164" fontId="38" fillId="0" borderId="10" xfId="1" applyNumberFormat="1" applyFont="1" applyFill="1" applyBorder="1"/>
    <xf numFmtId="0" fontId="37" fillId="0" borderId="3" xfId="0" applyFont="1" applyBorder="1"/>
    <xf numFmtId="10" fontId="38" fillId="0" borderId="10" xfId="2" applyNumberFormat="1" applyFont="1" applyFill="1" applyBorder="1"/>
    <xf numFmtId="10" fontId="28" fillId="0" borderId="0" xfId="2" applyNumberFormat="1" applyFont="1" applyFill="1" applyBorder="1" applyAlignment="1">
      <alignment horizontal="center" vertical="center"/>
    </xf>
    <xf numFmtId="10" fontId="28" fillId="0" borderId="24" xfId="2" applyNumberFormat="1" applyFont="1" applyFill="1" applyBorder="1" applyAlignment="1">
      <alignment horizontal="center"/>
    </xf>
    <xf numFmtId="10" fontId="47" fillId="0" borderId="24" xfId="2" applyNumberFormat="1" applyFont="1" applyFill="1" applyBorder="1" applyAlignment="1">
      <alignment horizontal="center"/>
    </xf>
    <xf numFmtId="10" fontId="28" fillId="0" borderId="25" xfId="2" applyNumberFormat="1" applyFont="1" applyFill="1" applyBorder="1" applyAlignment="1">
      <alignment horizontal="center"/>
    </xf>
    <xf numFmtId="10" fontId="47" fillId="0" borderId="25" xfId="2" applyNumberFormat="1" applyFont="1" applyFill="1" applyBorder="1" applyAlignment="1">
      <alignment horizontal="center"/>
    </xf>
    <xf numFmtId="10" fontId="28" fillId="0" borderId="26" xfId="2" applyNumberFormat="1" applyFont="1" applyFill="1" applyBorder="1" applyAlignment="1">
      <alignment horizontal="center"/>
    </xf>
    <xf numFmtId="10" fontId="47" fillId="0" borderId="26" xfId="2" applyNumberFormat="1" applyFont="1" applyFill="1" applyBorder="1" applyAlignment="1">
      <alignment horizontal="center"/>
    </xf>
    <xf numFmtId="10" fontId="47" fillId="0" borderId="25" xfId="2" applyNumberFormat="1" applyFont="1" applyBorder="1" applyAlignment="1">
      <alignment horizontal="center" vertical="center"/>
    </xf>
    <xf numFmtId="10" fontId="47" fillId="0" borderId="26" xfId="2" applyNumberFormat="1" applyFont="1" applyBorder="1" applyAlignment="1">
      <alignment horizontal="center" vertical="center"/>
    </xf>
    <xf numFmtId="0" fontId="28" fillId="0" borderId="19" xfId="0" applyFont="1" applyBorder="1"/>
    <xf numFmtId="0" fontId="28" fillId="0" borderId="21" xfId="0" applyFont="1" applyBorder="1"/>
    <xf numFmtId="0" fontId="19" fillId="0" borderId="30" xfId="0" applyFont="1" applyBorder="1"/>
    <xf numFmtId="0" fontId="19" fillId="0" borderId="29" xfId="0" applyFont="1" applyBorder="1"/>
    <xf numFmtId="0" fontId="19" fillId="0" borderId="20" xfId="0" applyFont="1" applyBorder="1"/>
    <xf numFmtId="0" fontId="19" fillId="0" borderId="1" xfId="0" applyFont="1" applyBorder="1"/>
    <xf numFmtId="0" fontId="19" fillId="0" borderId="22" xfId="0" applyFont="1" applyBorder="1"/>
    <xf numFmtId="0" fontId="72" fillId="0" borderId="0" xfId="0" applyFont="1" applyAlignment="1">
      <alignment vertical="center"/>
    </xf>
    <xf numFmtId="0" fontId="73" fillId="0" borderId="0" xfId="6" applyFont="1" applyAlignment="1">
      <alignment vertical="center"/>
    </xf>
    <xf numFmtId="0" fontId="18" fillId="0" borderId="0" xfId="6"/>
    <xf numFmtId="0" fontId="74" fillId="0" borderId="0" xfId="0" applyFont="1" applyAlignment="1">
      <alignment vertical="center"/>
    </xf>
    <xf numFmtId="0" fontId="76" fillId="0" borderId="0" xfId="6" applyFont="1" applyAlignment="1">
      <alignment vertical="center"/>
    </xf>
    <xf numFmtId="0" fontId="67" fillId="0" borderId="0" xfId="0" applyFont="1"/>
    <xf numFmtId="15" fontId="78" fillId="0" borderId="0" xfId="0" quotePrefix="1" applyNumberFormat="1" applyFont="1" applyAlignment="1">
      <alignment horizontal="left"/>
    </xf>
    <xf numFmtId="0" fontId="0" fillId="0" borderId="30" xfId="0" applyBorder="1"/>
    <xf numFmtId="0" fontId="79" fillId="0" borderId="0" xfId="0" applyFont="1" applyAlignment="1">
      <alignment vertical="center"/>
    </xf>
    <xf numFmtId="0" fontId="76" fillId="0" borderId="0" xfId="6" applyFont="1"/>
    <xf numFmtId="17" fontId="74" fillId="0" borderId="0" xfId="0" quotePrefix="1" applyNumberFormat="1" applyFont="1" applyAlignment="1">
      <alignment vertical="center"/>
    </xf>
    <xf numFmtId="0" fontId="77" fillId="0" borderId="0" xfId="6" applyFont="1" applyAlignment="1">
      <alignment vertical="center"/>
    </xf>
    <xf numFmtId="0" fontId="77" fillId="0" borderId="0" xfId="0" applyFont="1"/>
    <xf numFmtId="0" fontId="78" fillId="0" borderId="0" xfId="6" applyFont="1"/>
    <xf numFmtId="0" fontId="47" fillId="5" borderId="24" xfId="0" applyFont="1" applyFill="1" applyBorder="1" applyAlignment="1">
      <alignment horizontal="center"/>
    </xf>
    <xf numFmtId="0" fontId="47" fillId="5" borderId="26" xfId="0" applyFont="1" applyFill="1" applyBorder="1" applyAlignment="1">
      <alignment horizontal="center"/>
    </xf>
    <xf numFmtId="0" fontId="5" fillId="0" borderId="0" xfId="0" applyFont="1"/>
    <xf numFmtId="10" fontId="80" fillId="0" borderId="24" xfId="2" applyNumberFormat="1" applyFont="1" applyFill="1" applyBorder="1" applyAlignment="1">
      <alignment horizontal="center"/>
    </xf>
    <xf numFmtId="10" fontId="80" fillId="0" borderId="25" xfId="2" applyNumberFormat="1" applyFont="1" applyFill="1" applyBorder="1" applyAlignment="1">
      <alignment horizontal="center"/>
    </xf>
    <xf numFmtId="10" fontId="80" fillId="0" borderId="26" xfId="2" applyNumberFormat="1" applyFont="1" applyFill="1" applyBorder="1" applyAlignment="1">
      <alignment horizontal="center"/>
    </xf>
    <xf numFmtId="0" fontId="38" fillId="0" borderId="28" xfId="0" applyFont="1" applyBorder="1"/>
    <xf numFmtId="0" fontId="38" fillId="0" borderId="19" xfId="0" applyFont="1" applyBorder="1"/>
    <xf numFmtId="0" fontId="38" fillId="0" borderId="21" xfId="0" applyFont="1" applyBorder="1"/>
    <xf numFmtId="10" fontId="34" fillId="0" borderId="28" xfId="2" applyNumberFormat="1" applyFont="1" applyBorder="1" applyAlignment="1">
      <alignment horizontal="left"/>
    </xf>
    <xf numFmtId="0" fontId="34" fillId="0" borderId="19" xfId="0" applyFont="1" applyBorder="1"/>
    <xf numFmtId="0" fontId="82" fillId="0" borderId="21" xfId="6" applyFont="1" applyBorder="1"/>
    <xf numFmtId="0" fontId="0" fillId="0" borderId="29" xfId="0" applyBorder="1"/>
    <xf numFmtId="0" fontId="0" fillId="0" borderId="20" xfId="0" applyBorder="1"/>
    <xf numFmtId="0" fontId="0" fillId="0" borderId="22" xfId="0" applyBorder="1"/>
    <xf numFmtId="0" fontId="28" fillId="5" borderId="27" xfId="0" applyFont="1" applyFill="1" applyBorder="1" applyAlignment="1">
      <alignment horizontal="center"/>
    </xf>
    <xf numFmtId="0" fontId="0" fillId="0" borderId="28" xfId="0" applyBorder="1"/>
    <xf numFmtId="0" fontId="83" fillId="0" borderId="30" xfId="0" applyFont="1" applyBorder="1" applyAlignment="1">
      <alignment horizontal="right"/>
    </xf>
    <xf numFmtId="0" fontId="0" fillId="0" borderId="24" xfId="0" applyBorder="1"/>
    <xf numFmtId="0" fontId="84" fillId="0" borderId="0" xfId="0" applyFont="1" applyAlignment="1">
      <alignment horizontal="right"/>
    </xf>
    <xf numFmtId="10" fontId="28" fillId="0" borderId="25" xfId="2" applyNumberFormat="1" applyFont="1" applyBorder="1" applyAlignment="1">
      <alignment horizontal="center"/>
    </xf>
    <xf numFmtId="0" fontId="28" fillId="0" borderId="0" xfId="0" applyFont="1" applyAlignment="1">
      <alignment horizontal="right" indent="1"/>
    </xf>
    <xf numFmtId="0" fontId="83" fillId="0" borderId="0" xfId="0" applyFont="1" applyAlignment="1">
      <alignment horizontal="right"/>
    </xf>
    <xf numFmtId="0" fontId="19" fillId="0" borderId="25" xfId="0" applyFont="1" applyBorder="1" applyAlignment="1">
      <alignment horizontal="center"/>
    </xf>
    <xf numFmtId="10" fontId="24" fillId="6" borderId="16" xfId="2" applyNumberFormat="1" applyFont="1" applyFill="1" applyBorder="1" applyAlignment="1">
      <alignment horizontal="center"/>
    </xf>
    <xf numFmtId="0" fontId="83" fillId="0" borderId="0" xfId="0" applyFont="1" applyAlignment="1">
      <alignment horizontal="right" vertical="center"/>
    </xf>
    <xf numFmtId="10" fontId="83" fillId="0" borderId="25" xfId="0" applyNumberFormat="1" applyFont="1" applyBorder="1" applyAlignment="1">
      <alignment horizontal="center"/>
    </xf>
    <xf numFmtId="0" fontId="0" fillId="0" borderId="21" xfId="0" applyBorder="1"/>
    <xf numFmtId="0" fontId="83" fillId="0" borderId="1" xfId="0" applyFont="1" applyBorder="1" applyAlignment="1">
      <alignment horizontal="right" vertical="center"/>
    </xf>
    <xf numFmtId="10" fontId="83" fillId="0" borderId="26" xfId="0" applyNumberFormat="1" applyFont="1" applyBorder="1" applyAlignment="1">
      <alignment horizontal="center"/>
    </xf>
    <xf numFmtId="15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3" fillId="0" borderId="0" xfId="0" applyFont="1" applyAlignment="1">
      <alignment horizontal="left"/>
    </xf>
    <xf numFmtId="2" fontId="5" fillId="0" borderId="0" xfId="0" applyNumberFormat="1" applyFont="1" applyAlignment="1">
      <alignment horizontal="left"/>
    </xf>
    <xf numFmtId="2" fontId="52" fillId="0" borderId="0" xfId="0" applyNumberFormat="1" applyFont="1" applyAlignment="1">
      <alignment horizontal="left"/>
    </xf>
    <xf numFmtId="0" fontId="28" fillId="0" borderId="28" xfId="0" applyFont="1" applyBorder="1"/>
    <xf numFmtId="0" fontId="34" fillId="0" borderId="30" xfId="0" applyFont="1" applyBorder="1"/>
    <xf numFmtId="0" fontId="34" fillId="0" borderId="29" xfId="0" applyFont="1" applyBorder="1"/>
    <xf numFmtId="10" fontId="66" fillId="0" borderId="0" xfId="2" applyNumberFormat="1" applyFont="1" applyFill="1" applyBorder="1" applyAlignment="1">
      <alignment horizontal="left"/>
    </xf>
    <xf numFmtId="0" fontId="81" fillId="0" borderId="0" xfId="0" applyFont="1" applyAlignment="1">
      <alignment horizontal="left"/>
    </xf>
    <xf numFmtId="10" fontId="43" fillId="6" borderId="16" xfId="2" applyNumberFormat="1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86" fillId="0" borderId="0" xfId="0" applyFont="1"/>
    <xf numFmtId="1" fontId="22" fillId="0" borderId="0" xfId="0" applyNumberFormat="1" applyFont="1" applyAlignment="1">
      <alignment horizontal="right"/>
    </xf>
    <xf numFmtId="10" fontId="22" fillId="0" borderId="0" xfId="0" applyNumberFormat="1" applyFont="1" applyAlignment="1">
      <alignment horizontal="right"/>
    </xf>
    <xf numFmtId="0" fontId="51" fillId="0" borderId="0" xfId="0" applyFont="1"/>
    <xf numFmtId="2" fontId="36" fillId="0" borderId="18" xfId="0" applyNumberFormat="1" applyFont="1" applyBorder="1"/>
    <xf numFmtId="10" fontId="22" fillId="3" borderId="3" xfId="2" applyNumberFormat="1" applyFont="1" applyFill="1" applyBorder="1" applyAlignment="1">
      <alignment horizontal="center"/>
    </xf>
    <xf numFmtId="10" fontId="22" fillId="3" borderId="3" xfId="1" applyNumberFormat="1" applyFont="1" applyFill="1" applyBorder="1" applyAlignment="1">
      <alignment horizontal="center"/>
    </xf>
    <xf numFmtId="10" fontId="22" fillId="3" borderId="23" xfId="1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8" fillId="5" borderId="18" xfId="0" applyFont="1" applyFill="1" applyBorder="1" applyAlignment="1">
      <alignment horizontal="center"/>
    </xf>
    <xf numFmtId="0" fontId="28" fillId="5" borderId="44" xfId="0" applyFont="1" applyFill="1" applyBorder="1" applyAlignment="1">
      <alignment horizontal="center"/>
    </xf>
    <xf numFmtId="0" fontId="28" fillId="5" borderId="45" xfId="0" applyFont="1" applyFill="1" applyBorder="1" applyAlignment="1">
      <alignment horizontal="center"/>
    </xf>
  </cellXfs>
  <cellStyles count="7">
    <cellStyle name="Comma" xfId="1" builtinId="3"/>
    <cellStyle name="Comma0 - Style5" xfId="4" xr:uid="{1397E544-7A5D-4627-82CA-446E9A855C6D}"/>
    <cellStyle name="Currency" xfId="3" builtinId="4"/>
    <cellStyle name="Hyperlink" xfId="6" builtinId="8"/>
    <cellStyle name="Normal" xfId="0" builtinId="0"/>
    <cellStyle name="Percen - Style2" xfId="5" xr:uid="{A055BC95-278A-4F04-A738-FFE257F1BA8F}"/>
    <cellStyle name="Percent" xfId="2" builtinId="5"/>
  </cellStyles>
  <dxfs count="0"/>
  <tableStyles count="0" defaultTableStyle="TableStyleMedium9" defaultPivotStyle="PivotStyleLight16"/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447674</xdr:colOff>
      <xdr:row>33</xdr:row>
      <xdr:rowOff>53975</xdr:rowOff>
    </xdr:from>
    <xdr:to>
      <xdr:col>6</xdr:col>
      <xdr:colOff>177799</xdr:colOff>
      <xdr:row>35</xdr:row>
      <xdr:rowOff>149225</xdr:rowOff>
    </xdr:to>
    <xdr:pic>
      <xdr:nvPicPr>
        <xdr:cNvPr id="3" name="Picture 2" descr="Horse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24074" y="7235825"/>
          <a:ext cx="1781175" cy="476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47624</xdr:rowOff>
    </xdr:from>
    <xdr:to>
      <xdr:col>11</xdr:col>
      <xdr:colOff>504825</xdr:colOff>
      <xdr:row>48</xdr:row>
      <xdr:rowOff>180201</xdr:rowOff>
    </xdr:to>
    <xdr:pic>
      <xdr:nvPicPr>
        <xdr:cNvPr id="16385" name="Picture 1">
          <a:extLst>
            <a:ext uri="{FF2B5EF4-FFF2-40B4-BE49-F238E27FC236}">
              <a16:creationId xmlns:a16="http://schemas.microsoft.com/office/drawing/2014/main" id="{86E99D2D-3269-CC40-243F-78A869309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4"/>
          <a:ext cx="7162800" cy="9276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bo.gov/system/files/2025-01/60870-Outlook-2025.pdf" TargetMode="External"/><Relationship Id="rId13" Type="http://schemas.openxmlformats.org/officeDocument/2006/relationships/hyperlink" Target="https://pages.stern.nyu.edu/~adamodar/pc/blog/S&amp;P500ValueJan2025.xlsx" TargetMode="External"/><Relationship Id="rId3" Type="http://schemas.openxmlformats.org/officeDocument/2006/relationships/hyperlink" Target="https://www.philadelphiafed.org/surveys-and-data/real-time-data-research/survey-of-professional-forecasters" TargetMode="External"/><Relationship Id="rId7" Type="http://schemas.openxmlformats.org/officeDocument/2006/relationships/hyperlink" Target="https://www.cbo.gov/system/files/2025-01/60870-Outlook-2025.pdf" TargetMode="External"/><Relationship Id="rId12" Type="http://schemas.openxmlformats.org/officeDocument/2006/relationships/hyperlink" Target="http://pages.stern.nyu.edu/~adamodar/" TargetMode="External"/><Relationship Id="rId2" Type="http://schemas.openxmlformats.org/officeDocument/2006/relationships/hyperlink" Target="https://www.philadelphiafed.org/research-and-data/real-time-center/livingston-survey" TargetMode="External"/><Relationship Id="rId1" Type="http://schemas.openxmlformats.org/officeDocument/2006/relationships/hyperlink" Target="http://www.federalreserve.gov/Releases/H15/Current/" TargetMode="External"/><Relationship Id="rId6" Type="http://schemas.openxmlformats.org/officeDocument/2006/relationships/hyperlink" Target="https://www.federalreserve.gov/monetarypolicy/files/fomcprojtabl20241218.pd" TargetMode="External"/><Relationship Id="rId11" Type="http://schemas.openxmlformats.org/officeDocument/2006/relationships/hyperlink" Target="http://pages.stern.nyu.edu/~adamodar/New_Home_Page/valquestions/stablegrowthrate.htm" TargetMode="External"/><Relationship Id="rId5" Type="http://schemas.openxmlformats.org/officeDocument/2006/relationships/hyperlink" Target="http://www.worldbank.org/en/publication/global-economic-prospects" TargetMode="External"/><Relationship Id="rId10" Type="http://schemas.openxmlformats.org/officeDocument/2006/relationships/hyperlink" Target="https://www.cbo.gov/data/budget-economic-data" TargetMode="External"/><Relationship Id="rId4" Type="http://schemas.openxmlformats.org/officeDocument/2006/relationships/hyperlink" Target="https://tradingeconomics.com/united-states/full-year-gdp-growth" TargetMode="External"/><Relationship Id="rId9" Type="http://schemas.openxmlformats.org/officeDocument/2006/relationships/hyperlink" Target="https://www.cbo.gov/publication/60870" TargetMode="External"/><Relationship Id="rId14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pages.stern.nyu.edu/~adamodar/New_Home_Page/datacurrent.html" TargetMode="External"/><Relationship Id="rId2" Type="http://schemas.openxmlformats.org/officeDocument/2006/relationships/hyperlink" Target="https://www.bvresources.com/products/faqs/cost-of-capital-professional" TargetMode="External"/><Relationship Id="rId1" Type="http://schemas.openxmlformats.org/officeDocument/2006/relationships/hyperlink" Target="https://simplywall.st/stocks/us/transportation" TargetMode="External"/><Relationship Id="rId5" Type="http://schemas.openxmlformats.org/officeDocument/2006/relationships/printerSettings" Target="../printerSettings/printerSettings15.bin"/><Relationship Id="rId4" Type="http://schemas.openxmlformats.org/officeDocument/2006/relationships/hyperlink" Target="https://www.richmondfed.org/research/national_economy/cfo_survey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M37"/>
  <sheetViews>
    <sheetView tabSelected="1" view="pageBreakPreview" zoomScale="60" zoomScaleNormal="100" workbookViewId="0">
      <selection activeCell="K9" sqref="K9"/>
    </sheetView>
  </sheetViews>
  <sheetFormatPr defaultRowHeight="15"/>
  <cols>
    <col min="5" max="5" width="12.28515625" customWidth="1"/>
    <col min="9" max="9" width="16.42578125" customWidth="1"/>
  </cols>
  <sheetData>
    <row r="1" spans="1:13" ht="18.75">
      <c r="A1" s="473" t="s">
        <v>0</v>
      </c>
      <c r="B1" s="474"/>
      <c r="C1" s="474"/>
      <c r="D1" s="474"/>
      <c r="E1" s="474"/>
      <c r="F1" s="474"/>
      <c r="G1" s="474"/>
      <c r="H1" s="474"/>
      <c r="I1" s="474"/>
    </row>
    <row r="5" spans="1:13" ht="27">
      <c r="E5" s="475" t="s">
        <v>0</v>
      </c>
      <c r="F5" s="476"/>
      <c r="G5" s="476"/>
      <c r="H5" s="476"/>
      <c r="I5" s="476"/>
      <c r="J5" s="476"/>
      <c r="K5" s="476"/>
      <c r="L5" s="476"/>
      <c r="M5" s="476"/>
    </row>
    <row r="7" spans="1:13" ht="27">
      <c r="A7" s="477" t="s">
        <v>30</v>
      </c>
      <c r="B7" s="478"/>
      <c r="C7" s="478"/>
      <c r="D7" s="478"/>
      <c r="E7" s="478"/>
      <c r="F7" s="478"/>
      <c r="G7" s="478"/>
      <c r="H7" s="478"/>
      <c r="I7" s="478"/>
    </row>
    <row r="8" spans="1:13" ht="27">
      <c r="A8" s="6"/>
      <c r="B8" s="7"/>
      <c r="C8" s="7"/>
      <c r="D8" s="7"/>
      <c r="E8" s="475" t="s">
        <v>0</v>
      </c>
      <c r="F8" s="476"/>
      <c r="G8" s="476"/>
      <c r="H8" s="476"/>
      <c r="I8" s="476"/>
      <c r="J8" s="476"/>
      <c r="K8" s="476"/>
      <c r="L8" s="476"/>
      <c r="M8" s="476"/>
    </row>
    <row r="9" spans="1:13" ht="27">
      <c r="A9" s="475" t="s">
        <v>414</v>
      </c>
      <c r="B9" s="476"/>
      <c r="C9" s="476"/>
      <c r="D9" s="476"/>
      <c r="E9" s="476"/>
      <c r="F9" s="476"/>
      <c r="G9" s="476"/>
      <c r="H9" s="476"/>
      <c r="I9" s="476"/>
    </row>
    <row r="15" spans="1:13">
      <c r="A15" s="470" t="s">
        <v>0</v>
      </c>
      <c r="B15" s="471"/>
      <c r="C15" s="471"/>
      <c r="D15" s="471"/>
      <c r="E15" s="471"/>
      <c r="F15" s="471"/>
      <c r="G15" s="471"/>
      <c r="H15" s="471"/>
      <c r="I15" s="471"/>
    </row>
    <row r="16" spans="1:13" ht="33.75">
      <c r="A16" s="468" t="str">
        <f>+'S&amp;D'!A12</f>
        <v>Water Utility Companies (Private)</v>
      </c>
      <c r="B16" s="469"/>
      <c r="C16" s="469"/>
      <c r="D16" s="469"/>
      <c r="E16" s="469"/>
      <c r="F16" s="469"/>
      <c r="G16" s="469"/>
      <c r="H16" s="469"/>
      <c r="I16" s="469"/>
    </row>
    <row r="17" spans="1:9">
      <c r="A17" s="470" t="s">
        <v>0</v>
      </c>
      <c r="B17" s="471"/>
      <c r="C17" s="471"/>
      <c r="D17" s="471"/>
      <c r="E17" s="471"/>
      <c r="F17" s="471"/>
      <c r="G17" s="471"/>
      <c r="H17" s="471"/>
      <c r="I17" s="471"/>
    </row>
    <row r="18" spans="1:9">
      <c r="A18" s="8"/>
      <c r="B18" s="9"/>
      <c r="C18" s="9"/>
      <c r="D18" s="9"/>
      <c r="E18" s="9"/>
      <c r="F18" s="9"/>
      <c r="G18" s="9"/>
      <c r="H18" s="9"/>
      <c r="I18" s="9"/>
    </row>
    <row r="19" spans="1:9">
      <c r="A19" s="8"/>
      <c r="B19" s="9"/>
      <c r="C19" s="9"/>
      <c r="D19" s="9"/>
      <c r="E19" s="9"/>
      <c r="F19" s="9"/>
      <c r="G19" s="9"/>
      <c r="H19" s="9"/>
      <c r="I19" s="9"/>
    </row>
    <row r="20" spans="1:9">
      <c r="A20" s="8"/>
      <c r="B20" s="9"/>
      <c r="C20" s="9"/>
      <c r="D20" s="9"/>
      <c r="E20" s="9"/>
      <c r="F20" s="9"/>
      <c r="G20" s="9"/>
      <c r="H20" s="9"/>
      <c r="I20" s="9"/>
    </row>
    <row r="21" spans="1:9">
      <c r="A21" s="8"/>
      <c r="B21" s="9"/>
      <c r="C21" s="9"/>
      <c r="D21" s="9"/>
      <c r="E21" s="9"/>
      <c r="F21" s="9"/>
      <c r="G21" s="9"/>
      <c r="H21" s="9"/>
      <c r="I21" s="9"/>
    </row>
    <row r="22" spans="1:9">
      <c r="A22" s="8"/>
      <c r="B22" s="9"/>
      <c r="C22" s="9"/>
      <c r="D22" s="9"/>
      <c r="E22" s="9"/>
      <c r="F22" s="9"/>
      <c r="G22" s="9"/>
      <c r="H22" s="9"/>
      <c r="I22" s="9"/>
    </row>
    <row r="23" spans="1:9">
      <c r="A23" s="8"/>
      <c r="B23" s="9"/>
      <c r="C23" s="9"/>
      <c r="D23" s="9"/>
      <c r="E23" s="9"/>
      <c r="F23" s="9"/>
      <c r="G23" s="9"/>
      <c r="H23" s="9"/>
      <c r="I23" s="9"/>
    </row>
    <row r="24" spans="1:9">
      <c r="A24" s="8"/>
      <c r="B24" s="9"/>
      <c r="C24" s="9"/>
      <c r="D24" s="9"/>
      <c r="E24" s="9"/>
      <c r="F24" s="9"/>
      <c r="G24" s="9"/>
      <c r="H24" s="9"/>
      <c r="I24" s="9"/>
    </row>
    <row r="25" spans="1:9">
      <c r="A25" s="8"/>
      <c r="B25" s="9"/>
      <c r="C25" s="9"/>
      <c r="D25" s="9"/>
      <c r="E25" s="9"/>
      <c r="F25" s="9"/>
      <c r="G25" s="9"/>
      <c r="H25" s="9"/>
      <c r="I25" s="9"/>
    </row>
    <row r="26" spans="1:9">
      <c r="A26" s="8"/>
      <c r="B26" s="9"/>
      <c r="C26" s="9"/>
      <c r="D26" s="9"/>
      <c r="E26" s="9"/>
      <c r="F26" s="9"/>
      <c r="G26" s="9"/>
      <c r="H26" s="9"/>
      <c r="I26" s="9"/>
    </row>
    <row r="27" spans="1:9">
      <c r="A27" s="8"/>
      <c r="B27" s="9"/>
      <c r="C27" s="9"/>
      <c r="D27" s="9"/>
      <c r="E27" s="9"/>
      <c r="F27" s="9"/>
      <c r="G27" s="9"/>
      <c r="H27" s="9"/>
      <c r="I27" s="9"/>
    </row>
    <row r="28" spans="1:9">
      <c r="A28" s="8"/>
      <c r="B28" s="9"/>
      <c r="C28" s="9"/>
      <c r="D28" s="9"/>
      <c r="E28" s="9"/>
      <c r="F28" s="9"/>
      <c r="G28" s="9"/>
      <c r="H28" s="9"/>
      <c r="I28" s="9"/>
    </row>
    <row r="29" spans="1:9">
      <c r="A29" s="470" t="s">
        <v>0</v>
      </c>
      <c r="B29" s="471"/>
      <c r="C29" s="471"/>
      <c r="D29" s="471"/>
      <c r="E29" s="471"/>
      <c r="F29" s="471"/>
      <c r="G29" s="471"/>
      <c r="H29" s="471"/>
      <c r="I29" s="471"/>
    </row>
    <row r="34" spans="1:9">
      <c r="A34" s="472"/>
      <c r="B34" s="472"/>
      <c r="C34" s="472"/>
      <c r="D34" s="472"/>
      <c r="E34" s="472"/>
      <c r="F34" s="472"/>
      <c r="G34" s="472"/>
      <c r="H34" s="472"/>
      <c r="I34" s="472"/>
    </row>
    <row r="35" spans="1:9">
      <c r="A35" s="472"/>
      <c r="B35" s="472"/>
      <c r="C35" s="472"/>
      <c r="D35" s="472"/>
      <c r="E35" s="472"/>
      <c r="F35" s="472"/>
      <c r="G35" s="472"/>
      <c r="H35" s="472"/>
      <c r="I35" s="472"/>
    </row>
    <row r="36" spans="1:9">
      <c r="A36" s="472"/>
      <c r="B36" s="472"/>
      <c r="C36" s="472"/>
      <c r="D36" s="472"/>
      <c r="E36" s="472"/>
      <c r="F36" s="472"/>
      <c r="G36" s="472"/>
      <c r="H36" s="472"/>
      <c r="I36" s="472"/>
    </row>
    <row r="37" spans="1:9">
      <c r="A37" s="472"/>
      <c r="B37" s="472"/>
      <c r="C37" s="472"/>
      <c r="D37" s="472"/>
      <c r="E37" s="472"/>
      <c r="F37" s="472"/>
      <c r="G37" s="472"/>
      <c r="H37" s="472"/>
      <c r="I37" s="472"/>
    </row>
  </sheetData>
  <mergeCells count="10">
    <mergeCell ref="A16:I16"/>
    <mergeCell ref="A17:I17"/>
    <mergeCell ref="A29:I29"/>
    <mergeCell ref="A34:I37"/>
    <mergeCell ref="A1:I1"/>
    <mergeCell ref="E5:M5"/>
    <mergeCell ref="A7:I7"/>
    <mergeCell ref="E8:M8"/>
    <mergeCell ref="A9:I9"/>
    <mergeCell ref="A15:I15"/>
  </mergeCells>
  <pageMargins left="0.25" right="0.25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P65"/>
  <sheetViews>
    <sheetView view="pageBreakPreview" topLeftCell="A8" zoomScale="60" zoomScaleNormal="80" workbookViewId="0">
      <selection activeCell="D33" sqref="D33:D56"/>
    </sheetView>
  </sheetViews>
  <sheetFormatPr defaultRowHeight="15"/>
  <cols>
    <col min="1" max="1" width="50.42578125" customWidth="1"/>
    <col min="2" max="2" width="13.42578125" customWidth="1"/>
    <col min="3" max="3" width="19.140625" bestFit="1" customWidth="1"/>
    <col min="4" max="4" width="20" customWidth="1"/>
    <col min="5" max="5" width="21.85546875" customWidth="1"/>
    <col min="6" max="6" width="16.140625" customWidth="1"/>
    <col min="7" max="7" width="12.140625" customWidth="1"/>
    <col min="8" max="8" width="18.5703125" customWidth="1"/>
    <col min="9" max="9" width="19.28515625" customWidth="1"/>
    <col min="10" max="11" width="20.5703125" customWidth="1"/>
    <col min="12" max="12" width="26.5703125" customWidth="1"/>
    <col min="13" max="13" width="6.5703125" customWidth="1"/>
    <col min="16" max="16" width="44.42578125" customWidth="1"/>
  </cols>
  <sheetData>
    <row r="1" spans="1:13" ht="26.25">
      <c r="A1" s="23" t="s">
        <v>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17.25">
      <c r="A2" s="24" t="s">
        <v>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16.5">
      <c r="A3" s="25" t="s">
        <v>412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16.5">
      <c r="A4" s="25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7.25" thickBot="1">
      <c r="A5" s="12"/>
      <c r="B5" s="12"/>
      <c r="C5" s="12"/>
      <c r="D5" s="12"/>
      <c r="E5" s="12"/>
      <c r="F5" s="12"/>
      <c r="G5" s="26"/>
      <c r="H5" s="26"/>
      <c r="I5" s="12"/>
      <c r="J5" s="12"/>
      <c r="K5" s="12"/>
      <c r="L5" s="12"/>
      <c r="M5" s="12"/>
    </row>
    <row r="6" spans="1:13" ht="21" thickBot="1">
      <c r="A6" s="239" t="str">
        <f>+'S&amp;D'!A12</f>
        <v>Water Utility Companies (Private)</v>
      </c>
      <c r="B6" s="174"/>
      <c r="C6" s="12"/>
      <c r="D6" s="28"/>
      <c r="E6" s="28"/>
      <c r="F6" s="29" t="s">
        <v>0</v>
      </c>
      <c r="G6" s="12"/>
      <c r="H6" s="12"/>
      <c r="I6" s="12"/>
      <c r="J6" s="12"/>
      <c r="K6" s="12"/>
      <c r="L6" s="12"/>
      <c r="M6" s="12"/>
    </row>
    <row r="7" spans="1:13" ht="26.25">
      <c r="A7" s="30"/>
      <c r="B7" s="12"/>
      <c r="C7" s="12"/>
      <c r="D7" s="12"/>
      <c r="E7" s="31" t="s">
        <v>485</v>
      </c>
      <c r="F7" s="12"/>
      <c r="G7" s="12"/>
      <c r="H7" s="12"/>
      <c r="I7" s="12"/>
      <c r="J7" s="12"/>
      <c r="K7" s="12"/>
      <c r="L7" s="12"/>
      <c r="M7" s="12"/>
    </row>
    <row r="8" spans="1:13" ht="21" thickBot="1">
      <c r="A8" s="30"/>
      <c r="B8" s="12"/>
      <c r="C8" s="12"/>
      <c r="D8" s="28"/>
      <c r="E8" s="32" t="s">
        <v>413</v>
      </c>
      <c r="F8" s="28"/>
      <c r="G8" s="12"/>
      <c r="H8" s="12"/>
      <c r="I8" s="12"/>
      <c r="J8" s="12"/>
      <c r="K8" s="12"/>
      <c r="L8" s="12"/>
      <c r="M8" s="12"/>
    </row>
    <row r="9" spans="1:13" ht="17.25" thickBot="1">
      <c r="A9" s="33" t="s">
        <v>0</v>
      </c>
      <c r="B9" s="33" t="s">
        <v>0</v>
      </c>
      <c r="C9" s="33" t="s">
        <v>0</v>
      </c>
      <c r="D9" s="33" t="s">
        <v>0</v>
      </c>
      <c r="E9" s="33" t="s">
        <v>0</v>
      </c>
      <c r="F9" s="33" t="s">
        <v>0</v>
      </c>
      <c r="G9" s="33"/>
      <c r="H9" s="33"/>
      <c r="I9" s="33" t="s">
        <v>0</v>
      </c>
      <c r="J9" s="28"/>
      <c r="L9" s="12"/>
      <c r="M9" s="12"/>
    </row>
    <row r="10" spans="1:13" ht="16.5">
      <c r="A10" s="34" t="s">
        <v>0</v>
      </c>
      <c r="B10" s="34" t="s">
        <v>3</v>
      </c>
      <c r="C10" s="34" t="s">
        <v>5</v>
      </c>
      <c r="D10" s="34" t="s">
        <v>21</v>
      </c>
      <c r="E10" s="34" t="s">
        <v>20</v>
      </c>
      <c r="F10" s="34" t="s">
        <v>50</v>
      </c>
      <c r="G10" s="34" t="s">
        <v>124</v>
      </c>
      <c r="H10" s="34" t="s">
        <v>475</v>
      </c>
      <c r="I10" s="34" t="s">
        <v>124</v>
      </c>
      <c r="J10" s="34" t="s">
        <v>47</v>
      </c>
      <c r="L10" s="12"/>
      <c r="M10" s="12"/>
    </row>
    <row r="11" spans="1:13" ht="17.25" thickBot="1">
      <c r="A11" s="36" t="s">
        <v>2</v>
      </c>
      <c r="B11" s="36" t="s">
        <v>4</v>
      </c>
      <c r="C11" s="36" t="s">
        <v>6</v>
      </c>
      <c r="D11" s="36" t="s">
        <v>23</v>
      </c>
      <c r="E11" s="36" t="s">
        <v>22</v>
      </c>
      <c r="F11" s="36" t="s">
        <v>48</v>
      </c>
      <c r="G11" s="36" t="s">
        <v>48</v>
      </c>
      <c r="H11" s="36" t="s">
        <v>48</v>
      </c>
      <c r="I11" s="36" t="s">
        <v>48</v>
      </c>
      <c r="J11" s="36" t="s">
        <v>49</v>
      </c>
      <c r="L11" s="12"/>
      <c r="M11" s="12"/>
    </row>
    <row r="12" spans="1:13" ht="16.5">
      <c r="A12" s="38" t="s">
        <v>7</v>
      </c>
      <c r="B12" s="38" t="s">
        <v>7</v>
      </c>
      <c r="C12" s="38" t="s">
        <v>7</v>
      </c>
      <c r="D12" s="38" t="s">
        <v>7</v>
      </c>
      <c r="E12" s="38" t="s">
        <v>7</v>
      </c>
      <c r="F12" s="38" t="s">
        <v>0</v>
      </c>
      <c r="G12" s="38" t="s">
        <v>0</v>
      </c>
      <c r="H12" s="38" t="s">
        <v>0</v>
      </c>
      <c r="I12" s="38" t="s">
        <v>0</v>
      </c>
      <c r="J12" s="38" t="s">
        <v>477</v>
      </c>
      <c r="L12" s="12"/>
      <c r="M12" s="12"/>
    </row>
    <row r="13" spans="1:13" ht="16.5">
      <c r="A13" s="34"/>
      <c r="B13" s="34"/>
      <c r="C13" s="34"/>
      <c r="D13" s="34"/>
      <c r="E13" s="34"/>
      <c r="F13" s="34"/>
      <c r="G13" s="34"/>
      <c r="H13" s="34"/>
      <c r="I13" s="34"/>
      <c r="J13" s="34"/>
      <c r="L13" s="12"/>
      <c r="M13" s="12"/>
    </row>
    <row r="14" spans="1:13" ht="16.5">
      <c r="A14" s="12"/>
      <c r="B14" s="12"/>
      <c r="C14" s="12"/>
      <c r="D14" s="12"/>
      <c r="E14" s="12"/>
      <c r="F14" s="12"/>
      <c r="G14" s="12"/>
      <c r="H14" s="12"/>
      <c r="I14" s="12"/>
      <c r="J14" s="12"/>
      <c r="L14" s="12"/>
      <c r="M14" s="12"/>
    </row>
    <row r="15" spans="1:13" ht="17.25">
      <c r="A15" s="61" t="str">
        <f>+'S&amp;D'!A22</f>
        <v>American States Water Company</v>
      </c>
      <c r="B15" s="90" t="str">
        <f>+'S&amp;D'!B22</f>
        <v>AWR</v>
      </c>
      <c r="C15" s="34" t="str">
        <f>+'S&amp;D'!C22</f>
        <v>Water Utility</v>
      </c>
      <c r="D15" s="52">
        <f>+'Beta for CAPM'!D18</f>
        <v>0.23499999999999999</v>
      </c>
      <c r="E15" s="34" t="str">
        <f>+'Beta for CAPM'!G18</f>
        <v>A</v>
      </c>
      <c r="F15" s="34" t="s">
        <v>24</v>
      </c>
      <c r="G15" s="266">
        <v>8</v>
      </c>
      <c r="H15" s="303" t="s">
        <v>133</v>
      </c>
      <c r="I15" s="461">
        <f>VLOOKUP(H15,$A$33:$E$56,2,0)</f>
        <v>8</v>
      </c>
      <c r="J15" s="462">
        <f>VLOOKUP(I15,$B$33:$E$56,4,0)</f>
        <v>5.5800000000000002E-2</v>
      </c>
      <c r="L15" s="12"/>
      <c r="M15" s="12"/>
    </row>
    <row r="16" spans="1:13" ht="17.25">
      <c r="A16" s="61" t="str">
        <f>+'S&amp;D'!A23</f>
        <v>American Water Works Company Inc</v>
      </c>
      <c r="B16" s="90" t="str">
        <f>+'S&amp;D'!B23</f>
        <v>AWK</v>
      </c>
      <c r="C16" s="34" t="str">
        <f>+'S&amp;D'!C23</f>
        <v>Water Utility</v>
      </c>
      <c r="D16" s="52">
        <f>+'Beta for CAPM'!D19</f>
        <v>0.22500000000000001</v>
      </c>
      <c r="E16" s="34" t="str">
        <f>+'Beta for CAPM'!G19</f>
        <v>A</v>
      </c>
      <c r="F16" s="34" t="s">
        <v>24</v>
      </c>
      <c r="G16" s="266">
        <v>8</v>
      </c>
      <c r="H16" s="60" t="s">
        <v>52</v>
      </c>
      <c r="I16" s="461">
        <f t="shared" ref="I16:I20" si="0">VLOOKUP(H16,$A$33:$E$56,2,0)</f>
        <v>10</v>
      </c>
      <c r="J16" s="462">
        <f t="shared" ref="J16:J20" si="1">VLOOKUP(I16,$B$33:$E$56,4,0)</f>
        <v>5.7700000000000001E-2</v>
      </c>
      <c r="L16" s="12"/>
      <c r="M16" s="12"/>
    </row>
    <row r="17" spans="1:16" ht="17.25">
      <c r="A17" s="61" t="str">
        <f>+'S&amp;D'!A24</f>
        <v xml:space="preserve">California Water Service Group </v>
      </c>
      <c r="B17" s="90" t="str">
        <f>+'S&amp;D'!B24</f>
        <v>CWT</v>
      </c>
      <c r="C17" s="34" t="str">
        <f>+'S&amp;D'!C24</f>
        <v>Water Utility</v>
      </c>
      <c r="D17" s="52">
        <f>+'Beta for CAPM'!D20</f>
        <v>0.21</v>
      </c>
      <c r="E17" s="34" t="str">
        <f>+'Beta for CAPM'!G20</f>
        <v>B++</v>
      </c>
      <c r="F17" s="34" t="s">
        <v>43</v>
      </c>
      <c r="G17" s="266">
        <v>7</v>
      </c>
      <c r="H17" s="303" t="s">
        <v>55</v>
      </c>
      <c r="I17" s="461">
        <f t="shared" si="0"/>
        <v>7</v>
      </c>
      <c r="J17" s="462">
        <f t="shared" si="1"/>
        <v>5.5800000000000002E-2</v>
      </c>
      <c r="L17" s="12"/>
      <c r="M17" s="12"/>
    </row>
    <row r="18" spans="1:16" ht="17.25">
      <c r="A18" s="61" t="str">
        <f>+'S&amp;D'!A25</f>
        <v>Essential Utilities, Inc.</v>
      </c>
      <c r="B18" s="90" t="str">
        <f>+'S&amp;D'!B25</f>
        <v>WTRG</v>
      </c>
      <c r="C18" s="34" t="str">
        <f>+'S&amp;D'!C25</f>
        <v>Water Utility</v>
      </c>
      <c r="D18" s="52">
        <f>+'Beta for CAPM'!D21</f>
        <v>0.05</v>
      </c>
      <c r="E18" s="34" t="str">
        <f>+'Beta for CAPM'!G21</f>
        <v>A</v>
      </c>
      <c r="F18" s="34" t="s">
        <v>59</v>
      </c>
      <c r="G18" s="266">
        <v>9</v>
      </c>
      <c r="H18" s="60" t="s">
        <v>53</v>
      </c>
      <c r="I18" s="461">
        <f t="shared" si="0"/>
        <v>11</v>
      </c>
      <c r="J18" s="462">
        <f t="shared" si="1"/>
        <v>5.7700000000000001E-2</v>
      </c>
      <c r="L18" s="12"/>
      <c r="M18" s="12"/>
    </row>
    <row r="19" spans="1:16" ht="17.25">
      <c r="A19" s="61" t="str">
        <f>+'S&amp;D'!A26</f>
        <v>Middlesex Water Company</v>
      </c>
      <c r="B19" s="90" t="str">
        <f>+'S&amp;D'!B26</f>
        <v>MSEX</v>
      </c>
      <c r="C19" s="34" t="str">
        <f>+'S&amp;D'!C26</f>
        <v>Water Utility</v>
      </c>
      <c r="D19" s="52">
        <f>+'Beta for CAPM'!D22</f>
        <v>0.21</v>
      </c>
      <c r="E19" s="34" t="str">
        <f>+'Beta for CAPM'!G22</f>
        <v>A</v>
      </c>
      <c r="F19" s="34" t="s">
        <v>24</v>
      </c>
      <c r="G19" s="266">
        <v>8</v>
      </c>
      <c r="H19" s="303" t="s">
        <v>133</v>
      </c>
      <c r="I19" s="461">
        <f t="shared" si="0"/>
        <v>8</v>
      </c>
      <c r="J19" s="462">
        <f t="shared" si="1"/>
        <v>5.5800000000000002E-2</v>
      </c>
      <c r="L19" s="12"/>
      <c r="M19" s="12"/>
    </row>
    <row r="20" spans="1:16" ht="17.25">
      <c r="A20" s="61" t="str">
        <f>+'S&amp;D'!A27</f>
        <v>SJW Corporation</v>
      </c>
      <c r="B20" s="90" t="str">
        <f>+'S&amp;D'!B27</f>
        <v>SJW</v>
      </c>
      <c r="C20" s="34" t="str">
        <f>+'S&amp;D'!C27</f>
        <v>Water Utility</v>
      </c>
      <c r="D20" s="52">
        <f>+'Beta for CAPM'!D23</f>
        <v>0.21</v>
      </c>
      <c r="E20" s="34" t="str">
        <f>+'Beta for CAPM'!G23</f>
        <v>A</v>
      </c>
      <c r="F20" s="34" t="s">
        <v>59</v>
      </c>
      <c r="G20" s="266">
        <v>9</v>
      </c>
      <c r="H20" s="303" t="s">
        <v>57</v>
      </c>
      <c r="I20" s="461">
        <f t="shared" si="0"/>
        <v>9</v>
      </c>
      <c r="J20" s="462">
        <f t="shared" si="1"/>
        <v>5.5800000000000002E-2</v>
      </c>
      <c r="L20" s="12"/>
      <c r="M20" s="12"/>
    </row>
    <row r="21" spans="1:16" ht="17.25" thickBot="1">
      <c r="A21" s="12"/>
      <c r="B21" s="12"/>
      <c r="C21" s="43"/>
      <c r="D21" s="46"/>
      <c r="E21" s="46"/>
      <c r="F21" s="46"/>
      <c r="G21" s="46"/>
      <c r="H21" s="46" t="s">
        <v>44</v>
      </c>
      <c r="I21" s="46"/>
      <c r="J21" s="46"/>
      <c r="L21" s="12"/>
      <c r="M21" s="12"/>
    </row>
    <row r="22" spans="1:16" ht="17.25" thickTop="1">
      <c r="A22" s="12"/>
      <c r="B22" s="12"/>
      <c r="E22" s="14" t="s">
        <v>45</v>
      </c>
      <c r="G22" s="14">
        <f t="shared" ref="G22" si="2">+MAX(G15:G20)</f>
        <v>9</v>
      </c>
      <c r="H22" s="43"/>
      <c r="I22" s="14">
        <f t="shared" ref="I22" si="3">+MAX(I15:I20)</f>
        <v>11</v>
      </c>
      <c r="J22" s="369">
        <f t="shared" ref="J22" si="4">+MAX(J15:J20)</f>
        <v>5.7700000000000001E-2</v>
      </c>
      <c r="L22" s="12"/>
      <c r="M22" s="12"/>
    </row>
    <row r="23" spans="1:16" ht="16.5">
      <c r="A23" s="12"/>
      <c r="B23" s="12"/>
      <c r="E23" s="14" t="s">
        <v>46</v>
      </c>
      <c r="F23" s="221"/>
      <c r="G23" s="267">
        <f t="shared" ref="G23" si="5">+MIN(G15:G20)</f>
        <v>7</v>
      </c>
      <c r="H23" s="293"/>
      <c r="I23" s="267">
        <f t="shared" ref="I23" si="6">+MIN(I15:I20)</f>
        <v>7</v>
      </c>
      <c r="J23" s="354">
        <f t="shared" ref="J23" si="7">+MIN(J15:J20)</f>
        <v>5.5800000000000002E-2</v>
      </c>
      <c r="L23" s="12"/>
      <c r="M23" s="12"/>
    </row>
    <row r="24" spans="1:16" ht="16.5">
      <c r="A24" s="12"/>
      <c r="B24" s="12"/>
      <c r="E24" s="14" t="s">
        <v>18</v>
      </c>
      <c r="G24" s="194">
        <f>MEDIAN(G15:G20)</f>
        <v>8</v>
      </c>
      <c r="H24" s="54" t="s">
        <v>0</v>
      </c>
      <c r="I24" s="194">
        <f>MEDIAN(I15:I20)</f>
        <v>8.5</v>
      </c>
      <c r="J24" s="54">
        <f>MEDIAN(J15:J20)</f>
        <v>5.5800000000000002E-2</v>
      </c>
      <c r="L24" s="12"/>
      <c r="M24" s="12"/>
    </row>
    <row r="25" spans="1:16" ht="16.5">
      <c r="A25" s="12"/>
      <c r="B25" s="12"/>
      <c r="D25" s="14" t="s">
        <v>0</v>
      </c>
      <c r="E25" s="14" t="s">
        <v>374</v>
      </c>
      <c r="G25" s="195">
        <f>AVERAGE(G15:G20)</f>
        <v>8.1666666666666661</v>
      </c>
      <c r="H25" s="54" t="s">
        <v>0</v>
      </c>
      <c r="I25" s="195">
        <f>AVERAGE(I15:I20)</f>
        <v>8.8333333333333339</v>
      </c>
      <c r="J25" s="54">
        <f>AVERAGE(J15:J20)</f>
        <v>5.6433333333333335E-2</v>
      </c>
      <c r="L25" s="12"/>
      <c r="M25" s="12"/>
    </row>
    <row r="26" spans="1:16" ht="17.25" thickBot="1">
      <c r="A26" s="12"/>
      <c r="B26" s="12"/>
      <c r="C26" s="12"/>
      <c r="D26" s="12"/>
      <c r="E26" s="14"/>
      <c r="F26" s="55"/>
      <c r="H26" s="12"/>
      <c r="I26" s="12"/>
      <c r="J26" s="12"/>
      <c r="K26" s="12"/>
      <c r="L26" s="12"/>
      <c r="M26" s="12"/>
      <c r="P26" s="378"/>
    </row>
    <row r="27" spans="1:16" ht="27" thickBot="1">
      <c r="A27" s="12"/>
      <c r="B27" s="12"/>
      <c r="C27" s="12"/>
      <c r="D27" s="12"/>
      <c r="E27" s="12"/>
      <c r="F27" s="167"/>
      <c r="G27" s="302"/>
      <c r="H27" s="168" t="s">
        <v>230</v>
      </c>
      <c r="I27" s="170"/>
      <c r="J27" s="169">
        <v>5.6399999999999999E-2</v>
      </c>
      <c r="K27" s="12"/>
      <c r="L27" s="12"/>
      <c r="M27" s="12"/>
    </row>
    <row r="28" spans="1:16" ht="23.1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6" ht="16.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6" ht="16.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6" ht="21" thickBot="1">
      <c r="A31" s="255" t="s">
        <v>137</v>
      </c>
      <c r="B31" s="12"/>
      <c r="G31" s="12"/>
      <c r="H31" s="12"/>
      <c r="I31" s="12"/>
      <c r="J31" s="12"/>
      <c r="K31" s="12"/>
      <c r="L31" s="12"/>
      <c r="M31" s="12"/>
    </row>
    <row r="32" spans="1:16" ht="28.5" customHeight="1">
      <c r="A32" s="373" t="s">
        <v>476</v>
      </c>
      <c r="B32" s="373" t="s">
        <v>324</v>
      </c>
      <c r="C32" s="373" t="s">
        <v>376</v>
      </c>
      <c r="D32" s="376" t="s">
        <v>410</v>
      </c>
      <c r="E32" s="376" t="s">
        <v>411</v>
      </c>
      <c r="F32" s="12"/>
      <c r="G32" s="12"/>
      <c r="H32" s="12"/>
      <c r="I32" s="12"/>
      <c r="M32" s="12"/>
    </row>
    <row r="33" spans="1:13" ht="17.25">
      <c r="A33" s="261" t="s">
        <v>336</v>
      </c>
      <c r="B33" s="265">
        <v>1</v>
      </c>
      <c r="C33" s="262" t="s">
        <v>335</v>
      </c>
      <c r="D33" s="370">
        <v>5.1999999999999998E-2</v>
      </c>
      <c r="E33" s="370">
        <v>5.1999999999999998E-2</v>
      </c>
      <c r="F33" s="12"/>
      <c r="G33" s="12"/>
      <c r="H33" s="12"/>
      <c r="I33" s="12"/>
      <c r="M33" s="12"/>
    </row>
    <row r="34" spans="1:13" ht="17.25">
      <c r="A34" s="56" t="s">
        <v>337</v>
      </c>
      <c r="B34" s="256">
        <v>2</v>
      </c>
      <c r="C34" s="263" t="s">
        <v>309</v>
      </c>
      <c r="D34" s="370">
        <v>5.1999999999999998E-2</v>
      </c>
      <c r="E34" s="370">
        <v>5.1999999999999998E-2</v>
      </c>
      <c r="F34" s="12" t="s">
        <v>186</v>
      </c>
      <c r="H34" s="12"/>
      <c r="I34" s="12"/>
      <c r="M34" s="12"/>
    </row>
    <row r="35" spans="1:13" ht="18" thickBot="1">
      <c r="A35" s="57" t="s">
        <v>338</v>
      </c>
      <c r="B35" s="258">
        <v>3</v>
      </c>
      <c r="C35" s="264" t="s">
        <v>334</v>
      </c>
      <c r="D35" s="465">
        <v>5.1999999999999998E-2</v>
      </c>
      <c r="E35" s="370">
        <v>5.1999999999999998E-2</v>
      </c>
      <c r="F35" s="12"/>
      <c r="H35" s="12"/>
      <c r="I35" s="12"/>
      <c r="M35" s="12"/>
    </row>
    <row r="36" spans="1:13" ht="17.25">
      <c r="A36" s="56" t="s">
        <v>136</v>
      </c>
      <c r="B36" s="256">
        <v>4</v>
      </c>
      <c r="C36" s="257" t="s">
        <v>308</v>
      </c>
      <c r="D36" s="370">
        <v>5.3699999999999998E-2</v>
      </c>
      <c r="E36" s="370">
        <v>5.45E-2</v>
      </c>
      <c r="F36" s="12"/>
      <c r="H36" s="12"/>
      <c r="I36" s="12"/>
      <c r="M36" s="12"/>
    </row>
    <row r="37" spans="1:13" ht="17.25">
      <c r="A37" s="56" t="s">
        <v>135</v>
      </c>
      <c r="B37" s="256">
        <v>5</v>
      </c>
      <c r="C37" s="257" t="s">
        <v>310</v>
      </c>
      <c r="D37" s="370">
        <v>5.3699999999999998E-2</v>
      </c>
      <c r="E37" s="370">
        <v>5.45E-2</v>
      </c>
      <c r="F37" s="12" t="s">
        <v>311</v>
      </c>
      <c r="H37" s="12"/>
      <c r="I37" s="12"/>
      <c r="M37" s="12"/>
    </row>
    <row r="38" spans="1:13" ht="18" thickBot="1">
      <c r="A38" s="57" t="s">
        <v>134</v>
      </c>
      <c r="B38" s="258">
        <v>6</v>
      </c>
      <c r="C38" s="259" t="s">
        <v>312</v>
      </c>
      <c r="D38" s="466">
        <v>5.3699999999999998E-2</v>
      </c>
      <c r="E38" s="370">
        <v>5.45E-2</v>
      </c>
      <c r="F38" s="12"/>
      <c r="H38" s="12"/>
      <c r="I38" s="12"/>
      <c r="M38" s="12"/>
    </row>
    <row r="39" spans="1:13" ht="17.25">
      <c r="A39" s="56" t="s">
        <v>55</v>
      </c>
      <c r="B39" s="256">
        <v>7</v>
      </c>
      <c r="C39" s="257" t="s">
        <v>43</v>
      </c>
      <c r="D39" s="467">
        <v>5.5300000000000002E-2</v>
      </c>
      <c r="E39" s="371">
        <v>5.5800000000000002E-2</v>
      </c>
      <c r="H39" s="12"/>
      <c r="I39" s="12"/>
      <c r="M39" s="12"/>
    </row>
    <row r="40" spans="1:13" ht="17.25">
      <c r="A40" s="56" t="s">
        <v>133</v>
      </c>
      <c r="B40" s="256">
        <v>8</v>
      </c>
      <c r="C40" s="257" t="s">
        <v>24</v>
      </c>
      <c r="D40" s="371">
        <v>5.5300000000000002E-2</v>
      </c>
      <c r="E40" s="371">
        <v>5.5800000000000002E-2</v>
      </c>
      <c r="F40" s="12" t="s">
        <v>187</v>
      </c>
      <c r="H40" s="12"/>
      <c r="I40" s="12"/>
      <c r="M40" s="12"/>
    </row>
    <row r="41" spans="1:13" ht="18" thickBot="1">
      <c r="A41" s="57" t="s">
        <v>57</v>
      </c>
      <c r="B41" s="258">
        <v>9</v>
      </c>
      <c r="C41" s="259" t="s">
        <v>59</v>
      </c>
      <c r="D41" s="466">
        <v>5.5300000000000002E-2</v>
      </c>
      <c r="E41" s="371">
        <v>5.5800000000000002E-2</v>
      </c>
      <c r="F41" s="12"/>
      <c r="H41" s="12"/>
      <c r="I41" s="12"/>
      <c r="M41" s="12"/>
    </row>
    <row r="42" spans="1:13" ht="17.25">
      <c r="A42" s="56" t="s">
        <v>52</v>
      </c>
      <c r="B42" s="256">
        <v>10</v>
      </c>
      <c r="C42" s="257" t="s">
        <v>313</v>
      </c>
      <c r="D42" s="371">
        <v>5.8000000000000003E-2</v>
      </c>
      <c r="E42" s="371">
        <v>5.7700000000000001E-2</v>
      </c>
      <c r="H42" s="12"/>
      <c r="I42" s="12"/>
      <c r="J42" s="12"/>
      <c r="K42" s="12"/>
      <c r="L42" s="12"/>
      <c r="M42" s="12"/>
    </row>
    <row r="43" spans="1:13" ht="17.25">
      <c r="A43" s="56" t="s">
        <v>53</v>
      </c>
      <c r="B43" s="256">
        <v>11</v>
      </c>
      <c r="C43" s="257" t="s">
        <v>314</v>
      </c>
      <c r="D43" s="371">
        <v>5.8000000000000003E-2</v>
      </c>
      <c r="E43" s="371">
        <v>5.7700000000000001E-2</v>
      </c>
      <c r="F43" s="12" t="s">
        <v>190</v>
      </c>
      <c r="H43" s="12"/>
      <c r="I43" s="12"/>
      <c r="J43" s="12"/>
      <c r="K43" s="12"/>
      <c r="L43" s="12"/>
      <c r="M43" s="12"/>
    </row>
    <row r="44" spans="1:13" ht="18" thickBot="1">
      <c r="A44" s="57" t="s">
        <v>58</v>
      </c>
      <c r="B44" s="258">
        <v>12</v>
      </c>
      <c r="C44" s="259" t="s">
        <v>315</v>
      </c>
      <c r="D44" s="371">
        <v>5.8000000000000003E-2</v>
      </c>
      <c r="E44" s="371">
        <v>5.7700000000000001E-2</v>
      </c>
      <c r="F44" s="12"/>
      <c r="H44" s="12"/>
      <c r="I44" s="12"/>
      <c r="J44" s="12"/>
      <c r="K44" s="12"/>
      <c r="L44" s="12"/>
      <c r="M44" s="12"/>
    </row>
    <row r="45" spans="1:13" ht="17.25">
      <c r="A45" s="56" t="s">
        <v>56</v>
      </c>
      <c r="B45" s="256">
        <v>13</v>
      </c>
      <c r="C45" s="257" t="s">
        <v>316</v>
      </c>
      <c r="D45" s="467">
        <v>6.8400000000000002E-2</v>
      </c>
      <c r="E45" s="370">
        <v>6.8099999999999994E-2</v>
      </c>
      <c r="H45" s="12"/>
      <c r="I45" s="12"/>
      <c r="J45" s="12"/>
      <c r="K45" s="12"/>
      <c r="L45" s="12"/>
      <c r="M45" s="12"/>
    </row>
    <row r="46" spans="1:13" ht="17.25">
      <c r="A46" s="56" t="s">
        <v>132</v>
      </c>
      <c r="B46" s="256">
        <v>14</v>
      </c>
      <c r="C46" s="257" t="s">
        <v>317</v>
      </c>
      <c r="D46" s="370">
        <v>6.8400000000000002E-2</v>
      </c>
      <c r="E46" s="370">
        <v>6.8099999999999994E-2</v>
      </c>
      <c r="F46" s="12" t="s">
        <v>189</v>
      </c>
      <c r="H46" s="12"/>
      <c r="I46" s="12"/>
      <c r="J46" s="12"/>
      <c r="K46" s="12"/>
      <c r="L46" s="12"/>
      <c r="M46" s="12"/>
    </row>
    <row r="47" spans="1:13" ht="18" thickBot="1">
      <c r="A47" s="57" t="s">
        <v>131</v>
      </c>
      <c r="B47" s="258">
        <v>15</v>
      </c>
      <c r="C47" s="259" t="s">
        <v>318</v>
      </c>
      <c r="D47" s="465">
        <v>6.8400000000000002E-2</v>
      </c>
      <c r="E47" s="370">
        <v>6.8099999999999994E-2</v>
      </c>
      <c r="F47" s="12"/>
      <c r="H47" s="12"/>
      <c r="I47" s="12"/>
      <c r="J47" s="12"/>
      <c r="K47" s="12"/>
      <c r="L47" s="12"/>
      <c r="M47" s="12"/>
    </row>
    <row r="48" spans="1:13" ht="17.25">
      <c r="A48" s="56" t="s">
        <v>130</v>
      </c>
      <c r="B48" s="256">
        <v>16</v>
      </c>
      <c r="C48" s="257" t="s">
        <v>25</v>
      </c>
      <c r="D48" s="467">
        <v>7.3300000000000004E-2</v>
      </c>
      <c r="E48" s="371">
        <v>7.2999999999999995E-2</v>
      </c>
      <c r="H48" s="12"/>
      <c r="I48" s="12"/>
      <c r="J48" s="12"/>
      <c r="K48" s="12"/>
      <c r="L48" s="12"/>
      <c r="M48" s="12"/>
    </row>
    <row r="49" spans="1:13" ht="17.25">
      <c r="A49" s="56" t="s">
        <v>129</v>
      </c>
      <c r="B49" s="256">
        <v>17</v>
      </c>
      <c r="C49" s="257" t="s">
        <v>88</v>
      </c>
      <c r="D49" s="371">
        <v>7.3300000000000004E-2</v>
      </c>
      <c r="E49" s="371">
        <v>7.2999999999999995E-2</v>
      </c>
      <c r="F49" s="12" t="s">
        <v>188</v>
      </c>
      <c r="H49" s="12"/>
      <c r="I49" s="12"/>
      <c r="J49" s="12"/>
      <c r="K49" s="12"/>
      <c r="L49" s="12"/>
      <c r="M49" s="12"/>
    </row>
    <row r="50" spans="1:13" ht="18" thickBot="1">
      <c r="A50" s="57" t="s">
        <v>128</v>
      </c>
      <c r="B50" s="258">
        <v>18</v>
      </c>
      <c r="C50" s="259" t="s">
        <v>319</v>
      </c>
      <c r="D50" s="465">
        <v>7.3300000000000004E-2</v>
      </c>
      <c r="E50" s="371">
        <v>7.2999999999999995E-2</v>
      </c>
      <c r="F50" s="12"/>
      <c r="H50" s="12"/>
      <c r="I50" s="12"/>
      <c r="J50" s="12"/>
      <c r="K50" s="12"/>
      <c r="L50" s="12"/>
      <c r="M50" s="12"/>
    </row>
    <row r="51" spans="1:13" ht="17.25">
      <c r="A51" s="56" t="s">
        <v>127</v>
      </c>
      <c r="B51" s="256">
        <v>19</v>
      </c>
      <c r="C51" s="257" t="s">
        <v>320</v>
      </c>
      <c r="D51" s="371">
        <v>7.8200000000000006E-2</v>
      </c>
      <c r="E51" s="371">
        <v>7.7899999999999997E-2</v>
      </c>
      <c r="H51" s="12"/>
      <c r="I51" s="12"/>
      <c r="J51" s="12"/>
      <c r="K51" s="12"/>
      <c r="L51" s="12"/>
      <c r="M51" s="12"/>
    </row>
    <row r="52" spans="1:13" ht="17.25">
      <c r="A52" s="56" t="s">
        <v>126</v>
      </c>
      <c r="B52" s="256">
        <v>20</v>
      </c>
      <c r="C52" s="257" t="s">
        <v>321</v>
      </c>
      <c r="D52" s="371">
        <v>7.8200000000000006E-2</v>
      </c>
      <c r="E52" s="371">
        <v>7.7899999999999997E-2</v>
      </c>
      <c r="F52" s="12" t="s">
        <v>185</v>
      </c>
      <c r="H52" s="12"/>
      <c r="I52" s="12"/>
      <c r="J52" s="12"/>
      <c r="K52" s="12"/>
      <c r="L52" s="12"/>
      <c r="M52" s="12"/>
    </row>
    <row r="53" spans="1:13" ht="18" thickBot="1">
      <c r="A53" s="57" t="s">
        <v>125</v>
      </c>
      <c r="B53" s="258">
        <v>21</v>
      </c>
      <c r="C53" s="346" t="s">
        <v>322</v>
      </c>
      <c r="D53" s="466">
        <v>7.8200000000000006E-2</v>
      </c>
      <c r="E53" s="371">
        <v>7.7899999999999997E-2</v>
      </c>
      <c r="F53" s="12"/>
      <c r="H53" s="12"/>
      <c r="I53" s="12"/>
      <c r="J53" s="12"/>
      <c r="K53" s="12"/>
      <c r="L53" s="12"/>
      <c r="M53" s="12"/>
    </row>
    <row r="54" spans="1:13" ht="17.25">
      <c r="A54" s="345" t="s">
        <v>329</v>
      </c>
      <c r="B54" s="265">
        <v>22</v>
      </c>
      <c r="C54" s="348" t="s">
        <v>332</v>
      </c>
      <c r="D54" s="371">
        <v>8.3099999999999993E-2</v>
      </c>
      <c r="E54" s="371">
        <v>8.2799999999999999E-2</v>
      </c>
      <c r="H54" s="12"/>
      <c r="I54" s="12"/>
      <c r="J54" s="12"/>
      <c r="K54" s="12"/>
      <c r="L54" s="12"/>
      <c r="M54" s="12"/>
    </row>
    <row r="55" spans="1:13" ht="17.25">
      <c r="A55" s="345" t="s">
        <v>330</v>
      </c>
      <c r="B55" s="256">
        <v>23</v>
      </c>
      <c r="C55" s="349" t="s">
        <v>323</v>
      </c>
      <c r="D55" s="371">
        <v>8.3099999999999993E-2</v>
      </c>
      <c r="E55" s="371">
        <v>8.2799999999999999E-2</v>
      </c>
      <c r="F55" s="12" t="s">
        <v>183</v>
      </c>
      <c r="H55" s="12"/>
      <c r="I55" s="12"/>
      <c r="J55" s="12"/>
      <c r="K55" s="12"/>
      <c r="L55" s="12"/>
      <c r="M55" s="12"/>
    </row>
    <row r="56" spans="1:13" ht="18" thickBot="1">
      <c r="A56" s="347" t="s">
        <v>331</v>
      </c>
      <c r="B56" s="258">
        <v>24</v>
      </c>
      <c r="C56" s="346" t="s">
        <v>333</v>
      </c>
      <c r="D56" s="371">
        <v>8.3099999999999993E-2</v>
      </c>
      <c r="E56" s="371">
        <v>8.2799999999999999E-2</v>
      </c>
      <c r="F56" s="12"/>
      <c r="H56" s="12"/>
      <c r="I56" s="12"/>
      <c r="J56" s="12"/>
      <c r="K56" s="12"/>
      <c r="L56" s="12"/>
      <c r="M56" s="12"/>
    </row>
    <row r="57" spans="1:13" ht="18" thickBot="1">
      <c r="A57" s="57" t="s">
        <v>247</v>
      </c>
      <c r="B57" s="258">
        <v>25</v>
      </c>
      <c r="C57" s="57" t="s">
        <v>89</v>
      </c>
      <c r="D57" s="371"/>
      <c r="E57" s="372"/>
      <c r="F57" s="12" t="s">
        <v>184</v>
      </c>
      <c r="H57" s="12"/>
      <c r="I57" s="12"/>
      <c r="J57" s="12"/>
      <c r="K57" s="12"/>
      <c r="L57" s="12"/>
    </row>
    <row r="62" spans="1:13" ht="20.25">
      <c r="A62" s="380"/>
    </row>
    <row r="63" spans="1:13" ht="15.75">
      <c r="A63" s="377"/>
    </row>
    <row r="64" spans="1:13">
      <c r="A64" s="378"/>
    </row>
    <row r="65" spans="1:1" ht="15.75">
      <c r="A65" s="379"/>
    </row>
  </sheetData>
  <pageMargins left="0.25" right="0.25" top="0.75" bottom="0.75" header="0.3" footer="0.3"/>
  <pageSetup scale="42" orientation="landscape" r:id="rId1"/>
  <rowBreaks count="1" manualBreakCount="1">
    <brk id="58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N37"/>
  <sheetViews>
    <sheetView view="pageBreakPreview" zoomScale="60" zoomScaleNormal="80" workbookViewId="0">
      <selection activeCell="G31" sqref="G31"/>
    </sheetView>
  </sheetViews>
  <sheetFormatPr defaultRowHeight="15"/>
  <cols>
    <col min="1" max="1" width="48.85546875" customWidth="1"/>
    <col min="2" max="2" width="13.140625" customWidth="1"/>
    <col min="3" max="3" width="19.85546875" customWidth="1"/>
    <col min="4" max="4" width="24.7109375" customWidth="1"/>
    <col min="5" max="5" width="22.7109375" customWidth="1"/>
    <col min="6" max="7" width="21.28515625" customWidth="1"/>
    <col min="8" max="8" width="12.42578125" customWidth="1"/>
    <col min="9" max="9" width="18.42578125" customWidth="1"/>
    <col min="10" max="10" width="21.28515625" customWidth="1"/>
    <col min="11" max="11" width="2.28515625" customWidth="1"/>
    <col min="12" max="12" width="22.7109375" customWidth="1"/>
    <col min="13" max="13" width="17.28515625" customWidth="1"/>
  </cols>
  <sheetData>
    <row r="1" spans="1:14" ht="26.25">
      <c r="A1" s="23" t="s">
        <v>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7.25">
      <c r="A2" s="61" t="s">
        <v>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6.5">
      <c r="A3" s="25" t="s">
        <v>412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6.5">
      <c r="A4" s="12"/>
      <c r="B4" s="12"/>
      <c r="C4" s="12"/>
      <c r="D4" s="26" t="s">
        <v>0</v>
      </c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8" thickBot="1">
      <c r="A5" s="6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8" thickBot="1">
      <c r="A6" s="241" t="str">
        <f>+'S&amp;D'!A12</f>
        <v>Water Utility Companies (Private)</v>
      </c>
      <c r="B6" s="174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7.25">
      <c r="A7" s="6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18" thickBot="1">
      <c r="A8" s="61"/>
      <c r="B8" s="12"/>
      <c r="C8" s="28"/>
      <c r="D8" s="28"/>
      <c r="E8" s="28"/>
      <c r="F8" s="12"/>
      <c r="G8" s="12"/>
      <c r="H8" s="28"/>
      <c r="I8" s="28"/>
      <c r="J8" s="28"/>
      <c r="K8" s="28"/>
      <c r="L8" s="28"/>
      <c r="M8" s="28"/>
      <c r="N8" s="12"/>
    </row>
    <row r="9" spans="1:14" ht="26.25">
      <c r="B9" s="12"/>
      <c r="C9" s="12"/>
      <c r="D9" s="31" t="s">
        <v>283</v>
      </c>
      <c r="E9" s="12"/>
      <c r="F9" s="12"/>
      <c r="G9" s="12"/>
      <c r="H9" s="12"/>
      <c r="I9" s="12"/>
      <c r="J9" s="12"/>
      <c r="K9" s="67" t="s">
        <v>284</v>
      </c>
      <c r="L9" s="12"/>
      <c r="M9" s="12"/>
      <c r="N9" s="12"/>
    </row>
    <row r="10" spans="1:14" ht="21" thickBot="1">
      <c r="A10" s="30"/>
      <c r="B10" s="12"/>
      <c r="C10" s="28"/>
      <c r="D10" s="32" t="s">
        <v>413</v>
      </c>
      <c r="E10" s="28"/>
      <c r="F10" s="12"/>
      <c r="G10" s="12"/>
      <c r="H10" s="28"/>
      <c r="I10" s="28"/>
      <c r="J10" s="28"/>
      <c r="K10" s="32" t="s">
        <v>413</v>
      </c>
      <c r="L10" s="28"/>
      <c r="M10" s="28"/>
      <c r="N10" s="12"/>
    </row>
    <row r="11" spans="1:14" ht="17.25" thickBot="1">
      <c r="A11" s="33" t="s">
        <v>0</v>
      </c>
      <c r="B11" s="33" t="s">
        <v>0</v>
      </c>
      <c r="C11" s="33" t="s">
        <v>0</v>
      </c>
      <c r="D11" s="33" t="s">
        <v>0</v>
      </c>
      <c r="E11" s="33" t="s">
        <v>0</v>
      </c>
      <c r="F11" s="33" t="s">
        <v>0</v>
      </c>
      <c r="G11" s="40"/>
      <c r="H11" s="28"/>
      <c r="I11" s="33" t="s">
        <v>0</v>
      </c>
      <c r="J11" s="28"/>
      <c r="K11" s="28"/>
      <c r="L11" s="28"/>
      <c r="M11" s="28"/>
      <c r="N11" s="12"/>
    </row>
    <row r="12" spans="1:14" ht="16.5">
      <c r="A12" s="34" t="s">
        <v>0</v>
      </c>
      <c r="B12" s="34" t="s">
        <v>3</v>
      </c>
      <c r="C12" s="34" t="s">
        <v>340</v>
      </c>
      <c r="D12" s="34" t="s">
        <v>109</v>
      </c>
      <c r="E12" s="34" t="s">
        <v>109</v>
      </c>
      <c r="F12" s="34" t="s">
        <v>26</v>
      </c>
      <c r="G12" s="34"/>
      <c r="H12" s="34" t="s">
        <v>3</v>
      </c>
      <c r="I12" s="34" t="s">
        <v>340</v>
      </c>
      <c r="J12" s="34" t="s">
        <v>109</v>
      </c>
      <c r="K12" s="34"/>
      <c r="L12" s="34" t="s">
        <v>109</v>
      </c>
      <c r="M12" s="34" t="s">
        <v>26</v>
      </c>
      <c r="N12" s="12"/>
    </row>
    <row r="13" spans="1:14" ht="17.25" thickBot="1">
      <c r="A13" s="36" t="s">
        <v>2</v>
      </c>
      <c r="B13" s="36" t="s">
        <v>4</v>
      </c>
      <c r="C13" s="36" t="s">
        <v>27</v>
      </c>
      <c r="D13" s="36" t="s">
        <v>158</v>
      </c>
      <c r="E13" s="36" t="s">
        <v>28</v>
      </c>
      <c r="F13" s="36" t="s">
        <v>29</v>
      </c>
      <c r="G13" s="34"/>
      <c r="H13" s="36" t="s">
        <v>4</v>
      </c>
      <c r="I13" s="36" t="s">
        <v>27</v>
      </c>
      <c r="J13" s="36" t="s">
        <v>158</v>
      </c>
      <c r="K13" s="36"/>
      <c r="L13" s="36" t="s">
        <v>28</v>
      </c>
      <c r="M13" s="36" t="s">
        <v>29</v>
      </c>
      <c r="N13" s="12"/>
    </row>
    <row r="14" spans="1:14" ht="16.5">
      <c r="A14" s="38" t="s">
        <v>0</v>
      </c>
      <c r="B14" s="38" t="s">
        <v>0</v>
      </c>
      <c r="C14" s="39" t="s">
        <v>112</v>
      </c>
      <c r="D14" s="38" t="s">
        <v>113</v>
      </c>
      <c r="E14" s="38" t="s">
        <v>0</v>
      </c>
      <c r="F14" s="38" t="s">
        <v>0</v>
      </c>
      <c r="G14" s="40"/>
      <c r="H14" s="38" t="s">
        <v>0</v>
      </c>
      <c r="I14" s="39" t="s">
        <v>112</v>
      </c>
      <c r="J14" s="38" t="s">
        <v>114</v>
      </c>
      <c r="K14" s="38"/>
      <c r="L14" s="38" t="s">
        <v>0</v>
      </c>
      <c r="M14" s="38" t="s">
        <v>0</v>
      </c>
      <c r="N14" s="12"/>
    </row>
    <row r="15" spans="1:14" ht="16.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12"/>
    </row>
    <row r="16" spans="1:14" ht="16.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17.25">
      <c r="A17" s="61" t="str">
        <f>+'S&amp;D'!A22</f>
        <v>American States Water Company</v>
      </c>
      <c r="B17" s="90" t="str">
        <f>+'S&amp;D'!B22</f>
        <v>AWR</v>
      </c>
      <c r="C17" s="58">
        <f>+'S&amp;D'!G22</f>
        <v>77.72</v>
      </c>
      <c r="D17" s="60">
        <v>4.25</v>
      </c>
      <c r="E17" s="68">
        <f>C17/D17</f>
        <v>18.28705882352941</v>
      </c>
      <c r="F17" s="55">
        <f t="shared" ref="F17:F22" si="0">1/E17</f>
        <v>5.4683479155944424E-2</v>
      </c>
      <c r="G17" s="55"/>
      <c r="H17" s="90" t="str">
        <f>+B17</f>
        <v>AWR</v>
      </c>
      <c r="I17" s="58">
        <f>+C17</f>
        <v>77.72</v>
      </c>
      <c r="J17" s="278">
        <v>4.5</v>
      </c>
      <c r="K17" s="60"/>
      <c r="L17" s="68">
        <f>I17/J17</f>
        <v>17.271111111111111</v>
      </c>
      <c r="M17" s="55">
        <f t="shared" ref="M17:M22" si="1">1/L17</f>
        <v>5.7900154400411734E-2</v>
      </c>
      <c r="N17" s="12"/>
    </row>
    <row r="18" spans="1:14" ht="17.25">
      <c r="A18" s="61" t="str">
        <f>+'S&amp;D'!A23</f>
        <v>American Water Works Company Inc</v>
      </c>
      <c r="B18" s="90" t="str">
        <f>+'S&amp;D'!B23</f>
        <v>AWK</v>
      </c>
      <c r="C18" s="58">
        <f>+'S&amp;D'!G23</f>
        <v>124.49</v>
      </c>
      <c r="D18" s="60">
        <v>10.050000000000001</v>
      </c>
      <c r="E18" s="68">
        <f t="shared" ref="E18:E22" si="2">C18/D18</f>
        <v>12.387064676616914</v>
      </c>
      <c r="F18" s="55">
        <f t="shared" si="0"/>
        <v>8.0729375853482221E-2</v>
      </c>
      <c r="G18" s="55"/>
      <c r="H18" s="90" t="str">
        <f t="shared" ref="H18:H22" si="3">+B18</f>
        <v>AWK</v>
      </c>
      <c r="I18" s="58">
        <f t="shared" ref="I18:I22" si="4">+C18</f>
        <v>124.49</v>
      </c>
      <c r="J18" s="278">
        <v>10.75</v>
      </c>
      <c r="K18" s="60"/>
      <c r="L18" s="68">
        <f t="shared" ref="L18:L22" si="5">I18/J18</f>
        <v>11.58046511627907</v>
      </c>
      <c r="M18" s="55">
        <f t="shared" si="1"/>
        <v>8.6352317455217278E-2</v>
      </c>
      <c r="N18" s="12"/>
    </row>
    <row r="19" spans="1:14" ht="17.25">
      <c r="A19" s="61" t="str">
        <f>+'S&amp;D'!A24</f>
        <v xml:space="preserve">California Water Service Group </v>
      </c>
      <c r="B19" s="90" t="str">
        <f>+'S&amp;D'!B24</f>
        <v>CWT</v>
      </c>
      <c r="C19" s="58">
        <f>+'S&amp;D'!G24</f>
        <v>45.33</v>
      </c>
      <c r="D19" s="60">
        <v>4.45</v>
      </c>
      <c r="E19" s="68">
        <f t="shared" si="2"/>
        <v>10.186516853932584</v>
      </c>
      <c r="F19" s="55">
        <f t="shared" si="0"/>
        <v>9.8168983013456876E-2</v>
      </c>
      <c r="G19" s="55"/>
      <c r="H19" s="90" t="str">
        <f t="shared" si="3"/>
        <v>CWT</v>
      </c>
      <c r="I19" s="58">
        <f t="shared" si="4"/>
        <v>45.33</v>
      </c>
      <c r="J19" s="278">
        <v>4.7</v>
      </c>
      <c r="K19" s="60"/>
      <c r="L19" s="68">
        <f t="shared" si="5"/>
        <v>9.6446808510638284</v>
      </c>
      <c r="M19" s="55">
        <f t="shared" si="1"/>
        <v>0.10368409441870727</v>
      </c>
      <c r="N19" s="12"/>
    </row>
    <row r="20" spans="1:14" ht="17.25">
      <c r="A20" s="61" t="str">
        <f>+'S&amp;D'!A25</f>
        <v>Essential Utilities, Inc.</v>
      </c>
      <c r="B20" s="90" t="str">
        <f>+'S&amp;D'!B25</f>
        <v>WTRG</v>
      </c>
      <c r="C20" s="58">
        <f>+'S&amp;D'!G25</f>
        <v>36.32</v>
      </c>
      <c r="D20" s="60">
        <v>3.6</v>
      </c>
      <c r="E20" s="68">
        <f>C20/D20</f>
        <v>10.088888888888889</v>
      </c>
      <c r="F20" s="55">
        <f t="shared" si="0"/>
        <v>9.911894273127754E-2</v>
      </c>
      <c r="G20" s="55"/>
      <c r="H20" s="90" t="str">
        <f t="shared" si="3"/>
        <v>WTRG</v>
      </c>
      <c r="I20" s="58">
        <f t="shared" si="4"/>
        <v>36.32</v>
      </c>
      <c r="J20" s="278">
        <v>3.85</v>
      </c>
      <c r="K20" s="60"/>
      <c r="L20" s="68">
        <f t="shared" si="5"/>
        <v>9.4337662337662334</v>
      </c>
      <c r="M20" s="55">
        <f t="shared" si="1"/>
        <v>0.10600220264317181</v>
      </c>
      <c r="N20" s="12"/>
    </row>
    <row r="21" spans="1:14" ht="17.25">
      <c r="A21" s="61" t="str">
        <f>+'S&amp;D'!A26</f>
        <v>Middlesex Water Company</v>
      </c>
      <c r="B21" s="90" t="str">
        <f>+'S&amp;D'!B26</f>
        <v>MSEX</v>
      </c>
      <c r="C21" s="58">
        <f>+'S&amp;D'!G26</f>
        <v>52.63</v>
      </c>
      <c r="D21" s="60">
        <v>3.85</v>
      </c>
      <c r="E21" s="68">
        <f t="shared" si="2"/>
        <v>13.67012987012987</v>
      </c>
      <c r="F21" s="55">
        <f t="shared" si="0"/>
        <v>7.3152194565836978E-2</v>
      </c>
      <c r="G21" s="55"/>
      <c r="H21" s="90" t="str">
        <f t="shared" si="3"/>
        <v>MSEX</v>
      </c>
      <c r="I21" s="58">
        <f t="shared" si="4"/>
        <v>52.63</v>
      </c>
      <c r="J21" s="278">
        <v>4.05</v>
      </c>
      <c r="K21" s="60"/>
      <c r="L21" s="68">
        <f t="shared" si="5"/>
        <v>12.995061728395063</v>
      </c>
      <c r="M21" s="55">
        <f t="shared" si="1"/>
        <v>7.6952308569257069E-2</v>
      </c>
      <c r="N21" s="12"/>
    </row>
    <row r="22" spans="1:14" ht="17.25">
      <c r="A22" s="61" t="str">
        <f>+'S&amp;D'!A27</f>
        <v>SJW Corporation</v>
      </c>
      <c r="B22" s="90" t="str">
        <f>+'S&amp;D'!B27</f>
        <v>SJW</v>
      </c>
      <c r="C22" s="58">
        <f>+'S&amp;D'!G27</f>
        <v>49.22</v>
      </c>
      <c r="D22" s="60">
        <v>4.75</v>
      </c>
      <c r="E22" s="68">
        <f t="shared" si="2"/>
        <v>10.362105263157895</v>
      </c>
      <c r="F22" s="55">
        <f t="shared" si="0"/>
        <v>9.6505485574969518E-2</v>
      </c>
      <c r="G22" s="55"/>
      <c r="H22" s="90" t="str">
        <f t="shared" si="3"/>
        <v>SJW</v>
      </c>
      <c r="I22" s="58">
        <f t="shared" si="4"/>
        <v>49.22</v>
      </c>
      <c r="J22" s="278">
        <v>5</v>
      </c>
      <c r="K22" s="60"/>
      <c r="L22" s="68">
        <f t="shared" si="5"/>
        <v>9.8439999999999994</v>
      </c>
      <c r="M22" s="55">
        <f t="shared" si="1"/>
        <v>0.10158472165786267</v>
      </c>
      <c r="N22" s="12"/>
    </row>
    <row r="23" spans="1:14" ht="17.25" thickBot="1">
      <c r="A23" s="12"/>
      <c r="B23" s="69"/>
      <c r="C23" s="69"/>
      <c r="D23" s="69"/>
      <c r="E23" s="69"/>
      <c r="F23" s="69"/>
      <c r="G23" s="12"/>
      <c r="H23" s="69"/>
      <c r="I23" s="69"/>
      <c r="J23" s="279" t="s">
        <v>0</v>
      </c>
      <c r="K23" s="69"/>
      <c r="L23" s="69"/>
      <c r="M23" s="69"/>
      <c r="N23" s="12"/>
    </row>
    <row r="24" spans="1:14" ht="17.25" thickTop="1">
      <c r="A24" s="12"/>
      <c r="B24" s="14" t="s">
        <v>45</v>
      </c>
      <c r="C24" s="70">
        <f>MAX(C17:C22)</f>
        <v>124.49</v>
      </c>
      <c r="D24" s="70">
        <f t="shared" ref="D24:F24" si="6">MAX(D17:D22)</f>
        <v>10.050000000000001</v>
      </c>
      <c r="E24" s="70">
        <f t="shared" si="6"/>
        <v>18.28705882352941</v>
      </c>
      <c r="F24" s="51">
        <f t="shared" si="6"/>
        <v>9.911894273127754E-2</v>
      </c>
      <c r="H24" s="14" t="s">
        <v>45</v>
      </c>
      <c r="I24" s="70">
        <f>MAX(I17:I22)</f>
        <v>124.49</v>
      </c>
      <c r="J24" s="70">
        <f t="shared" ref="J24:L24" si="7">MAX(J17:J22)</f>
        <v>10.75</v>
      </c>
      <c r="K24" s="70"/>
      <c r="L24" s="70">
        <f t="shared" si="7"/>
        <v>17.271111111111111</v>
      </c>
      <c r="M24" s="51">
        <f t="shared" ref="M24" si="8">MAX(M17:M22)</f>
        <v>0.10600220264317181</v>
      </c>
      <c r="N24" s="12"/>
    </row>
    <row r="25" spans="1:14" ht="16.5">
      <c r="A25" s="12"/>
      <c r="B25" s="14" t="s">
        <v>46</v>
      </c>
      <c r="C25" s="70">
        <f>+MIN(C17:C22)</f>
        <v>36.32</v>
      </c>
      <c r="D25" s="70">
        <f t="shared" ref="D25:F25" si="9">+MIN(D17:D22)</f>
        <v>3.6</v>
      </c>
      <c r="E25" s="70">
        <f t="shared" si="9"/>
        <v>10.088888888888889</v>
      </c>
      <c r="F25" s="51">
        <f t="shared" si="9"/>
        <v>5.4683479155944424E-2</v>
      </c>
      <c r="H25" s="14" t="s">
        <v>46</v>
      </c>
      <c r="I25" s="70">
        <f>+MIN(I17:I22)</f>
        <v>36.32</v>
      </c>
      <c r="J25" s="70">
        <f t="shared" ref="J25:L25" si="10">+MIN(J17:J22)</f>
        <v>3.85</v>
      </c>
      <c r="K25" s="70"/>
      <c r="L25" s="70">
        <f t="shared" si="10"/>
        <v>9.4337662337662334</v>
      </c>
      <c r="M25" s="51">
        <f t="shared" ref="M25" si="11">+MIN(M17:M22)</f>
        <v>5.7900154400411734E-2</v>
      </c>
      <c r="N25" s="12"/>
    </row>
    <row r="26" spans="1:14" ht="16.5">
      <c r="A26" s="12"/>
      <c r="B26" s="14" t="s">
        <v>18</v>
      </c>
      <c r="C26" s="71">
        <f>MEDIAN(C17:C22)</f>
        <v>50.924999999999997</v>
      </c>
      <c r="D26" s="72">
        <f>MEDIAN(D17:D22)</f>
        <v>4.3499999999999996</v>
      </c>
      <c r="E26" s="21">
        <f>MEDIAN(E17:E22)</f>
        <v>11.374584969887405</v>
      </c>
      <c r="F26" s="55">
        <f>MEDIAN(F17:F22)</f>
        <v>8.861743071422587E-2</v>
      </c>
      <c r="G26" s="55"/>
      <c r="H26" s="14" t="s">
        <v>18</v>
      </c>
      <c r="I26" s="71">
        <f>MEDIAN(I17:I22)</f>
        <v>50.924999999999997</v>
      </c>
      <c r="J26" s="72">
        <f>MEDIAN(J17:J22)</f>
        <v>4.5999999999999996</v>
      </c>
      <c r="K26" s="72"/>
      <c r="L26" s="21">
        <f>MEDIAN(L17:L22)</f>
        <v>10.712232558139535</v>
      </c>
      <c r="M26" s="55">
        <f>MEDIAN(M17:M22)</f>
        <v>9.3968519556539981E-2</v>
      </c>
      <c r="N26" s="12"/>
    </row>
    <row r="27" spans="1:14" ht="16.5">
      <c r="A27" s="12"/>
      <c r="B27" s="14" t="s">
        <v>374</v>
      </c>
      <c r="C27" s="21">
        <f>AVERAGE(C17:C22)</f>
        <v>64.284999999999982</v>
      </c>
      <c r="D27" s="17">
        <f>AVERAGE(D17:D22)</f>
        <v>5.1583333333333341</v>
      </c>
      <c r="E27" s="21">
        <f>AVERAGE(E17:E22)</f>
        <v>12.496960729375928</v>
      </c>
      <c r="F27" s="73">
        <f>AVERAGE(F17:F22)</f>
        <v>8.3726410149161268E-2</v>
      </c>
      <c r="G27" s="73"/>
      <c r="H27" s="14" t="s">
        <v>374</v>
      </c>
      <c r="I27" s="17">
        <f>AVERAGE(I17:I22)</f>
        <v>64.284999999999982</v>
      </c>
      <c r="J27" s="17">
        <f>AVERAGE(J17:J22)</f>
        <v>5.4750000000000005</v>
      </c>
      <c r="K27" s="17"/>
      <c r="L27" s="21">
        <f>AVERAGE(L17:L22)</f>
        <v>11.794847506769218</v>
      </c>
      <c r="M27" s="73">
        <f>AVERAGE(M17:M22)</f>
        <v>8.8745966524104644E-2</v>
      </c>
      <c r="N27" s="12"/>
    </row>
    <row r="28" spans="1:14" ht="16.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ht="26.25">
      <c r="A29" s="12"/>
      <c r="B29" s="12"/>
      <c r="C29" s="12"/>
      <c r="D29" s="77" t="s">
        <v>73</v>
      </c>
      <c r="E29" s="464">
        <v>12.5</v>
      </c>
      <c r="F29" s="295">
        <v>8.3699999999999997E-2</v>
      </c>
      <c r="G29" s="251"/>
      <c r="H29" s="12"/>
      <c r="I29" s="12"/>
      <c r="J29" s="77" t="s">
        <v>73</v>
      </c>
      <c r="K29" s="48"/>
      <c r="L29" s="296">
        <v>11.79</v>
      </c>
      <c r="M29" s="295">
        <v>8.8700000000000001E-2</v>
      </c>
      <c r="N29" s="12"/>
    </row>
    <row r="30" spans="1:14" ht="30" customHeight="1" thickBot="1">
      <c r="A30" s="12"/>
      <c r="B30" s="12"/>
      <c r="C30" s="12"/>
      <c r="D30" s="12"/>
      <c r="E30" s="12"/>
      <c r="G30" s="74"/>
      <c r="H30" s="12"/>
      <c r="I30" s="12"/>
      <c r="J30" s="12"/>
      <c r="K30" s="12"/>
      <c r="L30" s="12"/>
      <c r="M30" s="12"/>
      <c r="N30" s="12"/>
    </row>
    <row r="31" spans="1:14" ht="27" thickBot="1">
      <c r="A31" s="75" t="s">
        <v>0</v>
      </c>
      <c r="B31" s="12"/>
      <c r="C31" s="12"/>
      <c r="D31" s="12"/>
      <c r="E31" s="23" t="s">
        <v>118</v>
      </c>
      <c r="F31" s="23"/>
      <c r="G31" s="196">
        <f>(+E29+L29)/2</f>
        <v>12.145</v>
      </c>
      <c r="H31" s="197">
        <f>(+F29+M29)/2</f>
        <v>8.6199999999999999E-2</v>
      </c>
      <c r="K31" s="12"/>
      <c r="N31" s="12"/>
    </row>
    <row r="32" spans="1:14" ht="16.5">
      <c r="A32" s="75" t="s">
        <v>0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ht="16.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ht="16.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17.25">
      <c r="A35" s="106" t="s">
        <v>346</v>
      </c>
    </row>
    <row r="36" spans="1:14" ht="17.25">
      <c r="A36" s="106" t="s">
        <v>347</v>
      </c>
    </row>
    <row r="37" spans="1:14" ht="17.25">
      <c r="A37" s="106" t="s">
        <v>348</v>
      </c>
    </row>
  </sheetData>
  <pageMargins left="0.25" right="0.25" top="0.75" bottom="0.75" header="0.3" footer="0.3"/>
  <pageSetup scale="4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EAAB1-5671-4283-A0D0-11DDA5DBBF04}">
  <sheetPr>
    <tabColor rgb="FF92D050"/>
  </sheetPr>
  <dimension ref="A1:O67"/>
  <sheetViews>
    <sheetView view="pageBreakPreview" zoomScale="60" zoomScaleNormal="80" workbookViewId="0">
      <selection activeCell="G60" sqref="G60"/>
    </sheetView>
  </sheetViews>
  <sheetFormatPr defaultRowHeight="15"/>
  <cols>
    <col min="1" max="1" width="53.85546875" customWidth="1"/>
    <col min="2" max="2" width="11.5703125" customWidth="1"/>
    <col min="3" max="3" width="12.28515625" bestFit="1" customWidth="1"/>
    <col min="4" max="4" width="20.140625" customWidth="1"/>
    <col min="5" max="5" width="18.85546875" customWidth="1"/>
    <col min="6" max="6" width="19" customWidth="1"/>
    <col min="7" max="7" width="16.42578125" customWidth="1"/>
    <col min="8" max="10" width="19.28515625" customWidth="1"/>
    <col min="11" max="12" width="21.5703125" customWidth="1"/>
    <col min="13" max="13" width="18.28515625" customWidth="1"/>
  </cols>
  <sheetData>
    <row r="1" spans="1:15" ht="26.25">
      <c r="A1" s="23" t="s">
        <v>1</v>
      </c>
      <c r="B1" s="23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17.25">
      <c r="A2" s="61" t="s">
        <v>9</v>
      </c>
      <c r="B2" s="6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16.5">
      <c r="A3" s="25" t="s">
        <v>412</v>
      </c>
      <c r="B3" s="4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6.5">
      <c r="A4" s="12"/>
      <c r="B4" s="12"/>
      <c r="C4" s="12"/>
      <c r="D4" s="12"/>
      <c r="E4" s="26" t="s">
        <v>0</v>
      </c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18" thickBot="1">
      <c r="A5" s="61"/>
      <c r="B5" s="6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21" thickBot="1">
      <c r="A6" s="239" t="str">
        <f>+'S&amp;D'!A12</f>
        <v>Water Utility Companies (Private)</v>
      </c>
      <c r="B6" s="24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8" thickBot="1">
      <c r="A7" s="61"/>
      <c r="B7" s="61"/>
      <c r="C7" s="28"/>
      <c r="D7" s="28"/>
      <c r="E7" s="28"/>
      <c r="F7" s="28"/>
      <c r="G7" s="28"/>
      <c r="H7" s="12"/>
      <c r="I7" s="28"/>
      <c r="J7" s="28"/>
      <c r="K7" s="28"/>
      <c r="L7" s="28"/>
      <c r="M7" s="28"/>
      <c r="N7" s="12"/>
      <c r="O7" s="12"/>
    </row>
    <row r="8" spans="1:15" ht="26.25">
      <c r="B8" s="30"/>
      <c r="C8" s="12"/>
      <c r="D8" s="12"/>
      <c r="E8" s="31" t="s">
        <v>223</v>
      </c>
      <c r="F8" s="12"/>
      <c r="G8" s="12"/>
      <c r="H8" s="12"/>
      <c r="I8" s="12"/>
      <c r="J8" s="12"/>
      <c r="K8" s="31" t="s">
        <v>224</v>
      </c>
      <c r="L8" s="12"/>
      <c r="M8" s="12"/>
      <c r="N8" s="12"/>
      <c r="O8" s="12"/>
    </row>
    <row r="9" spans="1:15" ht="21" thickBot="1">
      <c r="A9" s="30"/>
      <c r="B9" s="30"/>
      <c r="C9" s="28"/>
      <c r="D9" s="28"/>
      <c r="E9" s="36" t="s">
        <v>413</v>
      </c>
      <c r="F9" s="28"/>
      <c r="G9" s="28"/>
      <c r="H9" s="12"/>
      <c r="I9" s="28"/>
      <c r="J9" s="28"/>
      <c r="K9" s="36" t="s">
        <v>413</v>
      </c>
      <c r="L9" s="28"/>
      <c r="M9" s="28"/>
      <c r="N9" s="12"/>
      <c r="O9" s="12"/>
    </row>
    <row r="10" spans="1:15" ht="17.25" thickBot="1">
      <c r="A10" s="33" t="s">
        <v>0</v>
      </c>
      <c r="B10" s="33"/>
      <c r="C10" s="33" t="s">
        <v>0</v>
      </c>
      <c r="D10" s="33" t="s">
        <v>0</v>
      </c>
      <c r="E10" s="33" t="s">
        <v>0</v>
      </c>
      <c r="F10" s="33" t="s">
        <v>0</v>
      </c>
      <c r="G10" s="33" t="s">
        <v>0</v>
      </c>
      <c r="H10" s="12"/>
      <c r="I10" s="28"/>
      <c r="J10" s="28"/>
      <c r="K10" s="28"/>
      <c r="L10" s="28"/>
      <c r="M10" s="28"/>
      <c r="N10" s="12"/>
      <c r="O10" s="12"/>
    </row>
    <row r="11" spans="1:15" ht="16.5">
      <c r="A11" s="34" t="s">
        <v>0</v>
      </c>
      <c r="B11" s="34"/>
      <c r="C11" s="34" t="s">
        <v>3</v>
      </c>
      <c r="D11" s="34" t="s">
        <v>340</v>
      </c>
      <c r="E11" s="34" t="s">
        <v>342</v>
      </c>
      <c r="F11" s="34" t="s">
        <v>110</v>
      </c>
      <c r="G11" s="34" t="s">
        <v>26</v>
      </c>
      <c r="H11" s="12"/>
      <c r="I11" s="34" t="s">
        <v>3</v>
      </c>
      <c r="J11" s="34" t="s">
        <v>340</v>
      </c>
      <c r="K11" s="34" t="s">
        <v>342</v>
      </c>
      <c r="L11" s="34" t="s">
        <v>110</v>
      </c>
      <c r="M11" s="34" t="s">
        <v>26</v>
      </c>
      <c r="N11" s="12"/>
      <c r="O11" s="12"/>
    </row>
    <row r="12" spans="1:15" ht="17.25" thickBot="1">
      <c r="A12" s="36" t="s">
        <v>2</v>
      </c>
      <c r="B12" s="36"/>
      <c r="C12" s="36" t="s">
        <v>4</v>
      </c>
      <c r="D12" s="36" t="s">
        <v>27</v>
      </c>
      <c r="E12" s="36" t="s">
        <v>158</v>
      </c>
      <c r="F12" s="36" t="s">
        <v>28</v>
      </c>
      <c r="G12" s="36" t="s">
        <v>29</v>
      </c>
      <c r="H12" s="12"/>
      <c r="I12" s="36" t="s">
        <v>4</v>
      </c>
      <c r="J12" s="36" t="s">
        <v>27</v>
      </c>
      <c r="K12" s="36" t="s">
        <v>158</v>
      </c>
      <c r="L12" s="36" t="s">
        <v>28</v>
      </c>
      <c r="M12" s="36" t="s">
        <v>29</v>
      </c>
      <c r="N12" s="12"/>
      <c r="O12" s="12"/>
    </row>
    <row r="13" spans="1:15" ht="16.5">
      <c r="A13" s="38" t="s">
        <v>0</v>
      </c>
      <c r="B13" s="38"/>
      <c r="C13" s="38" t="s">
        <v>0</v>
      </c>
      <c r="D13" s="39" t="s">
        <v>112</v>
      </c>
      <c r="E13" s="76" t="s">
        <v>113</v>
      </c>
      <c r="F13" s="38" t="s">
        <v>0</v>
      </c>
      <c r="G13" s="38" t="s">
        <v>0</v>
      </c>
      <c r="H13" s="12"/>
      <c r="I13" s="38" t="s">
        <v>0</v>
      </c>
      <c r="J13" s="39" t="s">
        <v>112</v>
      </c>
      <c r="K13" s="76" t="s">
        <v>111</v>
      </c>
      <c r="L13" s="38" t="s">
        <v>0</v>
      </c>
      <c r="M13" s="38" t="s">
        <v>0</v>
      </c>
      <c r="N13" s="12"/>
      <c r="O13" s="12"/>
    </row>
    <row r="14" spans="1:15" ht="16.5">
      <c r="A14" s="34"/>
      <c r="B14" s="34"/>
      <c r="C14" s="34"/>
      <c r="D14" s="34"/>
      <c r="E14" s="34"/>
      <c r="F14" s="34"/>
      <c r="G14" s="34"/>
      <c r="H14" s="12"/>
      <c r="I14" s="34"/>
      <c r="J14" s="34"/>
      <c r="K14" s="34"/>
      <c r="L14" s="34"/>
      <c r="M14" s="34"/>
      <c r="N14" s="12"/>
      <c r="O14" s="12"/>
    </row>
    <row r="15" spans="1:15" ht="16.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 ht="17.25">
      <c r="A16" s="61" t="str">
        <f>+'S&amp;D'!A22</f>
        <v>American States Water Company</v>
      </c>
      <c r="B16" s="61"/>
      <c r="C16" s="90" t="str">
        <f>+'S&amp;D'!B22</f>
        <v>AWR</v>
      </c>
      <c r="D16" s="58">
        <f>'S&amp;D'!G22</f>
        <v>77.72</v>
      </c>
      <c r="E16" s="60">
        <f>+Earnings!E16</f>
        <v>3.05</v>
      </c>
      <c r="F16" s="68">
        <f>D16/E16</f>
        <v>25.481967213114753</v>
      </c>
      <c r="G16" s="55">
        <f t="shared" ref="G16:G21" si="0">1/F16</f>
        <v>3.9243437982501288E-2</v>
      </c>
      <c r="H16" s="12"/>
      <c r="I16" s="34" t="str">
        <f>+C16</f>
        <v>AWR</v>
      </c>
      <c r="J16" s="58">
        <f>+D16</f>
        <v>77.72</v>
      </c>
      <c r="K16" s="60">
        <f>+Earnings!G16</f>
        <v>3.3</v>
      </c>
      <c r="L16" s="68">
        <f>J16/K16</f>
        <v>23.551515151515151</v>
      </c>
      <c r="M16" s="55">
        <f t="shared" ref="M16:M21" si="1">1/L16</f>
        <v>4.2460113226968604E-2</v>
      </c>
      <c r="N16" s="12"/>
      <c r="O16" s="12"/>
    </row>
    <row r="17" spans="1:15" ht="17.25">
      <c r="A17" s="61" t="str">
        <f>+'S&amp;D'!A23</f>
        <v>American Water Works Company Inc</v>
      </c>
      <c r="B17" s="61"/>
      <c r="C17" s="90" t="str">
        <f>+'S&amp;D'!B23</f>
        <v>AWK</v>
      </c>
      <c r="D17" s="58">
        <f>'S&amp;D'!G23</f>
        <v>124.49</v>
      </c>
      <c r="E17" s="60">
        <f>+Earnings!E17</f>
        <v>5.7</v>
      </c>
      <c r="F17" s="68">
        <f t="shared" ref="F17:F21" si="2">D17/E17</f>
        <v>21.840350877192982</v>
      </c>
      <c r="G17" s="55">
        <f t="shared" si="0"/>
        <v>4.5786810185557074E-2</v>
      </c>
      <c r="H17" s="12"/>
      <c r="I17" s="34" t="str">
        <f t="shared" ref="I17:I21" si="3">+C17</f>
        <v>AWK</v>
      </c>
      <c r="J17" s="58">
        <f t="shared" ref="J17:J21" si="4">+D17</f>
        <v>124.49</v>
      </c>
      <c r="K17" s="60">
        <f>+Earnings!G17</f>
        <v>6.15</v>
      </c>
      <c r="L17" s="68">
        <f t="shared" ref="L17:L21" si="5">J17/K17</f>
        <v>20.242276422764224</v>
      </c>
      <c r="M17" s="55">
        <f t="shared" si="1"/>
        <v>4.9401558358101061E-2</v>
      </c>
      <c r="N17" s="12"/>
      <c r="O17" s="12"/>
    </row>
    <row r="18" spans="1:15" ht="17.25">
      <c r="A18" s="61" t="str">
        <f>+'S&amp;D'!A24</f>
        <v xml:space="preserve">California Water Service Group </v>
      </c>
      <c r="B18" s="61"/>
      <c r="C18" s="90" t="str">
        <f>+'S&amp;D'!B24</f>
        <v>CWT</v>
      </c>
      <c r="D18" s="58">
        <f>'S&amp;D'!G24</f>
        <v>45.33</v>
      </c>
      <c r="E18" s="60">
        <f>+Earnings!E18</f>
        <v>3</v>
      </c>
      <c r="F18" s="68">
        <f t="shared" si="2"/>
        <v>15.11</v>
      </c>
      <c r="G18" s="55">
        <f t="shared" si="0"/>
        <v>6.6181336863004633E-2</v>
      </c>
      <c r="H18" s="12"/>
      <c r="I18" s="34" t="str">
        <f t="shared" si="3"/>
        <v>CWT</v>
      </c>
      <c r="J18" s="58">
        <f t="shared" si="4"/>
        <v>45.33</v>
      </c>
      <c r="K18" s="60">
        <f>+Earnings!G18</f>
        <v>3.2</v>
      </c>
      <c r="L18" s="68">
        <f t="shared" si="5"/>
        <v>14.165624999999999</v>
      </c>
      <c r="M18" s="55">
        <f t="shared" si="1"/>
        <v>7.0593425987204944E-2</v>
      </c>
      <c r="N18" s="12"/>
      <c r="O18" s="12"/>
    </row>
    <row r="19" spans="1:15" ht="17.25">
      <c r="A19" s="61" t="str">
        <f>+'S&amp;D'!A25</f>
        <v>Essential Utilities, Inc.</v>
      </c>
      <c r="B19" s="61"/>
      <c r="C19" s="90" t="str">
        <f>+'S&amp;D'!B25</f>
        <v>WTRG</v>
      </c>
      <c r="D19" s="58">
        <f>'S&amp;D'!G25</f>
        <v>36.32</v>
      </c>
      <c r="E19" s="60">
        <f>+Earnings!E19</f>
        <v>2.25</v>
      </c>
      <c r="F19" s="68">
        <f>D19/E19</f>
        <v>16.142222222222223</v>
      </c>
      <c r="G19" s="55">
        <f t="shared" si="0"/>
        <v>6.1949339207048454E-2</v>
      </c>
      <c r="H19" s="12"/>
      <c r="I19" s="34" t="str">
        <f t="shared" si="3"/>
        <v>WTRG</v>
      </c>
      <c r="J19" s="58">
        <f t="shared" si="4"/>
        <v>36.32</v>
      </c>
      <c r="K19" s="60">
        <f>+Earnings!G19</f>
        <v>2.4500000000000002</v>
      </c>
      <c r="L19" s="68">
        <f t="shared" si="5"/>
        <v>14.824489795918366</v>
      </c>
      <c r="M19" s="55">
        <f t="shared" si="1"/>
        <v>6.7455947136563887E-2</v>
      </c>
      <c r="N19" s="12"/>
      <c r="O19" s="12"/>
    </row>
    <row r="20" spans="1:15" ht="17.25">
      <c r="A20" s="61" t="str">
        <f>+'S&amp;D'!A26</f>
        <v>Middlesex Water Company</v>
      </c>
      <c r="B20" s="61"/>
      <c r="C20" s="90" t="str">
        <f>+'S&amp;D'!B26</f>
        <v>MSEX</v>
      </c>
      <c r="D20" s="58">
        <f>'S&amp;D'!G26</f>
        <v>52.63</v>
      </c>
      <c r="E20" s="60">
        <f>+Earnings!E20</f>
        <v>2.75</v>
      </c>
      <c r="F20" s="68">
        <f t="shared" si="2"/>
        <v>19.13818181818182</v>
      </c>
      <c r="G20" s="55">
        <f t="shared" si="0"/>
        <v>5.2251567547026402E-2</v>
      </c>
      <c r="H20" s="12"/>
      <c r="I20" s="34" t="str">
        <f t="shared" si="3"/>
        <v>MSEX</v>
      </c>
      <c r="J20" s="58">
        <f t="shared" si="4"/>
        <v>52.63</v>
      </c>
      <c r="K20" s="60">
        <f>+Earnings!G20</f>
        <v>2.95</v>
      </c>
      <c r="L20" s="68">
        <f t="shared" si="5"/>
        <v>17.840677966101694</v>
      </c>
      <c r="M20" s="55">
        <f t="shared" si="1"/>
        <v>5.6051681550446514E-2</v>
      </c>
      <c r="N20" s="12"/>
      <c r="O20" s="12"/>
    </row>
    <row r="21" spans="1:15" ht="17.25">
      <c r="A21" s="61" t="str">
        <f>+'S&amp;D'!A27</f>
        <v>SJW Corporation</v>
      </c>
      <c r="B21" s="61"/>
      <c r="C21" s="90" t="str">
        <f>+'S&amp;D'!B27</f>
        <v>SJW</v>
      </c>
      <c r="D21" s="58">
        <f>'S&amp;D'!G27</f>
        <v>49.22</v>
      </c>
      <c r="E21" s="60">
        <f>+Earnings!E21</f>
        <v>3.2</v>
      </c>
      <c r="F21" s="68">
        <f t="shared" si="2"/>
        <v>15.38125</v>
      </c>
      <c r="G21" s="55">
        <f t="shared" si="0"/>
        <v>6.5014221861032104E-2</v>
      </c>
      <c r="H21" s="12"/>
      <c r="I21" s="34" t="str">
        <f t="shared" si="3"/>
        <v>SJW</v>
      </c>
      <c r="J21" s="58">
        <f t="shared" si="4"/>
        <v>49.22</v>
      </c>
      <c r="K21" s="60">
        <f>+Earnings!G21</f>
        <v>3.4</v>
      </c>
      <c r="L21" s="68">
        <f t="shared" si="5"/>
        <v>14.476470588235294</v>
      </c>
      <c r="M21" s="55">
        <f t="shared" si="1"/>
        <v>6.9077610727346611E-2</v>
      </c>
      <c r="N21" s="12"/>
      <c r="O21" s="12"/>
    </row>
    <row r="22" spans="1:15" ht="18" thickBot="1">
      <c r="A22" s="12"/>
      <c r="B22" s="12"/>
      <c r="C22" s="69"/>
      <c r="D22" s="69"/>
      <c r="E22" s="69"/>
      <c r="F22" s="69"/>
      <c r="G22" s="69"/>
      <c r="H22" s="12"/>
      <c r="I22" s="69"/>
      <c r="J22" s="63" t="s">
        <v>0</v>
      </c>
      <c r="K22" s="69"/>
      <c r="L22" s="69"/>
      <c r="M22" s="69"/>
      <c r="N22" s="12"/>
      <c r="O22" s="12"/>
    </row>
    <row r="23" spans="1:15" ht="17.25" thickTop="1">
      <c r="A23" s="12"/>
      <c r="B23" s="12"/>
      <c r="C23" s="14" t="s">
        <v>45</v>
      </c>
      <c r="D23" s="70">
        <f>MAX(D16:D21)</f>
        <v>124.49</v>
      </c>
      <c r="E23" s="70">
        <f t="shared" ref="E23:G23" si="6">MAX(E16:E21)</f>
        <v>5.7</v>
      </c>
      <c r="F23" s="70">
        <f t="shared" si="6"/>
        <v>25.481967213114753</v>
      </c>
      <c r="G23" s="51">
        <f t="shared" si="6"/>
        <v>6.6181336863004633E-2</v>
      </c>
      <c r="H23" s="12"/>
      <c r="I23" s="14" t="s">
        <v>45</v>
      </c>
      <c r="J23" s="70">
        <f>+MAX(J16:J21)</f>
        <v>124.49</v>
      </c>
      <c r="K23" s="70">
        <f t="shared" ref="K23:L23" si="7">+MAX(K16:K21)</f>
        <v>6.15</v>
      </c>
      <c r="L23" s="70">
        <f t="shared" si="7"/>
        <v>23.551515151515151</v>
      </c>
      <c r="M23" s="294">
        <f>+MAX(M16:M21)</f>
        <v>7.0593425987204944E-2</v>
      </c>
      <c r="N23" s="12"/>
      <c r="O23" s="12"/>
    </row>
    <row r="24" spans="1:15" ht="16.5">
      <c r="A24" s="12"/>
      <c r="B24" s="12"/>
      <c r="C24" s="14" t="s">
        <v>46</v>
      </c>
      <c r="D24" s="307">
        <f>MIN(D16:D21)</f>
        <v>36.32</v>
      </c>
      <c r="E24" s="307">
        <f t="shared" ref="E24:G24" si="8">MIN(E16:E21)</f>
        <v>2.25</v>
      </c>
      <c r="F24" s="307">
        <f t="shared" si="8"/>
        <v>15.11</v>
      </c>
      <c r="G24" s="310">
        <f t="shared" si="8"/>
        <v>3.9243437982501288E-2</v>
      </c>
      <c r="H24" s="12"/>
      <c r="I24" s="14" t="s">
        <v>46</v>
      </c>
      <c r="J24" s="307">
        <f>+MIN(J16:J21)</f>
        <v>36.32</v>
      </c>
      <c r="K24" s="307">
        <f t="shared" ref="K24:L24" si="9">+MIN(K16:K21)</f>
        <v>2.4500000000000002</v>
      </c>
      <c r="L24" s="307">
        <f t="shared" si="9"/>
        <v>14.165624999999999</v>
      </c>
      <c r="M24" s="308">
        <f>+MIN(M16:M21)</f>
        <v>4.2460113226968604E-2</v>
      </c>
      <c r="N24" s="12"/>
      <c r="O24" s="12"/>
    </row>
    <row r="25" spans="1:15" ht="16.5">
      <c r="A25" s="12"/>
      <c r="B25" s="12"/>
      <c r="C25" s="14" t="s">
        <v>18</v>
      </c>
      <c r="D25" s="71">
        <f>MEDIAN(D16:D21)</f>
        <v>50.924999999999997</v>
      </c>
      <c r="E25" s="72">
        <f>MEDIAN(E16:E21)</f>
        <v>3.0249999999999999</v>
      </c>
      <c r="F25" s="21">
        <f>MEDIAN(F16:F21)</f>
        <v>17.640202020202022</v>
      </c>
      <c r="G25" s="55">
        <f>MEDIAN(G16:G21)</f>
        <v>5.7100453377037425E-2</v>
      </c>
      <c r="H25" s="12"/>
      <c r="I25" s="14" t="s">
        <v>18</v>
      </c>
      <c r="J25" s="71">
        <f>MEDIAN(J16:J21)</f>
        <v>50.924999999999997</v>
      </c>
      <c r="K25" s="72">
        <f>MEDIAN(K16:K21)</f>
        <v>3.25</v>
      </c>
      <c r="L25" s="21">
        <f>MEDIAN(L16:L21)</f>
        <v>16.332583881010031</v>
      </c>
      <c r="M25" s="55">
        <f>MEDIAN(M16:M21)</f>
        <v>6.1753814343505201E-2</v>
      </c>
      <c r="N25" s="12"/>
      <c r="O25" s="12"/>
    </row>
    <row r="26" spans="1:15" ht="16.5">
      <c r="A26" s="12"/>
      <c r="B26" s="12"/>
      <c r="C26" s="14" t="s">
        <v>374</v>
      </c>
      <c r="D26" s="21">
        <f>AVERAGE(D16:D21)</f>
        <v>64.284999999999982</v>
      </c>
      <c r="E26" s="17">
        <f>AVERAGE(E16:E21)</f>
        <v>3.3249999999999997</v>
      </c>
      <c r="F26" s="21">
        <f>AVERAGE(F16:F21)</f>
        <v>18.848995355118628</v>
      </c>
      <c r="G26" s="73">
        <f>AVERAGE(G16:G21)</f>
        <v>5.5071118941028334E-2</v>
      </c>
      <c r="H26" s="12"/>
      <c r="I26" s="14" t="s">
        <v>374</v>
      </c>
      <c r="J26" s="21">
        <f>AVERAGE(J16:J21)</f>
        <v>64.284999999999982</v>
      </c>
      <c r="K26" s="17">
        <f>AVERAGE(K16:K21)</f>
        <v>3.5749999999999993</v>
      </c>
      <c r="L26" s="21">
        <f>AVERAGE(L16:L21)</f>
        <v>17.516842487422455</v>
      </c>
      <c r="M26" s="73">
        <f>AVERAGE(M16:M21)</f>
        <v>5.9173389497771935E-2</v>
      </c>
      <c r="N26" s="12"/>
      <c r="O26" s="12"/>
    </row>
    <row r="27" spans="1:15" ht="16.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 ht="26.25">
      <c r="A28" s="12"/>
      <c r="B28" s="12"/>
      <c r="C28" s="12"/>
      <c r="D28" s="12"/>
      <c r="E28" s="77" t="s">
        <v>73</v>
      </c>
      <c r="F28" s="297">
        <v>18.850000000000001</v>
      </c>
      <c r="G28" s="295">
        <v>5.5100000000000003E-2</v>
      </c>
      <c r="H28" s="12"/>
      <c r="I28" s="12"/>
      <c r="J28" s="12"/>
      <c r="K28" s="77" t="s">
        <v>73</v>
      </c>
      <c r="L28" s="297">
        <v>17.52</v>
      </c>
      <c r="M28" s="295">
        <v>5.9200000000000003E-2</v>
      </c>
      <c r="N28" s="12"/>
      <c r="O28" s="12"/>
    </row>
    <row r="29" spans="1:15" ht="16.5">
      <c r="A29" s="12"/>
      <c r="B29" s="12"/>
      <c r="C29" s="12"/>
      <c r="D29" s="12"/>
      <c r="E29" s="12"/>
      <c r="F29" s="12"/>
      <c r="K29" s="12"/>
      <c r="L29" s="12"/>
      <c r="M29" s="12"/>
      <c r="N29" s="12"/>
      <c r="O29" s="12"/>
    </row>
    <row r="30" spans="1:15" ht="30" customHeight="1">
      <c r="A30" s="12"/>
      <c r="B30" s="12"/>
      <c r="C30" s="12"/>
      <c r="D30" s="12"/>
      <c r="E30" s="12"/>
      <c r="F30" s="12"/>
      <c r="K30" s="12"/>
      <c r="L30" s="12"/>
      <c r="M30" s="12"/>
      <c r="N30" s="12"/>
      <c r="O30" s="12"/>
    </row>
    <row r="31" spans="1:15" ht="17.25" thickBot="1">
      <c r="A31" s="12"/>
      <c r="B31" s="12"/>
      <c r="C31" s="12"/>
      <c r="D31" s="12"/>
      <c r="E31" s="12"/>
      <c r="F31" s="12"/>
      <c r="K31" s="12"/>
      <c r="L31" s="12"/>
      <c r="M31" s="12"/>
      <c r="N31" s="12"/>
      <c r="O31" s="12"/>
    </row>
    <row r="32" spans="1:15" ht="30.75" customHeight="1" thickBot="1">
      <c r="A32" s="75" t="s">
        <v>0</v>
      </c>
      <c r="B32" s="75"/>
      <c r="C32" s="12"/>
      <c r="D32" s="12"/>
      <c r="E32" s="12"/>
      <c r="G32" s="23" t="s">
        <v>118</v>
      </c>
      <c r="H32" s="12"/>
      <c r="I32" s="198">
        <f>(+F28+L28)/2</f>
        <v>18.185000000000002</v>
      </c>
      <c r="J32" s="199">
        <f>(+G28+M28)/2</f>
        <v>5.7150000000000006E-2</v>
      </c>
      <c r="N32" s="12"/>
      <c r="O32" s="12"/>
    </row>
    <row r="33" spans="1:15" ht="16.5">
      <c r="A33" s="75" t="s">
        <v>0</v>
      </c>
      <c r="B33" s="75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 ht="16.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5" ht="16.5">
      <c r="B35" s="12"/>
      <c r="C35" s="12"/>
      <c r="D35" s="12"/>
      <c r="E35" s="12"/>
      <c r="F35" s="12"/>
      <c r="G35" s="12"/>
      <c r="H35" s="12"/>
    </row>
    <row r="36" spans="1:15" ht="16.5">
      <c r="B36" s="12"/>
      <c r="C36" s="12"/>
      <c r="D36" s="26" t="s">
        <v>0</v>
      </c>
      <c r="E36" s="12"/>
      <c r="F36" s="12"/>
      <c r="G36" s="12"/>
      <c r="H36" s="12"/>
    </row>
    <row r="37" spans="1:15" ht="17.25" thickBot="1">
      <c r="B37" s="12"/>
      <c r="C37" s="12"/>
      <c r="D37" s="12"/>
      <c r="E37" s="12"/>
      <c r="F37" s="12"/>
      <c r="G37" s="12"/>
      <c r="H37" s="12"/>
    </row>
    <row r="38" spans="1:15" ht="17.25" thickBot="1">
      <c r="A38" s="166"/>
      <c r="B38" s="12"/>
      <c r="C38" s="12"/>
      <c r="D38" s="12"/>
      <c r="E38" s="12"/>
      <c r="F38" s="12"/>
      <c r="G38" s="12"/>
    </row>
    <row r="39" spans="1:15" ht="17.25" thickBot="1">
      <c r="C39" s="28"/>
      <c r="D39" s="28"/>
      <c r="E39" s="28"/>
      <c r="F39" s="28"/>
      <c r="G39" s="28"/>
    </row>
    <row r="40" spans="1:15" ht="26.25">
      <c r="A40" s="61"/>
      <c r="C40" s="12"/>
      <c r="D40" s="12"/>
      <c r="E40" s="31" t="s">
        <v>409</v>
      </c>
      <c r="F40" s="12"/>
      <c r="G40" s="12"/>
    </row>
    <row r="41" spans="1:15" ht="17.25" thickBot="1">
      <c r="C41" s="28"/>
      <c r="D41" s="28"/>
      <c r="E41" s="36" t="s">
        <v>413</v>
      </c>
      <c r="F41" s="28"/>
      <c r="G41" s="28"/>
    </row>
    <row r="42" spans="1:15" ht="15.75" thickBot="1">
      <c r="A42" s="33" t="s">
        <v>0</v>
      </c>
      <c r="C42" s="33" t="s">
        <v>0</v>
      </c>
      <c r="D42" s="33" t="s">
        <v>0</v>
      </c>
      <c r="E42" s="33" t="s">
        <v>0</v>
      </c>
      <c r="F42" s="33" t="s">
        <v>0</v>
      </c>
      <c r="G42" s="33" t="s">
        <v>0</v>
      </c>
    </row>
    <row r="43" spans="1:15" ht="16.5">
      <c r="A43" s="34" t="s">
        <v>0</v>
      </c>
      <c r="C43" s="34" t="s">
        <v>3</v>
      </c>
      <c r="D43" s="34" t="s">
        <v>340</v>
      </c>
      <c r="E43" s="34" t="s">
        <v>342</v>
      </c>
      <c r="F43" s="34" t="s">
        <v>110</v>
      </c>
      <c r="G43" s="34" t="s">
        <v>26</v>
      </c>
    </row>
    <row r="44" spans="1:15" ht="17.25" thickBot="1">
      <c r="A44" s="36" t="s">
        <v>2</v>
      </c>
      <c r="C44" s="36" t="s">
        <v>4</v>
      </c>
      <c r="D44" s="36" t="s">
        <v>27</v>
      </c>
      <c r="E44" s="36" t="s">
        <v>158</v>
      </c>
      <c r="F44" s="36" t="s">
        <v>28</v>
      </c>
      <c r="G44" s="36" t="s">
        <v>29</v>
      </c>
    </row>
    <row r="45" spans="1:15">
      <c r="A45" s="38" t="s">
        <v>0</v>
      </c>
      <c r="C45" s="38" t="s">
        <v>0</v>
      </c>
      <c r="D45" s="39" t="s">
        <v>112</v>
      </c>
      <c r="E45" s="76" t="s">
        <v>229</v>
      </c>
      <c r="F45" s="38" t="s">
        <v>0</v>
      </c>
      <c r="G45" s="38" t="s">
        <v>0</v>
      </c>
    </row>
    <row r="46" spans="1:15" ht="16.5">
      <c r="A46" s="34"/>
      <c r="C46" s="34"/>
      <c r="D46" s="34"/>
      <c r="E46" s="34"/>
      <c r="F46" s="34"/>
      <c r="G46" s="34"/>
    </row>
    <row r="47" spans="1:15" ht="16.5">
      <c r="A47" s="12"/>
      <c r="C47" s="12"/>
      <c r="D47" s="12"/>
      <c r="E47" s="12"/>
      <c r="F47" s="12"/>
      <c r="G47" s="12"/>
    </row>
    <row r="48" spans="1:15" ht="17.25">
      <c r="A48" s="61" t="str">
        <f>+'S&amp;D'!A22</f>
        <v>American States Water Company</v>
      </c>
      <c r="C48" s="90" t="str">
        <f>+'S&amp;D'!B22</f>
        <v>AWR</v>
      </c>
      <c r="D48" s="58">
        <f>'S&amp;D'!G22</f>
        <v>77.72</v>
      </c>
      <c r="E48" s="335">
        <f>+Earnings!I16</f>
        <v>3.9</v>
      </c>
      <c r="F48" s="72">
        <f t="shared" ref="F48:F53" si="10">D48/E48</f>
        <v>19.928205128205128</v>
      </c>
      <c r="G48" s="55">
        <f t="shared" ref="G48:G53" si="11">1/F48</f>
        <v>5.0180133813690173E-2</v>
      </c>
    </row>
    <row r="49" spans="1:7" ht="17.25">
      <c r="A49" s="61" t="str">
        <f>+'S&amp;D'!A23</f>
        <v>American Water Works Company Inc</v>
      </c>
      <c r="C49" s="90" t="str">
        <f>+'S&amp;D'!B23</f>
        <v>AWK</v>
      </c>
      <c r="D49" s="58">
        <f>'S&amp;D'!G23</f>
        <v>124.49</v>
      </c>
      <c r="E49" s="335">
        <f>+Earnings!I17</f>
        <v>7.5</v>
      </c>
      <c r="F49" s="72">
        <f t="shared" si="10"/>
        <v>16.598666666666666</v>
      </c>
      <c r="G49" s="55">
        <f t="shared" si="11"/>
        <v>6.0245802875732994E-2</v>
      </c>
    </row>
    <row r="50" spans="1:7" ht="17.25">
      <c r="A50" s="61" t="str">
        <f>+'S&amp;D'!A24</f>
        <v xml:space="preserve">California Water Service Group </v>
      </c>
      <c r="C50" s="90" t="str">
        <f>+'S&amp;D'!B24</f>
        <v>CWT</v>
      </c>
      <c r="D50" s="58">
        <f>'S&amp;D'!G24</f>
        <v>45.33</v>
      </c>
      <c r="E50" s="335">
        <f>+Earnings!I18</f>
        <v>3.45</v>
      </c>
      <c r="F50" s="72">
        <f t="shared" si="10"/>
        <v>13.139130434782608</v>
      </c>
      <c r="G50" s="55">
        <f t="shared" si="11"/>
        <v>7.6108537392455336E-2</v>
      </c>
    </row>
    <row r="51" spans="1:7" ht="17.25">
      <c r="A51" s="61" t="str">
        <f>+'S&amp;D'!A25</f>
        <v>Essential Utilities, Inc.</v>
      </c>
      <c r="C51" s="90" t="str">
        <f>+'S&amp;D'!B25</f>
        <v>WTRG</v>
      </c>
      <c r="D51" s="58">
        <f>'S&amp;D'!G25</f>
        <v>36.32</v>
      </c>
      <c r="E51" s="335">
        <f>+Earnings!I19</f>
        <v>2.75</v>
      </c>
      <c r="F51" s="72">
        <f t="shared" si="10"/>
        <v>13.207272727272727</v>
      </c>
      <c r="G51" s="55">
        <f t="shared" si="11"/>
        <v>7.571585903083701E-2</v>
      </c>
    </row>
    <row r="52" spans="1:7" ht="17.25">
      <c r="A52" s="61" t="str">
        <f>+'S&amp;D'!A26</f>
        <v>Middlesex Water Company</v>
      </c>
      <c r="C52" s="90" t="str">
        <f>+'S&amp;D'!B26</f>
        <v>MSEX</v>
      </c>
      <c r="D52" s="58">
        <f>'S&amp;D'!G26</f>
        <v>52.63</v>
      </c>
      <c r="E52" s="335">
        <f>+Earnings!I20</f>
        <v>3.45</v>
      </c>
      <c r="F52" s="72">
        <f t="shared" si="10"/>
        <v>15.255072463768116</v>
      </c>
      <c r="G52" s="55">
        <f t="shared" si="11"/>
        <v>6.5551966558996769E-2</v>
      </c>
    </row>
    <row r="53" spans="1:7" ht="17.25">
      <c r="A53" s="61" t="str">
        <f>+'S&amp;D'!A27</f>
        <v>SJW Corporation</v>
      </c>
      <c r="C53" s="90" t="str">
        <f>+'S&amp;D'!B27</f>
        <v>SJW</v>
      </c>
      <c r="D53" s="58">
        <f>'S&amp;D'!G27</f>
        <v>49.22</v>
      </c>
      <c r="E53" s="335">
        <f>+Earnings!I21</f>
        <v>3.75</v>
      </c>
      <c r="F53" s="72">
        <f t="shared" si="10"/>
        <v>13.125333333333334</v>
      </c>
      <c r="G53" s="55">
        <f t="shared" si="11"/>
        <v>7.6188541243396996E-2</v>
      </c>
    </row>
    <row r="54" spans="1:7" ht="17.25" thickBot="1">
      <c r="D54" s="69"/>
      <c r="E54" s="69"/>
      <c r="F54" s="69"/>
      <c r="G54" s="69"/>
    </row>
    <row r="55" spans="1:7" ht="17.25" thickTop="1">
      <c r="A55" s="12"/>
      <c r="D55" s="14" t="s">
        <v>45</v>
      </c>
      <c r="E55" s="70">
        <f>+MAX(E48:E53)</f>
        <v>7.5</v>
      </c>
      <c r="F55" s="70">
        <f>+MAX(F48:F53)</f>
        <v>19.928205128205128</v>
      </c>
      <c r="G55" s="294">
        <f>+MAX(G48:G53)</f>
        <v>7.6188541243396996E-2</v>
      </c>
    </row>
    <row r="56" spans="1:7" ht="16.5">
      <c r="A56" s="12"/>
      <c r="D56" s="14" t="s">
        <v>46</v>
      </c>
      <c r="E56" s="70">
        <f>+MIN(E48:E53)</f>
        <v>2.75</v>
      </c>
      <c r="F56" s="70">
        <f>+MIN(F48:F53)</f>
        <v>13.125333333333334</v>
      </c>
      <c r="G56" s="294">
        <f>+MIN(G48:G53)</f>
        <v>5.0180133813690173E-2</v>
      </c>
    </row>
    <row r="57" spans="1:7" ht="16.5">
      <c r="A57" s="12"/>
      <c r="D57" s="14" t="s">
        <v>18</v>
      </c>
      <c r="E57" s="72">
        <f>MEDIAN(E48:E53)</f>
        <v>3.6</v>
      </c>
      <c r="F57" s="21">
        <f>MEDIAN(F48:F53)</f>
        <v>14.231172595520421</v>
      </c>
      <c r="G57" s="55">
        <f>MEDIAN(G48:G53)</f>
        <v>7.0633912794916889E-2</v>
      </c>
    </row>
    <row r="58" spans="1:7" ht="16.5">
      <c r="A58" s="12"/>
      <c r="D58" s="14" t="s">
        <v>374</v>
      </c>
      <c r="E58" s="17">
        <f>AVERAGE(E48:E53)</f>
        <v>4.1333333333333337</v>
      </c>
      <c r="F58" s="21">
        <f>AVERAGE(F48:F53)</f>
        <v>15.208946792338097</v>
      </c>
      <c r="G58" s="73">
        <f>AVERAGE(G48:G53)</f>
        <v>6.7331806819184881E-2</v>
      </c>
    </row>
    <row r="59" spans="1:7" ht="16.5">
      <c r="A59" s="12"/>
      <c r="C59" s="12"/>
      <c r="D59" s="12"/>
      <c r="E59" s="12"/>
      <c r="F59" s="12"/>
      <c r="G59" s="12"/>
    </row>
    <row r="60" spans="1:7" ht="26.25">
      <c r="A60" s="12"/>
      <c r="C60" s="12"/>
      <c r="D60" s="12"/>
      <c r="E60" s="48" t="s">
        <v>73</v>
      </c>
      <c r="F60" s="374">
        <v>15.21</v>
      </c>
      <c r="G60" s="375">
        <v>6.7299999999999999E-2</v>
      </c>
    </row>
    <row r="61" spans="1:7" ht="16.5">
      <c r="A61" s="12"/>
      <c r="G61" s="12"/>
    </row>
    <row r="62" spans="1:7" ht="16.5">
      <c r="A62" s="12"/>
      <c r="B62" s="12"/>
      <c r="C62" s="12"/>
      <c r="D62" s="12"/>
      <c r="E62" s="12"/>
    </row>
    <row r="63" spans="1:7" ht="16.5">
      <c r="A63" s="12"/>
      <c r="B63" s="12"/>
      <c r="C63" s="12"/>
      <c r="D63" s="12"/>
      <c r="E63" s="12"/>
    </row>
    <row r="64" spans="1:7" ht="16.5">
      <c r="A64" s="12"/>
      <c r="B64" s="12"/>
      <c r="C64" s="12"/>
      <c r="D64" s="12"/>
      <c r="E64" s="12"/>
    </row>
    <row r="65" spans="1:8" ht="16.5">
      <c r="A65" s="75" t="s">
        <v>0</v>
      </c>
      <c r="B65" s="12"/>
      <c r="C65" s="12"/>
      <c r="D65" s="12"/>
      <c r="E65" s="12"/>
    </row>
    <row r="66" spans="1:8" ht="16.5">
      <c r="A66" s="75" t="s">
        <v>0</v>
      </c>
      <c r="B66" s="12"/>
      <c r="C66" s="12"/>
      <c r="D66" s="12"/>
      <c r="E66" s="12"/>
      <c r="F66" s="12"/>
      <c r="G66" s="12"/>
      <c r="H66" s="12"/>
    </row>
    <row r="67" spans="1:8" ht="16.5">
      <c r="A67" s="12"/>
      <c r="B67" s="12"/>
      <c r="C67" s="12"/>
      <c r="D67" s="12"/>
      <c r="E67" s="12"/>
      <c r="F67" s="12"/>
      <c r="G67" s="12"/>
      <c r="H67" s="12"/>
    </row>
  </sheetData>
  <pageMargins left="0.25" right="0.25" top="0.75" bottom="0.75" header="0.3" footer="0.3"/>
  <pageSetup scale="3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BF609-649C-4994-90AE-F41F963CB6F1}">
  <sheetPr>
    <tabColor rgb="FF92D050"/>
  </sheetPr>
  <dimension ref="A1:R108"/>
  <sheetViews>
    <sheetView view="pageBreakPreview" zoomScale="50" zoomScaleNormal="80" zoomScaleSheetLayoutView="50" workbookViewId="0">
      <selection activeCell="I56" sqref="I56"/>
    </sheetView>
  </sheetViews>
  <sheetFormatPr defaultRowHeight="15"/>
  <cols>
    <col min="1" max="1" width="70.5703125" customWidth="1"/>
    <col min="2" max="2" width="23.5703125" customWidth="1"/>
    <col min="3" max="3" width="26.7109375" customWidth="1"/>
    <col min="4" max="4" width="27.85546875" customWidth="1"/>
    <col min="5" max="5" width="28.85546875" customWidth="1"/>
    <col min="6" max="6" width="29.140625" customWidth="1"/>
    <col min="7" max="7" width="31" customWidth="1"/>
    <col min="8" max="8" width="27.42578125" customWidth="1"/>
    <col min="9" max="9" width="15.42578125" customWidth="1"/>
    <col min="10" max="10" width="23.42578125" customWidth="1"/>
    <col min="11" max="11" width="18.28515625" customWidth="1"/>
    <col min="12" max="12" width="14.140625" bestFit="1" customWidth="1"/>
    <col min="14" max="14" width="1.7109375" bestFit="1" customWidth="1"/>
    <col min="16" max="16" width="18.140625" bestFit="1" customWidth="1"/>
    <col min="17" max="17" width="18.5703125" bestFit="1" customWidth="1"/>
    <col min="18" max="18" width="47.42578125" bestFit="1" customWidth="1"/>
  </cols>
  <sheetData>
    <row r="1" spans="1:11" ht="26.25">
      <c r="A1" s="23" t="s">
        <v>1</v>
      </c>
      <c r="C1" s="23"/>
      <c r="D1" s="23"/>
      <c r="E1" s="12"/>
      <c r="F1" s="12"/>
      <c r="G1" s="12"/>
      <c r="H1" s="12"/>
      <c r="I1" s="12"/>
      <c r="J1" s="12"/>
      <c r="K1" s="12"/>
    </row>
    <row r="2" spans="1:11" ht="17.25">
      <c r="A2" s="24" t="s">
        <v>9</v>
      </c>
      <c r="C2" s="24"/>
      <c r="D2" s="24"/>
      <c r="E2" s="12"/>
      <c r="F2" s="12"/>
      <c r="G2" s="12"/>
      <c r="H2" s="12"/>
      <c r="I2" s="12"/>
      <c r="J2" s="12"/>
      <c r="K2" s="12"/>
    </row>
    <row r="3" spans="1:11" ht="16.5">
      <c r="A3" s="25" t="s">
        <v>412</v>
      </c>
      <c r="C3" s="25"/>
      <c r="D3" s="25"/>
      <c r="E3" s="12"/>
      <c r="F3" s="12"/>
      <c r="G3" s="12"/>
      <c r="H3" s="12"/>
      <c r="I3" s="12"/>
      <c r="J3" s="12"/>
      <c r="K3" s="12"/>
    </row>
    <row r="4" spans="1:11" ht="16.5">
      <c r="B4" s="25"/>
      <c r="C4" s="25"/>
      <c r="D4" s="25"/>
      <c r="E4" s="12"/>
      <c r="F4" s="12"/>
      <c r="G4" s="12"/>
      <c r="H4" s="12"/>
      <c r="I4" s="12"/>
      <c r="J4" s="12"/>
      <c r="K4" s="12"/>
    </row>
    <row r="5" spans="1:11" ht="16.5">
      <c r="B5" s="12"/>
      <c r="C5" s="12"/>
      <c r="D5" s="12"/>
      <c r="E5" s="12"/>
      <c r="F5" s="12"/>
      <c r="G5" s="12"/>
      <c r="H5" s="12"/>
      <c r="I5" s="26" t="s">
        <v>0</v>
      </c>
      <c r="J5" s="26"/>
      <c r="K5" s="12"/>
    </row>
    <row r="6" spans="1:11" ht="17.25" thickBot="1">
      <c r="B6" s="12"/>
      <c r="C6" s="12"/>
      <c r="D6" s="28"/>
      <c r="E6" s="28"/>
      <c r="F6" s="143"/>
      <c r="H6" s="12"/>
      <c r="I6" s="12"/>
      <c r="J6" s="12"/>
    </row>
    <row r="7" spans="1:11" ht="27" thickBot="1">
      <c r="A7" s="27" t="s">
        <v>375</v>
      </c>
      <c r="C7" s="30"/>
      <c r="D7" s="30"/>
      <c r="E7" s="31" t="s">
        <v>238</v>
      </c>
      <c r="H7" s="12"/>
      <c r="I7" s="12"/>
      <c r="J7" s="12"/>
    </row>
    <row r="8" spans="1:11" ht="21" thickBot="1">
      <c r="B8" s="30"/>
      <c r="C8" s="30"/>
      <c r="D8" s="144"/>
      <c r="E8" s="36" t="s">
        <v>413</v>
      </c>
      <c r="F8" s="143"/>
      <c r="H8" s="12"/>
      <c r="I8" s="12"/>
    </row>
    <row r="9" spans="1:11" ht="20.25">
      <c r="B9" s="30"/>
      <c r="C9" s="30"/>
      <c r="D9" s="30"/>
      <c r="E9" s="34"/>
      <c r="H9" s="12"/>
      <c r="I9" s="12"/>
    </row>
    <row r="10" spans="1:11" ht="29.1" customHeight="1" thickBot="1">
      <c r="A10" s="144"/>
      <c r="B10" s="30"/>
      <c r="I10" s="12"/>
    </row>
    <row r="11" spans="1:11" ht="22.5" customHeight="1" thickBot="1">
      <c r="A11" s="156" t="s">
        <v>237</v>
      </c>
      <c r="B11" s="30"/>
      <c r="I11" s="12"/>
    </row>
    <row r="12" spans="1:11" ht="20.100000000000001" customHeight="1" thickBot="1">
      <c r="A12" s="155" t="s">
        <v>0</v>
      </c>
      <c r="B12" s="12"/>
      <c r="C12" s="12"/>
      <c r="D12" s="12"/>
      <c r="E12" s="12"/>
      <c r="F12" s="12"/>
      <c r="G12" s="12"/>
      <c r="H12" s="12"/>
      <c r="I12" s="12"/>
    </row>
    <row r="13" spans="1:11" ht="60.6" customHeight="1" thickBot="1">
      <c r="A13" s="200" t="s">
        <v>0</v>
      </c>
      <c r="B13" s="150" t="s">
        <v>286</v>
      </c>
      <c r="C13" s="150" t="s">
        <v>285</v>
      </c>
      <c r="D13" s="149" t="s">
        <v>217</v>
      </c>
      <c r="E13" s="150" t="s">
        <v>218</v>
      </c>
      <c r="F13" s="150" t="s">
        <v>255</v>
      </c>
      <c r="G13" s="150" t="s">
        <v>254</v>
      </c>
      <c r="H13" s="150" t="s">
        <v>219</v>
      </c>
    </row>
    <row r="14" spans="1:11" ht="16.5">
      <c r="A14" s="145"/>
      <c r="B14" s="192"/>
      <c r="C14" s="192"/>
      <c r="D14" s="110"/>
      <c r="E14" s="192"/>
      <c r="F14" s="192"/>
      <c r="G14" s="192"/>
      <c r="H14" s="192"/>
    </row>
    <row r="15" spans="1:11" ht="20.25">
      <c r="A15" s="153" t="str">
        <f>+A7</f>
        <v>Water Utility Companies (Private)</v>
      </c>
      <c r="B15" s="212">
        <v>0</v>
      </c>
      <c r="C15" s="212">
        <v>0</v>
      </c>
      <c r="D15" s="387">
        <v>0</v>
      </c>
      <c r="E15" s="212">
        <v>0</v>
      </c>
      <c r="F15" s="212">
        <f>+'Dividends '!K25</f>
        <v>6.0174315080403357E-2</v>
      </c>
      <c r="G15" s="212">
        <f>+Earnings!K25</f>
        <v>4.6415382863018967E-2</v>
      </c>
      <c r="H15" s="212">
        <v>0</v>
      </c>
    </row>
    <row r="16" spans="1:11" ht="21" thickBot="1">
      <c r="A16" s="147" t="s">
        <v>0</v>
      </c>
      <c r="B16" s="193" t="s">
        <v>0</v>
      </c>
      <c r="C16" s="193"/>
      <c r="D16" s="154"/>
      <c r="E16" s="193"/>
      <c r="F16" s="238">
        <f>+'Dividends '!K26</f>
        <v>6.1397596491933694E-2</v>
      </c>
      <c r="G16" s="238">
        <f>+Earnings!K26</f>
        <v>4.6178858071132117E-2</v>
      </c>
      <c r="H16" s="193"/>
    </row>
    <row r="17" spans="1:18" ht="57.95" customHeight="1" thickBot="1">
      <c r="A17" s="12"/>
      <c r="B17" s="12"/>
      <c r="C17" s="12"/>
      <c r="D17" s="12"/>
      <c r="E17" s="12"/>
      <c r="F17" s="12"/>
      <c r="G17" s="12"/>
      <c r="H17" s="12"/>
      <c r="I17" s="12"/>
    </row>
    <row r="18" spans="1:18" ht="24.95" customHeight="1" thickBot="1">
      <c r="A18" s="156" t="s">
        <v>457</v>
      </c>
      <c r="B18" s="12"/>
      <c r="C18" s="12"/>
      <c r="D18" s="401"/>
      <c r="E18" s="12"/>
      <c r="F18" s="12"/>
      <c r="G18" s="12"/>
      <c r="H18" s="12"/>
      <c r="I18" s="12"/>
    </row>
    <row r="19" spans="1:18" ht="20.100000000000001" customHeight="1">
      <c r="A19" s="12"/>
      <c r="B19" s="12"/>
      <c r="C19" s="12"/>
      <c r="D19" s="432" t="s">
        <v>457</v>
      </c>
      <c r="E19" s="12"/>
      <c r="F19" s="12"/>
      <c r="G19" s="12"/>
      <c r="H19" s="12"/>
      <c r="I19" s="12"/>
    </row>
    <row r="20" spans="1:18" ht="27.95" customHeight="1">
      <c r="A20" s="433"/>
      <c r="B20" s="398"/>
      <c r="C20" s="434" t="s">
        <v>458</v>
      </c>
      <c r="D20" s="435"/>
      <c r="E20" s="12"/>
      <c r="F20" s="12"/>
      <c r="G20" s="12"/>
      <c r="H20" s="12"/>
      <c r="I20" s="12"/>
    </row>
    <row r="21" spans="1:18" ht="27.95" customHeight="1">
      <c r="A21" s="351"/>
      <c r="C21" s="436" t="s">
        <v>459</v>
      </c>
      <c r="D21" s="437">
        <v>4.5699999999999998E-2</v>
      </c>
      <c r="E21" s="12"/>
      <c r="F21" s="12"/>
      <c r="G21" s="12"/>
      <c r="H21" s="12"/>
      <c r="I21" s="12"/>
    </row>
    <row r="22" spans="1:18" ht="27.95" customHeight="1">
      <c r="A22" s="351"/>
      <c r="C22" s="436" t="s">
        <v>460</v>
      </c>
      <c r="D22" s="437">
        <v>4.6600000000000003E-2</v>
      </c>
      <c r="E22" s="12"/>
      <c r="F22" s="12"/>
      <c r="G22" s="12"/>
      <c r="H22" s="12"/>
      <c r="I22" s="12"/>
    </row>
    <row r="23" spans="1:18" ht="27" customHeight="1">
      <c r="A23" s="351"/>
      <c r="C23" s="436" t="s">
        <v>461</v>
      </c>
      <c r="D23" s="437">
        <v>4.8599999999999997E-2</v>
      </c>
      <c r="E23" s="12"/>
      <c r="F23" s="12"/>
      <c r="G23" s="12"/>
      <c r="H23" s="12"/>
      <c r="I23" s="12"/>
    </row>
    <row r="24" spans="1:18" ht="27" customHeight="1" thickBot="1">
      <c r="A24" s="351"/>
      <c r="C24" s="436" t="s">
        <v>462</v>
      </c>
      <c r="D24" s="437">
        <v>4.7899999999999998E-2</v>
      </c>
      <c r="E24" s="12"/>
      <c r="F24" s="12"/>
      <c r="G24" s="438" t="s">
        <v>463</v>
      </c>
      <c r="I24" s="12"/>
    </row>
    <row r="25" spans="1:18" ht="27" customHeight="1" thickBot="1">
      <c r="A25" s="351"/>
      <c r="B25" s="12"/>
      <c r="C25" s="439" t="s">
        <v>464</v>
      </c>
      <c r="D25" s="440"/>
      <c r="E25" s="12"/>
      <c r="F25" s="12"/>
      <c r="G25" s="441">
        <v>4.8599999999999997E-2</v>
      </c>
      <c r="H25" s="12"/>
      <c r="I25" s="12"/>
    </row>
    <row r="26" spans="1:18" ht="27" customHeight="1">
      <c r="A26" s="351"/>
      <c r="C26" s="436" t="s">
        <v>459</v>
      </c>
      <c r="D26" s="437">
        <v>4.5499999999999999E-2</v>
      </c>
      <c r="E26" s="12"/>
      <c r="F26" s="12"/>
      <c r="G26" s="12"/>
      <c r="H26" s="12"/>
      <c r="I26" s="12"/>
    </row>
    <row r="27" spans="1:18" ht="27" customHeight="1">
      <c r="A27" s="351"/>
      <c r="C27" s="436" t="s">
        <v>465</v>
      </c>
      <c r="D27" s="437">
        <v>0</v>
      </c>
      <c r="E27" s="12"/>
      <c r="F27" s="12"/>
      <c r="G27" s="12"/>
      <c r="H27" s="12"/>
      <c r="I27" s="12"/>
    </row>
    <row r="28" spans="1:18" ht="27" customHeight="1">
      <c r="A28" s="351"/>
      <c r="C28" s="436" t="s">
        <v>466</v>
      </c>
      <c r="D28" s="437">
        <v>4.7699999999999999E-2</v>
      </c>
      <c r="E28" s="12"/>
      <c r="F28" s="12"/>
      <c r="G28" s="12"/>
      <c r="H28" s="12"/>
      <c r="I28" s="12"/>
    </row>
    <row r="29" spans="1:18" ht="27" customHeight="1">
      <c r="A29" s="351"/>
      <c r="C29" s="442" t="s">
        <v>467</v>
      </c>
      <c r="D29" s="443">
        <v>4.58E-2</v>
      </c>
      <c r="E29" s="12"/>
      <c r="F29" s="12"/>
      <c r="G29" s="12"/>
      <c r="H29" s="12"/>
      <c r="I29" s="12"/>
    </row>
    <row r="30" spans="1:18" ht="20.25">
      <c r="A30" s="444"/>
      <c r="B30" s="221"/>
      <c r="C30" s="445" t="s">
        <v>468</v>
      </c>
      <c r="D30" s="446">
        <v>4.8599999999999997E-2</v>
      </c>
      <c r="L30" s="12"/>
    </row>
    <row r="31" spans="1:18" ht="63.6" customHeight="1" thickBot="1">
      <c r="B31" s="12"/>
      <c r="C31" s="12"/>
      <c r="D31" s="28"/>
      <c r="E31" s="28"/>
      <c r="F31" s="28"/>
      <c r="G31" s="12"/>
      <c r="H31" s="12"/>
      <c r="I31" s="12"/>
      <c r="L31" s="12"/>
    </row>
    <row r="32" spans="1:18" ht="26.25">
      <c r="B32" s="30"/>
      <c r="C32" s="30"/>
      <c r="D32" s="12"/>
      <c r="E32" s="31" t="s">
        <v>201</v>
      </c>
      <c r="F32" s="12"/>
      <c r="G32" s="12"/>
      <c r="H32" s="12"/>
      <c r="I32" s="12"/>
      <c r="J32" s="447" t="s">
        <v>0</v>
      </c>
      <c r="K32" s="86"/>
      <c r="L32" s="86"/>
      <c r="M32" s="86"/>
      <c r="N32" s="86"/>
      <c r="O32" s="12"/>
      <c r="P32" s="12"/>
      <c r="Q32" s="12"/>
      <c r="R32" s="12"/>
    </row>
    <row r="33" spans="1:18" ht="21" thickBot="1">
      <c r="A33" s="143"/>
      <c r="B33" s="30"/>
      <c r="C33" s="30"/>
      <c r="D33" s="28"/>
      <c r="E33" s="36" t="s">
        <v>413</v>
      </c>
      <c r="F33" s="28"/>
      <c r="G33" s="12"/>
      <c r="H33" s="12"/>
      <c r="I33" s="12"/>
      <c r="J33" s="448"/>
      <c r="K33" s="449"/>
      <c r="L33" s="449"/>
      <c r="M33" s="86"/>
      <c r="N33" s="86"/>
      <c r="O33" s="12"/>
      <c r="P33" s="12"/>
      <c r="Q33" s="12"/>
      <c r="R33" s="12"/>
    </row>
    <row r="34" spans="1:18" ht="21" thickBot="1">
      <c r="A34" s="142" t="s">
        <v>417</v>
      </c>
      <c r="B34" s="30"/>
      <c r="C34" s="30"/>
      <c r="D34" s="34"/>
      <c r="E34" s="141"/>
      <c r="F34" s="12"/>
      <c r="G34" s="12"/>
      <c r="H34" s="12"/>
      <c r="I34" s="12"/>
      <c r="J34" s="448"/>
      <c r="K34" s="448"/>
      <c r="L34" s="448"/>
      <c r="M34" s="449"/>
      <c r="N34" s="450" t="s">
        <v>0</v>
      </c>
      <c r="O34" s="12"/>
      <c r="P34" s="12"/>
      <c r="Q34" s="12"/>
      <c r="R34" s="12"/>
    </row>
    <row r="35" spans="1:18" ht="18.75">
      <c r="A35" s="40" t="s">
        <v>0</v>
      </c>
      <c r="B35" s="40"/>
      <c r="C35" s="40"/>
      <c r="D35" s="40" t="s">
        <v>0</v>
      </c>
      <c r="E35" s="40" t="s">
        <v>0</v>
      </c>
      <c r="F35" s="40" t="s">
        <v>0</v>
      </c>
      <c r="G35" s="40"/>
      <c r="H35" s="12"/>
      <c r="I35" s="12"/>
      <c r="J35" s="448"/>
      <c r="K35" s="451"/>
      <c r="L35" s="448"/>
      <c r="M35" s="449"/>
      <c r="N35" s="86"/>
      <c r="O35" s="12"/>
      <c r="P35" s="12"/>
      <c r="Q35" s="12"/>
      <c r="R35" s="12"/>
    </row>
    <row r="36" spans="1:18" ht="20.25">
      <c r="A36" s="34" t="s">
        <v>0</v>
      </c>
      <c r="B36" s="34"/>
      <c r="C36" s="34"/>
      <c r="D36" s="417" t="s">
        <v>77</v>
      </c>
      <c r="E36" s="417" t="s">
        <v>239</v>
      </c>
      <c r="F36" s="417" t="s">
        <v>121</v>
      </c>
      <c r="G36" s="235"/>
      <c r="H36" s="12"/>
      <c r="I36" s="12"/>
      <c r="J36" s="448"/>
      <c r="K36" s="448"/>
      <c r="L36" s="448"/>
      <c r="M36" s="449"/>
      <c r="N36" s="86"/>
      <c r="O36" s="12"/>
      <c r="P36" s="12"/>
      <c r="Q36" s="12"/>
      <c r="R36" s="12"/>
    </row>
    <row r="37" spans="1:18" ht="20.25">
      <c r="A37" s="479" t="s">
        <v>119</v>
      </c>
      <c r="B37" s="480"/>
      <c r="C37" s="481"/>
      <c r="D37" s="418" t="s">
        <v>79</v>
      </c>
      <c r="E37" s="418" t="s">
        <v>120</v>
      </c>
      <c r="F37" s="418" t="s">
        <v>122</v>
      </c>
      <c r="G37" s="235"/>
      <c r="H37" s="12"/>
      <c r="I37" s="12"/>
      <c r="J37" s="449"/>
      <c r="K37" s="449"/>
      <c r="L37" s="452"/>
      <c r="M37" s="449"/>
      <c r="N37" s="86"/>
      <c r="O37" s="12"/>
      <c r="P37" s="12"/>
      <c r="Q37" s="12"/>
      <c r="R37" s="12"/>
    </row>
    <row r="38" spans="1:18" ht="18.75">
      <c r="H38" s="419"/>
      <c r="J38" s="449"/>
      <c r="K38" s="449"/>
      <c r="L38" s="86"/>
      <c r="M38" s="86"/>
      <c r="N38" s="86"/>
      <c r="O38" s="12"/>
      <c r="P38" s="12"/>
      <c r="Q38" s="12"/>
      <c r="R38" s="12"/>
    </row>
    <row r="39" spans="1:18" ht="20.25">
      <c r="A39" s="453" t="s">
        <v>240</v>
      </c>
      <c r="B39" s="454"/>
      <c r="C39" s="455"/>
      <c r="D39" s="389">
        <v>2.3300000000000001E-2</v>
      </c>
      <c r="E39" s="420" t="s">
        <v>455</v>
      </c>
      <c r="F39" s="420" t="s">
        <v>455</v>
      </c>
      <c r="H39" s="419" t="s">
        <v>0</v>
      </c>
      <c r="J39" s="456"/>
      <c r="K39" s="449"/>
      <c r="L39" s="449"/>
      <c r="M39" s="86"/>
      <c r="N39" s="86"/>
      <c r="O39" s="12"/>
      <c r="P39" s="12"/>
      <c r="Q39" s="12"/>
      <c r="R39" s="12"/>
    </row>
    <row r="40" spans="1:18" ht="20.25">
      <c r="A40" s="396" t="s">
        <v>241</v>
      </c>
      <c r="B40" s="61"/>
      <c r="C40" s="189"/>
      <c r="D40" s="391">
        <v>2.46E-2</v>
      </c>
      <c r="E40" s="421" t="s">
        <v>455</v>
      </c>
      <c r="F40" s="421" t="s">
        <v>455</v>
      </c>
      <c r="H40" s="30" t="s">
        <v>0</v>
      </c>
      <c r="I40" s="12"/>
      <c r="J40" s="456"/>
      <c r="K40" s="449"/>
      <c r="L40" s="449"/>
      <c r="M40" s="86"/>
      <c r="N40" s="86"/>
      <c r="O40" s="12"/>
      <c r="P40" s="12"/>
      <c r="Q40" s="12"/>
      <c r="R40" s="12"/>
    </row>
    <row r="41" spans="1:18" ht="20.25">
      <c r="A41" s="397" t="s">
        <v>242</v>
      </c>
      <c r="B41" s="157"/>
      <c r="C41" s="190"/>
      <c r="D41" s="393">
        <v>2.3099999999999999E-2</v>
      </c>
      <c r="E41" s="422" t="s">
        <v>455</v>
      </c>
      <c r="F41" s="422" t="s">
        <v>455</v>
      </c>
      <c r="H41" s="123" t="s">
        <v>0</v>
      </c>
      <c r="I41" s="12"/>
      <c r="J41" s="456"/>
      <c r="K41" s="449"/>
      <c r="L41" s="449"/>
      <c r="M41" s="86"/>
      <c r="N41" s="86"/>
      <c r="O41" s="12"/>
      <c r="P41" s="12"/>
      <c r="Q41" s="12"/>
      <c r="R41" s="12"/>
    </row>
    <row r="42" spans="1:18" ht="20.25">
      <c r="A42" s="396" t="s">
        <v>243</v>
      </c>
      <c r="B42" s="61"/>
      <c r="C42" s="189"/>
      <c r="D42" s="390">
        <v>2.29E-2</v>
      </c>
      <c r="E42" s="390">
        <v>2.1100000000000001E-2</v>
      </c>
      <c r="F42" s="391">
        <f t="shared" ref="F42:F50" si="0">+D42+E42</f>
        <v>4.3999999999999997E-2</v>
      </c>
      <c r="H42" s="12" t="s">
        <v>0</v>
      </c>
      <c r="I42" s="12"/>
      <c r="J42" s="456"/>
      <c r="K42" s="449"/>
      <c r="L42" s="449"/>
      <c r="M42" s="86"/>
      <c r="N42" s="86"/>
      <c r="O42" s="12"/>
      <c r="P42" s="12"/>
      <c r="Q42" s="12"/>
      <c r="R42" s="12"/>
    </row>
    <row r="43" spans="1:18" ht="20.25">
      <c r="A43" s="396" t="s">
        <v>421</v>
      </c>
      <c r="B43" s="61"/>
      <c r="C43" s="189"/>
      <c r="D43" s="390">
        <v>2.2800000000000001E-2</v>
      </c>
      <c r="E43" s="390">
        <v>2.0500000000000001E-2</v>
      </c>
      <c r="F43" s="391">
        <f t="shared" si="0"/>
        <v>4.3300000000000005E-2</v>
      </c>
      <c r="H43" s="12"/>
      <c r="I43" s="12"/>
      <c r="J43" s="456"/>
      <c r="K43" s="449"/>
      <c r="L43" s="86"/>
      <c r="M43" s="86"/>
      <c r="N43" s="86"/>
      <c r="O43" s="12"/>
      <c r="P43" s="12"/>
      <c r="Q43" s="12"/>
      <c r="R43" s="12"/>
    </row>
    <row r="44" spans="1:18" ht="20.25">
      <c r="A44" s="397" t="s">
        <v>422</v>
      </c>
      <c r="B44" s="157"/>
      <c r="C44" s="190"/>
      <c r="D44" s="392">
        <v>2.3800000000000002E-2</v>
      </c>
      <c r="E44" s="392">
        <v>2.1000000000000001E-2</v>
      </c>
      <c r="F44" s="393">
        <f t="shared" si="0"/>
        <v>4.4800000000000006E-2</v>
      </c>
      <c r="H44" s="12"/>
      <c r="I44" s="12"/>
      <c r="J44" s="456"/>
      <c r="K44" s="449"/>
      <c r="L44" s="86"/>
      <c r="M44" s="86"/>
      <c r="N44" s="86"/>
      <c r="O44" s="12"/>
      <c r="P44" s="12"/>
      <c r="Q44" s="12"/>
      <c r="R44" s="12"/>
    </row>
    <row r="45" spans="1:18" ht="20.25">
      <c r="A45" s="396" t="s">
        <v>424</v>
      </c>
      <c r="B45" s="61"/>
      <c r="C45" s="189"/>
      <c r="D45" s="391">
        <v>2.3E-2</v>
      </c>
      <c r="E45" s="390">
        <v>1.7999999999999999E-2</v>
      </c>
      <c r="F45" s="391">
        <f t="shared" si="0"/>
        <v>4.0999999999999995E-2</v>
      </c>
      <c r="H45" s="122" t="s">
        <v>0</v>
      </c>
      <c r="I45" s="12"/>
      <c r="J45" s="456"/>
      <c r="K45" s="449"/>
      <c r="L45" s="86"/>
      <c r="M45" s="86"/>
      <c r="N45" s="86"/>
      <c r="O45" s="12"/>
      <c r="P45" s="12"/>
      <c r="Q45" s="12"/>
      <c r="R45" s="12"/>
    </row>
    <row r="46" spans="1:18" ht="20.25">
      <c r="A46" s="396" t="s">
        <v>425</v>
      </c>
      <c r="B46" s="61"/>
      <c r="C46" s="189"/>
      <c r="D46" s="391">
        <v>2.3E-2</v>
      </c>
      <c r="E46" s="390">
        <v>2.1999999999999999E-2</v>
      </c>
      <c r="F46" s="391">
        <f t="shared" si="0"/>
        <v>4.4999999999999998E-2</v>
      </c>
      <c r="H46" s="122" t="s">
        <v>0</v>
      </c>
      <c r="I46" s="12"/>
      <c r="J46" s="456"/>
      <c r="K46" s="449"/>
      <c r="L46" s="86"/>
      <c r="M46" s="86"/>
      <c r="N46" s="86"/>
      <c r="O46" s="12"/>
      <c r="P46" s="12"/>
      <c r="Q46" s="12"/>
      <c r="R46" s="12"/>
    </row>
    <row r="47" spans="1:18" ht="20.25">
      <c r="A47" s="397" t="s">
        <v>444</v>
      </c>
      <c r="B47" s="157"/>
      <c r="C47" s="190"/>
      <c r="D47" s="393">
        <v>2.3E-2</v>
      </c>
      <c r="E47" s="392">
        <v>1.9E-2</v>
      </c>
      <c r="F47" s="393">
        <f t="shared" si="0"/>
        <v>4.1999999999999996E-2</v>
      </c>
      <c r="H47" s="12"/>
      <c r="I47" s="12"/>
      <c r="J47" s="456"/>
      <c r="K47" s="449"/>
      <c r="L47" s="86"/>
      <c r="M47" s="86"/>
      <c r="N47" s="86"/>
      <c r="O47" s="12"/>
      <c r="P47" s="12"/>
      <c r="Q47" s="12"/>
      <c r="R47" s="12"/>
    </row>
    <row r="48" spans="1:18" ht="20.25">
      <c r="A48" s="396" t="s">
        <v>426</v>
      </c>
      <c r="B48" s="61"/>
      <c r="C48" s="189"/>
      <c r="D48" s="391">
        <v>2.3E-2</v>
      </c>
      <c r="E48" s="390">
        <v>2.1000000000000001E-2</v>
      </c>
      <c r="F48" s="391">
        <f t="shared" si="0"/>
        <v>4.3999999999999997E-2</v>
      </c>
      <c r="H48" s="12"/>
      <c r="I48" s="12"/>
      <c r="J48" s="456"/>
      <c r="K48" s="449"/>
      <c r="L48" s="86"/>
      <c r="M48" s="86"/>
      <c r="N48" s="86"/>
      <c r="O48" s="12"/>
      <c r="P48" s="12"/>
      <c r="Q48" s="12"/>
      <c r="R48" s="12"/>
    </row>
    <row r="49" spans="1:18" ht="20.25">
      <c r="A49" s="396" t="s">
        <v>434</v>
      </c>
      <c r="B49" s="61"/>
      <c r="C49" s="189"/>
      <c r="D49" s="421" t="s">
        <v>455</v>
      </c>
      <c r="E49" s="390">
        <v>2.3E-2</v>
      </c>
      <c r="F49" s="421" t="s">
        <v>455</v>
      </c>
      <c r="H49" s="12"/>
      <c r="I49" s="12"/>
      <c r="J49" s="456"/>
      <c r="K49" s="449"/>
      <c r="L49" s="86"/>
      <c r="M49" s="86"/>
      <c r="N49" s="86"/>
      <c r="O49" s="12"/>
      <c r="P49" s="12"/>
      <c r="Q49" s="12"/>
      <c r="R49" s="12"/>
    </row>
    <row r="50" spans="1:18" ht="20.25">
      <c r="A50" s="397" t="s">
        <v>446</v>
      </c>
      <c r="B50" s="157"/>
      <c r="C50" s="190"/>
      <c r="D50" s="393">
        <v>0.02</v>
      </c>
      <c r="E50" s="393">
        <v>1.7999999999999999E-2</v>
      </c>
      <c r="F50" s="393">
        <f t="shared" si="0"/>
        <v>3.7999999999999999E-2</v>
      </c>
      <c r="H50" s="12"/>
      <c r="I50" s="12"/>
      <c r="J50" s="456"/>
      <c r="K50" s="457"/>
      <c r="L50" s="86"/>
      <c r="M50" s="86"/>
      <c r="N50" s="86"/>
      <c r="O50" s="12"/>
      <c r="P50" s="12"/>
      <c r="Q50" s="12"/>
      <c r="R50" s="12"/>
    </row>
    <row r="51" spans="1:18" ht="20.25">
      <c r="A51" s="106"/>
      <c r="B51" s="117"/>
      <c r="C51" s="117" t="s">
        <v>45</v>
      </c>
      <c r="D51" s="394">
        <f>MAX(D39:D50)</f>
        <v>2.46E-2</v>
      </c>
      <c r="E51" s="394">
        <f>MAX(E39:E50)</f>
        <v>2.3E-2</v>
      </c>
      <c r="F51" s="394">
        <f>MAX(F39:F50)</f>
        <v>4.4999999999999998E-2</v>
      </c>
      <c r="G51" s="236"/>
      <c r="H51" s="12"/>
      <c r="I51" s="12"/>
      <c r="L51" s="12"/>
      <c r="M51" s="12"/>
      <c r="N51" s="12"/>
      <c r="Q51" s="12"/>
      <c r="R51" s="12"/>
    </row>
    <row r="52" spans="1:18" ht="18.75" customHeight="1">
      <c r="A52" s="106"/>
      <c r="B52" s="117"/>
      <c r="C52" s="117" t="s">
        <v>46</v>
      </c>
      <c r="D52" s="394">
        <f>MIN(D39:D50)</f>
        <v>0.02</v>
      </c>
      <c r="E52" s="394">
        <f>MIN(E39:E50)</f>
        <v>1.7999999999999999E-2</v>
      </c>
      <c r="F52" s="395">
        <f>MIN(F39:F50)</f>
        <v>3.7999999999999999E-2</v>
      </c>
      <c r="G52" s="237"/>
      <c r="H52" s="12"/>
      <c r="I52" s="12"/>
      <c r="L52" s="12"/>
      <c r="M52" s="12"/>
      <c r="N52" s="12"/>
      <c r="O52" s="12"/>
      <c r="R52" s="12"/>
    </row>
    <row r="53" spans="1:18" ht="20.25">
      <c r="A53" s="106"/>
      <c r="B53" s="117"/>
      <c r="C53" s="117" t="s">
        <v>18</v>
      </c>
      <c r="D53" s="388">
        <f>MEDIAN(D39:D50)</f>
        <v>2.3E-2</v>
      </c>
      <c r="E53" s="388">
        <f>MEDIAN(E39:E50)</f>
        <v>2.1000000000000001E-2</v>
      </c>
      <c r="F53" s="391">
        <f t="shared" ref="F53:F54" si="1">+D53+E53</f>
        <v>4.3999999999999997E-2</v>
      </c>
      <c r="G53" s="237"/>
      <c r="H53" s="12"/>
      <c r="I53" s="12"/>
      <c r="L53" s="12"/>
      <c r="M53" s="12"/>
      <c r="N53" s="12"/>
      <c r="O53" s="12"/>
      <c r="R53" s="12"/>
    </row>
    <row r="54" spans="1:18" ht="20.25">
      <c r="A54" s="106"/>
      <c r="B54" s="117"/>
      <c r="C54" s="117" t="s">
        <v>19</v>
      </c>
      <c r="D54" s="392">
        <f>AVERAGE(D39:D50)</f>
        <v>2.2954545454545453E-2</v>
      </c>
      <c r="E54" s="392">
        <f>AVERAGE(E39:E50)</f>
        <v>2.0399999999999998E-2</v>
      </c>
      <c r="F54" s="393">
        <f t="shared" si="1"/>
        <v>4.3354545454545451E-2</v>
      </c>
      <c r="G54" s="236"/>
      <c r="H54" s="12"/>
      <c r="I54" s="12"/>
      <c r="L54" s="12"/>
      <c r="M54" s="12"/>
      <c r="N54" s="12"/>
      <c r="O54" s="12"/>
      <c r="R54" s="12"/>
    </row>
    <row r="55" spans="1:18" ht="18.75">
      <c r="A55" s="12"/>
      <c r="B55" s="14"/>
      <c r="D55" s="204"/>
      <c r="E55" s="204"/>
      <c r="F55" s="204"/>
      <c r="G55" s="236"/>
      <c r="H55" s="12"/>
      <c r="I55" s="12"/>
      <c r="L55" s="12"/>
      <c r="M55" s="12"/>
      <c r="N55" s="12"/>
      <c r="O55" s="12"/>
    </row>
    <row r="56" spans="1:18" ht="16.5" customHeight="1" thickBot="1">
      <c r="A56" s="12"/>
      <c r="B56" s="14"/>
      <c r="D56" s="204"/>
      <c r="E56" s="204"/>
      <c r="F56" s="204"/>
      <c r="L56" s="12"/>
      <c r="M56" s="12"/>
      <c r="N56" s="12"/>
      <c r="O56" s="12"/>
    </row>
    <row r="57" spans="1:18" ht="27" thickBot="1">
      <c r="A57" s="12"/>
      <c r="B57" s="123"/>
      <c r="C57" s="48" t="s">
        <v>202</v>
      </c>
      <c r="D57" s="441">
        <v>2.3E-2</v>
      </c>
      <c r="E57" s="441">
        <v>2.0400000000000001E-2</v>
      </c>
      <c r="F57" s="458">
        <v>4.3400000000000001E-2</v>
      </c>
      <c r="L57" s="12"/>
      <c r="M57" s="12"/>
      <c r="N57" s="12"/>
      <c r="O57" s="12"/>
    </row>
    <row r="58" spans="1:18" ht="16.5" customHeight="1">
      <c r="L58" s="12"/>
      <c r="N58" s="12"/>
    </row>
    <row r="59" spans="1:18" ht="16.5">
      <c r="A59" s="12"/>
      <c r="B59" s="12"/>
      <c r="C59" s="12"/>
      <c r="D59" s="12"/>
      <c r="E59" s="12"/>
      <c r="F59" s="12"/>
      <c r="G59" s="12"/>
      <c r="I59" s="12"/>
      <c r="L59" s="12"/>
      <c r="N59" s="12"/>
    </row>
    <row r="60" spans="1:18" ht="19.5" customHeight="1">
      <c r="A60" s="423" t="s">
        <v>445</v>
      </c>
      <c r="B60" s="398"/>
      <c r="C60" s="399"/>
      <c r="D60" s="12"/>
      <c r="E60" s="12"/>
      <c r="F60" s="12"/>
      <c r="I60" s="12"/>
      <c r="L60" s="12"/>
      <c r="M60" s="12"/>
      <c r="N60" s="12"/>
    </row>
    <row r="61" spans="1:18" ht="19.5" customHeight="1">
      <c r="A61" s="423" t="s">
        <v>454</v>
      </c>
      <c r="B61" s="398"/>
      <c r="C61" s="398"/>
      <c r="D61" s="398"/>
      <c r="E61" s="398"/>
      <c r="F61" s="398"/>
      <c r="G61" s="429"/>
      <c r="I61" s="12"/>
      <c r="L61" s="12"/>
      <c r="M61" s="12"/>
      <c r="N61" s="12"/>
    </row>
    <row r="62" spans="1:18" ht="19.5" customHeight="1">
      <c r="A62" s="424" t="s">
        <v>453</v>
      </c>
      <c r="B62" s="12"/>
      <c r="C62" s="12"/>
      <c r="D62" s="12"/>
      <c r="E62" s="12"/>
      <c r="F62" s="12"/>
      <c r="G62" s="430"/>
      <c r="I62" s="12"/>
      <c r="L62" s="12"/>
      <c r="M62" s="12"/>
      <c r="N62" s="12"/>
      <c r="O62" s="459"/>
    </row>
    <row r="63" spans="1:18" ht="19.5" customHeight="1">
      <c r="A63" s="424" t="s">
        <v>418</v>
      </c>
      <c r="B63" s="12"/>
      <c r="C63" s="12"/>
      <c r="D63" s="12"/>
      <c r="E63" s="12"/>
      <c r="F63" s="12"/>
      <c r="G63" s="430"/>
      <c r="I63" s="12"/>
      <c r="L63" s="12"/>
      <c r="M63" s="12"/>
      <c r="N63" s="12"/>
      <c r="O63" s="459"/>
      <c r="P63" s="86"/>
      <c r="Q63" s="12"/>
      <c r="R63" s="12"/>
    </row>
    <row r="64" spans="1:18" ht="19.5" customHeight="1">
      <c r="A64" s="425" t="s">
        <v>420</v>
      </c>
      <c r="B64" s="401"/>
      <c r="C64" s="401"/>
      <c r="D64" s="401"/>
      <c r="E64" s="401"/>
      <c r="F64" s="401"/>
      <c r="G64" s="431"/>
      <c r="I64" s="12"/>
      <c r="L64" s="12"/>
      <c r="M64" s="12"/>
      <c r="N64" s="12"/>
      <c r="O64" s="459"/>
      <c r="P64" s="86"/>
      <c r="Q64" s="12"/>
      <c r="R64" s="12"/>
    </row>
    <row r="65" spans="1:18" ht="17.25">
      <c r="A65" s="106"/>
      <c r="B65" s="12"/>
      <c r="C65" s="12"/>
      <c r="D65" s="12"/>
      <c r="E65" s="12"/>
      <c r="F65" s="12"/>
      <c r="I65" s="12"/>
      <c r="L65" s="12"/>
      <c r="M65" s="12"/>
      <c r="N65" s="12"/>
      <c r="O65" s="12"/>
      <c r="P65" s="12"/>
      <c r="Q65" s="12"/>
      <c r="R65" s="12"/>
    </row>
    <row r="66" spans="1:18" ht="15.6" customHeight="1">
      <c r="A66" s="426" t="s">
        <v>244</v>
      </c>
      <c r="B66" s="410"/>
      <c r="C66" s="398"/>
      <c r="D66" s="398"/>
      <c r="E66" s="398"/>
      <c r="F66" s="399"/>
      <c r="G66" s="12"/>
      <c r="I66" s="12"/>
      <c r="L66" s="12"/>
      <c r="M66" s="12"/>
      <c r="N66" s="12"/>
      <c r="O66" s="12"/>
      <c r="P66" s="12"/>
      <c r="Q66" s="12"/>
      <c r="R66" s="12"/>
    </row>
    <row r="67" spans="1:18" ht="15.6" customHeight="1">
      <c r="A67" s="427" t="s">
        <v>431</v>
      </c>
      <c r="B67" s="12"/>
      <c r="C67" s="12"/>
      <c r="E67" s="12"/>
      <c r="F67" s="400"/>
      <c r="G67" s="12"/>
      <c r="I67" s="12"/>
      <c r="L67" s="12"/>
      <c r="M67" s="12"/>
      <c r="N67" s="12"/>
      <c r="O67" s="12"/>
      <c r="P67" s="12"/>
      <c r="Q67" s="12"/>
      <c r="R67" s="12"/>
    </row>
    <row r="68" spans="1:18" ht="15.6" customHeight="1">
      <c r="A68" s="428" t="s">
        <v>245</v>
      </c>
      <c r="B68" s="401"/>
      <c r="C68" s="401"/>
      <c r="D68" s="401"/>
      <c r="E68" s="401"/>
      <c r="F68" s="402"/>
      <c r="G68" s="12"/>
      <c r="I68" s="12" t="s">
        <v>0</v>
      </c>
      <c r="L68" s="12"/>
      <c r="M68" s="12"/>
      <c r="N68" s="12"/>
      <c r="O68" s="12"/>
      <c r="P68" s="12"/>
      <c r="Q68" s="12"/>
      <c r="R68" s="12"/>
    </row>
    <row r="69" spans="1:18" ht="16.5">
      <c r="A69" s="355"/>
      <c r="B69" s="12"/>
      <c r="C69" s="12"/>
      <c r="D69" s="12"/>
      <c r="E69" s="12"/>
      <c r="F69" s="12"/>
      <c r="G69" s="12"/>
      <c r="I69" s="12"/>
      <c r="L69" s="12"/>
      <c r="M69" s="12"/>
      <c r="N69" s="12"/>
      <c r="O69" s="12"/>
      <c r="P69" s="12"/>
      <c r="Q69" s="12"/>
      <c r="R69" s="12"/>
    </row>
    <row r="70" spans="1:18" ht="17.25">
      <c r="A70" s="138" t="s">
        <v>419</v>
      </c>
      <c r="B70" s="125"/>
      <c r="C70" s="125"/>
      <c r="D70" s="125"/>
      <c r="E70" s="126"/>
      <c r="F70" s="125"/>
      <c r="G70" s="125"/>
      <c r="H70" s="125"/>
      <c r="I70" s="12"/>
      <c r="L70" s="12"/>
      <c r="M70" s="12"/>
      <c r="N70" s="12"/>
      <c r="O70" s="12"/>
      <c r="P70" s="12"/>
      <c r="Q70" s="12"/>
      <c r="R70" s="12"/>
    </row>
    <row r="71" spans="1:18" ht="17.25">
      <c r="A71" s="138"/>
      <c r="B71" s="125"/>
      <c r="C71" s="125"/>
      <c r="D71" s="125"/>
      <c r="E71" s="126"/>
      <c r="F71" s="125"/>
      <c r="G71" s="125"/>
      <c r="H71" s="125"/>
      <c r="I71" s="12"/>
      <c r="J71" s="12"/>
      <c r="K71" s="12"/>
      <c r="L71" s="12"/>
      <c r="M71" s="12"/>
      <c r="N71" s="12"/>
      <c r="O71" s="12"/>
      <c r="P71" s="12"/>
      <c r="Q71" s="12"/>
      <c r="R71" s="12"/>
    </row>
    <row r="72" spans="1:18" ht="16.5">
      <c r="A72" s="403" t="s">
        <v>430</v>
      </c>
      <c r="B72" s="125"/>
      <c r="C72" s="125"/>
      <c r="D72" s="125"/>
      <c r="E72" s="126"/>
      <c r="F72" s="125"/>
      <c r="G72" s="125"/>
      <c r="H72" s="125"/>
      <c r="I72" s="12"/>
    </row>
    <row r="73" spans="1:18" ht="16.5">
      <c r="A73" s="409" t="s">
        <v>456</v>
      </c>
      <c r="B73" s="125"/>
      <c r="C73" s="125"/>
      <c r="D73" s="125"/>
      <c r="E73" s="126"/>
      <c r="F73" s="125"/>
      <c r="G73" s="125"/>
      <c r="H73" s="125"/>
      <c r="I73" s="12"/>
    </row>
    <row r="74" spans="1:18" ht="16.5">
      <c r="A74" s="412" t="s">
        <v>367</v>
      </c>
      <c r="B74" s="408"/>
      <c r="C74" s="125"/>
      <c r="D74" s="125"/>
      <c r="E74" s="126"/>
      <c r="F74" s="125"/>
      <c r="G74" s="125"/>
      <c r="H74" s="125"/>
      <c r="I74" s="12"/>
    </row>
    <row r="75" spans="1:18" ht="16.5">
      <c r="A75" s="124"/>
      <c r="B75" s="125"/>
      <c r="C75" s="125"/>
      <c r="D75" s="125"/>
      <c r="E75" s="126"/>
      <c r="F75" s="125"/>
      <c r="G75" s="125"/>
      <c r="H75" s="125"/>
      <c r="I75" s="12"/>
    </row>
    <row r="76" spans="1:18" ht="16.5">
      <c r="A76" s="403" t="s">
        <v>452</v>
      </c>
    </row>
    <row r="77" spans="1:18">
      <c r="A77" s="406" t="s">
        <v>427</v>
      </c>
    </row>
    <row r="78" spans="1:18">
      <c r="A78" s="406" t="s">
        <v>428</v>
      </c>
    </row>
    <row r="79" spans="1:18" ht="16.5">
      <c r="A79" s="404" t="s">
        <v>139</v>
      </c>
      <c r="B79" s="381"/>
    </row>
    <row r="80" spans="1:18" ht="16.5">
      <c r="A80" s="124"/>
      <c r="B80" s="125"/>
      <c r="C80" s="125"/>
      <c r="D80" s="125"/>
      <c r="E80" s="126"/>
      <c r="F80" s="125"/>
      <c r="G80" s="125"/>
      <c r="H80" s="125"/>
      <c r="I80" s="12"/>
    </row>
    <row r="81" spans="1:9" ht="16.5">
      <c r="A81" s="403" t="s">
        <v>423</v>
      </c>
      <c r="B81" s="125"/>
      <c r="C81" s="125"/>
      <c r="D81" s="125"/>
      <c r="E81" s="126"/>
      <c r="F81" s="125"/>
      <c r="G81" s="125"/>
      <c r="H81" s="125"/>
      <c r="I81" s="12"/>
    </row>
    <row r="82" spans="1:9" ht="16.5">
      <c r="A82" s="406" t="s">
        <v>429</v>
      </c>
      <c r="B82" s="125"/>
      <c r="C82" s="125"/>
      <c r="D82" s="125"/>
      <c r="E82" s="126"/>
      <c r="F82" s="125"/>
      <c r="G82" s="125"/>
      <c r="H82" s="125"/>
      <c r="I82" s="12"/>
    </row>
    <row r="83" spans="1:9" ht="16.5">
      <c r="A83" s="407" t="s">
        <v>140</v>
      </c>
      <c r="B83" s="408"/>
      <c r="C83" s="408"/>
      <c r="D83" s="125"/>
      <c r="E83" s="126"/>
      <c r="F83" s="125"/>
      <c r="G83" s="125"/>
      <c r="H83" s="125"/>
      <c r="I83" s="12"/>
    </row>
    <row r="84" spans="1:9" ht="16.5">
      <c r="A84" s="405"/>
      <c r="B84" s="125"/>
      <c r="C84" s="125"/>
      <c r="D84" s="125"/>
      <c r="E84" s="126"/>
      <c r="F84" s="125"/>
      <c r="G84" s="125"/>
      <c r="H84" s="125"/>
      <c r="I84" s="12"/>
    </row>
    <row r="85" spans="1:9" ht="16.5">
      <c r="A85" s="403" t="s">
        <v>447</v>
      </c>
      <c r="B85" s="125"/>
      <c r="C85" s="125"/>
      <c r="D85" s="125"/>
      <c r="E85" s="126"/>
      <c r="F85" s="125"/>
      <c r="G85" s="125"/>
      <c r="H85" s="125"/>
      <c r="I85" s="12"/>
    </row>
    <row r="86" spans="1:9" ht="16.5">
      <c r="A86" s="416" t="s">
        <v>449</v>
      </c>
      <c r="B86" s="125"/>
      <c r="D86" s="125" t="s">
        <v>0</v>
      </c>
      <c r="E86" s="126"/>
      <c r="F86" s="125"/>
      <c r="G86" s="125"/>
      <c r="H86" s="125"/>
      <c r="I86" s="12"/>
    </row>
    <row r="87" spans="1:9" ht="16.5">
      <c r="A87" s="412" t="s">
        <v>448</v>
      </c>
      <c r="G87" s="125"/>
      <c r="H87" s="125"/>
      <c r="I87" s="125"/>
    </row>
    <row r="88" spans="1:9" ht="16.5">
      <c r="A88" s="407" t="s">
        <v>443</v>
      </c>
      <c r="C88" s="125"/>
      <c r="E88" s="126"/>
      <c r="F88" s="125"/>
      <c r="G88" s="125"/>
      <c r="H88" s="125"/>
      <c r="I88" s="12"/>
    </row>
    <row r="89" spans="1:9" ht="16.5">
      <c r="A89" s="407" t="s">
        <v>441</v>
      </c>
      <c r="B89" s="407"/>
      <c r="C89" s="125"/>
      <c r="D89" s="407"/>
      <c r="E89" s="126"/>
      <c r="F89" s="125"/>
      <c r="G89" s="125"/>
      <c r="H89" s="125"/>
      <c r="I89" s="12"/>
    </row>
    <row r="90" spans="1:9" ht="16.5">
      <c r="A90" s="407" t="s">
        <v>442</v>
      </c>
      <c r="B90" s="407"/>
      <c r="C90" s="125"/>
      <c r="D90" s="407"/>
      <c r="E90" s="126"/>
      <c r="F90" s="125"/>
      <c r="G90" s="125"/>
      <c r="H90" s="125"/>
      <c r="I90" s="12"/>
    </row>
    <row r="91" spans="1:9" ht="16.5">
      <c r="A91" s="405"/>
      <c r="B91" s="125"/>
      <c r="C91" s="125"/>
      <c r="D91" s="125"/>
      <c r="E91" s="126"/>
      <c r="F91" s="125"/>
      <c r="G91" s="125"/>
      <c r="H91" s="125"/>
      <c r="I91" s="12"/>
    </row>
    <row r="92" spans="1:9" ht="16.5">
      <c r="A92" s="403" t="s">
        <v>432</v>
      </c>
      <c r="B92" s="125"/>
      <c r="D92" s="125"/>
      <c r="E92" s="126"/>
      <c r="F92" s="125"/>
      <c r="G92" s="125"/>
      <c r="H92" s="125"/>
      <c r="I92" s="12"/>
    </row>
    <row r="93" spans="1:9" ht="16.5">
      <c r="A93" s="406" t="s">
        <v>440</v>
      </c>
      <c r="B93" s="125"/>
      <c r="D93" s="125"/>
      <c r="E93" s="126"/>
      <c r="F93" s="125"/>
      <c r="G93" s="125"/>
      <c r="H93" s="125"/>
      <c r="I93" s="12"/>
    </row>
    <row r="94" spans="1:9" ht="16.5">
      <c r="A94" s="407" t="s">
        <v>433</v>
      </c>
      <c r="B94" s="125"/>
      <c r="D94" s="125"/>
      <c r="E94" s="126"/>
      <c r="F94" s="125"/>
      <c r="G94" s="125"/>
      <c r="H94" s="125"/>
      <c r="I94" s="12"/>
    </row>
    <row r="95" spans="1:9" ht="16.5">
      <c r="A95" s="404"/>
      <c r="B95" s="125"/>
      <c r="C95" s="125"/>
      <c r="D95" s="125"/>
      <c r="E95" s="126"/>
      <c r="F95" s="125"/>
      <c r="G95" s="125"/>
      <c r="H95" s="125"/>
      <c r="I95" s="12"/>
    </row>
    <row r="96" spans="1:9" ht="16.5">
      <c r="A96" s="403" t="s">
        <v>435</v>
      </c>
      <c r="C96" s="125"/>
      <c r="D96" s="125"/>
      <c r="E96" s="126"/>
      <c r="F96" s="125"/>
      <c r="G96" s="125"/>
      <c r="H96" s="125"/>
      <c r="I96" s="12"/>
    </row>
    <row r="97" spans="1:9" ht="16.5">
      <c r="A97" s="413" t="s">
        <v>436</v>
      </c>
      <c r="B97" s="125"/>
      <c r="C97" s="125"/>
      <c r="D97" s="125"/>
      <c r="E97" s="126"/>
      <c r="F97" s="125"/>
      <c r="G97" s="125"/>
      <c r="H97" s="125"/>
      <c r="I97" s="12"/>
    </row>
    <row r="98" spans="1:9" ht="16.5">
      <c r="A98" s="414" t="s">
        <v>450</v>
      </c>
      <c r="B98" s="125"/>
      <c r="C98" s="125"/>
      <c r="D98" s="125"/>
      <c r="E98" s="126"/>
      <c r="F98" s="125"/>
      <c r="G98" s="125"/>
      <c r="H98" s="125"/>
      <c r="I98" s="12"/>
    </row>
    <row r="99" spans="1:9" ht="16.5">
      <c r="A99" s="407" t="s">
        <v>437</v>
      </c>
      <c r="B99" s="415"/>
      <c r="C99" s="125"/>
      <c r="D99" s="125"/>
      <c r="E99" s="126"/>
      <c r="F99" s="125"/>
      <c r="G99" s="125"/>
      <c r="H99" s="125"/>
      <c r="I99" s="12"/>
    </row>
    <row r="100" spans="1:9" ht="16.5">
      <c r="A100" s="411"/>
      <c r="B100" s="125"/>
      <c r="C100" s="125"/>
      <c r="D100" s="125"/>
      <c r="E100" s="126"/>
      <c r="F100" s="125"/>
      <c r="G100" s="125"/>
      <c r="H100" s="125"/>
      <c r="I100" s="12"/>
    </row>
    <row r="101" spans="1:9" ht="16.5">
      <c r="A101" s="403" t="s">
        <v>438</v>
      </c>
      <c r="B101" s="125"/>
      <c r="C101" s="125"/>
      <c r="D101" s="125"/>
      <c r="E101" s="126"/>
      <c r="F101" s="125"/>
      <c r="G101" s="125"/>
      <c r="H101" s="125"/>
      <c r="I101" s="12"/>
    </row>
    <row r="102" spans="1:9" ht="16.5">
      <c r="A102" s="413" t="s">
        <v>436</v>
      </c>
      <c r="B102" s="125"/>
      <c r="C102" s="125"/>
      <c r="D102" s="125"/>
      <c r="E102" s="126"/>
      <c r="F102" s="125"/>
      <c r="G102" s="125"/>
      <c r="H102" s="125"/>
      <c r="I102" s="12"/>
    </row>
    <row r="103" spans="1:9" ht="16.5">
      <c r="A103" s="414" t="s">
        <v>451</v>
      </c>
      <c r="B103" s="125"/>
      <c r="C103" s="125"/>
      <c r="D103" s="125"/>
      <c r="E103" s="126"/>
      <c r="F103" s="125"/>
      <c r="G103" s="125"/>
      <c r="H103" s="125"/>
      <c r="I103" s="12"/>
    </row>
    <row r="104" spans="1:9" ht="16.5">
      <c r="A104" s="407" t="s">
        <v>439</v>
      </c>
      <c r="B104" s="125"/>
      <c r="C104" s="125"/>
      <c r="D104" s="125"/>
      <c r="E104" s="126"/>
      <c r="F104" s="125"/>
      <c r="G104" s="125"/>
      <c r="H104" s="125"/>
      <c r="I104" s="12"/>
    </row>
    <row r="105" spans="1:9" ht="16.5">
      <c r="A105" s="411"/>
      <c r="B105" s="125"/>
      <c r="C105" s="125"/>
      <c r="D105" s="125"/>
      <c r="E105" s="126"/>
      <c r="F105" s="125"/>
      <c r="G105" s="125"/>
      <c r="H105" s="125"/>
      <c r="I105" s="12"/>
    </row>
    <row r="106" spans="1:9" ht="16.5">
      <c r="A106" s="382" t="s">
        <v>469</v>
      </c>
    </row>
    <row r="107" spans="1:9" ht="16.5">
      <c r="A107" s="407" t="s">
        <v>470</v>
      </c>
    </row>
    <row r="108" spans="1:9" ht="16.5">
      <c r="A108" s="404" t="s">
        <v>471</v>
      </c>
    </row>
  </sheetData>
  <mergeCells count="1">
    <mergeCell ref="A37:C37"/>
  </mergeCells>
  <hyperlinks>
    <hyperlink ref="A74" r:id="rId1" xr:uid="{1606826D-A54E-4467-938F-CECCFC94BB0E}"/>
    <hyperlink ref="A79" r:id="rId2" xr:uid="{3E18D74A-862B-4E9A-9045-A724DDEBA144}"/>
    <hyperlink ref="A83" r:id="rId3" xr:uid="{403520BD-8619-4DB2-91AB-23F8AB1B7CD6}"/>
    <hyperlink ref="A94" r:id="rId4" xr:uid="{7D7CB729-C51B-4B80-B38D-9379F0892B2C}"/>
    <hyperlink ref="A99" r:id="rId5" xr:uid="{D365F811-809B-4E90-8174-03BC2C6FC4A1}"/>
    <hyperlink ref="A104" r:id="rId6" xr:uid="{F89B62A3-BAE3-4695-A155-37D323DA88D8}"/>
    <hyperlink ref="A89" r:id="rId7" xr:uid="{5FB12F39-B659-45DF-AA4F-C0168A23331B}"/>
    <hyperlink ref="A88" r:id="rId8" display="https://www.cbo.gov/system/files/2025-01/60870-Outlook-2025.pdf" xr:uid="{FC110108-DE5B-40D7-945F-0200249892D9}"/>
    <hyperlink ref="A90" r:id="rId9" xr:uid="{49DB78A1-C21C-4A25-BAF5-259ED7C481CA}"/>
    <hyperlink ref="A87" r:id="rId10" location="4" display="https://www.cbo.gov/data/budget-economic-data - 4" xr:uid="{012F1CFB-F5E8-423C-AFF8-234B356A3EE8}"/>
    <hyperlink ref="A68" r:id="rId11" xr:uid="{5002171B-2B37-4D83-A4BE-E8225D56769E}"/>
    <hyperlink ref="A107" r:id="rId12" xr:uid="{26B9EEA5-77C5-4368-B0D1-9503AAEE7131}"/>
    <hyperlink ref="A108" r:id="rId13" xr:uid="{B6E5D6C0-56A4-4525-934F-C2F5B8B00619}"/>
  </hyperlinks>
  <pageMargins left="0.25" right="0.25" top="0.75" bottom="0.75" header="0.3" footer="0.3"/>
  <pageSetup scale="27" fitToWidth="0" orientation="portrait" r:id="rId1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8FC4C-63FA-4ED8-A8CD-4459BA89D919}">
  <sheetPr>
    <tabColor rgb="FF92D050"/>
    <pageSetUpPr fitToPage="1"/>
  </sheetPr>
  <dimension ref="A1:I108"/>
  <sheetViews>
    <sheetView view="pageBreakPreview" topLeftCell="A11" zoomScale="70" zoomScaleNormal="80" zoomScaleSheetLayoutView="70" workbookViewId="0">
      <selection activeCell="D44" sqref="D44"/>
    </sheetView>
  </sheetViews>
  <sheetFormatPr defaultRowHeight="15"/>
  <cols>
    <col min="1" max="1" width="45.7109375" customWidth="1"/>
    <col min="2" max="2" width="22.7109375" customWidth="1"/>
    <col min="3" max="3" width="72.140625" customWidth="1"/>
    <col min="4" max="4" width="34.5703125" customWidth="1"/>
    <col min="5" max="5" width="21.7109375" customWidth="1"/>
    <col min="6" max="6" width="15.5703125" customWidth="1"/>
    <col min="7" max="7" width="24.85546875" customWidth="1"/>
    <col min="8" max="8" width="18" customWidth="1"/>
    <col min="9" max="9" width="20.85546875" customWidth="1"/>
    <col min="10" max="10" width="19" customWidth="1"/>
    <col min="11" max="11" width="17.28515625" customWidth="1"/>
    <col min="12" max="12" width="24.140625" customWidth="1"/>
  </cols>
  <sheetData>
    <row r="1" spans="1:9" ht="26.25">
      <c r="A1" s="23" t="s">
        <v>1</v>
      </c>
      <c r="B1" s="12"/>
      <c r="C1" s="12"/>
      <c r="D1" s="12"/>
      <c r="E1" s="12"/>
      <c r="F1" s="12"/>
      <c r="G1" s="12"/>
      <c r="H1" s="12"/>
      <c r="I1" s="12"/>
    </row>
    <row r="2" spans="1:9" ht="17.25">
      <c r="A2" s="61" t="s">
        <v>9</v>
      </c>
      <c r="B2" s="12"/>
      <c r="C2" s="12"/>
      <c r="D2" s="12"/>
      <c r="E2" s="12"/>
      <c r="F2" s="12"/>
      <c r="G2" s="12"/>
      <c r="H2" s="12"/>
      <c r="I2" s="12"/>
    </row>
    <row r="3" spans="1:9" ht="16.5">
      <c r="A3" s="43" t="s">
        <v>412</v>
      </c>
      <c r="B3" s="12"/>
      <c r="C3" s="12"/>
      <c r="D3" s="12"/>
      <c r="E3" s="12"/>
      <c r="F3" s="12"/>
      <c r="G3" s="12"/>
      <c r="H3" s="12"/>
      <c r="I3" s="12"/>
    </row>
    <row r="4" spans="1:9" ht="9.75" customHeight="1">
      <c r="A4" s="12"/>
      <c r="B4" s="12"/>
      <c r="C4" s="12"/>
      <c r="D4" s="12"/>
      <c r="E4" s="12"/>
      <c r="F4" s="12"/>
      <c r="G4" s="12"/>
      <c r="H4" s="12"/>
      <c r="I4" s="12"/>
    </row>
    <row r="5" spans="1:9" ht="18" thickBot="1">
      <c r="A5" s="61"/>
      <c r="B5" s="12"/>
      <c r="C5" s="12"/>
      <c r="D5" s="12"/>
      <c r="E5" s="12"/>
      <c r="F5" s="12"/>
      <c r="G5" s="12"/>
      <c r="H5" s="12"/>
      <c r="I5" s="12"/>
    </row>
    <row r="6" spans="1:9" ht="21" thickBot="1">
      <c r="A6" s="239" t="str">
        <f>+'S&amp;D'!A12</f>
        <v>Water Utility Companies (Private)</v>
      </c>
      <c r="B6" s="174"/>
      <c r="C6" s="12"/>
      <c r="D6" s="12"/>
      <c r="E6" s="12"/>
      <c r="F6" s="12"/>
      <c r="G6" s="12"/>
      <c r="H6" s="12"/>
      <c r="I6" s="12"/>
    </row>
    <row r="7" spans="1:9" ht="26.25" customHeight="1" thickBot="1">
      <c r="A7" s="61"/>
      <c r="B7" s="12"/>
      <c r="C7" s="28"/>
      <c r="E7" s="12"/>
      <c r="F7" s="12"/>
      <c r="G7" s="12"/>
      <c r="H7" s="12"/>
      <c r="I7" s="12"/>
    </row>
    <row r="8" spans="1:9" ht="26.25">
      <c r="B8" s="12"/>
      <c r="C8" s="31" t="s">
        <v>147</v>
      </c>
      <c r="E8" s="12"/>
      <c r="F8" s="12"/>
      <c r="G8" s="12"/>
      <c r="H8" s="12"/>
      <c r="I8" s="12"/>
    </row>
    <row r="9" spans="1:9" ht="21" thickBot="1">
      <c r="A9" s="30"/>
      <c r="B9" s="12"/>
      <c r="C9" s="32" t="s">
        <v>413</v>
      </c>
      <c r="E9" s="12"/>
      <c r="F9" s="12"/>
      <c r="G9" s="12"/>
      <c r="H9" s="12"/>
      <c r="I9" s="12"/>
    </row>
    <row r="10" spans="1:9" ht="11.25" customHeight="1">
      <c r="A10" s="30"/>
      <c r="B10" s="12"/>
      <c r="C10" s="12"/>
      <c r="D10" s="12"/>
      <c r="E10" s="12"/>
      <c r="F10" s="12"/>
      <c r="G10" s="12"/>
      <c r="H10" s="12"/>
      <c r="I10" s="12"/>
    </row>
    <row r="11" spans="1:9" ht="10.5" customHeight="1" thickBot="1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16.5">
      <c r="A12" s="12"/>
      <c r="B12" s="12"/>
      <c r="C12" s="79" t="s">
        <v>0</v>
      </c>
      <c r="D12" s="79" t="s">
        <v>180</v>
      </c>
      <c r="E12" s="12"/>
      <c r="F12" s="12"/>
      <c r="G12" s="12"/>
      <c r="H12" s="12"/>
      <c r="I12" s="12"/>
    </row>
    <row r="13" spans="1:9" ht="21" thickBot="1">
      <c r="A13" s="12"/>
      <c r="B13" s="12"/>
      <c r="C13" s="318" t="s">
        <v>146</v>
      </c>
      <c r="D13" s="81" t="s">
        <v>256</v>
      </c>
      <c r="E13" s="12"/>
      <c r="F13" s="12"/>
      <c r="G13" s="12"/>
      <c r="H13" s="12"/>
      <c r="I13" s="12"/>
    </row>
    <row r="14" spans="1:9" ht="16.5">
      <c r="A14" s="12"/>
      <c r="B14" s="12"/>
      <c r="E14" s="322"/>
      <c r="F14" s="12"/>
      <c r="G14" s="12"/>
      <c r="H14" s="12"/>
      <c r="I14" s="12"/>
    </row>
    <row r="15" spans="1:9" ht="17.25">
      <c r="A15" s="12"/>
      <c r="B15" s="12"/>
      <c r="C15" s="319" t="s">
        <v>403</v>
      </c>
      <c r="D15" s="321">
        <f>+CAPM!F16</f>
        <v>6.7938999999999999E-2</v>
      </c>
      <c r="E15" s="322"/>
      <c r="F15" s="12"/>
      <c r="G15" s="12"/>
      <c r="H15" s="12"/>
      <c r="I15" s="12"/>
    </row>
    <row r="16" spans="1:9" ht="17.25">
      <c r="A16" s="12"/>
      <c r="B16" s="12"/>
      <c r="C16" s="319" t="s">
        <v>404</v>
      </c>
      <c r="D16" s="321">
        <f>+CAPM!F17</f>
        <v>7.3831999999999995E-2</v>
      </c>
      <c r="E16" s="322"/>
      <c r="F16" s="12"/>
      <c r="G16" s="12"/>
      <c r="H16" s="12"/>
      <c r="I16" s="12"/>
    </row>
    <row r="17" spans="1:9" ht="17.25">
      <c r="A17" s="12"/>
      <c r="B17" s="12"/>
      <c r="C17" s="319" t="s">
        <v>386</v>
      </c>
      <c r="D17" s="321">
        <f>+CAPM!F19</f>
        <v>8.4539000000000003E-2</v>
      </c>
      <c r="E17" s="322"/>
      <c r="F17" s="12"/>
      <c r="G17" s="12"/>
      <c r="H17" s="12"/>
      <c r="I17" s="12"/>
    </row>
    <row r="18" spans="1:9" ht="17.25">
      <c r="A18" s="12"/>
      <c r="B18" s="12"/>
      <c r="C18" s="319" t="s">
        <v>400</v>
      </c>
      <c r="D18" s="321">
        <f>+CAPM!F20</f>
        <v>9.9644999999999997E-2</v>
      </c>
      <c r="E18" s="351"/>
      <c r="G18" s="12"/>
      <c r="H18" s="12"/>
      <c r="I18" s="12"/>
    </row>
    <row r="19" spans="1:9" ht="17.25">
      <c r="A19" s="12"/>
      <c r="B19" s="12"/>
      <c r="C19" s="319" t="s">
        <v>390</v>
      </c>
      <c r="D19" s="321">
        <f>+CAPM!F21</f>
        <v>8.3045000000000008E-2</v>
      </c>
      <c r="E19" s="322"/>
      <c r="F19" s="12"/>
      <c r="G19" s="12"/>
      <c r="H19" s="12"/>
      <c r="I19" s="12"/>
    </row>
    <row r="20" spans="1:9" ht="17.25">
      <c r="A20" s="12"/>
      <c r="B20" s="12"/>
      <c r="C20" s="319" t="s">
        <v>385</v>
      </c>
      <c r="D20" s="321">
        <f>+CAPM!F22</f>
        <v>8.0222999999999989E-2</v>
      </c>
      <c r="E20" s="322"/>
      <c r="F20" s="12"/>
      <c r="G20" s="12"/>
      <c r="H20" s="12"/>
      <c r="I20" s="12"/>
    </row>
    <row r="21" spans="1:9" ht="17.25">
      <c r="A21" s="12"/>
      <c r="B21" s="12"/>
      <c r="C21" s="319" t="s">
        <v>148</v>
      </c>
      <c r="D21" s="321">
        <f>+CAPM!F24</f>
        <v>9.3337000000000003E-2</v>
      </c>
      <c r="E21" s="322"/>
      <c r="F21" s="12"/>
      <c r="G21" s="12"/>
      <c r="H21" s="12"/>
      <c r="I21" s="12"/>
    </row>
    <row r="22" spans="1:9" ht="17.25">
      <c r="A22" s="12"/>
      <c r="B22" s="12"/>
      <c r="C22" s="319" t="s">
        <v>149</v>
      </c>
      <c r="D22" s="321">
        <f>+CAPM!F26</f>
        <v>9.425E-2</v>
      </c>
      <c r="E22" s="322"/>
      <c r="F22" s="12"/>
      <c r="G22" s="12"/>
      <c r="H22" s="12"/>
      <c r="I22" s="12"/>
    </row>
    <row r="23" spans="1:9" ht="17.25">
      <c r="A23" s="12"/>
      <c r="B23" s="12"/>
      <c r="C23" s="319" t="s">
        <v>150</v>
      </c>
      <c r="D23" s="321">
        <f>+CAPM!F28</f>
        <v>0.104293</v>
      </c>
      <c r="E23" s="322"/>
      <c r="F23" s="12"/>
      <c r="G23" s="12"/>
      <c r="H23" s="12"/>
      <c r="I23" s="12"/>
    </row>
    <row r="24" spans="1:9" ht="17.25">
      <c r="A24" s="12"/>
      <c r="B24" s="12"/>
      <c r="C24" s="319" t="s">
        <v>151</v>
      </c>
      <c r="D24" s="321">
        <f>+CAPM!F29</f>
        <v>9.3918000000000001E-2</v>
      </c>
      <c r="E24" s="351"/>
      <c r="G24" s="12"/>
      <c r="H24" s="12"/>
      <c r="I24" s="12"/>
    </row>
    <row r="25" spans="1:9" ht="17.25">
      <c r="A25" s="12"/>
      <c r="B25" s="12"/>
      <c r="C25" s="320" t="s">
        <v>392</v>
      </c>
      <c r="D25" s="321">
        <f>+CAPM!F31</f>
        <v>0.109273</v>
      </c>
      <c r="E25" s="331"/>
      <c r="F25" s="12"/>
      <c r="G25" s="12"/>
      <c r="H25" s="12"/>
      <c r="I25" s="12"/>
    </row>
    <row r="26" spans="1:9" ht="17.25">
      <c r="A26" s="12"/>
      <c r="B26" s="12"/>
      <c r="C26" s="320" t="s">
        <v>393</v>
      </c>
      <c r="D26" s="321">
        <f>+CAPM!F32</f>
        <v>0.10055799999999999</v>
      </c>
      <c r="E26" s="331"/>
      <c r="F26" s="12"/>
      <c r="G26" s="12"/>
      <c r="H26" s="12"/>
      <c r="I26" s="12"/>
    </row>
    <row r="27" spans="1:9" ht="17.25">
      <c r="A27" s="12"/>
      <c r="B27" s="12"/>
      <c r="C27" s="320" t="s">
        <v>394</v>
      </c>
      <c r="D27" s="321">
        <f>+CAPM!F33</f>
        <v>9.01E-2</v>
      </c>
      <c r="E27" s="331"/>
      <c r="F27" s="12"/>
      <c r="G27" s="12"/>
      <c r="H27" s="12"/>
      <c r="I27" s="12"/>
    </row>
    <row r="28" spans="1:9" ht="17.25">
      <c r="A28" s="12"/>
      <c r="B28" s="12"/>
      <c r="C28" s="319" t="s">
        <v>405</v>
      </c>
      <c r="D28" s="321">
        <f>+CAPM!G42</f>
        <v>6.8929249999999997E-2</v>
      </c>
      <c r="E28" s="331"/>
      <c r="F28" s="12"/>
      <c r="G28" s="12"/>
      <c r="H28" s="12"/>
      <c r="I28" s="12"/>
    </row>
    <row r="29" spans="1:9" ht="17.25">
      <c r="A29" s="12"/>
      <c r="B29" s="12"/>
      <c r="C29" s="319" t="s">
        <v>406</v>
      </c>
      <c r="D29" s="321">
        <f>+CAPM!G43</f>
        <v>7.5123999999999996E-2</v>
      </c>
      <c r="E29" s="331"/>
      <c r="F29" s="12"/>
      <c r="G29" s="12"/>
      <c r="H29" s="12"/>
      <c r="I29" s="12"/>
    </row>
    <row r="30" spans="1:9" ht="17.25">
      <c r="A30" s="12"/>
      <c r="B30" s="12"/>
      <c r="C30" s="319" t="s">
        <v>387</v>
      </c>
      <c r="D30" s="321">
        <f>+CAPM!G45</f>
        <v>8.6379249999999991E-2</v>
      </c>
      <c r="E30" s="322"/>
      <c r="F30" s="12"/>
      <c r="G30" s="12"/>
      <c r="H30" s="12"/>
      <c r="I30" s="12"/>
    </row>
    <row r="31" spans="1:9" ht="17.25">
      <c r="A31" s="12"/>
      <c r="B31" s="12"/>
      <c r="C31" s="319" t="s">
        <v>401</v>
      </c>
      <c r="D31" s="321">
        <f>+CAPM!G46</f>
        <v>0.10225875</v>
      </c>
      <c r="E31" s="322"/>
      <c r="F31" s="12"/>
      <c r="G31" s="12"/>
      <c r="H31" s="12"/>
      <c r="I31" s="12"/>
    </row>
    <row r="32" spans="1:9" ht="17.25">
      <c r="A32" s="12"/>
      <c r="B32" s="12"/>
      <c r="C32" s="319" t="s">
        <v>391</v>
      </c>
      <c r="D32" s="321">
        <f>+CAPM!G47</f>
        <v>8.4808750000000002E-2</v>
      </c>
      <c r="E32" s="322"/>
      <c r="F32" s="12"/>
      <c r="G32" s="12"/>
      <c r="H32" s="12"/>
      <c r="I32" s="12"/>
    </row>
    <row r="33" spans="1:9" ht="17.25">
      <c r="A33" s="12"/>
      <c r="B33" s="12"/>
      <c r="C33" s="319" t="s">
        <v>388</v>
      </c>
      <c r="D33" s="321">
        <f>+CAPM!G48</f>
        <v>8.1842250000000005E-2</v>
      </c>
      <c r="E33" s="322"/>
      <c r="F33" s="12"/>
      <c r="G33" s="12"/>
      <c r="H33" s="12"/>
      <c r="I33" s="12"/>
    </row>
    <row r="34" spans="1:9" ht="17.25">
      <c r="A34" s="12"/>
      <c r="B34" s="12"/>
      <c r="C34" s="319" t="s">
        <v>152</v>
      </c>
      <c r="D34" s="321">
        <f>+CAPM!G50</f>
        <v>9.5627749999999997E-2</v>
      </c>
      <c r="E34" s="322"/>
      <c r="F34" s="12"/>
      <c r="G34" s="12"/>
      <c r="H34" s="12"/>
      <c r="I34" s="12"/>
    </row>
    <row r="35" spans="1:9" ht="17.25">
      <c r="A35" s="12"/>
      <c r="B35" s="12"/>
      <c r="C35" s="319" t="s">
        <v>153</v>
      </c>
      <c r="D35" s="321">
        <f>+CAPM!G52</f>
        <v>9.6587499999999993E-2</v>
      </c>
      <c r="E35" s="322"/>
      <c r="F35" s="12"/>
      <c r="G35" s="12"/>
      <c r="H35" s="12"/>
      <c r="I35" s="12"/>
    </row>
    <row r="36" spans="1:9" ht="17.25">
      <c r="A36" s="12"/>
      <c r="B36" s="12"/>
      <c r="C36" s="320" t="s">
        <v>154</v>
      </c>
      <c r="D36" s="321">
        <f>+CAPM!G54</f>
        <v>0.10714475000000001</v>
      </c>
      <c r="E36" s="322"/>
      <c r="F36" s="12"/>
      <c r="G36" s="12"/>
      <c r="H36" s="12"/>
      <c r="I36" s="12"/>
    </row>
    <row r="37" spans="1:9" ht="17.25">
      <c r="A37" s="12"/>
      <c r="B37" s="12"/>
      <c r="C37" s="339" t="s">
        <v>155</v>
      </c>
      <c r="D37" s="321">
        <f>+CAPM!G55</f>
        <v>9.6238500000000005E-2</v>
      </c>
      <c r="E37" s="322"/>
      <c r="F37" s="12"/>
      <c r="G37" s="12"/>
      <c r="H37" s="12"/>
      <c r="I37" s="12"/>
    </row>
    <row r="38" spans="1:9" ht="16.5" customHeight="1">
      <c r="A38" s="12"/>
      <c r="B38" s="12"/>
      <c r="C38" s="320" t="s">
        <v>395</v>
      </c>
      <c r="D38" s="321">
        <f>+CAPM!G57</f>
        <v>0.11237975</v>
      </c>
      <c r="E38" s="322" t="s">
        <v>0</v>
      </c>
      <c r="F38" s="12"/>
      <c r="G38" s="12"/>
      <c r="H38" s="12"/>
      <c r="I38" s="12"/>
    </row>
    <row r="39" spans="1:9" ht="16.5" customHeight="1">
      <c r="A39" s="12"/>
      <c r="B39" s="12"/>
      <c r="C39" s="320" t="s">
        <v>396</v>
      </c>
      <c r="D39" s="321">
        <f>+CAPM!G58</f>
        <v>0.10321849999999999</v>
      </c>
      <c r="E39" s="322"/>
      <c r="F39" s="12"/>
      <c r="G39" s="12"/>
      <c r="H39" s="12"/>
      <c r="I39" s="12"/>
    </row>
    <row r="40" spans="1:9" ht="16.5" customHeight="1">
      <c r="A40" s="12"/>
      <c r="B40" s="12"/>
      <c r="C40" s="320" t="s">
        <v>397</v>
      </c>
      <c r="D40" s="321">
        <f>+CAPM!G59</f>
        <v>9.2225000000000001E-2</v>
      </c>
      <c r="E40" s="322"/>
      <c r="F40" s="12"/>
      <c r="G40" s="12"/>
      <c r="H40" s="12"/>
      <c r="I40" s="12"/>
    </row>
    <row r="41" spans="1:9" ht="21.75" customHeight="1">
      <c r="A41" s="12"/>
      <c r="B41" s="12"/>
      <c r="C41" s="252" t="s">
        <v>227</v>
      </c>
      <c r="D41" s="338">
        <f>+'Single Stage Div Growth Model'!I29</f>
        <v>9.3899999999999997E-2</v>
      </c>
      <c r="E41" s="351"/>
      <c r="G41" s="12"/>
      <c r="H41" s="12"/>
      <c r="I41" s="12"/>
    </row>
    <row r="42" spans="1:9" ht="21.75" customHeight="1">
      <c r="A42" s="12"/>
      <c r="B42" s="12"/>
      <c r="C42" s="252" t="s">
        <v>226</v>
      </c>
      <c r="D42" s="191">
        <f>+'Single Stage Div Growth Model'!I31</f>
        <v>9.8100000000000007E-2</v>
      </c>
      <c r="G42" s="12"/>
      <c r="H42" s="12"/>
      <c r="I42" s="12"/>
    </row>
    <row r="43" spans="1:9" ht="21.75" customHeight="1">
      <c r="A43" s="12"/>
      <c r="B43" s="12"/>
      <c r="C43" s="332" t="s">
        <v>228</v>
      </c>
      <c r="D43" s="333">
        <f>+'Two-Stage Div Growth Model'!H33</f>
        <v>9.0999999999999998E-2</v>
      </c>
      <c r="G43" s="82" t="s">
        <v>0</v>
      </c>
      <c r="H43" s="12"/>
      <c r="I43" s="12"/>
    </row>
    <row r="44" spans="1:9" ht="21.75" customHeight="1">
      <c r="A44" s="12"/>
      <c r="B44" s="12"/>
      <c r="C44" s="340" t="s">
        <v>349</v>
      </c>
      <c r="D44" s="341">
        <f>+'Direct NOPAT'!G60</f>
        <v>6.7299999999999999E-2</v>
      </c>
      <c r="E44" s="334" t="s">
        <v>0</v>
      </c>
      <c r="F44" s="12"/>
      <c r="G44" s="12"/>
      <c r="H44" s="12"/>
      <c r="I44" s="12"/>
    </row>
    <row r="45" spans="1:9" ht="17.25" thickBot="1">
      <c r="A45" s="12"/>
      <c r="B45" s="12"/>
      <c r="C45" s="12"/>
      <c r="D45" s="69"/>
      <c r="E45" s="12"/>
      <c r="F45" s="12"/>
      <c r="G45" s="12"/>
      <c r="H45" s="12"/>
      <c r="I45" s="12"/>
    </row>
    <row r="46" spans="1:9" ht="17.25" thickTop="1">
      <c r="A46" s="12"/>
      <c r="B46" s="12"/>
      <c r="C46" s="14" t="s">
        <v>45</v>
      </c>
      <c r="D46" s="51">
        <f>MAX(D15:D43)</f>
        <v>0.11237975</v>
      </c>
      <c r="E46" s="141"/>
      <c r="F46" s="12"/>
      <c r="G46" s="12"/>
      <c r="H46" s="12"/>
      <c r="I46" s="12"/>
    </row>
    <row r="47" spans="1:9" ht="16.5">
      <c r="A47" s="12"/>
      <c r="B47" s="12"/>
      <c r="C47" s="14" t="s">
        <v>46</v>
      </c>
      <c r="D47" s="310">
        <f>MIN(D15:D43)</f>
        <v>6.7938999999999999E-2</v>
      </c>
      <c r="E47" s="12"/>
      <c r="F47" s="12"/>
      <c r="G47" s="51"/>
      <c r="H47" s="51"/>
      <c r="I47" s="51"/>
    </row>
    <row r="48" spans="1:9" ht="16.5">
      <c r="A48" s="12"/>
      <c r="B48" s="12"/>
      <c r="C48" s="14" t="s">
        <v>18</v>
      </c>
      <c r="D48" s="82">
        <f>MEDIAN(D15:D43)</f>
        <v>9.3899999999999997E-2</v>
      </c>
      <c r="E48" s="82"/>
      <c r="F48" s="82"/>
      <c r="G48" s="82"/>
      <c r="H48" s="82"/>
      <c r="I48" s="82"/>
    </row>
    <row r="49" spans="1:9" ht="16.5">
      <c r="A49" s="12"/>
      <c r="B49" s="12"/>
      <c r="C49" s="14" t="s">
        <v>374</v>
      </c>
      <c r="D49" s="83">
        <f>AVERAGE(D15:D43)</f>
        <v>9.1748827586206921E-2</v>
      </c>
      <c r="E49" s="82"/>
      <c r="F49" s="82"/>
      <c r="G49" s="82"/>
      <c r="H49" s="82"/>
      <c r="I49" s="82"/>
    </row>
    <row r="50" spans="1:9" ht="16.5">
      <c r="A50" s="12"/>
      <c r="B50" s="12"/>
      <c r="C50" s="14"/>
      <c r="D50" s="83"/>
      <c r="E50" s="83"/>
      <c r="F50" s="83"/>
      <c r="G50" s="83"/>
      <c r="H50" s="83"/>
      <c r="I50" s="83"/>
    </row>
    <row r="51" spans="1:9" ht="17.25" thickBot="1">
      <c r="A51" s="12"/>
      <c r="B51" s="12"/>
      <c r="C51" s="12"/>
      <c r="D51" s="12" t="s">
        <v>182</v>
      </c>
      <c r="E51" s="12"/>
      <c r="F51" s="12"/>
      <c r="G51" s="12"/>
      <c r="H51" s="12"/>
      <c r="I51" s="12"/>
    </row>
    <row r="52" spans="1:9" ht="27" thickBot="1">
      <c r="A52" s="12"/>
      <c r="B52" s="12"/>
      <c r="C52" s="182" t="s">
        <v>235</v>
      </c>
      <c r="D52" s="350">
        <v>9.1700000000000004E-2</v>
      </c>
      <c r="E52" s="84"/>
      <c r="F52" s="84"/>
    </row>
    <row r="53" spans="1:9" ht="26.25">
      <c r="A53" s="12"/>
      <c r="B53" s="12"/>
      <c r="C53" s="48"/>
      <c r="D53" s="342"/>
      <c r="E53" s="84"/>
      <c r="F53" s="84"/>
    </row>
    <row r="54" spans="1:9" ht="26.25">
      <c r="A54" s="12"/>
      <c r="B54" s="12"/>
      <c r="C54" s="48"/>
      <c r="D54" s="342"/>
      <c r="E54" s="84"/>
      <c r="F54" s="84"/>
    </row>
    <row r="55" spans="1:9" ht="26.25">
      <c r="A55" s="12"/>
      <c r="B55" s="12"/>
      <c r="C55" s="48"/>
      <c r="D55" s="342"/>
      <c r="E55" s="84"/>
      <c r="F55" s="84"/>
    </row>
    <row r="56" spans="1:9" ht="17.25">
      <c r="A56" s="106" t="s">
        <v>236</v>
      </c>
      <c r="B56" s="12"/>
      <c r="C56" s="12"/>
      <c r="D56" s="12"/>
      <c r="E56" s="12"/>
      <c r="F56" s="12"/>
      <c r="G56" s="12"/>
      <c r="H56" s="12"/>
      <c r="I56" s="12"/>
    </row>
    <row r="57" spans="1:9" ht="17.25">
      <c r="A57" s="106" t="s">
        <v>352</v>
      </c>
      <c r="B57" s="12"/>
      <c r="C57" s="12"/>
      <c r="D57" s="12"/>
      <c r="E57" s="12"/>
      <c r="F57" s="12"/>
      <c r="G57" s="12"/>
      <c r="H57" s="12"/>
      <c r="I57" s="12"/>
    </row>
    <row r="58" spans="1:9" ht="16.5">
      <c r="A58" s="12"/>
      <c r="B58" s="12"/>
      <c r="C58" s="12"/>
      <c r="D58" s="12"/>
      <c r="E58" s="12"/>
      <c r="F58" s="12"/>
      <c r="G58" s="12"/>
      <c r="H58" s="12"/>
      <c r="I58" s="12"/>
    </row>
    <row r="59" spans="1:9" ht="16.5">
      <c r="A59" s="12"/>
      <c r="B59" s="12"/>
      <c r="C59" s="12"/>
      <c r="D59" s="12"/>
      <c r="E59" s="12"/>
      <c r="F59" s="12"/>
      <c r="G59" s="12"/>
      <c r="H59" s="12"/>
      <c r="I59" s="12"/>
    </row>
    <row r="60" spans="1:9" ht="16.5">
      <c r="A60" s="12"/>
      <c r="B60" s="12"/>
      <c r="C60" s="12"/>
      <c r="D60" s="12"/>
      <c r="E60" s="12"/>
      <c r="F60" s="12"/>
      <c r="G60" s="12"/>
      <c r="H60" s="12"/>
      <c r="I60" s="12"/>
    </row>
    <row r="61" spans="1:9" ht="16.5">
      <c r="A61" s="12"/>
      <c r="B61" s="12"/>
      <c r="C61" s="12"/>
      <c r="D61" s="12"/>
      <c r="E61" s="12"/>
      <c r="F61" s="12"/>
      <c r="G61" s="12"/>
      <c r="H61" s="12"/>
      <c r="I61" s="12"/>
    </row>
    <row r="62" spans="1:9" ht="16.5">
      <c r="A62" s="12"/>
      <c r="B62" s="12"/>
      <c r="C62" s="12"/>
      <c r="D62" s="12" t="s">
        <v>0</v>
      </c>
      <c r="E62" s="12"/>
      <c r="F62" s="12"/>
      <c r="G62" s="12"/>
      <c r="H62" s="12"/>
      <c r="I62" s="12"/>
    </row>
    <row r="63" spans="1:9" ht="16.5">
      <c r="A63" s="12"/>
      <c r="B63" s="12"/>
      <c r="C63" s="12"/>
      <c r="D63" s="12" t="s">
        <v>0</v>
      </c>
      <c r="E63" s="12"/>
      <c r="F63" s="12"/>
      <c r="G63" s="12"/>
      <c r="H63" s="12"/>
      <c r="I63" s="12"/>
    </row>
    <row r="64" spans="1:9" ht="16.5">
      <c r="A64" s="12"/>
      <c r="B64" s="12"/>
      <c r="C64" s="12"/>
      <c r="D64" s="12"/>
      <c r="E64" s="12"/>
      <c r="F64" s="12"/>
      <c r="G64" s="12"/>
      <c r="H64" s="12"/>
      <c r="I64" s="12"/>
    </row>
    <row r="65" spans="1:9" ht="16.5">
      <c r="A65" s="12"/>
      <c r="B65" s="12"/>
      <c r="C65" s="12"/>
      <c r="D65" s="12"/>
      <c r="E65" s="12"/>
      <c r="F65" s="12"/>
      <c r="G65" s="12"/>
      <c r="H65" s="12"/>
      <c r="I65" s="12"/>
    </row>
    <row r="66" spans="1:9" ht="16.5">
      <c r="A66" s="12"/>
      <c r="B66" s="12"/>
      <c r="C66" s="12"/>
      <c r="D66" s="12"/>
      <c r="E66" s="12"/>
      <c r="F66" s="12"/>
      <c r="G66" s="12"/>
      <c r="H66" s="12"/>
      <c r="I66" s="12"/>
    </row>
    <row r="67" spans="1:9" ht="16.5">
      <c r="A67" s="12"/>
      <c r="B67" s="12"/>
      <c r="C67" s="12"/>
      <c r="D67" s="12"/>
      <c r="E67" s="12"/>
      <c r="F67" s="12"/>
      <c r="G67" s="12"/>
      <c r="H67" s="12"/>
      <c r="I67" s="12"/>
    </row>
    <row r="68" spans="1:9" ht="16.5">
      <c r="A68" s="12"/>
      <c r="B68" s="12"/>
      <c r="C68" s="12"/>
      <c r="D68" s="12"/>
      <c r="E68" s="12"/>
      <c r="F68" s="12"/>
      <c r="G68" s="12"/>
      <c r="H68" s="12"/>
      <c r="I68" s="12"/>
    </row>
    <row r="69" spans="1:9" ht="16.5">
      <c r="A69" s="12"/>
      <c r="B69" s="12"/>
      <c r="C69" s="12"/>
      <c r="D69" s="12"/>
      <c r="E69" s="12"/>
      <c r="F69" s="12"/>
      <c r="G69" s="12"/>
      <c r="H69" s="12"/>
      <c r="I69" s="12"/>
    </row>
    <row r="70" spans="1:9" ht="16.5">
      <c r="A70" s="12"/>
      <c r="B70" s="12"/>
      <c r="C70" s="12"/>
      <c r="D70" s="12"/>
      <c r="E70" s="12"/>
      <c r="F70" s="12"/>
      <c r="G70" s="12"/>
      <c r="H70" s="12"/>
      <c r="I70" s="12"/>
    </row>
    <row r="71" spans="1:9" ht="16.5">
      <c r="A71" s="12"/>
      <c r="B71" s="12"/>
      <c r="C71" s="12"/>
      <c r="D71" s="12"/>
      <c r="E71" s="12"/>
      <c r="F71" s="12"/>
      <c r="G71" s="12"/>
      <c r="H71" s="12"/>
      <c r="I71" s="12"/>
    </row>
    <row r="72" spans="1:9" ht="16.5">
      <c r="A72" s="12"/>
      <c r="B72" s="12"/>
      <c r="C72" s="12"/>
      <c r="D72" s="12"/>
      <c r="E72" s="12"/>
      <c r="F72" s="12"/>
      <c r="G72" s="12"/>
      <c r="H72" s="12"/>
      <c r="I72" s="12"/>
    </row>
    <row r="73" spans="1:9" ht="16.5">
      <c r="A73" s="12"/>
      <c r="B73" s="12"/>
      <c r="C73" s="12"/>
      <c r="D73" s="12"/>
      <c r="E73" s="12"/>
      <c r="F73" s="12"/>
      <c r="G73" s="12"/>
      <c r="H73" s="12"/>
      <c r="I73" s="12"/>
    </row>
    <row r="74" spans="1:9" ht="16.5">
      <c r="A74" s="12"/>
      <c r="B74" s="12"/>
      <c r="C74" s="12"/>
      <c r="D74" s="12"/>
      <c r="E74" s="12"/>
      <c r="F74" s="12"/>
      <c r="G74" s="12"/>
      <c r="H74" s="12"/>
      <c r="I74" s="12"/>
    </row>
    <row r="75" spans="1:9" ht="16.5">
      <c r="A75" s="12"/>
      <c r="B75" s="12"/>
      <c r="C75" s="12"/>
      <c r="D75" s="12"/>
      <c r="E75" s="12"/>
      <c r="F75" s="12"/>
      <c r="G75" s="12"/>
      <c r="H75" s="12"/>
      <c r="I75" s="12"/>
    </row>
    <row r="76" spans="1:9" ht="16.5">
      <c r="A76" s="12"/>
      <c r="B76" s="12"/>
      <c r="C76" s="12"/>
      <c r="D76" s="12"/>
      <c r="E76" s="12"/>
      <c r="F76" s="12"/>
      <c r="G76" s="12"/>
      <c r="H76" s="12"/>
      <c r="I76" s="12"/>
    </row>
    <row r="77" spans="1:9" ht="16.5">
      <c r="A77" s="12"/>
      <c r="B77" s="12"/>
      <c r="C77" s="12"/>
      <c r="D77" s="12"/>
      <c r="E77" s="12"/>
      <c r="F77" s="12"/>
      <c r="G77" s="12"/>
      <c r="H77" s="12"/>
      <c r="I77" s="12"/>
    </row>
    <row r="78" spans="1:9" ht="16.5">
      <c r="A78" s="12"/>
      <c r="B78" s="12"/>
      <c r="C78" s="12"/>
      <c r="D78" s="12"/>
      <c r="E78" s="12"/>
      <c r="F78" s="12"/>
      <c r="G78" s="12"/>
      <c r="H78" s="12"/>
      <c r="I78" s="12"/>
    </row>
    <row r="79" spans="1:9" ht="16.5">
      <c r="A79" s="12"/>
      <c r="B79" s="12"/>
      <c r="C79" s="12"/>
      <c r="D79" s="12"/>
      <c r="E79" s="12"/>
      <c r="F79" s="12"/>
      <c r="G79" s="12"/>
      <c r="H79" s="12"/>
      <c r="I79" s="12"/>
    </row>
    <row r="80" spans="1:9" ht="16.5">
      <c r="A80" s="12"/>
      <c r="B80" s="12"/>
      <c r="C80" s="12"/>
      <c r="D80" s="12"/>
      <c r="E80" s="12"/>
      <c r="F80" s="12"/>
      <c r="G80" s="12"/>
      <c r="H80" s="12"/>
      <c r="I80" s="12"/>
    </row>
    <row r="81" spans="1:9" ht="16.5">
      <c r="A81" s="12"/>
      <c r="B81" s="12"/>
      <c r="C81" s="12"/>
      <c r="D81" s="12"/>
      <c r="E81" s="12"/>
      <c r="F81" s="12"/>
      <c r="G81" s="12"/>
      <c r="H81" s="12"/>
      <c r="I81" s="12"/>
    </row>
    <row r="82" spans="1:9" ht="16.5">
      <c r="A82" s="12"/>
      <c r="B82" s="12"/>
      <c r="C82" s="12"/>
      <c r="D82" s="12"/>
      <c r="E82" s="12"/>
      <c r="F82" s="12"/>
      <c r="G82" s="12"/>
      <c r="H82" s="12"/>
      <c r="I82" s="12"/>
    </row>
    <row r="83" spans="1:9" ht="16.5">
      <c r="A83" s="12"/>
      <c r="B83" s="12"/>
      <c r="C83" s="12"/>
      <c r="D83" s="12"/>
      <c r="E83" s="12"/>
      <c r="F83" s="12"/>
      <c r="G83" s="12"/>
      <c r="H83" s="12"/>
      <c r="I83" s="12"/>
    </row>
    <row r="84" spans="1:9" ht="16.5">
      <c r="A84" s="12"/>
      <c r="B84" s="12"/>
      <c r="C84" s="12"/>
      <c r="D84" s="12"/>
      <c r="E84" s="12"/>
      <c r="F84" s="12"/>
      <c r="G84" s="12"/>
      <c r="H84" s="12"/>
      <c r="I84" s="12"/>
    </row>
    <row r="85" spans="1:9" ht="16.5">
      <c r="A85" s="12"/>
      <c r="B85" s="12"/>
      <c r="C85" s="12"/>
      <c r="D85" s="12"/>
      <c r="E85" s="12"/>
      <c r="F85" s="12"/>
      <c r="G85" s="12"/>
      <c r="H85" s="12"/>
      <c r="I85" s="12"/>
    </row>
    <row r="86" spans="1:9" ht="16.5">
      <c r="A86" s="12"/>
      <c r="B86" s="12"/>
      <c r="C86" s="12"/>
      <c r="D86" s="12"/>
      <c r="E86" s="12"/>
      <c r="F86" s="12"/>
      <c r="G86" s="12"/>
      <c r="H86" s="12"/>
      <c r="I86" s="12"/>
    </row>
    <row r="87" spans="1:9" ht="16.5">
      <c r="A87" s="12"/>
      <c r="B87" s="12"/>
      <c r="C87" s="12"/>
      <c r="D87" s="12"/>
      <c r="E87" s="12"/>
      <c r="F87" s="12"/>
      <c r="G87" s="12"/>
      <c r="H87" s="12"/>
      <c r="I87" s="12"/>
    </row>
    <row r="88" spans="1:9" ht="16.5">
      <c r="A88" s="12"/>
      <c r="B88" s="12"/>
      <c r="C88" s="12"/>
      <c r="D88" s="12"/>
      <c r="E88" s="12"/>
      <c r="F88" s="12"/>
      <c r="G88" s="12"/>
      <c r="H88" s="12"/>
      <c r="I88" s="12"/>
    </row>
    <row r="89" spans="1:9" ht="16.5">
      <c r="A89" s="12"/>
      <c r="B89" s="12"/>
      <c r="C89" s="12"/>
      <c r="D89" s="12"/>
      <c r="E89" s="12"/>
      <c r="F89" s="12"/>
      <c r="G89" s="12"/>
      <c r="H89" s="12"/>
      <c r="I89" s="12"/>
    </row>
    <row r="90" spans="1:9" ht="16.5">
      <c r="A90" s="12"/>
      <c r="B90" s="12"/>
      <c r="C90" s="12"/>
      <c r="D90" s="12"/>
      <c r="E90" s="12"/>
      <c r="F90" s="12"/>
      <c r="G90" s="12"/>
      <c r="H90" s="12"/>
      <c r="I90" s="12"/>
    </row>
    <row r="91" spans="1:9" ht="16.5">
      <c r="A91" s="12"/>
      <c r="B91" s="12"/>
      <c r="C91" s="12"/>
      <c r="D91" s="12"/>
      <c r="E91" s="12"/>
      <c r="F91" s="12"/>
      <c r="G91" s="12"/>
      <c r="H91" s="12"/>
      <c r="I91" s="12"/>
    </row>
    <row r="92" spans="1:9" ht="16.5">
      <c r="A92" s="12"/>
      <c r="B92" s="12"/>
      <c r="C92" s="12"/>
      <c r="D92" s="12"/>
      <c r="E92" s="12"/>
      <c r="F92" s="12"/>
      <c r="G92" s="12"/>
      <c r="H92" s="12"/>
      <c r="I92" s="12"/>
    </row>
    <row r="93" spans="1:9" ht="16.5">
      <c r="A93" s="12"/>
      <c r="B93" s="12"/>
      <c r="C93" s="12"/>
      <c r="D93" s="12"/>
      <c r="E93" s="12"/>
      <c r="F93" s="12"/>
      <c r="G93" s="12"/>
      <c r="H93" s="12"/>
      <c r="I93" s="12"/>
    </row>
    <row r="94" spans="1:9" ht="16.5">
      <c r="A94" s="12"/>
      <c r="B94" s="12"/>
      <c r="C94" s="12"/>
      <c r="D94" s="12"/>
      <c r="E94" s="12"/>
      <c r="F94" s="12"/>
      <c r="G94" s="12"/>
      <c r="H94" s="12"/>
      <c r="I94" s="12"/>
    </row>
    <row r="95" spans="1:9" ht="16.5">
      <c r="A95" s="12"/>
      <c r="B95" s="12"/>
      <c r="C95" s="12"/>
      <c r="D95" s="12"/>
      <c r="E95" s="12"/>
      <c r="F95" s="12"/>
      <c r="G95" s="12"/>
      <c r="H95" s="12"/>
      <c r="I95" s="12"/>
    </row>
    <row r="96" spans="1:9" ht="16.5">
      <c r="A96" s="12"/>
      <c r="B96" s="12"/>
      <c r="C96" s="12"/>
      <c r="D96" s="12"/>
      <c r="E96" s="12"/>
      <c r="F96" s="12"/>
      <c r="G96" s="12"/>
      <c r="H96" s="12"/>
      <c r="I96" s="12"/>
    </row>
    <row r="97" spans="1:9" ht="16.5">
      <c r="A97" s="12"/>
      <c r="B97" s="12"/>
      <c r="C97" s="12"/>
      <c r="D97" s="12"/>
      <c r="E97" s="12"/>
      <c r="F97" s="12"/>
      <c r="G97" s="12"/>
      <c r="H97" s="12"/>
      <c r="I97" s="12"/>
    </row>
    <row r="98" spans="1:9" ht="16.5">
      <c r="A98" s="12"/>
      <c r="B98" s="12"/>
      <c r="C98" s="12"/>
      <c r="D98" s="12"/>
      <c r="E98" s="12"/>
      <c r="F98" s="12"/>
      <c r="G98" s="12"/>
      <c r="H98" s="12"/>
      <c r="I98" s="12"/>
    </row>
    <row r="99" spans="1:9" ht="16.5">
      <c r="A99" s="12"/>
      <c r="B99" s="12"/>
      <c r="C99" s="12"/>
      <c r="D99" s="12"/>
      <c r="E99" s="12"/>
      <c r="F99" s="12"/>
      <c r="G99" s="12"/>
      <c r="H99" s="12"/>
      <c r="I99" s="12"/>
    </row>
    <row r="100" spans="1:9" ht="16.5">
      <c r="A100" s="12"/>
      <c r="B100" s="12"/>
      <c r="C100" s="12"/>
      <c r="D100" s="12"/>
      <c r="E100" s="12"/>
      <c r="F100" s="12"/>
      <c r="G100" s="12"/>
      <c r="H100" s="12"/>
      <c r="I100" s="12"/>
    </row>
    <row r="101" spans="1:9" ht="16.5">
      <c r="A101" s="12"/>
      <c r="B101" s="12"/>
      <c r="C101" s="12"/>
      <c r="D101" s="12"/>
      <c r="E101" s="12"/>
      <c r="F101" s="12"/>
      <c r="G101" s="12"/>
      <c r="H101" s="12"/>
      <c r="I101" s="12"/>
    </row>
    <row r="102" spans="1:9" ht="16.5">
      <c r="A102" s="12"/>
      <c r="B102" s="12"/>
      <c r="C102" s="12"/>
      <c r="D102" s="12"/>
      <c r="E102" s="12"/>
      <c r="F102" s="12"/>
      <c r="G102" s="12"/>
      <c r="H102" s="12"/>
      <c r="I102" s="12"/>
    </row>
    <row r="103" spans="1:9" ht="16.5">
      <c r="A103" s="12"/>
      <c r="B103" s="12"/>
      <c r="C103" s="12"/>
      <c r="D103" s="12"/>
      <c r="E103" s="12"/>
      <c r="F103" s="12"/>
      <c r="G103" s="12"/>
      <c r="H103" s="12"/>
      <c r="I103" s="12"/>
    </row>
    <row r="104" spans="1:9" ht="16.5">
      <c r="A104" s="12"/>
      <c r="B104" s="12"/>
      <c r="C104" s="12"/>
      <c r="D104" s="12"/>
      <c r="E104" s="12"/>
      <c r="F104" s="12"/>
      <c r="G104" s="12"/>
      <c r="H104" s="12"/>
      <c r="I104" s="12"/>
    </row>
    <row r="105" spans="1:9" ht="16.5">
      <c r="A105" s="12"/>
      <c r="B105" s="12"/>
      <c r="C105" s="12"/>
      <c r="D105" s="12"/>
      <c r="E105" s="12"/>
      <c r="F105" s="12"/>
      <c r="G105" s="12"/>
      <c r="H105" s="12"/>
      <c r="I105" s="12"/>
    </row>
    <row r="106" spans="1:9" ht="16.5">
      <c r="A106" s="12"/>
      <c r="B106" s="12"/>
      <c r="C106" s="12"/>
      <c r="D106" s="12"/>
      <c r="E106" s="12"/>
      <c r="F106" s="12"/>
      <c r="G106" s="12"/>
      <c r="H106" s="12"/>
      <c r="I106" s="12"/>
    </row>
    <row r="107" spans="1:9" ht="16.5">
      <c r="A107" s="12"/>
      <c r="B107" s="12"/>
      <c r="C107" s="12"/>
      <c r="D107" s="12"/>
      <c r="E107" s="12"/>
      <c r="F107" s="12"/>
      <c r="G107" s="12"/>
      <c r="H107" s="12"/>
      <c r="I107" s="12"/>
    </row>
    <row r="108" spans="1:9" ht="16.5">
      <c r="A108" s="12"/>
      <c r="B108" s="12"/>
      <c r="C108" s="12"/>
      <c r="D108" s="12"/>
      <c r="E108" s="12"/>
      <c r="F108" s="12"/>
      <c r="G108" s="12"/>
      <c r="H108" s="12"/>
      <c r="I108" s="12"/>
    </row>
  </sheetData>
  <pageMargins left="0.25" right="0.25" top="0.75" bottom="0.75" header="0.3" footer="0.3"/>
  <pageSetup scale="47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0B233-0C30-4939-8382-3A178982D907}">
  <sheetPr>
    <tabColor rgb="FF92D050"/>
    <pageSetUpPr fitToPage="1"/>
  </sheetPr>
  <dimension ref="A1:J85"/>
  <sheetViews>
    <sheetView view="pageBreakPreview" topLeftCell="A12" zoomScale="60" zoomScaleNormal="80" workbookViewId="0">
      <selection activeCell="E75" sqref="E75"/>
    </sheetView>
  </sheetViews>
  <sheetFormatPr defaultRowHeight="15"/>
  <cols>
    <col min="1" max="1" width="81.42578125" customWidth="1"/>
    <col min="2" max="2" width="21.7109375" customWidth="1"/>
    <col min="3" max="3" width="24.5703125" customWidth="1"/>
    <col min="4" max="4" width="29.42578125" customWidth="1"/>
    <col min="5" max="5" width="30.5703125" customWidth="1"/>
    <col min="6" max="6" width="32.140625" customWidth="1"/>
    <col min="7" max="7" width="27" customWidth="1"/>
    <col min="8" max="8" width="13.7109375" customWidth="1"/>
    <col min="9" max="9" width="13.85546875" customWidth="1"/>
    <col min="10" max="11" width="14.140625" bestFit="1" customWidth="1"/>
  </cols>
  <sheetData>
    <row r="1" spans="1:10" ht="26.25">
      <c r="A1" s="23" t="s">
        <v>1</v>
      </c>
      <c r="B1" s="23"/>
      <c r="C1" s="23"/>
      <c r="D1" s="12"/>
      <c r="E1" s="12"/>
      <c r="F1" s="12"/>
      <c r="G1" s="12"/>
      <c r="H1" s="12"/>
      <c r="I1" s="12"/>
      <c r="J1" s="12"/>
    </row>
    <row r="2" spans="1:10" ht="17.25">
      <c r="A2" s="24" t="s">
        <v>9</v>
      </c>
      <c r="B2" s="24"/>
      <c r="C2" s="24"/>
      <c r="D2" s="12"/>
      <c r="E2" s="12"/>
      <c r="F2" s="12"/>
      <c r="G2" s="12"/>
      <c r="H2" s="12"/>
      <c r="I2" s="12"/>
      <c r="J2" s="12"/>
    </row>
    <row r="3" spans="1:10" ht="16.5">
      <c r="A3" s="25" t="s">
        <v>412</v>
      </c>
      <c r="B3" s="25"/>
      <c r="C3" s="25"/>
      <c r="D3" s="12"/>
      <c r="E3" s="12"/>
      <c r="F3" s="12"/>
      <c r="G3" s="12"/>
      <c r="H3" s="12"/>
      <c r="I3" s="12"/>
      <c r="J3" s="12"/>
    </row>
    <row r="4" spans="1:10" ht="16.5">
      <c r="A4" s="25"/>
      <c r="B4" s="25"/>
      <c r="C4" s="25"/>
      <c r="D4" s="12"/>
      <c r="E4" s="12"/>
      <c r="F4" s="12"/>
      <c r="G4" s="12"/>
      <c r="H4" s="12"/>
      <c r="I4" s="12"/>
      <c r="J4" s="12"/>
    </row>
    <row r="5" spans="1:10" ht="17.25" thickBot="1">
      <c r="A5" s="12"/>
      <c r="B5" s="12"/>
      <c r="C5" s="12"/>
      <c r="D5" s="12"/>
      <c r="E5" s="12"/>
      <c r="F5" s="12"/>
      <c r="G5" s="12"/>
      <c r="H5" s="26" t="s">
        <v>0</v>
      </c>
      <c r="I5" s="26"/>
      <c r="J5" s="12"/>
    </row>
    <row r="6" spans="1:10" ht="21" thickBot="1">
      <c r="A6" s="27" t="str">
        <f>+'S&amp;D'!A12</f>
        <v>Water Utility Companies (Private)</v>
      </c>
      <c r="B6" s="12"/>
      <c r="C6" s="12"/>
      <c r="D6" s="28"/>
      <c r="E6" s="28"/>
      <c r="F6" s="28"/>
      <c r="G6" s="12"/>
      <c r="H6" s="12"/>
      <c r="I6" s="12"/>
      <c r="J6" s="12"/>
    </row>
    <row r="7" spans="1:10" ht="26.25">
      <c r="B7" s="30"/>
      <c r="C7" s="30"/>
      <c r="D7" s="12"/>
      <c r="E7" s="31" t="s">
        <v>199</v>
      </c>
      <c r="F7" s="12"/>
      <c r="G7" s="12"/>
      <c r="H7" s="12"/>
      <c r="I7" s="12"/>
      <c r="J7" s="12"/>
    </row>
    <row r="8" spans="1:10" ht="21" thickBot="1">
      <c r="A8" s="30"/>
      <c r="B8" s="30"/>
      <c r="C8" s="30"/>
      <c r="D8" s="28"/>
      <c r="E8" s="36" t="s">
        <v>413</v>
      </c>
      <c r="F8" s="28"/>
      <c r="G8" s="12"/>
      <c r="H8" s="12"/>
      <c r="I8" s="12"/>
      <c r="J8" s="12"/>
    </row>
    <row r="9" spans="1:10" ht="20.25">
      <c r="A9" s="30"/>
      <c r="B9" s="30"/>
      <c r="C9" s="30"/>
      <c r="D9" s="12"/>
      <c r="E9" s="34"/>
      <c r="F9" s="12"/>
      <c r="G9" s="12"/>
      <c r="H9" s="12"/>
      <c r="I9" s="12"/>
      <c r="J9" s="12"/>
    </row>
    <row r="10" spans="1:10" ht="20.25">
      <c r="A10" s="30"/>
      <c r="B10" s="30"/>
      <c r="H10" s="12"/>
      <c r="I10" s="12"/>
      <c r="J10" s="12"/>
    </row>
    <row r="11" spans="1:10" ht="20.25">
      <c r="A11" s="30"/>
      <c r="B11" s="30"/>
      <c r="H11" s="12"/>
      <c r="I11" s="12"/>
      <c r="J11" s="12"/>
    </row>
    <row r="12" spans="1:10" ht="30" customHeight="1" thickBot="1">
      <c r="A12" s="30"/>
      <c r="B12" s="30"/>
      <c r="C12" t="s">
        <v>0</v>
      </c>
      <c r="H12" s="12"/>
      <c r="I12" s="12"/>
      <c r="J12" s="12"/>
    </row>
    <row r="13" spans="1:10" ht="26.25" customHeight="1" thickBot="1">
      <c r="A13" s="152" t="s">
        <v>215</v>
      </c>
      <c r="B13" s="12" t="s">
        <v>0</v>
      </c>
      <c r="C13" s="12"/>
      <c r="D13" s="12"/>
      <c r="E13" s="12"/>
      <c r="F13" s="12"/>
      <c r="G13" s="12"/>
      <c r="H13" s="12"/>
      <c r="I13" s="12"/>
      <c r="J13" s="12"/>
    </row>
    <row r="14" spans="1:10" ht="42" customHeight="1" thickBot="1">
      <c r="A14" s="151" t="s">
        <v>213</v>
      </c>
      <c r="B14" s="150" t="s">
        <v>203</v>
      </c>
      <c r="C14" s="149" t="s">
        <v>216</v>
      </c>
      <c r="D14" s="150" t="s">
        <v>205</v>
      </c>
      <c r="E14" s="150" t="s">
        <v>370</v>
      </c>
      <c r="F14" s="148" t="s">
        <v>204</v>
      </c>
      <c r="G14" s="12"/>
      <c r="H14" s="12"/>
      <c r="I14" s="12"/>
      <c r="J14" s="12"/>
    </row>
    <row r="15" spans="1:10" ht="16.5">
      <c r="A15" s="145"/>
      <c r="B15" s="110"/>
      <c r="C15" s="110"/>
      <c r="D15" s="110"/>
      <c r="E15" s="110"/>
      <c r="F15" s="146"/>
      <c r="G15" s="12"/>
      <c r="H15" s="12"/>
      <c r="I15" s="12"/>
      <c r="J15" s="12"/>
    </row>
    <row r="16" spans="1:10" ht="17.25">
      <c r="A16" s="175" t="s">
        <v>372</v>
      </c>
      <c r="B16" s="188">
        <v>2.3300000000000001E-2</v>
      </c>
      <c r="C16" s="185">
        <f>+'Beta for CAPM'!H29</f>
        <v>0.83</v>
      </c>
      <c r="D16" s="176">
        <f>+B16*C16</f>
        <v>1.9338999999999999E-2</v>
      </c>
      <c r="E16" s="176">
        <f>+'Growth &amp; Inflation Rates'!$G$25</f>
        <v>4.8599999999999997E-2</v>
      </c>
      <c r="F16" s="177">
        <f>+D16+E16</f>
        <v>6.7938999999999999E-2</v>
      </c>
      <c r="G16" s="12"/>
      <c r="H16" s="12"/>
      <c r="I16" s="12"/>
      <c r="J16" s="12"/>
    </row>
    <row r="17" spans="1:10" ht="17.25">
      <c r="A17" s="175" t="s">
        <v>373</v>
      </c>
      <c r="B17" s="188">
        <v>3.04E-2</v>
      </c>
      <c r="C17" s="185">
        <f>+C16</f>
        <v>0.83</v>
      </c>
      <c r="D17" s="176">
        <f>+B17*C17</f>
        <v>2.5231999999999997E-2</v>
      </c>
      <c r="E17" s="176">
        <f>+'Growth &amp; Inflation Rates'!$G$25</f>
        <v>4.8599999999999997E-2</v>
      </c>
      <c r="F17" s="177">
        <f>+D17+E17</f>
        <v>7.3831999999999995E-2</v>
      </c>
      <c r="G17" s="12"/>
      <c r="H17" s="12"/>
      <c r="I17" s="12"/>
      <c r="J17" s="12"/>
    </row>
    <row r="18" spans="1:10" ht="17.25">
      <c r="A18" s="178"/>
      <c r="B18" s="106"/>
      <c r="C18" s="106"/>
      <c r="D18" s="106"/>
      <c r="E18" s="176"/>
      <c r="F18" s="179"/>
      <c r="G18" s="12"/>
      <c r="H18" s="12"/>
      <c r="I18" s="12"/>
      <c r="J18" s="12"/>
    </row>
    <row r="19" spans="1:10" ht="17.25">
      <c r="A19" s="175" t="s">
        <v>383</v>
      </c>
      <c r="B19" s="188">
        <v>4.3299999999999998E-2</v>
      </c>
      <c r="C19" s="185">
        <f>+C16</f>
        <v>0.83</v>
      </c>
      <c r="D19" s="176">
        <f>+B19*C19</f>
        <v>3.5938999999999999E-2</v>
      </c>
      <c r="E19" s="176">
        <f>+'Growth &amp; Inflation Rates'!$G$25</f>
        <v>4.8599999999999997E-2</v>
      </c>
      <c r="F19" s="177">
        <f>+D19+E19</f>
        <v>8.4539000000000003E-2</v>
      </c>
      <c r="G19" s="12"/>
      <c r="H19" s="12"/>
      <c r="I19" s="12"/>
      <c r="J19" s="12"/>
    </row>
    <row r="20" spans="1:10" ht="17.25">
      <c r="A20" s="175" t="s">
        <v>399</v>
      </c>
      <c r="B20" s="188">
        <v>6.1499999999999999E-2</v>
      </c>
      <c r="C20" s="185">
        <f>+C17</f>
        <v>0.83</v>
      </c>
      <c r="D20" s="176">
        <f>+B20*C20</f>
        <v>5.1045E-2</v>
      </c>
      <c r="E20" s="176">
        <f>+'Growth &amp; Inflation Rates'!$G$25</f>
        <v>4.8599999999999997E-2</v>
      </c>
      <c r="F20" s="177">
        <f>+D20+E20</f>
        <v>9.9644999999999997E-2</v>
      </c>
      <c r="G20" s="12"/>
      <c r="H20" s="12"/>
      <c r="I20" s="12"/>
      <c r="J20" s="12"/>
    </row>
    <row r="21" spans="1:10" ht="17.25">
      <c r="A21" s="175" t="s">
        <v>389</v>
      </c>
      <c r="B21" s="188">
        <v>4.1500000000000002E-2</v>
      </c>
      <c r="C21" s="185">
        <f>+C16</f>
        <v>0.83</v>
      </c>
      <c r="D21" s="176">
        <f>+B21*C21</f>
        <v>3.4445000000000003E-2</v>
      </c>
      <c r="E21" s="176">
        <f>+'Growth &amp; Inflation Rates'!$G$25</f>
        <v>4.8599999999999997E-2</v>
      </c>
      <c r="F21" s="177">
        <f>+D21+E21</f>
        <v>8.3045000000000008E-2</v>
      </c>
      <c r="G21" s="12"/>
      <c r="H21" s="12"/>
      <c r="I21" s="12"/>
      <c r="J21" s="12"/>
    </row>
    <row r="22" spans="1:10" ht="17.25">
      <c r="A22" s="175" t="s">
        <v>384</v>
      </c>
      <c r="B22" s="188">
        <v>3.8100000000000002E-2</v>
      </c>
      <c r="C22" s="185">
        <f>+C17</f>
        <v>0.83</v>
      </c>
      <c r="D22" s="176">
        <f>+B22*C22</f>
        <v>3.1622999999999998E-2</v>
      </c>
      <c r="E22" s="176">
        <f>+'Growth &amp; Inflation Rates'!$G$25</f>
        <v>4.8599999999999997E-2</v>
      </c>
      <c r="F22" s="177">
        <f>+D22+E22</f>
        <v>8.0222999999999989E-2</v>
      </c>
      <c r="G22" s="12"/>
      <c r="H22" s="12"/>
      <c r="I22" s="12"/>
      <c r="J22" s="12"/>
    </row>
    <row r="23" spans="1:10" ht="17.25">
      <c r="A23" s="175" t="s">
        <v>0</v>
      </c>
      <c r="B23" s="188"/>
      <c r="C23" s="186" t="s">
        <v>0</v>
      </c>
      <c r="D23" s="176" t="s">
        <v>0</v>
      </c>
      <c r="E23" s="176"/>
      <c r="F23" s="177" t="s">
        <v>0</v>
      </c>
      <c r="G23" s="12"/>
      <c r="H23" s="12"/>
      <c r="I23" s="12"/>
      <c r="J23" s="12"/>
    </row>
    <row r="24" spans="1:10" ht="17.25">
      <c r="A24" s="175" t="s">
        <v>208</v>
      </c>
      <c r="B24" s="188">
        <v>5.3900000000000003E-2</v>
      </c>
      <c r="C24" s="185">
        <f>+C16</f>
        <v>0.83</v>
      </c>
      <c r="D24" s="176">
        <f>+B24*C24</f>
        <v>4.4736999999999999E-2</v>
      </c>
      <c r="E24" s="176">
        <f>+'Growth &amp; Inflation Rates'!$G$25</f>
        <v>4.8599999999999997E-2</v>
      </c>
      <c r="F24" s="177">
        <f>+D24+E24</f>
        <v>9.3337000000000003E-2</v>
      </c>
      <c r="G24" s="12"/>
      <c r="H24" s="12"/>
      <c r="I24" s="12"/>
      <c r="J24" s="12"/>
    </row>
    <row r="25" spans="1:10" ht="17.25">
      <c r="A25" s="175" t="s">
        <v>0</v>
      </c>
      <c r="B25" s="188"/>
      <c r="C25" s="186" t="s">
        <v>0</v>
      </c>
      <c r="D25" s="176" t="s">
        <v>0</v>
      </c>
      <c r="E25" s="176"/>
      <c r="F25" s="177" t="s">
        <v>0</v>
      </c>
      <c r="G25" s="12"/>
      <c r="H25" s="12"/>
      <c r="I25" s="12"/>
      <c r="J25" s="12"/>
    </row>
    <row r="26" spans="1:10" ht="17.25">
      <c r="A26" s="175" t="s">
        <v>209</v>
      </c>
      <c r="B26" s="188">
        <v>5.5E-2</v>
      </c>
      <c r="C26" s="185">
        <f>+C16</f>
        <v>0.83</v>
      </c>
      <c r="D26" s="176">
        <f>+B26*C26</f>
        <v>4.5649999999999996E-2</v>
      </c>
      <c r="E26" s="176">
        <f>+'Growth &amp; Inflation Rates'!$G$25</f>
        <v>4.8599999999999997E-2</v>
      </c>
      <c r="F26" s="177">
        <f>+D26+E26</f>
        <v>9.425E-2</v>
      </c>
      <c r="G26" s="12"/>
      <c r="H26" s="12"/>
      <c r="I26" s="12"/>
      <c r="J26" s="12"/>
    </row>
    <row r="27" spans="1:10" ht="17.25">
      <c r="A27" s="175" t="s">
        <v>0</v>
      </c>
      <c r="B27" s="188"/>
      <c r="C27" s="186" t="s">
        <v>0</v>
      </c>
      <c r="D27" s="176" t="s">
        <v>0</v>
      </c>
      <c r="E27" s="176"/>
      <c r="F27" s="177" t="s">
        <v>0</v>
      </c>
      <c r="G27" s="12"/>
      <c r="H27" s="12"/>
      <c r="I27" s="12"/>
      <c r="J27" s="12"/>
    </row>
    <row r="28" spans="1:10" ht="17.25">
      <c r="A28" s="175" t="s">
        <v>210</v>
      </c>
      <c r="B28" s="188">
        <v>6.7100000000000007E-2</v>
      </c>
      <c r="C28" s="185">
        <f>+C16</f>
        <v>0.83</v>
      </c>
      <c r="D28" s="176">
        <f>+B28*C28</f>
        <v>5.5693000000000006E-2</v>
      </c>
      <c r="E28" s="176">
        <f>+'Growth &amp; Inflation Rates'!$G$25</f>
        <v>4.8599999999999997E-2</v>
      </c>
      <c r="F28" s="177">
        <f>+D28+E28</f>
        <v>0.104293</v>
      </c>
      <c r="G28" s="12"/>
      <c r="H28" s="12"/>
      <c r="I28" s="12"/>
      <c r="J28" s="12"/>
    </row>
    <row r="29" spans="1:10" ht="17.25">
      <c r="A29" s="175" t="s">
        <v>211</v>
      </c>
      <c r="B29" s="188">
        <v>5.4600000000000003E-2</v>
      </c>
      <c r="C29" s="185">
        <f>+C16</f>
        <v>0.83</v>
      </c>
      <c r="D29" s="176">
        <f>+B29*C29</f>
        <v>4.5317999999999997E-2</v>
      </c>
      <c r="E29" s="176">
        <f>+'Growth &amp; Inflation Rates'!$G$25</f>
        <v>4.8599999999999997E-2</v>
      </c>
      <c r="F29" s="177">
        <f>+D29+E29</f>
        <v>9.3918000000000001E-2</v>
      </c>
      <c r="G29" s="12"/>
      <c r="H29" s="12"/>
      <c r="I29" s="12"/>
      <c r="J29" s="12"/>
    </row>
    <row r="30" spans="1:10" ht="17.25">
      <c r="A30" s="175"/>
      <c r="B30" s="188"/>
      <c r="C30" s="185"/>
      <c r="D30" s="176"/>
      <c r="E30" s="176"/>
      <c r="F30" s="177"/>
      <c r="G30" s="12"/>
      <c r="H30" s="12"/>
      <c r="I30" s="12"/>
      <c r="J30" s="12"/>
    </row>
    <row r="31" spans="1:10" ht="17.25">
      <c r="A31" s="175" t="s">
        <v>380</v>
      </c>
      <c r="B31" s="188">
        <v>7.3099999999999998E-2</v>
      </c>
      <c r="C31" s="185">
        <f>+C16</f>
        <v>0.83</v>
      </c>
      <c r="D31" s="176">
        <f>+B31*C31</f>
        <v>6.0672999999999998E-2</v>
      </c>
      <c r="E31" s="176">
        <f>+'Growth &amp; Inflation Rates'!$G$25</f>
        <v>4.8599999999999997E-2</v>
      </c>
      <c r="F31" s="177">
        <f>+D31+E31</f>
        <v>0.109273</v>
      </c>
      <c r="G31" s="12"/>
      <c r="H31" s="12"/>
      <c r="I31" s="12"/>
      <c r="J31" s="12"/>
    </row>
    <row r="32" spans="1:10" ht="17.25">
      <c r="A32" s="175" t="s">
        <v>382</v>
      </c>
      <c r="B32" s="188">
        <v>6.2600000000000003E-2</v>
      </c>
      <c r="C32" s="185">
        <f>+C16</f>
        <v>0.83</v>
      </c>
      <c r="D32" s="176">
        <f>+B32*C32</f>
        <v>5.1957999999999997E-2</v>
      </c>
      <c r="E32" s="176">
        <f>+'Growth &amp; Inflation Rates'!$G$25</f>
        <v>4.8599999999999997E-2</v>
      </c>
      <c r="F32" s="177">
        <f>+D32+E32</f>
        <v>0.10055799999999999</v>
      </c>
      <c r="G32" s="12"/>
      <c r="H32" s="12"/>
      <c r="I32" s="12"/>
      <c r="J32" s="12"/>
    </row>
    <row r="33" spans="1:10" ht="17.25">
      <c r="A33" s="175" t="s">
        <v>381</v>
      </c>
      <c r="B33" s="188">
        <v>0.05</v>
      </c>
      <c r="C33" s="185">
        <f>+C17</f>
        <v>0.83</v>
      </c>
      <c r="D33" s="176">
        <f>+B33*C33</f>
        <v>4.1500000000000002E-2</v>
      </c>
      <c r="E33" s="176">
        <f>+'Growth &amp; Inflation Rates'!$G$25</f>
        <v>4.8599999999999997E-2</v>
      </c>
      <c r="F33" s="177">
        <f>+D33+E33</f>
        <v>9.01E-2</v>
      </c>
      <c r="G33" s="12"/>
      <c r="H33" s="12"/>
      <c r="I33" s="12"/>
      <c r="J33" s="12"/>
    </row>
    <row r="34" spans="1:10" ht="17.25">
      <c r="A34" s="175"/>
      <c r="B34" s="188"/>
      <c r="C34" s="185"/>
      <c r="D34" s="176"/>
      <c r="E34" s="176"/>
      <c r="F34" s="177"/>
      <c r="G34" s="12"/>
      <c r="H34" s="12"/>
      <c r="I34" s="12"/>
      <c r="J34" s="12"/>
    </row>
    <row r="35" spans="1:10" ht="17.25">
      <c r="A35" s="175" t="s">
        <v>0</v>
      </c>
      <c r="B35" s="356"/>
      <c r="C35" s="357">
        <v>0</v>
      </c>
      <c r="D35" s="237" t="s">
        <v>0</v>
      </c>
      <c r="E35" s="237" t="s">
        <v>0</v>
      </c>
      <c r="F35" s="358" t="s">
        <v>0</v>
      </c>
      <c r="G35" s="12"/>
      <c r="H35" s="12"/>
      <c r="I35" s="12"/>
      <c r="J35" s="12"/>
    </row>
    <row r="36" spans="1:10" ht="17.25" thickBot="1">
      <c r="A36" s="336"/>
      <c r="B36" s="28"/>
      <c r="C36" s="28"/>
      <c r="D36" s="28"/>
      <c r="E36" s="28"/>
      <c r="F36" s="337"/>
      <c r="G36" s="12"/>
      <c r="H36" s="12"/>
      <c r="I36" s="12"/>
      <c r="J36" s="12"/>
    </row>
    <row r="37" spans="1:10" ht="16.5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spans="1:10" ht="17.25" thickBot="1">
      <c r="A38" s="12"/>
      <c r="B38" s="12"/>
      <c r="C38" s="12"/>
      <c r="D38" s="12"/>
      <c r="E38" s="12"/>
      <c r="F38" s="12"/>
      <c r="G38" s="12" t="s">
        <v>0</v>
      </c>
      <c r="H38" s="12"/>
      <c r="I38" s="12"/>
      <c r="J38" s="12"/>
    </row>
    <row r="39" spans="1:10" ht="27" customHeight="1" thickBot="1">
      <c r="A39" s="152" t="s">
        <v>214</v>
      </c>
      <c r="B39" s="12"/>
      <c r="C39" s="12"/>
      <c r="D39" s="12"/>
      <c r="E39" s="12"/>
      <c r="F39" s="12"/>
      <c r="G39" s="12"/>
      <c r="H39" s="12"/>
      <c r="I39" s="12"/>
      <c r="J39" s="12"/>
    </row>
    <row r="40" spans="1:10" ht="44.25" customHeight="1" thickBot="1">
      <c r="A40" s="151" t="s">
        <v>212</v>
      </c>
      <c r="B40" s="150" t="s">
        <v>203</v>
      </c>
      <c r="C40" s="149" t="s">
        <v>216</v>
      </c>
      <c r="D40" s="150" t="s">
        <v>206</v>
      </c>
      <c r="E40" s="150" t="s">
        <v>207</v>
      </c>
      <c r="F40" s="150" t="s">
        <v>370</v>
      </c>
      <c r="G40" s="148" t="s">
        <v>204</v>
      </c>
      <c r="H40" s="12"/>
      <c r="I40" s="12"/>
      <c r="J40" s="12"/>
    </row>
    <row r="41" spans="1:10" ht="16.5">
      <c r="A41" s="145"/>
      <c r="B41" s="110"/>
      <c r="C41" s="110"/>
      <c r="D41" s="110"/>
      <c r="E41" s="110"/>
      <c r="F41" s="110"/>
      <c r="G41" s="146"/>
      <c r="H41" s="12"/>
      <c r="I41" s="12"/>
      <c r="J41" s="12"/>
    </row>
    <row r="42" spans="1:10" ht="17.25">
      <c r="A42" s="175" t="s">
        <v>372</v>
      </c>
      <c r="B42" s="188">
        <f>+B16</f>
        <v>2.3300000000000001E-2</v>
      </c>
      <c r="C42" s="184">
        <f>+C16</f>
        <v>0.83</v>
      </c>
      <c r="D42" s="176">
        <f>+B42*C42*0.75</f>
        <v>1.450425E-2</v>
      </c>
      <c r="E42" s="188">
        <f>+B42*0.25</f>
        <v>5.8250000000000003E-3</v>
      </c>
      <c r="F42" s="176">
        <f>+E16</f>
        <v>4.8599999999999997E-2</v>
      </c>
      <c r="G42" s="177">
        <f>+D42+E42+F42</f>
        <v>6.8929249999999997E-2</v>
      </c>
      <c r="H42" s="12"/>
      <c r="I42" s="12"/>
      <c r="J42" s="12"/>
    </row>
    <row r="43" spans="1:10" ht="17.25">
      <c r="A43" s="175" t="s">
        <v>373</v>
      </c>
      <c r="B43" s="188">
        <f>+B17</f>
        <v>3.04E-2</v>
      </c>
      <c r="C43" s="184">
        <f>+C17</f>
        <v>0.83</v>
      </c>
      <c r="D43" s="176">
        <f>+B43*C43*0.75</f>
        <v>1.8923999999999996E-2</v>
      </c>
      <c r="E43" s="188">
        <f>+B43*0.25</f>
        <v>7.6E-3</v>
      </c>
      <c r="F43" s="176">
        <f>+E17</f>
        <v>4.8599999999999997E-2</v>
      </c>
      <c r="G43" s="177">
        <f>+D43+E43+F43</f>
        <v>7.5123999999999996E-2</v>
      </c>
      <c r="H43" s="12"/>
      <c r="I43" s="12"/>
      <c r="J43" s="12"/>
    </row>
    <row r="44" spans="1:10" ht="17.25">
      <c r="A44" s="178"/>
      <c r="B44" s="106"/>
      <c r="C44" s="106"/>
      <c r="D44" s="106"/>
      <c r="E44" s="106"/>
      <c r="F44" s="106"/>
      <c r="G44" s="179"/>
      <c r="H44" s="12"/>
      <c r="I44" s="12"/>
      <c r="J44" s="12"/>
    </row>
    <row r="45" spans="1:10" ht="17.25">
      <c r="A45" s="175" t="str">
        <f t="shared" ref="A45:C46" si="0">+A19</f>
        <v>Damodaran Implied ERP Ex Ante   Trailing 12 mo Cash Yield (3)</v>
      </c>
      <c r="B45" s="188">
        <f t="shared" si="0"/>
        <v>4.3299999999999998E-2</v>
      </c>
      <c r="C45" s="184">
        <f t="shared" si="0"/>
        <v>0.83</v>
      </c>
      <c r="D45" s="176">
        <f>+B45*C45*0.75</f>
        <v>2.6954249999999999E-2</v>
      </c>
      <c r="E45" s="188">
        <f>+B45*0.25</f>
        <v>1.0825E-2</v>
      </c>
      <c r="F45" s="176">
        <f>+E19</f>
        <v>4.8599999999999997E-2</v>
      </c>
      <c r="G45" s="177">
        <f>+D45+E45+F45</f>
        <v>8.6379249999999991E-2</v>
      </c>
      <c r="H45" s="12"/>
      <c r="I45" s="12"/>
      <c r="J45" s="12"/>
    </row>
    <row r="46" spans="1:10" ht="17.25">
      <c r="A46" s="175" t="str">
        <f>+A20</f>
        <v>Damodaran Implied ERP Ex Ante   Avg CF Yield Last 10 Yrs (3)</v>
      </c>
      <c r="B46" s="188">
        <f t="shared" si="0"/>
        <v>6.1499999999999999E-2</v>
      </c>
      <c r="C46" s="184">
        <f>+C20</f>
        <v>0.83</v>
      </c>
      <c r="D46" s="176">
        <f>+B46*C46*0.75</f>
        <v>3.8283749999999998E-2</v>
      </c>
      <c r="E46" s="188">
        <f>+B46*0.25</f>
        <v>1.5375E-2</v>
      </c>
      <c r="F46" s="176">
        <f>+E20</f>
        <v>4.8599999999999997E-2</v>
      </c>
      <c r="G46" s="177">
        <f>+D46+E46+F46</f>
        <v>0.10225875</v>
      </c>
      <c r="H46" s="12"/>
      <c r="I46" s="12"/>
      <c r="J46" s="12"/>
    </row>
    <row r="47" spans="1:10" ht="17.25">
      <c r="A47" s="175" t="str">
        <f t="shared" ref="A47:C48" si="1">+A21</f>
        <v>Damodaran Implied ERP Ex Ante   Net Cash Yield (3)</v>
      </c>
      <c r="B47" s="188">
        <f t="shared" si="1"/>
        <v>4.1500000000000002E-2</v>
      </c>
      <c r="C47" s="184">
        <f t="shared" si="1"/>
        <v>0.83</v>
      </c>
      <c r="D47" s="176">
        <f>+B47*C47*0.75</f>
        <v>2.5833750000000003E-2</v>
      </c>
      <c r="E47" s="188">
        <f>+B47*0.25</f>
        <v>1.0375000000000001E-2</v>
      </c>
      <c r="F47" s="176">
        <f>+E21</f>
        <v>4.8599999999999997E-2</v>
      </c>
      <c r="G47" s="177">
        <f>+D47+E47+F47</f>
        <v>8.4808750000000002E-2</v>
      </c>
      <c r="H47" s="12"/>
      <c r="I47" s="12"/>
      <c r="J47" s="12"/>
    </row>
    <row r="48" spans="1:10" ht="17.25">
      <c r="A48" s="175" t="str">
        <f t="shared" si="1"/>
        <v>Damodaran Implied ERP Ex Ante   Norm. Earnings &amp; Payout (3)</v>
      </c>
      <c r="B48" s="188">
        <f t="shared" si="1"/>
        <v>3.8100000000000002E-2</v>
      </c>
      <c r="C48" s="184">
        <f t="shared" si="1"/>
        <v>0.83</v>
      </c>
      <c r="D48" s="176">
        <f>+B48*C48*0.75</f>
        <v>2.3717249999999999E-2</v>
      </c>
      <c r="E48" s="188">
        <f>+B48*0.25</f>
        <v>9.5250000000000005E-3</v>
      </c>
      <c r="F48" s="176">
        <f>+E22</f>
        <v>4.8599999999999997E-2</v>
      </c>
      <c r="G48" s="177">
        <f>+D48+E48+F48</f>
        <v>8.1842250000000005E-2</v>
      </c>
      <c r="H48" s="12"/>
      <c r="I48" s="12"/>
      <c r="J48" s="12"/>
    </row>
    <row r="49" spans="1:10" ht="17.25">
      <c r="A49" s="175" t="s">
        <v>0</v>
      </c>
      <c r="B49" s="188" t="s">
        <v>0</v>
      </c>
      <c r="C49" s="176" t="s">
        <v>0</v>
      </c>
      <c r="D49" s="176" t="s">
        <v>0</v>
      </c>
      <c r="E49" s="188" t="s">
        <v>0</v>
      </c>
      <c r="F49" s="176" t="s">
        <v>0</v>
      </c>
      <c r="G49" s="177" t="s">
        <v>0</v>
      </c>
      <c r="H49" s="12"/>
      <c r="I49" s="12"/>
      <c r="J49" s="12"/>
    </row>
    <row r="50" spans="1:10" ht="17.25">
      <c r="A50" s="175" t="s">
        <v>208</v>
      </c>
      <c r="B50" s="188">
        <f>+B24</f>
        <v>5.3900000000000003E-2</v>
      </c>
      <c r="C50" s="184">
        <f>+C24</f>
        <v>0.83</v>
      </c>
      <c r="D50" s="176">
        <f>+B50*C50*0.75</f>
        <v>3.3552749999999999E-2</v>
      </c>
      <c r="E50" s="188">
        <f>+B50*0.25</f>
        <v>1.3475000000000001E-2</v>
      </c>
      <c r="F50" s="176">
        <f>+E24</f>
        <v>4.8599999999999997E-2</v>
      </c>
      <c r="G50" s="177">
        <f>+D50+E50+F50</f>
        <v>9.5627749999999997E-2</v>
      </c>
      <c r="H50" s="12"/>
      <c r="I50" s="12"/>
      <c r="J50" s="12"/>
    </row>
    <row r="51" spans="1:10" ht="17.25">
      <c r="A51" s="175" t="s">
        <v>0</v>
      </c>
      <c r="B51" s="188" t="s">
        <v>0</v>
      </c>
      <c r="C51" s="176" t="s">
        <v>0</v>
      </c>
      <c r="D51" s="176" t="s">
        <v>0</v>
      </c>
      <c r="E51" s="188" t="s">
        <v>0</v>
      </c>
      <c r="F51" s="176" t="s">
        <v>0</v>
      </c>
      <c r="G51" s="177" t="s">
        <v>0</v>
      </c>
    </row>
    <row r="52" spans="1:10" ht="17.25">
      <c r="A52" s="175" t="s">
        <v>398</v>
      </c>
      <c r="B52" s="188">
        <f>+B26</f>
        <v>5.5E-2</v>
      </c>
      <c r="C52" s="184">
        <f>+C26</f>
        <v>0.83</v>
      </c>
      <c r="D52" s="176">
        <f>+B52*C52*0.75</f>
        <v>3.4237499999999997E-2</v>
      </c>
      <c r="E52" s="188">
        <f>+B52*0.25</f>
        <v>1.375E-2</v>
      </c>
      <c r="F52" s="176">
        <f>+E26</f>
        <v>4.8599999999999997E-2</v>
      </c>
      <c r="G52" s="177">
        <f>+D52+E52+F52</f>
        <v>9.6587499999999993E-2</v>
      </c>
    </row>
    <row r="53" spans="1:10" ht="17.25">
      <c r="A53" s="175" t="s">
        <v>0</v>
      </c>
      <c r="B53" s="188" t="s">
        <v>0</v>
      </c>
      <c r="C53" s="176" t="s">
        <v>0</v>
      </c>
      <c r="D53" s="176" t="s">
        <v>0</v>
      </c>
      <c r="E53" s="188" t="s">
        <v>0</v>
      </c>
      <c r="F53" s="176" t="s">
        <v>0</v>
      </c>
      <c r="G53" s="177" t="s">
        <v>0</v>
      </c>
    </row>
    <row r="54" spans="1:10" ht="17.25">
      <c r="A54" s="175" t="s">
        <v>210</v>
      </c>
      <c r="B54" s="188">
        <f>+B28</f>
        <v>6.7100000000000007E-2</v>
      </c>
      <c r="C54" s="184">
        <f>+C28</f>
        <v>0.83</v>
      </c>
      <c r="D54" s="176">
        <f>+B54*C54*0.75</f>
        <v>4.1769750000000008E-2</v>
      </c>
      <c r="E54" s="188">
        <f>+B54*0.25</f>
        <v>1.6775000000000002E-2</v>
      </c>
      <c r="F54" s="176">
        <f>+E28</f>
        <v>4.8599999999999997E-2</v>
      </c>
      <c r="G54" s="177">
        <f>+D54+E54+F54</f>
        <v>0.10714475000000001</v>
      </c>
    </row>
    <row r="55" spans="1:10" ht="17.25">
      <c r="A55" s="175" t="s">
        <v>211</v>
      </c>
      <c r="B55" s="188">
        <f>+B29</f>
        <v>5.4600000000000003E-2</v>
      </c>
      <c r="C55" s="184">
        <f>+C29</f>
        <v>0.83</v>
      </c>
      <c r="D55" s="176">
        <f>+B55*C55*0.75</f>
        <v>3.3988499999999998E-2</v>
      </c>
      <c r="E55" s="188">
        <f>+B55*0.25</f>
        <v>1.3650000000000001E-2</v>
      </c>
      <c r="F55" s="176">
        <f>+E29</f>
        <v>4.8599999999999997E-2</v>
      </c>
      <c r="G55" s="177">
        <f>+D55+E55+F55</f>
        <v>9.6238500000000005E-2</v>
      </c>
    </row>
    <row r="56" spans="1:10" ht="17.25">
      <c r="A56" s="175"/>
      <c r="B56" s="188"/>
      <c r="C56" s="184"/>
      <c r="D56" s="176"/>
      <c r="E56" s="188"/>
      <c r="F56" s="176"/>
      <c r="G56" s="177"/>
    </row>
    <row r="57" spans="1:10" ht="17.25">
      <c r="A57" s="175" t="str">
        <f t="shared" ref="A57:C59" si="2">+A31</f>
        <v>KROLL Ex Post  - ERP Historical (8)</v>
      </c>
      <c r="B57" s="188">
        <f t="shared" si="2"/>
        <v>7.3099999999999998E-2</v>
      </c>
      <c r="C57" s="184">
        <f t="shared" si="2"/>
        <v>0.83</v>
      </c>
      <c r="D57" s="176">
        <f>+B57*C57*0.75</f>
        <v>4.5504749999999997E-2</v>
      </c>
      <c r="E57" s="188">
        <f>+B57*0.25</f>
        <v>1.8275E-2</v>
      </c>
      <c r="F57" s="176">
        <f>+E31</f>
        <v>4.8599999999999997E-2</v>
      </c>
      <c r="G57" s="177">
        <f>+D57+E57+F57</f>
        <v>0.11237975</v>
      </c>
    </row>
    <row r="58" spans="1:10" ht="17.25">
      <c r="A58" s="175" t="str">
        <f t="shared" si="2"/>
        <v>KROLL Ex Post - ERP Supply Side (8)</v>
      </c>
      <c r="B58" s="188">
        <f t="shared" si="2"/>
        <v>6.2600000000000003E-2</v>
      </c>
      <c r="C58" s="184">
        <f t="shared" si="2"/>
        <v>0.83</v>
      </c>
      <c r="D58" s="176">
        <f>+B58*C58*0.75</f>
        <v>3.8968499999999996E-2</v>
      </c>
      <c r="E58" s="188">
        <f>+B58*0.25</f>
        <v>1.5650000000000001E-2</v>
      </c>
      <c r="F58" s="176">
        <f>+E32</f>
        <v>4.8599999999999997E-2</v>
      </c>
      <c r="G58" s="177">
        <f>+D58+E58+F58</f>
        <v>0.10321849999999999</v>
      </c>
    </row>
    <row r="59" spans="1:10" ht="17.25">
      <c r="A59" s="175" t="str">
        <f t="shared" si="2"/>
        <v>KROLL Ex Ante - ERP Conditional (8)</v>
      </c>
      <c r="B59" s="188">
        <f t="shared" si="2"/>
        <v>0.05</v>
      </c>
      <c r="C59" s="184">
        <f t="shared" si="2"/>
        <v>0.83</v>
      </c>
      <c r="D59" s="176">
        <f>+B59*C59*0.75</f>
        <v>3.1125E-2</v>
      </c>
      <c r="E59" s="188">
        <f>+B59*0.25</f>
        <v>1.2500000000000001E-2</v>
      </c>
      <c r="F59" s="176">
        <f>+E33</f>
        <v>4.8599999999999997E-2</v>
      </c>
      <c r="G59" s="177">
        <f>+D59+E59+F59</f>
        <v>9.2225000000000001E-2</v>
      </c>
    </row>
    <row r="60" spans="1:10" ht="17.25">
      <c r="A60" s="175"/>
      <c r="B60" s="188"/>
      <c r="C60" s="184"/>
      <c r="D60" s="176"/>
      <c r="E60" s="188"/>
      <c r="F60" s="176"/>
      <c r="G60" s="177"/>
    </row>
    <row r="61" spans="1:10" ht="17.25">
      <c r="A61" s="175" t="str">
        <f>+A35</f>
        <v xml:space="preserve"> </v>
      </c>
      <c r="B61" s="188" t="s">
        <v>0</v>
      </c>
      <c r="C61" s="184">
        <f>+C35</f>
        <v>0</v>
      </c>
      <c r="D61" s="176" t="s">
        <v>0</v>
      </c>
      <c r="E61" s="188" t="s">
        <v>0</v>
      </c>
      <c r="F61" s="176" t="s">
        <v>0</v>
      </c>
      <c r="G61" s="177" t="s">
        <v>0</v>
      </c>
    </row>
    <row r="62" spans="1:10" ht="15.75" thickBot="1">
      <c r="A62" s="272"/>
      <c r="B62" s="143"/>
      <c r="C62" s="143"/>
      <c r="D62" s="143"/>
      <c r="E62" s="143"/>
      <c r="F62" s="143"/>
      <c r="G62" s="273"/>
    </row>
    <row r="64" spans="1:10" ht="17.25">
      <c r="A64" s="61" t="s">
        <v>71</v>
      </c>
      <c r="E64" s="187" t="s">
        <v>0</v>
      </c>
    </row>
    <row r="65" spans="1:7">
      <c r="A65" s="463" t="s">
        <v>0</v>
      </c>
      <c r="E65" s="187" t="s">
        <v>0</v>
      </c>
    </row>
    <row r="66" spans="1:7" ht="16.5">
      <c r="A66" s="460" t="s">
        <v>472</v>
      </c>
      <c r="B66" s="12"/>
      <c r="C66" s="12"/>
      <c r="D66" s="12"/>
      <c r="E66" s="12"/>
      <c r="F66" s="12"/>
      <c r="G66" s="12"/>
    </row>
    <row r="67" spans="1:7" ht="16.5">
      <c r="A67" s="460" t="s">
        <v>473</v>
      </c>
      <c r="B67" s="12"/>
      <c r="C67" s="12"/>
      <c r="D67" s="12"/>
      <c r="E67" s="12"/>
      <c r="F67" s="12"/>
      <c r="G67" s="12"/>
    </row>
    <row r="68" spans="1:7" ht="16.5">
      <c r="A68" s="43" t="s">
        <v>0</v>
      </c>
      <c r="B68" s="12"/>
      <c r="C68" s="12"/>
      <c r="D68" s="12"/>
      <c r="E68" s="12"/>
      <c r="F68" s="12"/>
      <c r="G68" s="12"/>
    </row>
    <row r="69" spans="1:7" ht="16.5">
      <c r="A69" s="43" t="s">
        <v>479</v>
      </c>
      <c r="B69" s="12"/>
      <c r="C69" s="12"/>
      <c r="D69" s="12"/>
      <c r="E69" s="12"/>
      <c r="F69" s="12"/>
      <c r="G69" s="12"/>
    </row>
    <row r="70" spans="1:7" ht="16.5">
      <c r="A70" s="405" t="s">
        <v>377</v>
      </c>
      <c r="C70" s="12"/>
      <c r="D70" s="12"/>
      <c r="E70" s="12"/>
      <c r="F70" s="12"/>
      <c r="G70" s="12"/>
    </row>
    <row r="71" spans="1:7" ht="16.5">
      <c r="A71" s="43" t="s">
        <v>0</v>
      </c>
      <c r="B71" s="12"/>
      <c r="C71" s="12"/>
      <c r="D71" s="12"/>
      <c r="E71" s="12"/>
      <c r="F71" s="12"/>
      <c r="G71" s="12"/>
    </row>
    <row r="72" spans="1:7" ht="16.5">
      <c r="A72" s="43" t="s">
        <v>480</v>
      </c>
      <c r="B72" s="12"/>
      <c r="C72" s="12"/>
      <c r="D72" s="12"/>
      <c r="E72" s="12"/>
      <c r="F72" s="12"/>
      <c r="G72" s="12"/>
    </row>
    <row r="73" spans="1:7" ht="16.5">
      <c r="A73" s="405" t="s">
        <v>378</v>
      </c>
      <c r="B73" s="12"/>
      <c r="C73" s="12"/>
      <c r="D73" s="12"/>
      <c r="E73" s="12"/>
      <c r="F73" s="12"/>
      <c r="G73" s="12"/>
    </row>
    <row r="74" spans="1:7" ht="16.5">
      <c r="A74" s="43"/>
      <c r="B74" s="12"/>
      <c r="C74" s="12"/>
      <c r="D74" s="12"/>
      <c r="E74" s="12"/>
      <c r="F74" s="12"/>
      <c r="G74" s="12"/>
    </row>
    <row r="75" spans="1:7" ht="16.5">
      <c r="A75" s="43" t="s">
        <v>481</v>
      </c>
      <c r="B75" s="12"/>
      <c r="C75" s="12"/>
      <c r="D75" s="12"/>
      <c r="E75" s="12"/>
      <c r="F75" s="12"/>
      <c r="G75" s="12"/>
    </row>
    <row r="76" spans="1:7" ht="16.5">
      <c r="A76" s="405" t="s">
        <v>482</v>
      </c>
      <c r="B76" s="12"/>
      <c r="C76" s="12"/>
      <c r="D76" s="12"/>
      <c r="E76" s="12"/>
      <c r="F76" s="12"/>
      <c r="G76" s="12"/>
    </row>
    <row r="77" spans="1:7" ht="16.5">
      <c r="A77" s="43"/>
      <c r="B77" s="12"/>
      <c r="C77" s="12"/>
      <c r="D77" s="12"/>
      <c r="E77" s="12"/>
      <c r="F77" s="12"/>
      <c r="G77" s="12"/>
    </row>
    <row r="78" spans="1:7" ht="16.5">
      <c r="A78" s="43" t="s">
        <v>483</v>
      </c>
      <c r="B78" s="12"/>
      <c r="C78" s="12"/>
      <c r="D78" s="12"/>
      <c r="E78" s="12"/>
      <c r="F78" s="12"/>
      <c r="G78" s="12"/>
    </row>
    <row r="79" spans="1:7" ht="16.5">
      <c r="A79" s="405" t="s">
        <v>379</v>
      </c>
      <c r="B79" s="12"/>
      <c r="C79" s="12"/>
      <c r="D79" s="12"/>
      <c r="E79" s="12"/>
      <c r="F79" s="12"/>
      <c r="G79" s="12"/>
    </row>
    <row r="80" spans="1:7">
      <c r="A80" s="463"/>
    </row>
    <row r="81" spans="1:7" ht="16.5">
      <c r="A81" s="43" t="s">
        <v>484</v>
      </c>
    </row>
    <row r="82" spans="1:7" ht="16.5">
      <c r="A82" s="43" t="s">
        <v>0</v>
      </c>
    </row>
    <row r="83" spans="1:7" ht="16.5">
      <c r="A83" s="43" t="s">
        <v>0</v>
      </c>
    </row>
    <row r="84" spans="1:7" ht="16.5">
      <c r="A84" s="355" t="s">
        <v>0</v>
      </c>
    </row>
    <row r="85" spans="1:7" ht="21" thickBot="1">
      <c r="A85" s="144"/>
      <c r="B85" s="144"/>
      <c r="C85" s="144"/>
      <c r="D85" s="28"/>
      <c r="E85" s="36"/>
      <c r="F85" s="28"/>
      <c r="G85" s="143"/>
    </row>
  </sheetData>
  <hyperlinks>
    <hyperlink ref="A84" r:id="rId1" display="https://simplywall.st/stocks/us/transportation" xr:uid="{AA4D2BF9-A916-47B7-B3E9-4D6B59480BF8}"/>
    <hyperlink ref="A79" r:id="rId2" xr:uid="{1C9D4B50-C081-4C97-A693-7DAF6A4EF744}"/>
    <hyperlink ref="A70" r:id="rId3" xr:uid="{11BEE936-A15C-4F22-8A57-7C0EC748D10A}"/>
    <hyperlink ref="A73" r:id="rId4" xr:uid="{3E08AE4C-565A-4FDA-AE85-3D46BE80166E}"/>
  </hyperlinks>
  <pageMargins left="0.25" right="0.25" top="0.75" bottom="0.75" header="0.3" footer="0.3"/>
  <pageSetup scale="39" orientation="portrait"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EEAA8-BBA3-479C-8851-708BD7E9A4CD}">
  <sheetPr>
    <tabColor rgb="FF92D050"/>
  </sheetPr>
  <dimension ref="A1:K44"/>
  <sheetViews>
    <sheetView view="pageBreakPreview" topLeftCell="A2" zoomScale="70" zoomScaleNormal="80" zoomScaleSheetLayoutView="70" workbookViewId="0">
      <selection activeCell="I32" sqref="I32"/>
    </sheetView>
  </sheetViews>
  <sheetFormatPr defaultRowHeight="15"/>
  <cols>
    <col min="1" max="1" width="45.140625" customWidth="1"/>
    <col min="2" max="2" width="14.7109375" customWidth="1"/>
    <col min="3" max="3" width="19.140625" bestFit="1" customWidth="1"/>
    <col min="4" max="4" width="15.28515625" customWidth="1"/>
    <col min="5" max="5" width="27.140625" customWidth="1"/>
    <col min="6" max="6" width="22" customWidth="1"/>
    <col min="7" max="7" width="29.28515625" customWidth="1"/>
    <col min="8" max="8" width="37" customWidth="1"/>
    <col min="9" max="9" width="24.5703125" customWidth="1"/>
    <col min="10" max="10" width="24.140625" customWidth="1"/>
    <col min="12" max="12" width="10.5703125" customWidth="1"/>
  </cols>
  <sheetData>
    <row r="1" spans="1:11" ht="26.25">
      <c r="A1" s="23" t="s">
        <v>1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7.25">
      <c r="A2" s="24" t="s">
        <v>9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6.5">
      <c r="A3" s="25" t="s">
        <v>412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6.5">
      <c r="A4" s="25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7.25" thickBot="1">
      <c r="A5" s="12"/>
      <c r="B5" s="12"/>
      <c r="C5" s="12"/>
      <c r="D5" s="12"/>
      <c r="E5" s="12"/>
      <c r="F5" s="12" t="s">
        <v>0</v>
      </c>
      <c r="G5" s="12"/>
      <c r="H5" s="26"/>
      <c r="I5" s="12"/>
      <c r="J5" s="12"/>
      <c r="K5" s="12"/>
    </row>
    <row r="6" spans="1:11" ht="18" thickBot="1">
      <c r="A6" s="241" t="str">
        <f>+'S&amp;D'!A12</f>
        <v>Water Utility Companies (Private)</v>
      </c>
      <c r="B6" s="174"/>
      <c r="C6" s="336"/>
      <c r="D6" s="28"/>
      <c r="E6" s="28"/>
      <c r="F6" s="28"/>
      <c r="G6" s="29" t="s">
        <v>0</v>
      </c>
      <c r="H6" s="28"/>
      <c r="I6" s="12"/>
      <c r="J6" s="12"/>
      <c r="K6" s="12"/>
    </row>
    <row r="7" spans="1:11" ht="26.25">
      <c r="A7" s="30"/>
      <c r="B7" s="12"/>
      <c r="C7" s="12"/>
      <c r="D7" s="12"/>
      <c r="E7" s="12"/>
      <c r="F7" s="31" t="s">
        <v>371</v>
      </c>
      <c r="G7" s="12"/>
      <c r="H7" s="12"/>
      <c r="I7" s="12"/>
      <c r="J7" s="12"/>
      <c r="K7" s="12"/>
    </row>
    <row r="8" spans="1:11" ht="21" thickBot="1">
      <c r="A8" s="30"/>
      <c r="B8" s="12"/>
      <c r="C8" s="28"/>
      <c r="D8" s="28"/>
      <c r="E8" s="28"/>
      <c r="F8" s="32" t="s">
        <v>413</v>
      </c>
      <c r="G8" s="28"/>
      <c r="H8" s="28"/>
      <c r="I8" s="12"/>
      <c r="J8" s="12"/>
      <c r="K8" s="12"/>
    </row>
    <row r="9" spans="1:11" ht="17.25" thickBot="1">
      <c r="A9" s="33" t="s">
        <v>0</v>
      </c>
      <c r="B9" s="33" t="s">
        <v>0</v>
      </c>
      <c r="C9" s="33" t="s">
        <v>0</v>
      </c>
      <c r="D9" s="28"/>
      <c r="E9" s="33"/>
      <c r="F9" s="33" t="s">
        <v>0</v>
      </c>
      <c r="G9" s="33"/>
      <c r="H9" s="28"/>
      <c r="I9" s="28"/>
      <c r="J9" s="28"/>
      <c r="K9" s="12"/>
    </row>
    <row r="10" spans="1:11" ht="16.5">
      <c r="A10" s="34" t="s">
        <v>0</v>
      </c>
      <c r="B10" s="34" t="s">
        <v>3</v>
      </c>
      <c r="C10" s="34" t="s">
        <v>5</v>
      </c>
      <c r="D10" s="34" t="s">
        <v>156</v>
      </c>
      <c r="E10" s="34" t="s">
        <v>12</v>
      </c>
      <c r="F10" s="34" t="s">
        <v>167</v>
      </c>
      <c r="G10" s="34" t="s">
        <v>168</v>
      </c>
      <c r="H10" s="34" t="s">
        <v>168</v>
      </c>
      <c r="I10" s="34" t="s">
        <v>164</v>
      </c>
      <c r="J10" s="34" t="s">
        <v>164</v>
      </c>
      <c r="K10" s="12"/>
    </row>
    <row r="11" spans="1:11" ht="16.5">
      <c r="A11" s="34" t="s">
        <v>2</v>
      </c>
      <c r="B11" s="34" t="s">
        <v>4</v>
      </c>
      <c r="C11" s="34" t="s">
        <v>6</v>
      </c>
      <c r="D11" s="34" t="s">
        <v>195</v>
      </c>
      <c r="E11" s="34" t="s">
        <v>14</v>
      </c>
      <c r="F11" s="34" t="s">
        <v>368</v>
      </c>
      <c r="G11" s="34" t="s">
        <v>196</v>
      </c>
      <c r="H11" s="34" t="s">
        <v>197</v>
      </c>
      <c r="I11" s="34" t="s">
        <v>159</v>
      </c>
      <c r="J11" s="34" t="s">
        <v>162</v>
      </c>
      <c r="K11" s="12"/>
    </row>
    <row r="12" spans="1:11" ht="16.5">
      <c r="A12" s="34"/>
      <c r="B12" s="34"/>
      <c r="C12" s="34"/>
      <c r="D12" s="34"/>
      <c r="E12" s="34"/>
      <c r="F12" s="35" t="s">
        <v>0</v>
      </c>
      <c r="G12" s="35" t="s">
        <v>474</v>
      </c>
      <c r="H12" s="35" t="s">
        <v>474</v>
      </c>
      <c r="I12" s="34"/>
      <c r="J12" s="34"/>
      <c r="K12" s="12"/>
    </row>
    <row r="13" spans="1:11" ht="17.25" thickBot="1">
      <c r="A13" s="36" t="s">
        <v>24</v>
      </c>
      <c r="B13" s="37" t="s">
        <v>88</v>
      </c>
      <c r="C13" s="37" t="s">
        <v>89</v>
      </c>
      <c r="D13" s="37" t="s">
        <v>90</v>
      </c>
      <c r="E13" s="37" t="s">
        <v>91</v>
      </c>
      <c r="F13" s="37" t="s">
        <v>92</v>
      </c>
      <c r="G13" s="37" t="s">
        <v>93</v>
      </c>
      <c r="H13" s="37" t="s">
        <v>94</v>
      </c>
      <c r="I13" s="37" t="s">
        <v>165</v>
      </c>
      <c r="J13" s="37" t="s">
        <v>166</v>
      </c>
      <c r="K13" s="12"/>
    </row>
    <row r="14" spans="1:11" ht="16.5">
      <c r="A14" s="38" t="s">
        <v>7</v>
      </c>
      <c r="B14" s="38" t="s">
        <v>7</v>
      </c>
      <c r="C14" s="38" t="s">
        <v>7</v>
      </c>
      <c r="D14" s="39" t="s">
        <v>112</v>
      </c>
      <c r="E14" s="39"/>
      <c r="F14" s="38" t="s">
        <v>0</v>
      </c>
      <c r="G14" s="38" t="s">
        <v>7</v>
      </c>
      <c r="H14" s="38" t="s">
        <v>7</v>
      </c>
      <c r="I14" s="38" t="s">
        <v>15</v>
      </c>
      <c r="J14" s="38" t="s">
        <v>15</v>
      </c>
      <c r="K14" s="12"/>
    </row>
    <row r="15" spans="1:11" ht="16.5">
      <c r="A15" s="34"/>
      <c r="B15" s="34"/>
      <c r="C15" s="34"/>
      <c r="D15" s="34"/>
      <c r="E15" s="34"/>
      <c r="F15" s="34"/>
      <c r="G15" s="34"/>
      <c r="H15" s="12"/>
      <c r="I15" s="12"/>
      <c r="J15" s="12"/>
      <c r="K15" s="12"/>
    </row>
    <row r="16" spans="1:11" ht="16.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7.25">
      <c r="A17" s="61" t="str">
        <f>+'S&amp;D'!A22</f>
        <v>American States Water Company</v>
      </c>
      <c r="B17" s="90" t="str">
        <f>+'S&amp;D'!B22</f>
        <v>AWR</v>
      </c>
      <c r="C17" s="90" t="str">
        <f>+'S&amp;D'!C22</f>
        <v>Water Utility</v>
      </c>
      <c r="D17" s="58">
        <f>+'S&amp;D'!G22</f>
        <v>77.72</v>
      </c>
      <c r="E17" s="59">
        <f>+'S&amp;D'!D36</f>
        <v>2965097818.4400001</v>
      </c>
      <c r="F17" s="52">
        <f>+'Dividends '!H16</f>
        <v>2.5090066906845086E-2</v>
      </c>
      <c r="G17" s="52">
        <v>8.5000000000000006E-2</v>
      </c>
      <c r="H17" s="52">
        <v>6.5000000000000002E-2</v>
      </c>
      <c r="I17" s="304">
        <f>+F17+G17</f>
        <v>0.11009006690684509</v>
      </c>
      <c r="J17" s="304">
        <f>+F17+H17</f>
        <v>9.0090066906845095E-2</v>
      </c>
      <c r="K17" s="12"/>
    </row>
    <row r="18" spans="1:11" ht="17.25">
      <c r="A18" s="61" t="str">
        <f>+'S&amp;D'!A23</f>
        <v>American Water Works Company Inc</v>
      </c>
      <c r="B18" s="90" t="str">
        <f>+'S&amp;D'!B23</f>
        <v>AWK</v>
      </c>
      <c r="C18" s="90" t="str">
        <f>+'S&amp;D'!C23</f>
        <v>Water Utility</v>
      </c>
      <c r="D18" s="58">
        <f>+'S&amp;D'!G23</f>
        <v>124.49</v>
      </c>
      <c r="E18" s="59">
        <f>+'S&amp;D'!D37</f>
        <v>24265651177.649998</v>
      </c>
      <c r="F18" s="52">
        <f>+'Dividends '!H17</f>
        <v>2.8114708008675396E-2</v>
      </c>
      <c r="G18" s="52">
        <v>8.5000000000000006E-2</v>
      </c>
      <c r="H18" s="52">
        <v>4.4999999999999998E-2</v>
      </c>
      <c r="I18" s="304">
        <f t="shared" ref="I18:I22" si="0">+F18+G18</f>
        <v>0.1131147080086754</v>
      </c>
      <c r="J18" s="304">
        <f t="shared" ref="J18:J22" si="1">+F18+H18</f>
        <v>7.3114708008675394E-2</v>
      </c>
      <c r="K18" s="12"/>
    </row>
    <row r="19" spans="1:11" ht="17.25">
      <c r="A19" s="61" t="str">
        <f>+'S&amp;D'!A24</f>
        <v xml:space="preserve">California Water Service Group </v>
      </c>
      <c r="B19" s="90" t="str">
        <f>+'S&amp;D'!B24</f>
        <v>CWT</v>
      </c>
      <c r="C19" s="90" t="str">
        <f>+'S&amp;D'!C24</f>
        <v>Water Utility</v>
      </c>
      <c r="D19" s="58">
        <f>+'S&amp;D'!G24</f>
        <v>45.33</v>
      </c>
      <c r="E19" s="59">
        <f>+'S&amp;D'!D38</f>
        <v>2696409720</v>
      </c>
      <c r="F19" s="52">
        <f>+'Dividends '!H18</f>
        <v>2.7575557026251932E-2</v>
      </c>
      <c r="G19" s="52">
        <v>5.5E-2</v>
      </c>
      <c r="H19" s="52">
        <v>9.5000000000000001E-2</v>
      </c>
      <c r="I19" s="304">
        <f t="shared" si="0"/>
        <v>8.2575557026251939E-2</v>
      </c>
      <c r="J19" s="304">
        <f t="shared" si="1"/>
        <v>0.12257555702625193</v>
      </c>
      <c r="K19" s="12"/>
    </row>
    <row r="20" spans="1:11" ht="17.25">
      <c r="A20" s="61" t="str">
        <f>+'S&amp;D'!A25</f>
        <v>Essential Utilities, Inc.</v>
      </c>
      <c r="B20" s="90" t="str">
        <f>+'S&amp;D'!B25</f>
        <v>WTRG</v>
      </c>
      <c r="C20" s="90" t="str">
        <f>+'S&amp;D'!C25</f>
        <v>Water Utility</v>
      </c>
      <c r="D20" s="58">
        <f>+'S&amp;D'!G25</f>
        <v>36.32</v>
      </c>
      <c r="E20" s="59">
        <f>+'S&amp;D'!D39</f>
        <v>9981592825.1200008</v>
      </c>
      <c r="F20" s="52">
        <f>+'Dividends '!H19</f>
        <v>3.9372246696035243E-2</v>
      </c>
      <c r="G20" s="52">
        <v>6.5000000000000002E-2</v>
      </c>
      <c r="H20" s="52">
        <v>0.06</v>
      </c>
      <c r="I20" s="304">
        <f t="shared" si="0"/>
        <v>0.10437224669603525</v>
      </c>
      <c r="J20" s="304">
        <f t="shared" si="1"/>
        <v>9.9372246696035241E-2</v>
      </c>
      <c r="K20" s="12"/>
    </row>
    <row r="21" spans="1:11" ht="17.25">
      <c r="A21" s="61" t="str">
        <f>+'S&amp;D'!A26</f>
        <v>Middlesex Water Company</v>
      </c>
      <c r="B21" s="90" t="str">
        <f>+'S&amp;D'!B26</f>
        <v>MSEX</v>
      </c>
      <c r="C21" s="90" t="str">
        <f>+'S&amp;D'!C26</f>
        <v>Water Utility</v>
      </c>
      <c r="D21" s="58">
        <f>+'S&amp;D'!G26</f>
        <v>52.63</v>
      </c>
      <c r="E21" s="59">
        <f>+'S&amp;D'!D40</f>
        <v>941392810</v>
      </c>
      <c r="F21" s="52">
        <f>+'Dividends '!H20</f>
        <v>2.7740832224966747E-2</v>
      </c>
      <c r="G21" s="52">
        <v>4.4999999999999998E-2</v>
      </c>
      <c r="H21" s="52">
        <v>7.4999999999999997E-2</v>
      </c>
      <c r="I21" s="304">
        <f>+F21+G21</f>
        <v>7.2740832224966745E-2</v>
      </c>
      <c r="J21" s="304">
        <f>+F21+H21</f>
        <v>0.10274083222496674</v>
      </c>
      <c r="K21" s="12"/>
    </row>
    <row r="22" spans="1:11" ht="18" thickBot="1">
      <c r="A22" s="61" t="str">
        <f>+'S&amp;D'!A27</f>
        <v>SJW Corporation</v>
      </c>
      <c r="B22" s="90" t="str">
        <f>+'S&amp;D'!B27</f>
        <v>SJW</v>
      </c>
      <c r="C22" s="90" t="str">
        <f>+'S&amp;D'!C27</f>
        <v>Water Utility</v>
      </c>
      <c r="D22" s="58">
        <f>+'S&amp;D'!G27</f>
        <v>49.22</v>
      </c>
      <c r="E22" s="59">
        <f>+'S&amp;D'!D41</f>
        <v>1655227698.1800001</v>
      </c>
      <c r="F22" s="305">
        <f>+'Dividends '!H21</f>
        <v>3.5554652580251929E-2</v>
      </c>
      <c r="G22" s="305">
        <v>4.4999999999999998E-2</v>
      </c>
      <c r="H22" s="305">
        <v>6.5000000000000002E-2</v>
      </c>
      <c r="I22" s="306">
        <f t="shared" si="0"/>
        <v>8.0554652580251934E-2</v>
      </c>
      <c r="J22" s="306">
        <f t="shared" si="1"/>
        <v>0.10055465258025192</v>
      </c>
      <c r="K22" s="12"/>
    </row>
    <row r="23" spans="1:11" ht="17.25" thickTop="1">
      <c r="A23" s="12"/>
      <c r="B23" s="12"/>
      <c r="C23" s="14" t="s">
        <v>0</v>
      </c>
      <c r="D23" s="15" t="s">
        <v>0</v>
      </c>
      <c r="E23" s="15" t="s">
        <v>45</v>
      </c>
      <c r="F23" s="353">
        <f>MAX(F17:F22)</f>
        <v>3.9372246696035243E-2</v>
      </c>
      <c r="G23" s="353">
        <f t="shared" ref="G23:J23" si="2">MAX(G17:G22)</f>
        <v>8.5000000000000006E-2</v>
      </c>
      <c r="H23" s="353">
        <f t="shared" si="2"/>
        <v>9.5000000000000001E-2</v>
      </c>
      <c r="I23" s="353">
        <f t="shared" si="2"/>
        <v>0.1131147080086754</v>
      </c>
      <c r="J23" s="353">
        <f t="shared" si="2"/>
        <v>0.12257555702625193</v>
      </c>
      <c r="K23" s="12"/>
    </row>
    <row r="24" spans="1:11" ht="16.5">
      <c r="A24" s="12"/>
      <c r="B24" s="12"/>
      <c r="C24" s="14"/>
      <c r="D24" s="15"/>
      <c r="E24" s="15" t="s">
        <v>46</v>
      </c>
      <c r="F24" s="352">
        <f>MIN(F17:F22)</f>
        <v>2.5090066906845086E-2</v>
      </c>
      <c r="G24" s="352">
        <f t="shared" ref="G24:J24" si="3">MIN(G17:G22)</f>
        <v>4.4999999999999998E-2</v>
      </c>
      <c r="H24" s="352">
        <f t="shared" si="3"/>
        <v>4.4999999999999998E-2</v>
      </c>
      <c r="I24" s="352">
        <f t="shared" si="3"/>
        <v>7.2740832224966745E-2</v>
      </c>
      <c r="J24" s="352">
        <f t="shared" si="3"/>
        <v>7.3114708008675394E-2</v>
      </c>
      <c r="K24" s="12"/>
    </row>
    <row r="25" spans="1:11" ht="16.5">
      <c r="A25" s="12"/>
      <c r="B25" s="12"/>
      <c r="D25" s="17" t="s">
        <v>0</v>
      </c>
      <c r="E25" s="14" t="s">
        <v>18</v>
      </c>
      <c r="F25" s="53">
        <f>MEDIAN(F17:F22)</f>
        <v>2.7927770116821071E-2</v>
      </c>
      <c r="G25" s="298">
        <f>MEDIAN(G17:G22)</f>
        <v>0.06</v>
      </c>
      <c r="H25" s="298">
        <f>MEDIAN(H17:H22)</f>
        <v>6.5000000000000002E-2</v>
      </c>
      <c r="I25" s="299">
        <f>MEDIAN(I17:I22)</f>
        <v>9.3473901861143599E-2</v>
      </c>
      <c r="J25" s="299">
        <f>MEDIAN(J17:J22)</f>
        <v>9.9963449638143576E-2</v>
      </c>
      <c r="K25" s="12"/>
    </row>
    <row r="26" spans="1:11" ht="16.5">
      <c r="A26" s="12"/>
      <c r="B26" s="12"/>
      <c r="D26" s="21" t="s">
        <v>0</v>
      </c>
      <c r="E26" s="14" t="s">
        <v>374</v>
      </c>
      <c r="F26" s="53">
        <f>AVERAGE(F17:F22)</f>
        <v>3.0574677240504389E-2</v>
      </c>
      <c r="G26" s="53">
        <f>AVERAGE(G17:G22)</f>
        <v>6.3333333333333339E-2</v>
      </c>
      <c r="H26" s="298">
        <f>AVERAGE(H17:H22)</f>
        <v>6.7500000000000004E-2</v>
      </c>
      <c r="I26" s="299">
        <f>AVERAGE(I17:I22)</f>
        <v>9.3908010573837727E-2</v>
      </c>
      <c r="J26" s="299">
        <f>AVERAGE(J17:J22)</f>
        <v>9.8074677240504379E-2</v>
      </c>
      <c r="K26" s="12"/>
    </row>
    <row r="27" spans="1:11" ht="16.5">
      <c r="A27" s="12"/>
      <c r="B27" s="12"/>
      <c r="D27" s="21"/>
      <c r="E27" s="14"/>
      <c r="F27" s="18"/>
      <c r="G27" s="18"/>
      <c r="H27" s="19"/>
      <c r="I27" s="20"/>
      <c r="J27" s="20"/>
      <c r="K27" s="12"/>
    </row>
    <row r="28" spans="1:11" ht="17.25" thickBo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ht="27" thickBot="1">
      <c r="A29" s="12"/>
      <c r="B29" s="12"/>
      <c r="C29" s="12"/>
      <c r="D29" s="12"/>
      <c r="E29" s="12"/>
      <c r="F29" s="12"/>
      <c r="G29" s="171" t="s">
        <v>170</v>
      </c>
      <c r="H29" s="173"/>
      <c r="I29" s="300">
        <v>9.3899999999999997E-2</v>
      </c>
      <c r="J29" s="12"/>
      <c r="K29" s="12"/>
    </row>
    <row r="30" spans="1:11" ht="20.25" customHeight="1" thickBo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1" ht="27" thickBot="1">
      <c r="A31" s="12"/>
      <c r="B31" s="12"/>
      <c r="C31" s="12"/>
      <c r="D31" s="12"/>
      <c r="E31" s="12"/>
      <c r="F31" s="12"/>
      <c r="G31" s="171" t="s">
        <v>169</v>
      </c>
      <c r="H31" s="174"/>
      <c r="I31" s="300">
        <v>9.8100000000000007E-2</v>
      </c>
      <c r="J31" s="12"/>
      <c r="K31" s="12"/>
    </row>
    <row r="32" spans="1:11" ht="16.5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spans="1:10" ht="26.25">
      <c r="A33" s="23" t="s">
        <v>354</v>
      </c>
      <c r="B33" s="12"/>
      <c r="C33" s="23" t="s">
        <v>353</v>
      </c>
      <c r="D33" s="12"/>
      <c r="E33" s="12"/>
      <c r="F33" s="12"/>
      <c r="G33" s="12"/>
      <c r="H33" s="12"/>
      <c r="I33" s="12"/>
      <c r="J33" s="12"/>
    </row>
    <row r="34" spans="1:10" ht="17.25">
      <c r="A34" s="61" t="s">
        <v>357</v>
      </c>
      <c r="B34" s="12"/>
      <c r="C34" s="61" t="s">
        <v>357</v>
      </c>
      <c r="D34" s="12"/>
      <c r="E34" s="12"/>
      <c r="F34" s="12"/>
      <c r="G34" s="12"/>
      <c r="H34" s="12"/>
      <c r="I34" s="12"/>
      <c r="J34" s="12"/>
    </row>
    <row r="35" spans="1:10" ht="17.25">
      <c r="A35" s="61" t="s">
        <v>356</v>
      </c>
      <c r="B35" s="12"/>
      <c r="C35" s="61" t="s">
        <v>355</v>
      </c>
      <c r="D35" s="12"/>
      <c r="E35" s="12"/>
      <c r="F35" s="12"/>
      <c r="G35" s="12"/>
      <c r="H35" s="12"/>
      <c r="I35" s="12"/>
      <c r="J35" s="12"/>
    </row>
    <row r="36" spans="1:10" ht="16.5">
      <c r="A36" s="43"/>
      <c r="B36" s="12"/>
      <c r="C36" s="43"/>
      <c r="D36" s="12"/>
      <c r="E36" s="12"/>
      <c r="F36" s="12"/>
      <c r="G36" s="12"/>
      <c r="H36" s="12"/>
      <c r="I36" s="12"/>
      <c r="J36" s="12"/>
    </row>
    <row r="37" spans="1:10" ht="16.5">
      <c r="A37" s="43"/>
      <c r="B37" s="12"/>
      <c r="C37" s="43"/>
      <c r="D37" s="12"/>
      <c r="E37" s="12"/>
      <c r="F37" s="12"/>
      <c r="G37" s="12"/>
      <c r="H37" s="12"/>
      <c r="I37" s="12"/>
      <c r="J37" s="12"/>
    </row>
    <row r="38" spans="1:10" ht="26.25">
      <c r="A38" s="23" t="s">
        <v>192</v>
      </c>
      <c r="B38" s="12"/>
      <c r="C38" s="23" t="s">
        <v>192</v>
      </c>
      <c r="D38" s="12"/>
      <c r="E38" s="12"/>
      <c r="F38" s="12"/>
      <c r="G38" s="12"/>
      <c r="H38" s="12"/>
      <c r="I38" s="12"/>
      <c r="J38" s="12"/>
    </row>
    <row r="39" spans="1:10" ht="16.5">
      <c r="A39" s="43"/>
      <c r="B39" s="12"/>
      <c r="C39" s="43"/>
      <c r="D39" s="12"/>
      <c r="E39" s="12"/>
      <c r="F39" s="12"/>
      <c r="G39" s="12"/>
      <c r="H39" s="12"/>
      <c r="I39" s="12"/>
      <c r="J39" s="12"/>
    </row>
    <row r="40" spans="1:10" ht="17.25">
      <c r="A40" s="61" t="s">
        <v>193</v>
      </c>
      <c r="B40" s="12"/>
      <c r="C40" s="61" t="s">
        <v>193</v>
      </c>
      <c r="D40" s="12"/>
      <c r="E40" s="12"/>
      <c r="F40" s="12"/>
      <c r="G40" s="12"/>
      <c r="H40" s="12"/>
      <c r="I40" s="12"/>
      <c r="J40" s="12"/>
    </row>
    <row r="41" spans="1:10" ht="17.25">
      <c r="A41" s="61" t="s">
        <v>191</v>
      </c>
      <c r="B41" s="12"/>
      <c r="C41" s="61" t="s">
        <v>191</v>
      </c>
      <c r="D41" s="12"/>
      <c r="E41" s="12"/>
      <c r="F41" s="12"/>
      <c r="G41" s="12"/>
      <c r="H41" s="12"/>
      <c r="I41" s="12"/>
      <c r="J41" s="12"/>
    </row>
    <row r="42" spans="1:10" ht="17.25">
      <c r="A42" s="61" t="s">
        <v>194</v>
      </c>
      <c r="B42" s="12"/>
      <c r="C42" s="61" t="s">
        <v>194</v>
      </c>
      <c r="D42" s="12"/>
      <c r="E42" s="12"/>
      <c r="F42" s="12"/>
      <c r="G42" s="12"/>
      <c r="H42" s="12"/>
      <c r="I42" s="12"/>
      <c r="J42" s="12"/>
    </row>
    <row r="43" spans="1:10" ht="17.25">
      <c r="A43" s="61" t="s">
        <v>359</v>
      </c>
      <c r="B43" s="12"/>
      <c r="C43" s="61" t="s">
        <v>358</v>
      </c>
      <c r="D43" s="12"/>
      <c r="E43" s="12"/>
      <c r="F43" s="12"/>
      <c r="G43" s="12"/>
      <c r="H43" s="12"/>
      <c r="I43" s="12"/>
      <c r="J43" s="12"/>
    </row>
    <row r="44" spans="1:10" ht="17.25">
      <c r="A44" s="61"/>
      <c r="B44" s="12"/>
      <c r="C44" s="61"/>
      <c r="D44" s="12"/>
      <c r="E44" s="12"/>
      <c r="F44" s="12"/>
      <c r="G44" s="12"/>
      <c r="H44" s="12"/>
      <c r="I44" s="12"/>
      <c r="J44" s="12"/>
    </row>
  </sheetData>
  <phoneticPr fontId="87" type="noConversion"/>
  <pageMargins left="0.25" right="0.25" top="0.75" bottom="0.75" header="0.3" footer="0.3"/>
  <pageSetup scale="5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150D5-3409-4DE1-88B0-B66A1BCAC2E5}">
  <sheetPr>
    <tabColor rgb="FF92D050"/>
  </sheetPr>
  <dimension ref="A1:K106"/>
  <sheetViews>
    <sheetView view="pageBreakPreview" topLeftCell="A11" zoomScale="70" zoomScaleNormal="80" zoomScaleSheetLayoutView="70" workbookViewId="0">
      <selection activeCell="H33" sqref="H33"/>
    </sheetView>
  </sheetViews>
  <sheetFormatPr defaultRowHeight="15"/>
  <cols>
    <col min="1" max="1" width="47.85546875" customWidth="1"/>
    <col min="2" max="2" width="15.28515625" customWidth="1"/>
    <col min="3" max="3" width="24.5703125" customWidth="1"/>
    <col min="4" max="4" width="26.5703125" customWidth="1"/>
    <col min="5" max="5" width="32.28515625" customWidth="1"/>
    <col min="6" max="6" width="22.42578125" customWidth="1"/>
    <col min="7" max="7" width="27" customWidth="1"/>
    <col min="8" max="8" width="43" customWidth="1"/>
    <col min="9" max="9" width="15.28515625" customWidth="1"/>
    <col min="10" max="10" width="24.5703125" customWidth="1"/>
    <col min="11" max="11" width="24.140625" customWidth="1"/>
    <col min="13" max="13" width="10.5703125" customWidth="1"/>
  </cols>
  <sheetData>
    <row r="1" spans="1:9" ht="26.25">
      <c r="A1" s="23" t="s">
        <v>1</v>
      </c>
      <c r="B1" s="12"/>
      <c r="C1" s="12"/>
      <c r="D1" s="12"/>
      <c r="E1" s="12"/>
      <c r="F1" s="12"/>
      <c r="G1" s="12"/>
      <c r="H1" s="12"/>
      <c r="I1" s="12"/>
    </row>
    <row r="2" spans="1:9" ht="17.25">
      <c r="A2" s="24" t="s">
        <v>9</v>
      </c>
      <c r="B2" s="12"/>
      <c r="C2" s="12"/>
      <c r="D2" s="12"/>
      <c r="E2" s="12"/>
      <c r="F2" s="12"/>
      <c r="G2" s="12"/>
      <c r="H2" s="12"/>
      <c r="I2" s="12"/>
    </row>
    <row r="3" spans="1:9" ht="16.5">
      <c r="A3" s="25" t="s">
        <v>412</v>
      </c>
      <c r="B3" s="12"/>
      <c r="C3" s="12"/>
      <c r="D3" s="12"/>
      <c r="E3" s="12"/>
      <c r="F3" s="12"/>
      <c r="G3" s="12"/>
      <c r="H3" s="12"/>
      <c r="I3" s="12"/>
    </row>
    <row r="4" spans="1:9" ht="16.5">
      <c r="A4" s="25"/>
      <c r="B4" s="12"/>
      <c r="C4" s="12"/>
      <c r="D4" s="12"/>
      <c r="E4" s="12"/>
      <c r="F4" s="12"/>
      <c r="G4" s="12"/>
      <c r="H4" s="12"/>
      <c r="I4" s="12"/>
    </row>
    <row r="5" spans="1:9" ht="17.25" thickBot="1">
      <c r="A5" s="12"/>
      <c r="B5" s="12"/>
      <c r="C5" s="12"/>
      <c r="D5" s="12"/>
      <c r="E5" s="12"/>
      <c r="F5" s="12"/>
      <c r="G5" s="12"/>
      <c r="H5" s="12"/>
      <c r="I5" s="26"/>
    </row>
    <row r="6" spans="1:9" ht="21" thickBot="1">
      <c r="A6" s="239" t="str">
        <f>+'S&amp;D'!A12</f>
        <v>Water Utility Companies (Private)</v>
      </c>
      <c r="B6" s="174"/>
      <c r="C6" s="12"/>
      <c r="D6" s="12"/>
      <c r="E6" s="12"/>
      <c r="F6" s="12"/>
      <c r="G6" s="12"/>
      <c r="H6" s="12"/>
      <c r="I6" s="12"/>
    </row>
    <row r="7" spans="1:9" ht="20.25">
      <c r="A7" s="30"/>
      <c r="B7" s="12"/>
      <c r="C7" s="12"/>
      <c r="D7" s="12"/>
      <c r="E7" s="12"/>
      <c r="F7" s="12"/>
      <c r="G7" s="12"/>
      <c r="H7" s="12"/>
      <c r="I7" s="12"/>
    </row>
    <row r="8" spans="1:9" ht="21" thickBot="1">
      <c r="A8" s="30"/>
      <c r="B8" s="12"/>
      <c r="C8" s="12"/>
      <c r="D8" s="28"/>
      <c r="E8" s="28"/>
      <c r="F8" s="28"/>
      <c r="G8" s="12"/>
      <c r="H8" s="12"/>
      <c r="I8" s="12"/>
    </row>
    <row r="9" spans="1:9" ht="26.25">
      <c r="A9" s="30"/>
      <c r="B9" s="12"/>
      <c r="C9" s="12"/>
      <c r="D9" s="12"/>
      <c r="E9" s="31" t="s">
        <v>171</v>
      </c>
      <c r="F9" s="12"/>
      <c r="G9" s="12"/>
      <c r="H9" s="12"/>
      <c r="I9" s="12"/>
    </row>
    <row r="10" spans="1:9" ht="21" thickBot="1">
      <c r="A10" s="30"/>
      <c r="B10" s="12"/>
      <c r="C10" s="12"/>
      <c r="D10" s="28"/>
      <c r="E10" s="32" t="s">
        <v>413</v>
      </c>
      <c r="F10" s="28"/>
      <c r="G10" s="12"/>
      <c r="H10" s="12"/>
      <c r="I10" s="12"/>
    </row>
    <row r="11" spans="1:9" ht="20.25">
      <c r="A11" s="30"/>
      <c r="B11" s="12"/>
      <c r="C11" s="12"/>
      <c r="D11" s="12"/>
      <c r="E11" s="12"/>
      <c r="F11" s="34"/>
      <c r="G11" s="34"/>
      <c r="H11" s="12"/>
      <c r="I11" s="12"/>
    </row>
    <row r="12" spans="1:9" ht="20.25">
      <c r="A12" s="30"/>
      <c r="B12" s="12"/>
      <c r="C12" s="12"/>
      <c r="D12" s="12" t="s">
        <v>0</v>
      </c>
      <c r="E12" s="12"/>
      <c r="F12" s="34"/>
      <c r="G12" s="34"/>
      <c r="H12" s="12"/>
      <c r="I12" s="12"/>
    </row>
    <row r="13" spans="1:9" ht="45.75" customHeight="1" thickBot="1">
      <c r="A13" s="33" t="s">
        <v>0</v>
      </c>
      <c r="B13" s="33" t="s">
        <v>0</v>
      </c>
      <c r="C13" s="33" t="s">
        <v>0</v>
      </c>
      <c r="D13" s="28"/>
      <c r="E13" s="28"/>
      <c r="F13" s="33" t="s">
        <v>0</v>
      </c>
      <c r="G13" s="33"/>
      <c r="H13" s="33"/>
      <c r="I13" s="12"/>
    </row>
    <row r="14" spans="1:9" ht="16.5">
      <c r="A14" s="34" t="s">
        <v>0</v>
      </c>
      <c r="B14" s="34" t="s">
        <v>3</v>
      </c>
      <c r="C14" s="34" t="s">
        <v>5</v>
      </c>
      <c r="D14" s="34" t="s">
        <v>167</v>
      </c>
      <c r="E14" s="34" t="s">
        <v>168</v>
      </c>
      <c r="F14" s="34" t="s">
        <v>172</v>
      </c>
      <c r="G14" s="34" t="s">
        <v>19</v>
      </c>
      <c r="H14" s="34" t="s">
        <v>174</v>
      </c>
      <c r="I14" s="12"/>
    </row>
    <row r="15" spans="1:9" ht="16.5">
      <c r="A15" s="34" t="s">
        <v>2</v>
      </c>
      <c r="B15" s="34" t="s">
        <v>4</v>
      </c>
      <c r="C15" s="34" t="s">
        <v>6</v>
      </c>
      <c r="D15" s="34" t="s">
        <v>368</v>
      </c>
      <c r="E15" s="34" t="s">
        <v>369</v>
      </c>
      <c r="F15" s="34" t="s">
        <v>122</v>
      </c>
      <c r="G15" s="34" t="s">
        <v>173</v>
      </c>
      <c r="H15" s="34" t="s">
        <v>163</v>
      </c>
      <c r="I15" s="12"/>
    </row>
    <row r="16" spans="1:9" ht="16.5">
      <c r="A16" s="34"/>
      <c r="B16" s="34" t="s">
        <v>0</v>
      </c>
      <c r="C16" s="34" t="s">
        <v>0</v>
      </c>
      <c r="D16" s="34" t="s">
        <v>0</v>
      </c>
      <c r="E16" s="35" t="s">
        <v>407</v>
      </c>
      <c r="F16" s="35" t="s">
        <v>0</v>
      </c>
      <c r="G16" s="34" t="s">
        <v>178</v>
      </c>
      <c r="H16" s="35" t="s">
        <v>179</v>
      </c>
      <c r="I16" s="12"/>
    </row>
    <row r="17" spans="1:11" ht="18" customHeight="1" thickBot="1">
      <c r="A17" s="65" t="s">
        <v>0</v>
      </c>
      <c r="B17" s="37" t="s">
        <v>0</v>
      </c>
      <c r="C17" s="37" t="s">
        <v>0</v>
      </c>
      <c r="D17" s="32" t="s">
        <v>176</v>
      </c>
      <c r="E17" s="32" t="s">
        <v>177</v>
      </c>
      <c r="F17" s="32" t="s">
        <v>175</v>
      </c>
      <c r="G17" s="34" t="s">
        <v>93</v>
      </c>
      <c r="H17" s="143"/>
      <c r="I17" s="12"/>
    </row>
    <row r="18" spans="1:11" ht="16.5">
      <c r="A18" s="38" t="s">
        <v>0</v>
      </c>
      <c r="B18" s="38" t="s">
        <v>0</v>
      </c>
      <c r="C18" s="38" t="s">
        <v>0</v>
      </c>
      <c r="D18" s="38" t="s">
        <v>7</v>
      </c>
      <c r="E18" s="38" t="s">
        <v>7</v>
      </c>
      <c r="F18" s="38" t="s">
        <v>0</v>
      </c>
      <c r="G18" s="66" t="s">
        <v>0</v>
      </c>
      <c r="H18" s="38" t="s">
        <v>0</v>
      </c>
      <c r="I18" s="12"/>
    </row>
    <row r="19" spans="1:11" ht="16.5">
      <c r="A19" s="34"/>
      <c r="B19" s="34"/>
      <c r="C19" s="34"/>
      <c r="D19" s="34"/>
      <c r="E19" s="12"/>
      <c r="F19" s="34"/>
      <c r="G19" s="12"/>
      <c r="H19" s="12"/>
      <c r="I19" s="12"/>
      <c r="J19" t="s">
        <v>0</v>
      </c>
      <c r="K19" t="s">
        <v>0</v>
      </c>
    </row>
    <row r="20" spans="1:11" ht="16.5">
      <c r="A20" s="12"/>
      <c r="B20" s="12"/>
      <c r="C20" s="12"/>
      <c r="D20" s="12"/>
      <c r="E20" s="12"/>
      <c r="F20" s="12"/>
      <c r="G20" s="12"/>
      <c r="H20" s="12" t="s">
        <v>0</v>
      </c>
      <c r="I20" s="12"/>
      <c r="J20" t="s">
        <v>0</v>
      </c>
      <c r="K20" t="s">
        <v>0</v>
      </c>
    </row>
    <row r="21" spans="1:11" ht="17.25">
      <c r="A21" s="61" t="str">
        <f>+'S&amp;D'!A22</f>
        <v>American States Water Company</v>
      </c>
      <c r="B21" s="90" t="str">
        <f>+'S&amp;D'!B22</f>
        <v>AWR</v>
      </c>
      <c r="C21" s="34" t="str">
        <f>+'S&amp;D'!C22</f>
        <v>Water Utility</v>
      </c>
      <c r="D21" s="64">
        <f>+'Single Stage Div Growth Model'!F17</f>
        <v>2.5090066906845086E-2</v>
      </c>
      <c r="E21" s="64">
        <f>+'Single Stage Div Growth Model'!H17</f>
        <v>6.5000000000000002E-2</v>
      </c>
      <c r="F21" s="64">
        <f>+'Growth &amp; Inflation Rates'!$F$57</f>
        <v>4.3400000000000001E-2</v>
      </c>
      <c r="G21" s="64">
        <f t="shared" ref="G21:G26" si="0">(F21+E21)/2</f>
        <v>5.4199999999999998E-2</v>
      </c>
      <c r="H21" s="64">
        <f>D21*(1+(0.5*G21))+(0.67*E21)+(0.33*F21)</f>
        <v>8.3642007720020589E-2</v>
      </c>
      <c r="I21" s="12"/>
      <c r="J21" t="s">
        <v>0</v>
      </c>
      <c r="K21" t="s">
        <v>0</v>
      </c>
    </row>
    <row r="22" spans="1:11" ht="17.25">
      <c r="A22" s="61" t="str">
        <f>+'S&amp;D'!A23</f>
        <v>American Water Works Company Inc</v>
      </c>
      <c r="B22" s="90" t="str">
        <f>+'S&amp;D'!B23</f>
        <v>AWK</v>
      </c>
      <c r="C22" s="34" t="str">
        <f>+'S&amp;D'!C23</f>
        <v>Water Utility</v>
      </c>
      <c r="D22" s="64">
        <f>+'Single Stage Div Growth Model'!F18</f>
        <v>2.8114708008675396E-2</v>
      </c>
      <c r="E22" s="64">
        <f>+'Single Stage Div Growth Model'!H18</f>
        <v>4.4999999999999998E-2</v>
      </c>
      <c r="F22" s="64">
        <f>+'Growth &amp; Inflation Rates'!$F$57</f>
        <v>4.3400000000000001E-2</v>
      </c>
      <c r="G22" s="64">
        <f t="shared" si="0"/>
        <v>4.4200000000000003E-2</v>
      </c>
      <c r="H22" s="64">
        <f t="shared" ref="H22:H26" si="1">D22*(1+(0.5*G22))+(0.67*E22)+(0.33*F22)</f>
        <v>7.3208043055667124E-2</v>
      </c>
      <c r="I22" s="12"/>
      <c r="J22" t="s">
        <v>0</v>
      </c>
      <c r="K22" t="s">
        <v>0</v>
      </c>
    </row>
    <row r="23" spans="1:11" ht="17.25">
      <c r="A23" s="61" t="str">
        <f>+'S&amp;D'!A24</f>
        <v xml:space="preserve">California Water Service Group </v>
      </c>
      <c r="B23" s="90" t="str">
        <f>+'S&amp;D'!B24</f>
        <v>CWT</v>
      </c>
      <c r="C23" s="34" t="str">
        <f>+'S&amp;D'!C24</f>
        <v>Water Utility</v>
      </c>
      <c r="D23" s="64">
        <f>+'Single Stage Div Growth Model'!F19</f>
        <v>2.7575557026251932E-2</v>
      </c>
      <c r="E23" s="64">
        <f>+'Single Stage Div Growth Model'!H19</f>
        <v>9.5000000000000001E-2</v>
      </c>
      <c r="F23" s="64">
        <f>+'Growth &amp; Inflation Rates'!$F$57</f>
        <v>4.3400000000000001E-2</v>
      </c>
      <c r="G23" s="64">
        <f t="shared" si="0"/>
        <v>6.9199999999999998E-2</v>
      </c>
      <c r="H23" s="64">
        <f t="shared" si="1"/>
        <v>0.10650167129936025</v>
      </c>
      <c r="I23" s="12"/>
      <c r="J23" t="s">
        <v>0</v>
      </c>
      <c r="K23" t="s">
        <v>0</v>
      </c>
    </row>
    <row r="24" spans="1:11" ht="17.25">
      <c r="A24" s="61" t="str">
        <f>+'S&amp;D'!A25</f>
        <v>Essential Utilities, Inc.</v>
      </c>
      <c r="B24" s="90" t="str">
        <f>+'S&amp;D'!B25</f>
        <v>WTRG</v>
      </c>
      <c r="C24" s="34" t="str">
        <f>+'S&amp;D'!C25</f>
        <v>Water Utility</v>
      </c>
      <c r="D24" s="64">
        <f>+'Single Stage Div Growth Model'!F20</f>
        <v>3.9372246696035243E-2</v>
      </c>
      <c r="E24" s="64">
        <f>+'Single Stage Div Growth Model'!H20</f>
        <v>0.06</v>
      </c>
      <c r="F24" s="64">
        <f>+'Growth &amp; Inflation Rates'!$F$57</f>
        <v>4.3400000000000001E-2</v>
      </c>
      <c r="G24" s="64">
        <f t="shared" si="0"/>
        <v>5.1699999999999996E-2</v>
      </c>
      <c r="H24" s="64">
        <f t="shared" si="1"/>
        <v>9.4912019273127757E-2</v>
      </c>
      <c r="I24" s="12"/>
      <c r="J24" t="s">
        <v>0</v>
      </c>
      <c r="K24" t="s">
        <v>0</v>
      </c>
    </row>
    <row r="25" spans="1:11" ht="17.25">
      <c r="A25" s="61" t="str">
        <f>+'S&amp;D'!A26</f>
        <v>Middlesex Water Company</v>
      </c>
      <c r="B25" s="90" t="str">
        <f>+'S&amp;D'!B26</f>
        <v>MSEX</v>
      </c>
      <c r="C25" s="34" t="str">
        <f>+'S&amp;D'!C26</f>
        <v>Water Utility</v>
      </c>
      <c r="D25" s="64">
        <f>+'Single Stage Div Growth Model'!F21</f>
        <v>2.7740832224966747E-2</v>
      </c>
      <c r="E25" s="64">
        <f>+'Single Stage Div Growth Model'!H21</f>
        <v>7.4999999999999997E-2</v>
      </c>
      <c r="F25" s="64">
        <f>+'Growth &amp; Inflation Rates'!$F$57</f>
        <v>4.3400000000000001E-2</v>
      </c>
      <c r="G25" s="64">
        <f t="shared" si="0"/>
        <v>5.9200000000000003E-2</v>
      </c>
      <c r="H25" s="64">
        <f t="shared" si="1"/>
        <v>9.3133960858825776E-2</v>
      </c>
      <c r="I25" s="12"/>
      <c r="J25" t="s">
        <v>0</v>
      </c>
      <c r="K25" t="s">
        <v>0</v>
      </c>
    </row>
    <row r="26" spans="1:11" ht="18" thickBot="1">
      <c r="A26" s="61" t="str">
        <f>+'S&amp;D'!A27</f>
        <v>SJW Corporation</v>
      </c>
      <c r="B26" s="90" t="str">
        <f>+'S&amp;D'!B27</f>
        <v>SJW</v>
      </c>
      <c r="C26" s="34" t="str">
        <f>+'S&amp;D'!C27</f>
        <v>Water Utility</v>
      </c>
      <c r="D26" s="64">
        <f>+'Single Stage Div Growth Model'!F22</f>
        <v>3.5554652580251929E-2</v>
      </c>
      <c r="E26" s="64">
        <f>+'Single Stage Div Growth Model'!H22</f>
        <v>6.5000000000000002E-2</v>
      </c>
      <c r="F26" s="64">
        <f>+'Growth &amp; Inflation Rates'!$F$57</f>
        <v>4.3400000000000001E-2</v>
      </c>
      <c r="G26" s="64">
        <f t="shared" si="0"/>
        <v>5.4199999999999998E-2</v>
      </c>
      <c r="H26" s="140">
        <f t="shared" si="1"/>
        <v>9.4390183665176763E-2</v>
      </c>
      <c r="I26" s="12"/>
      <c r="J26" s="11" t="s">
        <v>0</v>
      </c>
      <c r="K26" t="s">
        <v>0</v>
      </c>
    </row>
    <row r="27" spans="1:11" ht="17.25" thickTop="1">
      <c r="A27" s="12"/>
      <c r="B27" s="12"/>
      <c r="C27" s="12"/>
      <c r="D27" s="12"/>
      <c r="E27" s="12"/>
      <c r="F27" s="12"/>
      <c r="G27" s="165" t="s">
        <v>45</v>
      </c>
      <c r="H27" s="54">
        <f>MAX(H21:H26)</f>
        <v>0.10650167129936025</v>
      </c>
      <c r="I27" s="12"/>
    </row>
    <row r="28" spans="1:11" ht="16.5">
      <c r="A28" s="12"/>
      <c r="B28" s="12"/>
      <c r="C28" s="14" t="s">
        <v>0</v>
      </c>
      <c r="D28" s="15" t="s">
        <v>0</v>
      </c>
      <c r="E28" s="15" t="s">
        <v>0</v>
      </c>
      <c r="F28" s="16" t="s">
        <v>0</v>
      </c>
      <c r="G28" s="16" t="s">
        <v>46</v>
      </c>
      <c r="H28" s="293">
        <f>MIN(H21:H26)</f>
        <v>7.3208043055667124E-2</v>
      </c>
      <c r="I28" s="12"/>
    </row>
    <row r="29" spans="1:11" ht="16.5">
      <c r="A29" s="12"/>
      <c r="B29" s="12"/>
      <c r="D29" s="54" t="s">
        <v>0</v>
      </c>
      <c r="E29" s="49" t="s">
        <v>0</v>
      </c>
      <c r="F29" s="49" t="s">
        <v>0</v>
      </c>
      <c r="G29" s="14" t="s">
        <v>18</v>
      </c>
      <c r="H29" s="50">
        <f>MEDIAN(H21:H26)</f>
        <v>9.376207226200127E-2</v>
      </c>
      <c r="I29" s="12"/>
    </row>
    <row r="30" spans="1:11" ht="16.5">
      <c r="A30" s="12"/>
      <c r="B30" s="12"/>
      <c r="D30" s="54" t="s">
        <v>0</v>
      </c>
      <c r="E30" s="49" t="s">
        <v>0</v>
      </c>
      <c r="F30" s="54" t="s">
        <v>0</v>
      </c>
      <c r="G30" s="14" t="s">
        <v>374</v>
      </c>
      <c r="H30" s="50">
        <f>AVERAGE(H21:H26)</f>
        <v>9.096464764536305E-2</v>
      </c>
      <c r="I30" s="12"/>
    </row>
    <row r="31" spans="1:11" ht="16.5">
      <c r="A31" s="12"/>
      <c r="B31" s="12"/>
      <c r="C31" s="14"/>
      <c r="D31" s="18"/>
      <c r="E31" s="19"/>
      <c r="F31" s="18"/>
      <c r="G31" s="20"/>
      <c r="H31" s="20"/>
      <c r="I31" s="12"/>
    </row>
    <row r="32" spans="1:11" ht="17.25" thickBot="1">
      <c r="A32" s="12"/>
      <c r="B32" s="12"/>
      <c r="C32" s="12"/>
      <c r="D32" s="12"/>
      <c r="E32" s="12"/>
      <c r="F32" s="12"/>
      <c r="G32" s="12"/>
      <c r="H32" s="12"/>
      <c r="I32" s="12"/>
    </row>
    <row r="33" spans="1:9" ht="27" thickBot="1">
      <c r="A33" s="12"/>
      <c r="B33" s="12"/>
      <c r="C33" s="12"/>
      <c r="D33" s="12"/>
      <c r="F33" s="171"/>
      <c r="G33" s="172" t="s">
        <v>225</v>
      </c>
      <c r="H33" s="301">
        <v>9.0999999999999998E-2</v>
      </c>
      <c r="I33" s="12"/>
    </row>
    <row r="34" spans="1:9" ht="16.5">
      <c r="A34" s="12"/>
      <c r="B34" s="12"/>
      <c r="C34" s="12"/>
      <c r="D34" s="12"/>
      <c r="E34" s="12"/>
      <c r="F34" s="12"/>
      <c r="G34" s="12"/>
      <c r="H34" s="12"/>
      <c r="I34" s="12"/>
    </row>
    <row r="35" spans="1:9" ht="27">
      <c r="A35" s="23" t="s">
        <v>0</v>
      </c>
      <c r="B35" s="12"/>
      <c r="C35" s="12"/>
      <c r="D35" s="12"/>
      <c r="E35" s="12"/>
      <c r="F35" s="12"/>
      <c r="G35" s="22" t="s">
        <v>0</v>
      </c>
      <c r="H35" s="12"/>
      <c r="I35" s="12"/>
    </row>
    <row r="36" spans="1:9" ht="16.5">
      <c r="A36" s="43"/>
      <c r="B36" s="12"/>
      <c r="C36" s="12"/>
      <c r="D36" s="12"/>
      <c r="E36" s="12"/>
      <c r="F36" s="12"/>
      <c r="G36" s="12"/>
      <c r="H36" s="12"/>
      <c r="I36" s="12"/>
    </row>
    <row r="37" spans="1:9" ht="26.25">
      <c r="A37" s="23" t="s">
        <v>303</v>
      </c>
      <c r="B37" s="12"/>
      <c r="C37" s="12"/>
      <c r="D37" s="12"/>
      <c r="E37" s="12"/>
      <c r="F37" s="12"/>
      <c r="G37" s="12"/>
      <c r="H37" s="12"/>
      <c r="I37" s="12"/>
    </row>
    <row r="38" spans="1:9" ht="16.5">
      <c r="A38" s="43"/>
      <c r="B38" s="12"/>
      <c r="C38" s="12"/>
      <c r="D38" s="12"/>
      <c r="E38" s="12"/>
      <c r="F38" s="12"/>
      <c r="G38" s="12"/>
      <c r="H38" s="12"/>
      <c r="I38" s="12"/>
    </row>
    <row r="39" spans="1:9" ht="17.25">
      <c r="A39" s="61" t="s">
        <v>193</v>
      </c>
      <c r="B39" s="12"/>
      <c r="C39" s="12"/>
      <c r="D39" s="12"/>
      <c r="E39" s="12"/>
      <c r="F39" s="12"/>
      <c r="G39" s="12"/>
      <c r="H39" s="12"/>
      <c r="I39" s="12"/>
    </row>
    <row r="40" spans="1:9" ht="17.25">
      <c r="A40" s="61" t="s">
        <v>306</v>
      </c>
      <c r="B40" s="12"/>
      <c r="C40" s="12"/>
      <c r="D40" s="12"/>
      <c r="E40" s="12"/>
      <c r="F40" s="12"/>
      <c r="G40" s="12"/>
      <c r="H40" s="12"/>
      <c r="I40" s="12"/>
    </row>
    <row r="41" spans="1:9" ht="17.25">
      <c r="A41" s="61" t="s">
        <v>304</v>
      </c>
      <c r="B41" s="12"/>
      <c r="C41" s="12"/>
      <c r="D41" s="12"/>
      <c r="E41" s="12"/>
      <c r="F41" s="12"/>
      <c r="G41" s="12"/>
      <c r="H41" s="12"/>
      <c r="I41" s="12"/>
    </row>
    <row r="42" spans="1:9" ht="17.25">
      <c r="A42" s="61" t="s">
        <v>305</v>
      </c>
      <c r="B42" s="12"/>
      <c r="C42" s="12"/>
      <c r="D42" s="12"/>
      <c r="E42" s="12"/>
      <c r="F42" s="12"/>
      <c r="G42" s="12"/>
      <c r="H42" s="12"/>
      <c r="I42" s="12"/>
    </row>
    <row r="43" spans="1:9" ht="17.25">
      <c r="A43" s="61" t="s">
        <v>307</v>
      </c>
      <c r="B43" s="12"/>
      <c r="C43" s="12"/>
      <c r="D43" s="12"/>
      <c r="E43" s="12"/>
      <c r="F43" s="12"/>
      <c r="G43" s="12"/>
      <c r="H43" s="12"/>
      <c r="I43" s="12"/>
    </row>
    <row r="44" spans="1:9" ht="16.5">
      <c r="A44" s="12"/>
      <c r="B44" s="12"/>
      <c r="C44" s="12"/>
      <c r="D44" s="12"/>
      <c r="E44" s="12"/>
      <c r="F44" s="12"/>
      <c r="G44" s="12"/>
      <c r="H44" s="12"/>
      <c r="I44" s="12"/>
    </row>
    <row r="45" spans="1:9" ht="16.5">
      <c r="A45" s="12"/>
      <c r="B45" s="12"/>
      <c r="C45" s="12"/>
      <c r="D45" s="12"/>
      <c r="E45" s="12"/>
      <c r="F45" s="12"/>
      <c r="G45" s="12"/>
      <c r="H45" s="12"/>
      <c r="I45" s="12"/>
    </row>
    <row r="46" spans="1:9" ht="16.5">
      <c r="A46" s="12"/>
      <c r="B46" s="12"/>
      <c r="C46" s="12"/>
      <c r="D46" s="12"/>
      <c r="E46" s="12"/>
      <c r="F46" s="12"/>
      <c r="G46" s="12"/>
      <c r="H46" s="12"/>
      <c r="I46" s="12"/>
    </row>
    <row r="47" spans="1:9" ht="16.5">
      <c r="A47" s="12"/>
      <c r="B47" s="12"/>
      <c r="C47" s="12"/>
      <c r="D47" s="12"/>
      <c r="E47" s="12"/>
      <c r="F47" s="12"/>
      <c r="G47" s="12"/>
      <c r="H47" s="12"/>
      <c r="I47" s="12"/>
    </row>
    <row r="48" spans="1:9" ht="16.5">
      <c r="A48" s="12"/>
      <c r="B48" s="12"/>
      <c r="C48" s="12"/>
      <c r="D48" s="12"/>
      <c r="E48" s="12"/>
      <c r="F48" s="12"/>
      <c r="G48" s="12"/>
      <c r="H48" s="12"/>
      <c r="I48" s="12"/>
    </row>
    <row r="49" spans="1:9" ht="16.5">
      <c r="A49" s="12"/>
      <c r="B49" s="12"/>
      <c r="C49" s="12"/>
      <c r="D49" s="12"/>
      <c r="E49" s="12"/>
      <c r="F49" s="12"/>
      <c r="G49" s="12"/>
      <c r="H49" s="12"/>
      <c r="I49" s="12"/>
    </row>
    <row r="50" spans="1:9" ht="16.5">
      <c r="A50" s="12"/>
      <c r="B50" s="12"/>
      <c r="C50" s="12"/>
      <c r="D50" s="12"/>
      <c r="E50" s="12"/>
      <c r="F50" s="12"/>
      <c r="G50" s="12"/>
      <c r="H50" s="12"/>
      <c r="I50" s="12"/>
    </row>
    <row r="51" spans="1:9" ht="16.5">
      <c r="A51" s="12"/>
      <c r="B51" s="12"/>
      <c r="C51" s="12"/>
      <c r="D51" s="12"/>
      <c r="E51" s="12"/>
      <c r="F51" s="12"/>
      <c r="G51" s="12"/>
      <c r="H51" s="12"/>
      <c r="I51" s="12"/>
    </row>
    <row r="52" spans="1:9" ht="16.5">
      <c r="A52" s="12"/>
      <c r="B52" s="12"/>
      <c r="C52" s="12"/>
      <c r="D52" s="12"/>
      <c r="E52" s="12"/>
      <c r="F52" s="12"/>
      <c r="G52" s="12"/>
      <c r="H52" s="12"/>
      <c r="I52" s="12"/>
    </row>
    <row r="53" spans="1:9" ht="16.5">
      <c r="A53" s="12"/>
      <c r="B53" s="12"/>
      <c r="C53" s="12"/>
      <c r="D53" s="12"/>
      <c r="E53" s="12"/>
      <c r="F53" s="12"/>
      <c r="G53" s="12"/>
      <c r="H53" s="12"/>
      <c r="I53" s="12"/>
    </row>
    <row r="54" spans="1:9" ht="16.5">
      <c r="A54" s="12"/>
      <c r="B54" s="12"/>
      <c r="C54" s="12"/>
      <c r="D54" s="12"/>
      <c r="E54" s="12"/>
      <c r="F54" s="12"/>
      <c r="G54" s="12"/>
      <c r="H54" s="12"/>
      <c r="I54" s="12"/>
    </row>
    <row r="55" spans="1:9" ht="16.5">
      <c r="A55" s="12"/>
      <c r="B55" s="12"/>
      <c r="C55" s="12"/>
      <c r="D55" s="12"/>
      <c r="E55" s="12"/>
      <c r="F55" s="12"/>
      <c r="G55" s="12"/>
      <c r="H55" s="12"/>
      <c r="I55" s="12"/>
    </row>
    <row r="56" spans="1:9" ht="16.5">
      <c r="A56" s="12"/>
      <c r="B56" s="12"/>
      <c r="C56" s="12"/>
      <c r="D56" s="12"/>
      <c r="E56" s="12"/>
      <c r="F56" s="12"/>
      <c r="G56" s="12"/>
      <c r="H56" s="12"/>
      <c r="I56" s="12"/>
    </row>
    <row r="57" spans="1:9" ht="16.5">
      <c r="A57" s="12"/>
      <c r="B57" s="12"/>
      <c r="C57" s="12"/>
      <c r="D57" s="12"/>
      <c r="E57" s="12"/>
      <c r="F57" s="12"/>
      <c r="G57" s="12"/>
      <c r="H57" s="12"/>
      <c r="I57" s="12"/>
    </row>
    <row r="58" spans="1:9" ht="16.5">
      <c r="A58" s="12"/>
      <c r="B58" s="12"/>
      <c r="C58" s="12"/>
      <c r="D58" s="12"/>
      <c r="E58" s="12"/>
      <c r="F58" s="12"/>
      <c r="G58" s="12"/>
      <c r="H58" s="12"/>
      <c r="I58" s="12"/>
    </row>
    <row r="59" spans="1:9" ht="16.5">
      <c r="A59" s="12"/>
      <c r="B59" s="12"/>
      <c r="C59" s="12"/>
      <c r="D59" s="12"/>
      <c r="E59" s="12"/>
      <c r="F59" s="12"/>
      <c r="G59" s="12"/>
      <c r="H59" s="12"/>
      <c r="I59" s="12"/>
    </row>
    <row r="60" spans="1:9" ht="16.5">
      <c r="A60" s="12"/>
      <c r="B60" s="12"/>
      <c r="C60" s="12"/>
      <c r="D60" s="12"/>
      <c r="E60" s="12"/>
      <c r="F60" s="12"/>
      <c r="G60" s="12"/>
      <c r="H60" s="12"/>
      <c r="I60" s="12"/>
    </row>
    <row r="61" spans="1:9" ht="16.5">
      <c r="A61" s="12"/>
      <c r="B61" s="12"/>
      <c r="C61" s="12"/>
      <c r="D61" s="12"/>
      <c r="E61" s="12"/>
      <c r="F61" s="12"/>
      <c r="G61" s="12"/>
      <c r="H61" s="12"/>
      <c r="I61" s="12"/>
    </row>
    <row r="62" spans="1:9" ht="16.5">
      <c r="A62" s="12"/>
      <c r="B62" s="12"/>
      <c r="C62" s="12"/>
      <c r="D62" s="12"/>
      <c r="E62" s="12"/>
      <c r="F62" s="12"/>
      <c r="G62" s="12"/>
      <c r="H62" s="12"/>
      <c r="I62" s="12"/>
    </row>
    <row r="63" spans="1:9" ht="16.5">
      <c r="A63" s="12"/>
      <c r="B63" s="12"/>
      <c r="C63" s="12"/>
      <c r="D63" s="12"/>
      <c r="E63" s="12"/>
      <c r="F63" s="12"/>
      <c r="G63" s="12"/>
      <c r="H63" s="12"/>
      <c r="I63" s="12"/>
    </row>
    <row r="64" spans="1:9" ht="16.5">
      <c r="A64" s="12"/>
      <c r="B64" s="12"/>
      <c r="C64" s="12"/>
      <c r="D64" s="12"/>
      <c r="E64" s="12"/>
      <c r="F64" s="12"/>
      <c r="G64" s="12"/>
      <c r="H64" s="12"/>
      <c r="I64" s="12"/>
    </row>
    <row r="65" spans="1:9" ht="16.5">
      <c r="A65" s="12"/>
      <c r="B65" s="12"/>
      <c r="C65" s="12"/>
      <c r="D65" s="12"/>
      <c r="E65" s="12"/>
      <c r="F65" s="12"/>
      <c r="G65" s="12"/>
      <c r="H65" s="12"/>
      <c r="I65" s="12"/>
    </row>
    <row r="66" spans="1:9" ht="16.5">
      <c r="A66" s="12"/>
      <c r="B66" s="12"/>
      <c r="C66" s="12"/>
      <c r="D66" s="12"/>
      <c r="E66" s="12"/>
      <c r="F66" s="12"/>
      <c r="G66" s="12"/>
      <c r="H66" s="12"/>
      <c r="I66" s="12"/>
    </row>
    <row r="67" spans="1:9" ht="16.5">
      <c r="A67" s="12"/>
      <c r="B67" s="12"/>
      <c r="C67" s="12"/>
      <c r="D67" s="12"/>
      <c r="E67" s="12"/>
      <c r="F67" s="12"/>
      <c r="G67" s="12"/>
      <c r="H67" s="12"/>
      <c r="I67" s="12"/>
    </row>
    <row r="68" spans="1:9" ht="16.5">
      <c r="A68" s="12"/>
      <c r="B68" s="12"/>
      <c r="C68" s="12"/>
      <c r="D68" s="12"/>
      <c r="E68" s="12"/>
      <c r="F68" s="12"/>
      <c r="G68" s="12"/>
      <c r="H68" s="12"/>
      <c r="I68" s="12"/>
    </row>
    <row r="69" spans="1:9" ht="16.5">
      <c r="A69" s="12"/>
      <c r="B69" s="12"/>
      <c r="C69" s="12"/>
      <c r="D69" s="12"/>
      <c r="E69" s="12"/>
      <c r="F69" s="12"/>
      <c r="G69" s="12"/>
      <c r="H69" s="12"/>
      <c r="I69" s="12"/>
    </row>
    <row r="70" spans="1:9" ht="16.5">
      <c r="A70" s="12"/>
      <c r="B70" s="12"/>
      <c r="C70" s="12"/>
      <c r="D70" s="12"/>
      <c r="E70" s="12"/>
      <c r="F70" s="12"/>
      <c r="G70" s="12"/>
      <c r="H70" s="12"/>
      <c r="I70" s="12"/>
    </row>
    <row r="71" spans="1:9" ht="16.5">
      <c r="A71" s="12"/>
      <c r="B71" s="12"/>
      <c r="C71" s="12"/>
      <c r="D71" s="12"/>
      <c r="E71" s="12"/>
      <c r="F71" s="12"/>
      <c r="G71" s="12"/>
      <c r="H71" s="12"/>
      <c r="I71" s="12"/>
    </row>
    <row r="72" spans="1:9" ht="16.5">
      <c r="A72" s="12"/>
      <c r="B72" s="12"/>
      <c r="C72" s="12"/>
      <c r="D72" s="12"/>
      <c r="E72" s="12"/>
      <c r="F72" s="12"/>
      <c r="G72" s="12"/>
      <c r="H72" s="12"/>
      <c r="I72" s="12"/>
    </row>
    <row r="73" spans="1:9" ht="16.5">
      <c r="A73" s="12"/>
      <c r="B73" s="12"/>
      <c r="C73" s="12"/>
      <c r="D73" s="12"/>
      <c r="E73" s="12"/>
      <c r="F73" s="12"/>
      <c r="G73" s="12"/>
      <c r="H73" s="12"/>
      <c r="I73" s="12"/>
    </row>
    <row r="74" spans="1:9" ht="16.5">
      <c r="A74" s="12"/>
      <c r="B74" s="12"/>
      <c r="C74" s="12"/>
      <c r="D74" s="12"/>
      <c r="E74" s="12"/>
      <c r="F74" s="12"/>
      <c r="G74" s="12"/>
      <c r="H74" s="12"/>
      <c r="I74" s="12"/>
    </row>
    <row r="75" spans="1:9" ht="16.5">
      <c r="A75" s="12"/>
      <c r="B75" s="12"/>
      <c r="C75" s="12"/>
      <c r="D75" s="12"/>
      <c r="E75" s="12"/>
      <c r="F75" s="12"/>
      <c r="G75" s="12"/>
      <c r="H75" s="12"/>
      <c r="I75" s="12"/>
    </row>
    <row r="76" spans="1:9" ht="16.5">
      <c r="A76" s="12"/>
      <c r="B76" s="12"/>
      <c r="C76" s="12"/>
      <c r="D76" s="12"/>
      <c r="E76" s="12"/>
      <c r="F76" s="12"/>
      <c r="G76" s="12"/>
      <c r="H76" s="12"/>
      <c r="I76" s="12"/>
    </row>
    <row r="77" spans="1:9" ht="16.5">
      <c r="A77" s="12"/>
      <c r="B77" s="12"/>
      <c r="C77" s="12"/>
      <c r="D77" s="12"/>
      <c r="E77" s="12"/>
      <c r="F77" s="12"/>
      <c r="G77" s="12"/>
      <c r="H77" s="12"/>
      <c r="I77" s="12"/>
    </row>
    <row r="78" spans="1:9" ht="16.5">
      <c r="A78" s="12"/>
      <c r="B78" s="12"/>
      <c r="C78" s="12"/>
      <c r="D78" s="12"/>
      <c r="E78" s="12"/>
      <c r="F78" s="12"/>
      <c r="G78" s="12"/>
      <c r="H78" s="12"/>
      <c r="I78" s="12"/>
    </row>
    <row r="79" spans="1:9" ht="16.5">
      <c r="A79" s="12"/>
      <c r="B79" s="12"/>
      <c r="C79" s="12"/>
      <c r="D79" s="12"/>
      <c r="E79" s="12"/>
      <c r="F79" s="12"/>
      <c r="G79" s="12"/>
      <c r="H79" s="12"/>
      <c r="I79" s="12"/>
    </row>
    <row r="80" spans="1:9" ht="16.5">
      <c r="A80" s="12"/>
      <c r="B80" s="12"/>
      <c r="C80" s="12"/>
      <c r="D80" s="12"/>
      <c r="E80" s="12"/>
      <c r="F80" s="12"/>
      <c r="G80" s="12"/>
      <c r="H80" s="12"/>
      <c r="I80" s="12"/>
    </row>
    <row r="81" spans="1:9" ht="16.5">
      <c r="A81" s="12"/>
      <c r="B81" s="12"/>
      <c r="C81" s="12"/>
      <c r="D81" s="12"/>
      <c r="E81" s="12"/>
      <c r="F81" s="12"/>
      <c r="G81" s="12"/>
      <c r="H81" s="12"/>
      <c r="I81" s="12"/>
    </row>
    <row r="82" spans="1:9" ht="16.5">
      <c r="A82" s="12"/>
      <c r="B82" s="12"/>
      <c r="C82" s="12"/>
      <c r="D82" s="12"/>
      <c r="E82" s="12"/>
      <c r="F82" s="12"/>
      <c r="G82" s="12"/>
      <c r="H82" s="12"/>
      <c r="I82" s="12"/>
    </row>
    <row r="83" spans="1:9" ht="16.5">
      <c r="A83" s="12"/>
      <c r="B83" s="12"/>
      <c r="C83" s="12"/>
      <c r="D83" s="12"/>
      <c r="E83" s="12"/>
      <c r="F83" s="12"/>
      <c r="G83" s="12"/>
      <c r="H83" s="12"/>
      <c r="I83" s="12"/>
    </row>
    <row r="84" spans="1:9" ht="16.5">
      <c r="A84" s="12"/>
      <c r="B84" s="12"/>
      <c r="C84" s="12"/>
      <c r="D84" s="12"/>
      <c r="E84" s="12"/>
      <c r="F84" s="12"/>
      <c r="G84" s="12"/>
      <c r="H84" s="12"/>
      <c r="I84" s="12"/>
    </row>
    <row r="85" spans="1:9" ht="16.5">
      <c r="A85" s="12"/>
      <c r="B85" s="12"/>
      <c r="C85" s="12"/>
      <c r="D85" s="12"/>
      <c r="E85" s="12"/>
      <c r="F85" s="12"/>
      <c r="G85" s="12"/>
      <c r="H85" s="12"/>
      <c r="I85" s="12"/>
    </row>
    <row r="86" spans="1:9" ht="16.5">
      <c r="A86" s="12"/>
      <c r="B86" s="12"/>
      <c r="C86" s="12"/>
      <c r="D86" s="12"/>
      <c r="E86" s="12"/>
      <c r="F86" s="12"/>
      <c r="G86" s="12"/>
      <c r="H86" s="12"/>
      <c r="I86" s="12"/>
    </row>
    <row r="87" spans="1:9" ht="16.5">
      <c r="A87" s="12"/>
      <c r="B87" s="12"/>
      <c r="C87" s="12"/>
      <c r="D87" s="12"/>
      <c r="E87" s="12"/>
      <c r="F87" s="12"/>
      <c r="G87" s="12"/>
      <c r="H87" s="12"/>
      <c r="I87" s="12"/>
    </row>
    <row r="88" spans="1:9" ht="16.5">
      <c r="A88" s="12"/>
      <c r="B88" s="12"/>
      <c r="C88" s="12"/>
      <c r="D88" s="12"/>
      <c r="E88" s="12"/>
      <c r="F88" s="12"/>
      <c r="G88" s="12"/>
      <c r="H88" s="12"/>
      <c r="I88" s="12"/>
    </row>
    <row r="89" spans="1:9" ht="16.5">
      <c r="A89" s="12"/>
      <c r="B89" s="12"/>
      <c r="C89" s="12"/>
      <c r="D89" s="12"/>
      <c r="E89" s="12"/>
      <c r="F89" s="12"/>
      <c r="G89" s="12"/>
      <c r="H89" s="12"/>
      <c r="I89" s="12"/>
    </row>
    <row r="90" spans="1:9" ht="16.5">
      <c r="A90" s="12"/>
      <c r="B90" s="12"/>
      <c r="C90" s="12"/>
      <c r="D90" s="12"/>
      <c r="E90" s="12"/>
      <c r="F90" s="12"/>
      <c r="G90" s="12"/>
      <c r="H90" s="12"/>
      <c r="I90" s="12"/>
    </row>
    <row r="91" spans="1:9" ht="16.5">
      <c r="A91" s="12"/>
      <c r="B91" s="12"/>
      <c r="C91" s="12"/>
      <c r="D91" s="12"/>
      <c r="E91" s="12"/>
      <c r="F91" s="12"/>
      <c r="G91" s="12"/>
      <c r="H91" s="12"/>
      <c r="I91" s="12"/>
    </row>
    <row r="92" spans="1:9" ht="16.5">
      <c r="A92" s="12"/>
      <c r="B92" s="12"/>
      <c r="C92" s="12"/>
      <c r="D92" s="12"/>
      <c r="E92" s="12"/>
      <c r="F92" s="12"/>
      <c r="G92" s="12"/>
      <c r="H92" s="12"/>
      <c r="I92" s="12"/>
    </row>
    <row r="93" spans="1:9" ht="16.5">
      <c r="A93" s="12"/>
      <c r="B93" s="12"/>
      <c r="C93" s="12"/>
      <c r="D93" s="12"/>
      <c r="E93" s="12"/>
      <c r="F93" s="12"/>
      <c r="G93" s="12"/>
      <c r="H93" s="12"/>
      <c r="I93" s="12"/>
    </row>
    <row r="94" spans="1:9" ht="16.5">
      <c r="A94" s="12"/>
      <c r="B94" s="12"/>
      <c r="C94" s="12"/>
      <c r="D94" s="12"/>
      <c r="E94" s="12"/>
      <c r="F94" s="12"/>
      <c r="G94" s="12"/>
      <c r="H94" s="12"/>
      <c r="I94" s="12"/>
    </row>
    <row r="95" spans="1:9" ht="16.5">
      <c r="A95" s="12"/>
      <c r="B95" s="12"/>
      <c r="C95" s="12"/>
      <c r="D95" s="12"/>
      <c r="E95" s="12"/>
      <c r="F95" s="12"/>
      <c r="G95" s="12"/>
      <c r="H95" s="12"/>
      <c r="I95" s="12"/>
    </row>
    <row r="96" spans="1:9" ht="16.5">
      <c r="A96" s="12"/>
      <c r="B96" s="12"/>
      <c r="C96" s="12"/>
      <c r="D96" s="12"/>
      <c r="E96" s="12"/>
      <c r="F96" s="12"/>
      <c r="G96" s="12"/>
      <c r="H96" s="12"/>
      <c r="I96" s="12"/>
    </row>
    <row r="97" spans="1:9" ht="16.5">
      <c r="A97" s="12"/>
      <c r="B97" s="12"/>
      <c r="C97" s="12"/>
      <c r="D97" s="12"/>
      <c r="E97" s="12"/>
      <c r="F97" s="12"/>
      <c r="G97" s="12"/>
      <c r="H97" s="12"/>
      <c r="I97" s="12"/>
    </row>
    <row r="98" spans="1:9" ht="16.5">
      <c r="A98" s="12"/>
      <c r="B98" s="12"/>
      <c r="C98" s="12"/>
      <c r="D98" s="12"/>
      <c r="E98" s="12"/>
      <c r="F98" s="12"/>
      <c r="G98" s="12"/>
      <c r="H98" s="12"/>
      <c r="I98" s="12"/>
    </row>
    <row r="99" spans="1:9" ht="16.5">
      <c r="A99" s="12"/>
      <c r="B99" s="12"/>
      <c r="C99" s="12"/>
      <c r="D99" s="12"/>
      <c r="E99" s="12"/>
      <c r="F99" s="12"/>
      <c r="G99" s="12"/>
      <c r="H99" s="12"/>
      <c r="I99" s="12"/>
    </row>
    <row r="100" spans="1:9" ht="16.5">
      <c r="A100" s="12"/>
      <c r="B100" s="12"/>
      <c r="C100" s="12"/>
      <c r="D100" s="12"/>
      <c r="E100" s="12"/>
      <c r="F100" s="12"/>
      <c r="G100" s="12"/>
      <c r="H100" s="12"/>
      <c r="I100" s="12"/>
    </row>
    <row r="101" spans="1:9" ht="16.5">
      <c r="A101" s="12"/>
      <c r="B101" s="12"/>
      <c r="C101" s="12"/>
      <c r="D101" s="12"/>
      <c r="E101" s="12"/>
      <c r="F101" s="12"/>
      <c r="G101" s="12"/>
      <c r="H101" s="12"/>
      <c r="I101" s="12"/>
    </row>
    <row r="102" spans="1:9" ht="16.5">
      <c r="A102" s="12"/>
      <c r="B102" s="12"/>
      <c r="C102" s="12"/>
      <c r="D102" s="12"/>
      <c r="E102" s="12"/>
      <c r="F102" s="12"/>
      <c r="G102" s="12"/>
      <c r="H102" s="12"/>
      <c r="I102" s="12"/>
    </row>
    <row r="103" spans="1:9" ht="16.5">
      <c r="A103" s="12"/>
      <c r="B103" s="12"/>
      <c r="C103" s="12"/>
      <c r="D103" s="12"/>
      <c r="E103" s="12"/>
      <c r="F103" s="12"/>
      <c r="G103" s="12"/>
      <c r="H103" s="12"/>
      <c r="I103" s="12"/>
    </row>
    <row r="104" spans="1:9" ht="16.5">
      <c r="A104" s="12"/>
      <c r="B104" s="12"/>
      <c r="C104" s="12"/>
      <c r="D104" s="12"/>
      <c r="E104" s="12"/>
      <c r="F104" s="12"/>
      <c r="G104" s="12"/>
      <c r="H104" s="12"/>
      <c r="I104" s="12"/>
    </row>
    <row r="105" spans="1:9" ht="16.5">
      <c r="A105" s="12"/>
      <c r="B105" s="12"/>
      <c r="C105" s="12"/>
      <c r="D105" s="12"/>
      <c r="E105" s="12"/>
      <c r="F105" s="12"/>
      <c r="G105" s="12"/>
      <c r="H105" s="12"/>
      <c r="I105" s="12"/>
    </row>
    <row r="106" spans="1:9" ht="16.5">
      <c r="A106" s="12"/>
      <c r="B106" s="12"/>
      <c r="C106" s="12"/>
      <c r="D106" s="12"/>
      <c r="E106" s="12"/>
      <c r="F106" s="12"/>
      <c r="G106" s="12"/>
      <c r="H106" s="12"/>
      <c r="I106" s="12"/>
    </row>
  </sheetData>
  <pageMargins left="0.25" right="0.25" top="0.75" bottom="0.75" header="0.3" footer="0.3"/>
  <pageSetup scale="4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18509-4469-4CA1-837E-28DCE856C1A1}">
  <sheetPr>
    <tabColor rgb="FF92D050"/>
  </sheetPr>
  <dimension ref="A1:N47"/>
  <sheetViews>
    <sheetView view="pageBreakPreview" zoomScale="60" zoomScaleNormal="80" workbookViewId="0">
      <selection activeCell="J32" sqref="J32"/>
    </sheetView>
  </sheetViews>
  <sheetFormatPr defaultRowHeight="15"/>
  <cols>
    <col min="1" max="1" width="21.5703125" customWidth="1"/>
    <col min="2" max="2" width="45.7109375" customWidth="1"/>
    <col min="3" max="3" width="20.85546875" customWidth="1"/>
    <col min="4" max="4" width="21.140625" customWidth="1"/>
    <col min="5" max="5" width="26.140625" customWidth="1"/>
    <col min="6" max="6" width="30.5703125" customWidth="1"/>
    <col min="7" max="7" width="17.85546875" customWidth="1"/>
    <col min="8" max="9" width="27.85546875" customWidth="1"/>
    <col min="10" max="10" width="17" customWidth="1"/>
    <col min="11" max="11" width="4.42578125" customWidth="1"/>
    <col min="12" max="12" width="22.7109375" customWidth="1"/>
    <col min="13" max="13" width="17.28515625" customWidth="1"/>
  </cols>
  <sheetData>
    <row r="1" spans="1:14" ht="26.25">
      <c r="A1" s="23" t="s">
        <v>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7.25">
      <c r="A2" s="61" t="s">
        <v>9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6.5">
      <c r="A3" s="25" t="s">
        <v>412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6.5">
      <c r="A4" s="12"/>
      <c r="C4" s="12"/>
      <c r="D4" s="12"/>
      <c r="E4" s="26" t="s">
        <v>0</v>
      </c>
      <c r="F4" s="12"/>
      <c r="G4" s="12"/>
      <c r="H4" s="12"/>
      <c r="I4" s="12"/>
      <c r="J4" s="12"/>
      <c r="K4" s="12"/>
      <c r="L4" s="12"/>
      <c r="M4" s="12"/>
      <c r="N4" s="12"/>
    </row>
    <row r="5" spans="1:14" ht="18" thickBot="1">
      <c r="A5" s="6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21" thickBot="1">
      <c r="A6" s="27" t="str">
        <f>+'S&amp;D'!A12</f>
        <v>Water Utility Companies (Private)</v>
      </c>
      <c r="B6" s="166"/>
      <c r="C6" s="12"/>
      <c r="D6" s="12"/>
      <c r="E6" s="12"/>
      <c r="F6" s="12"/>
      <c r="G6" s="12"/>
      <c r="H6" s="12"/>
    </row>
    <row r="7" spans="1:14" ht="18" thickBot="1">
      <c r="A7" s="61"/>
      <c r="C7" s="28"/>
      <c r="D7" s="28"/>
      <c r="E7" s="28"/>
      <c r="F7" s="28"/>
      <c r="G7" s="28"/>
      <c r="H7" s="12"/>
    </row>
    <row r="8" spans="1:14" ht="26.25">
      <c r="C8" s="12"/>
      <c r="D8" s="12"/>
      <c r="E8" s="31" t="s">
        <v>360</v>
      </c>
      <c r="F8" s="12"/>
      <c r="G8" s="12"/>
      <c r="H8" s="12"/>
    </row>
    <row r="9" spans="1:14" ht="21" thickBot="1">
      <c r="B9" s="30"/>
      <c r="C9" s="28"/>
      <c r="D9" s="28"/>
      <c r="E9" s="32" t="s">
        <v>413</v>
      </c>
      <c r="F9" s="28"/>
      <c r="G9" s="28"/>
      <c r="H9" s="12"/>
    </row>
    <row r="10" spans="1:14" ht="17.25" thickBot="1">
      <c r="B10" s="33" t="s">
        <v>0</v>
      </c>
      <c r="C10" s="33" t="s">
        <v>0</v>
      </c>
      <c r="D10" s="33" t="s">
        <v>0</v>
      </c>
      <c r="E10" s="33" t="s">
        <v>0</v>
      </c>
      <c r="F10" s="33" t="s">
        <v>0</v>
      </c>
      <c r="G10" s="33" t="s">
        <v>0</v>
      </c>
      <c r="H10" s="28"/>
      <c r="I10" s="143"/>
      <c r="J10" s="143"/>
    </row>
    <row r="11" spans="1:14" ht="16.5">
      <c r="B11" s="34" t="s">
        <v>0</v>
      </c>
      <c r="C11" s="34" t="s">
        <v>3</v>
      </c>
      <c r="D11" s="34" t="s">
        <v>340</v>
      </c>
      <c r="E11" s="323" t="s">
        <v>341</v>
      </c>
      <c r="F11" s="34" t="s">
        <v>221</v>
      </c>
      <c r="G11" s="34" t="s">
        <v>26</v>
      </c>
      <c r="H11" s="323" t="s">
        <v>365</v>
      </c>
      <c r="I11" s="34" t="s">
        <v>365</v>
      </c>
      <c r="J11" s="34" t="s">
        <v>26</v>
      </c>
    </row>
    <row r="12" spans="1:14" ht="17.25" thickBot="1">
      <c r="B12" s="36" t="s">
        <v>2</v>
      </c>
      <c r="C12" s="36" t="s">
        <v>4</v>
      </c>
      <c r="D12" s="36" t="s">
        <v>27</v>
      </c>
      <c r="E12" s="324" t="s">
        <v>158</v>
      </c>
      <c r="F12" s="36" t="s">
        <v>362</v>
      </c>
      <c r="G12" s="36" t="s">
        <v>29</v>
      </c>
      <c r="H12" s="324" t="s">
        <v>361</v>
      </c>
      <c r="I12" s="36" t="s">
        <v>28</v>
      </c>
      <c r="J12" s="36" t="s">
        <v>29</v>
      </c>
    </row>
    <row r="13" spans="1:14">
      <c r="B13" s="38" t="s">
        <v>0</v>
      </c>
      <c r="C13" s="38" t="s">
        <v>0</v>
      </c>
      <c r="D13" s="39" t="s">
        <v>112</v>
      </c>
      <c r="E13" s="325" t="s">
        <v>113</v>
      </c>
      <c r="F13" s="38" t="s">
        <v>0</v>
      </c>
      <c r="G13" s="38" t="s">
        <v>0</v>
      </c>
      <c r="H13" s="325" t="s">
        <v>113</v>
      </c>
      <c r="I13" s="38" t="s">
        <v>0</v>
      </c>
      <c r="J13" s="38" t="s">
        <v>0</v>
      </c>
    </row>
    <row r="14" spans="1:14" ht="16.5">
      <c r="B14" s="34"/>
      <c r="C14" s="34"/>
      <c r="D14" s="34"/>
      <c r="E14" s="326"/>
      <c r="F14" s="34"/>
      <c r="G14" s="34"/>
      <c r="H14" s="326"/>
      <c r="I14" s="34"/>
      <c r="J14" s="34"/>
    </row>
    <row r="15" spans="1:14" ht="16.5">
      <c r="B15" s="12"/>
      <c r="C15" s="12"/>
      <c r="D15" s="12"/>
      <c r="E15" s="322"/>
      <c r="F15" s="12"/>
      <c r="G15" s="12"/>
      <c r="H15" s="322"/>
      <c r="I15" s="12"/>
      <c r="J15" s="12"/>
    </row>
    <row r="16" spans="1:14" ht="17.25">
      <c r="B16" s="61" t="str">
        <f>+'S&amp;D'!A22</f>
        <v>American States Water Company</v>
      </c>
      <c r="C16" s="90" t="str">
        <f>+'S&amp;D'!B22</f>
        <v>AWR</v>
      </c>
      <c r="D16" s="164">
        <f>+'S&amp;D'!G22</f>
        <v>77.72</v>
      </c>
      <c r="E16" s="327">
        <v>16.850000000000001</v>
      </c>
      <c r="F16" s="72">
        <f>D16/E16</f>
        <v>4.6124629080118691</v>
      </c>
      <c r="G16" s="55">
        <f t="shared" ref="G16:G21" si="0">1/F16</f>
        <v>0.21680391147709729</v>
      </c>
      <c r="H16" s="327">
        <v>23.7</v>
      </c>
      <c r="I16" s="72">
        <f>D16/H16</f>
        <v>3.2793248945147679</v>
      </c>
      <c r="J16" s="55">
        <f t="shared" ref="J16:J21" si="1">1/I16</f>
        <v>0.30494081317550181</v>
      </c>
    </row>
    <row r="17" spans="1:10" ht="17.25">
      <c r="B17" s="61" t="str">
        <f>+'S&amp;D'!A23</f>
        <v>American Water Works Company Inc</v>
      </c>
      <c r="C17" s="90" t="str">
        <f>+'S&amp;D'!B23</f>
        <v>AWK</v>
      </c>
      <c r="D17" s="164">
        <f>+'S&amp;D'!G23</f>
        <v>124.49</v>
      </c>
      <c r="E17" s="327">
        <v>25.2</v>
      </c>
      <c r="F17" s="72">
        <f t="shared" ref="F17:F21" si="2">D17/E17</f>
        <v>4.9400793650793648</v>
      </c>
      <c r="G17" s="55">
        <f t="shared" si="0"/>
        <v>0.20242589766246286</v>
      </c>
      <c r="H17" s="327">
        <v>55.55</v>
      </c>
      <c r="I17" s="72">
        <f t="shared" ref="I17:I21" si="3">D17/H17</f>
        <v>2.2410441044104412</v>
      </c>
      <c r="J17" s="55">
        <f t="shared" si="1"/>
        <v>0.4462205799662623</v>
      </c>
    </row>
    <row r="18" spans="1:10" ht="17.25">
      <c r="B18" s="61" t="str">
        <f>+'S&amp;D'!A24</f>
        <v xml:space="preserve">California Water Service Group </v>
      </c>
      <c r="C18" s="90" t="str">
        <f>+'S&amp;D'!B24</f>
        <v>CWT</v>
      </c>
      <c r="D18" s="164">
        <f>+'S&amp;D'!G24</f>
        <v>45.33</v>
      </c>
      <c r="E18" s="327">
        <v>19.75</v>
      </c>
      <c r="F18" s="72">
        <f t="shared" si="2"/>
        <v>2.2951898734177214</v>
      </c>
      <c r="G18" s="55">
        <f t="shared" si="0"/>
        <v>0.4356938010147805</v>
      </c>
      <c r="H18" s="327">
        <v>29.1</v>
      </c>
      <c r="I18" s="72">
        <f t="shared" si="3"/>
        <v>1.5577319587628864</v>
      </c>
      <c r="J18" s="55">
        <f t="shared" si="1"/>
        <v>0.64195896757114501</v>
      </c>
    </row>
    <row r="19" spans="1:10" ht="17.25">
      <c r="B19" s="61" t="str">
        <f>+'S&amp;D'!A25</f>
        <v>Essential Utilities, Inc.</v>
      </c>
      <c r="C19" s="90" t="str">
        <f>+'S&amp;D'!B25</f>
        <v>WTRG</v>
      </c>
      <c r="D19" s="164">
        <f>+'S&amp;D'!G25</f>
        <v>36.32</v>
      </c>
      <c r="E19" s="327">
        <v>8.5</v>
      </c>
      <c r="F19" s="72">
        <f>D19/E19</f>
        <v>4.2729411764705887</v>
      </c>
      <c r="G19" s="55">
        <f t="shared" si="0"/>
        <v>0.23403083700440527</v>
      </c>
      <c r="H19" s="327">
        <v>22.6</v>
      </c>
      <c r="I19" s="72">
        <f t="shared" si="3"/>
        <v>1.607079646017699</v>
      </c>
      <c r="J19" s="55">
        <f t="shared" si="1"/>
        <v>0.6222466960352423</v>
      </c>
    </row>
    <row r="20" spans="1:10" ht="17.25">
      <c r="B20" s="61" t="str">
        <f>+'S&amp;D'!A26</f>
        <v>Middlesex Water Company</v>
      </c>
      <c r="C20" s="90" t="str">
        <f>+'S&amp;D'!B26</f>
        <v>MSEX</v>
      </c>
      <c r="D20" s="164">
        <f>+'S&amp;D'!G26</f>
        <v>52.63</v>
      </c>
      <c r="E20" s="327">
        <v>11.7</v>
      </c>
      <c r="F20" s="72">
        <f t="shared" si="2"/>
        <v>4.4982905982905992</v>
      </c>
      <c r="G20" s="55">
        <f t="shared" si="0"/>
        <v>0.22230666920007597</v>
      </c>
      <c r="H20" s="327">
        <v>25.05</v>
      </c>
      <c r="I20" s="72">
        <f t="shared" si="3"/>
        <v>2.1009980039920162</v>
      </c>
      <c r="J20" s="55">
        <f t="shared" si="1"/>
        <v>0.47596427892836779</v>
      </c>
    </row>
    <row r="21" spans="1:10" ht="17.25">
      <c r="B21" s="61" t="str">
        <f>+'S&amp;D'!A27</f>
        <v>SJW Corporation</v>
      </c>
      <c r="C21" s="90" t="str">
        <f>+'S&amp;D'!B27</f>
        <v>SJW</v>
      </c>
      <c r="D21" s="164">
        <f>+'S&amp;D'!G27</f>
        <v>49.22</v>
      </c>
      <c r="E21" s="327">
        <v>24.2</v>
      </c>
      <c r="F21" s="72">
        <f t="shared" si="2"/>
        <v>2.033884297520661</v>
      </c>
      <c r="G21" s="55">
        <f t="shared" si="0"/>
        <v>0.49167005282405529</v>
      </c>
      <c r="H21" s="327">
        <v>44.55</v>
      </c>
      <c r="I21" s="72">
        <f t="shared" si="3"/>
        <v>1.1048260381593715</v>
      </c>
      <c r="J21" s="55">
        <f t="shared" si="1"/>
        <v>0.90511986997155625</v>
      </c>
    </row>
    <row r="22" spans="1:10" ht="17.25" thickBot="1">
      <c r="B22" s="12"/>
      <c r="C22" s="69"/>
      <c r="D22" s="69"/>
      <c r="E22" s="328"/>
      <c r="F22" s="69"/>
      <c r="G22" s="69"/>
      <c r="H22" s="328"/>
      <c r="I22" s="69"/>
      <c r="J22" s="69"/>
    </row>
    <row r="23" spans="1:10" ht="17.25" thickTop="1">
      <c r="B23" s="12"/>
      <c r="D23" s="14" t="s">
        <v>45</v>
      </c>
      <c r="E23" s="329">
        <f>MAX(E16:E21)</f>
        <v>25.2</v>
      </c>
      <c r="F23" s="70">
        <f t="shared" ref="F23:J23" si="4">MAX(F16:F21)</f>
        <v>4.9400793650793648</v>
      </c>
      <c r="G23" s="294">
        <f t="shared" si="4"/>
        <v>0.49167005282405529</v>
      </c>
      <c r="H23" s="329">
        <f t="shared" si="4"/>
        <v>55.55</v>
      </c>
      <c r="I23" s="70">
        <f t="shared" si="4"/>
        <v>3.2793248945147679</v>
      </c>
      <c r="J23" s="294">
        <f t="shared" si="4"/>
        <v>0.90511986997155625</v>
      </c>
    </row>
    <row r="24" spans="1:10" ht="16.5">
      <c r="B24" s="12"/>
      <c r="D24" s="14" t="s">
        <v>46</v>
      </c>
      <c r="E24" s="330">
        <f>MIN(E16:E21)</f>
        <v>8.5</v>
      </c>
      <c r="F24" s="307">
        <f t="shared" ref="F24:J24" si="5">MIN(F16:F21)</f>
        <v>2.033884297520661</v>
      </c>
      <c r="G24" s="308">
        <f t="shared" si="5"/>
        <v>0.20242589766246286</v>
      </c>
      <c r="H24" s="330">
        <f t="shared" si="5"/>
        <v>22.6</v>
      </c>
      <c r="I24" s="307">
        <f t="shared" si="5"/>
        <v>1.1048260381593715</v>
      </c>
      <c r="J24" s="308">
        <f t="shared" si="5"/>
        <v>0.30494081317550181</v>
      </c>
    </row>
    <row r="25" spans="1:10" ht="16.5">
      <c r="B25" s="12"/>
      <c r="D25" s="14" t="s">
        <v>18</v>
      </c>
      <c r="E25" s="21">
        <f t="shared" ref="E25" si="6">MEDIAN(E16:E21)</f>
        <v>18.3</v>
      </c>
      <c r="F25" s="21">
        <f t="shared" ref="F25:J25" si="7">MEDIAN(F16:F21)</f>
        <v>4.3856158873805935</v>
      </c>
      <c r="G25" s="55">
        <f t="shared" si="7"/>
        <v>0.22816875310224061</v>
      </c>
      <c r="H25" s="21">
        <f t="shared" ref="H25" si="8">MEDIAN(H16:H21)</f>
        <v>27.075000000000003</v>
      </c>
      <c r="I25" s="21">
        <f t="shared" si="7"/>
        <v>1.8540388250048576</v>
      </c>
      <c r="J25" s="55">
        <f t="shared" si="7"/>
        <v>0.5491054874818051</v>
      </c>
    </row>
    <row r="26" spans="1:10" ht="16.5">
      <c r="B26" s="12"/>
      <c r="D26" s="14" t="s">
        <v>374</v>
      </c>
      <c r="E26" s="21">
        <f t="shared" ref="E26" si="9">AVERAGE(E16:E21)</f>
        <v>17.7</v>
      </c>
      <c r="F26" s="21">
        <f t="shared" ref="F26:J26" si="10">AVERAGE(F16:F21)</f>
        <v>3.7754747031318003</v>
      </c>
      <c r="G26" s="73">
        <f t="shared" si="10"/>
        <v>0.30048852819714617</v>
      </c>
      <c r="H26" s="21">
        <f t="shared" ref="H26" si="11">AVERAGE(H16:H21)</f>
        <v>33.425000000000004</v>
      </c>
      <c r="I26" s="21">
        <f t="shared" si="10"/>
        <v>1.9818341076428636</v>
      </c>
      <c r="J26" s="73">
        <f t="shared" si="10"/>
        <v>0.56607520094134589</v>
      </c>
    </row>
    <row r="27" spans="1:10" ht="17.25" thickBot="1">
      <c r="B27" s="12"/>
      <c r="C27" s="12"/>
      <c r="D27" s="12"/>
      <c r="E27" s="12"/>
      <c r="F27" s="12"/>
      <c r="G27" s="12"/>
      <c r="H27" s="12"/>
      <c r="I27" s="12"/>
      <c r="J27" s="12"/>
    </row>
    <row r="28" spans="1:10" ht="27" thickBot="1">
      <c r="B28" s="75" t="s">
        <v>0</v>
      </c>
      <c r="C28" s="12"/>
      <c r="D28" s="23" t="s">
        <v>118</v>
      </c>
      <c r="E28" s="23"/>
      <c r="F28" s="213">
        <v>3.78</v>
      </c>
      <c r="H28" s="23"/>
      <c r="I28" s="213">
        <v>1.98</v>
      </c>
    </row>
    <row r="29" spans="1:10" ht="16.5">
      <c r="B29" s="75" t="s">
        <v>0</v>
      </c>
      <c r="C29" s="12"/>
      <c r="D29" s="12"/>
      <c r="E29" s="12"/>
      <c r="F29" s="12"/>
      <c r="G29" s="12"/>
      <c r="H29" s="12"/>
    </row>
    <row r="30" spans="1:10" ht="16.5">
      <c r="B30" s="75"/>
      <c r="C30" s="12"/>
      <c r="D30" s="12"/>
      <c r="E30" s="12"/>
      <c r="F30" s="12"/>
      <c r="G30" s="12"/>
      <c r="H30" s="12"/>
    </row>
    <row r="31" spans="1:10" ht="17.25">
      <c r="A31" s="106" t="s">
        <v>364</v>
      </c>
      <c r="B31" s="75"/>
      <c r="C31" s="12"/>
      <c r="D31" s="12"/>
      <c r="E31" s="12"/>
      <c r="F31" s="12"/>
      <c r="G31" s="12"/>
      <c r="H31" s="12"/>
    </row>
    <row r="32" spans="1:10" ht="17.25">
      <c r="A32" s="106" t="s">
        <v>345</v>
      </c>
      <c r="B32" s="75"/>
      <c r="C32" s="12"/>
      <c r="D32" s="12"/>
      <c r="E32" s="12"/>
      <c r="F32" s="12"/>
      <c r="G32" s="12"/>
      <c r="H32" s="12"/>
    </row>
    <row r="33" spans="1:8" ht="16.5">
      <c r="B33" s="75"/>
      <c r="C33" s="12"/>
      <c r="D33" s="12"/>
      <c r="E33" s="12"/>
      <c r="F33" s="12"/>
      <c r="G33" s="12"/>
      <c r="H33" s="12"/>
    </row>
    <row r="34" spans="1:8" ht="17.25">
      <c r="A34" s="106" t="s">
        <v>363</v>
      </c>
      <c r="B34" s="75"/>
      <c r="C34" s="12"/>
      <c r="D34" s="12"/>
      <c r="E34" s="12"/>
      <c r="F34" s="12"/>
      <c r="G34" s="12"/>
      <c r="H34" s="12"/>
    </row>
    <row r="35" spans="1:8" ht="17.25">
      <c r="A35" s="106" t="s">
        <v>343</v>
      </c>
      <c r="B35" s="75"/>
      <c r="C35" s="12"/>
      <c r="D35" s="12"/>
      <c r="E35" s="12"/>
      <c r="F35" s="12"/>
      <c r="G35" s="12"/>
      <c r="H35" s="12"/>
    </row>
    <row r="36" spans="1:8" ht="17.25">
      <c r="A36" s="106" t="s">
        <v>344</v>
      </c>
    </row>
    <row r="45" spans="1:8" ht="17.25">
      <c r="A45" s="106"/>
      <c r="B45" s="254"/>
      <c r="C45" s="253" t="s">
        <v>0</v>
      </c>
    </row>
    <row r="46" spans="1:8" ht="17.25">
      <c r="C46" s="253" t="s">
        <v>0</v>
      </c>
    </row>
    <row r="47" spans="1:8" ht="17.25">
      <c r="C47" s="253" t="s">
        <v>0</v>
      </c>
    </row>
  </sheetData>
  <pageMargins left="0.25" right="0.25" top="0.75" bottom="0.75" header="0.3" footer="0.3"/>
  <pageSetup scale="41" orientation="landscape" r:id="rId1"/>
  <rowBreaks count="1" manualBreakCount="1">
    <brk id="36" max="10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"/>
  <sheetViews>
    <sheetView workbookViewId="0"/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K30"/>
  <sheetViews>
    <sheetView view="pageBreakPreview" zoomScale="80" zoomScaleNormal="80" zoomScaleSheetLayoutView="80" workbookViewId="0">
      <selection activeCell="G29" sqref="G29"/>
    </sheetView>
  </sheetViews>
  <sheetFormatPr defaultRowHeight="15"/>
  <cols>
    <col min="1" max="1" width="22.28515625" customWidth="1"/>
    <col min="2" max="2" width="39.7109375" customWidth="1"/>
    <col min="3" max="3" width="16.85546875" customWidth="1"/>
    <col min="4" max="4" width="35.28515625" customWidth="1"/>
    <col min="5" max="5" width="18" customWidth="1"/>
    <col min="6" max="6" width="20.85546875" bestFit="1" customWidth="1"/>
    <col min="7" max="7" width="22" customWidth="1"/>
    <col min="8" max="8" width="23.7109375" customWidth="1"/>
  </cols>
  <sheetData>
    <row r="1" spans="1:11" ht="26.25">
      <c r="A1" s="23" t="s">
        <v>1</v>
      </c>
      <c r="C1" s="12"/>
      <c r="D1" s="12"/>
      <c r="E1" s="12"/>
      <c r="F1" s="12"/>
      <c r="G1" s="12"/>
      <c r="H1" s="12"/>
      <c r="I1" s="12"/>
      <c r="J1" s="12"/>
      <c r="K1" s="12"/>
    </row>
    <row r="2" spans="1:11" ht="17.25">
      <c r="A2" s="24" t="s">
        <v>9</v>
      </c>
      <c r="C2" s="12"/>
      <c r="D2" s="12"/>
      <c r="E2" s="12"/>
      <c r="F2" s="12"/>
      <c r="G2" s="12"/>
      <c r="H2" s="12"/>
      <c r="I2" s="12"/>
      <c r="J2" s="12"/>
      <c r="K2" s="12"/>
    </row>
    <row r="3" spans="1:11" ht="17.25" customHeight="1">
      <c r="A3" s="25" t="s">
        <v>412</v>
      </c>
      <c r="C3" s="12"/>
      <c r="D3" s="12"/>
      <c r="E3" s="12"/>
      <c r="F3" s="12"/>
      <c r="G3" s="12"/>
      <c r="H3" s="12"/>
      <c r="I3" s="12"/>
      <c r="J3" s="12"/>
      <c r="K3" s="12"/>
    </row>
    <row r="4" spans="1:11" ht="17.25" customHeight="1">
      <c r="B4" s="139"/>
      <c r="C4" s="12"/>
      <c r="D4" s="12"/>
      <c r="E4" s="12"/>
      <c r="F4" s="12"/>
      <c r="G4" s="12"/>
      <c r="H4" s="12"/>
      <c r="I4" s="12"/>
      <c r="J4" s="12"/>
      <c r="K4" s="12"/>
    </row>
    <row r="5" spans="1:11" ht="17.25" customHeight="1">
      <c r="B5" s="139"/>
      <c r="C5" s="12"/>
      <c r="D5" s="12"/>
      <c r="E5" s="12"/>
      <c r="F5" s="12"/>
      <c r="G5" s="12"/>
      <c r="H5" s="12"/>
      <c r="I5" s="12"/>
      <c r="J5" s="12"/>
      <c r="K5" s="12"/>
    </row>
    <row r="6" spans="1:11" ht="17.25" customHeight="1">
      <c r="B6" s="139"/>
      <c r="C6" s="12"/>
      <c r="D6" s="12"/>
      <c r="E6" s="12"/>
      <c r="F6" s="12"/>
      <c r="G6" s="12"/>
      <c r="H6" s="12"/>
      <c r="I6" s="12"/>
      <c r="J6" s="12"/>
      <c r="K6" s="12"/>
    </row>
    <row r="7" spans="1:11" ht="16.5">
      <c r="B7" s="25"/>
      <c r="C7" s="12"/>
      <c r="D7" s="12"/>
      <c r="E7" s="12"/>
      <c r="F7" s="12"/>
      <c r="G7" s="12"/>
      <c r="H7" s="12"/>
      <c r="I7" s="12"/>
      <c r="J7" s="12"/>
      <c r="K7" s="12"/>
    </row>
    <row r="8" spans="1:11" ht="20.25">
      <c r="B8" s="12"/>
      <c r="C8" s="12"/>
      <c r="D8" s="78" t="s">
        <v>0</v>
      </c>
      <c r="E8" s="12"/>
      <c r="F8" s="12"/>
      <c r="G8" s="12"/>
      <c r="H8" s="12"/>
      <c r="I8" s="12"/>
      <c r="J8" s="12"/>
      <c r="K8" s="12"/>
    </row>
    <row r="9" spans="1:11" ht="20.25">
      <c r="B9" s="12"/>
      <c r="C9" s="12"/>
      <c r="D9" s="78" t="s">
        <v>63</v>
      </c>
      <c r="E9" s="12"/>
      <c r="F9" s="12"/>
      <c r="G9" s="12"/>
      <c r="H9" s="12"/>
      <c r="I9" s="12"/>
      <c r="J9" s="12"/>
      <c r="K9" s="12"/>
    </row>
    <row r="10" spans="1:11" ht="16.5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6.5"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ht="16.5">
      <c r="B12" s="12"/>
      <c r="C12" s="12"/>
      <c r="D12" s="12"/>
      <c r="E12" s="26"/>
      <c r="F12" s="12"/>
      <c r="G12" s="12"/>
      <c r="H12" s="12"/>
      <c r="I12" s="12"/>
      <c r="J12" s="12"/>
      <c r="K12" s="12"/>
    </row>
    <row r="13" spans="1:11" ht="16.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7.25" thickBot="1">
      <c r="B14" s="12"/>
      <c r="C14" s="28"/>
      <c r="D14" s="28"/>
      <c r="E14" s="28"/>
      <c r="F14" s="12"/>
      <c r="G14" s="12"/>
      <c r="H14" s="12"/>
      <c r="I14" s="12"/>
      <c r="J14" s="12"/>
      <c r="K14" s="12"/>
    </row>
    <row r="15" spans="1:11" ht="26.25">
      <c r="B15" s="12"/>
      <c r="C15" s="12"/>
      <c r="D15" s="31" t="str">
        <f>+'S&amp;D'!A12</f>
        <v>Water Utility Companies (Private)</v>
      </c>
      <c r="E15" s="12"/>
      <c r="F15" s="12"/>
      <c r="G15" s="12"/>
      <c r="H15" s="12"/>
      <c r="I15" s="12"/>
      <c r="J15" s="12"/>
      <c r="K15" s="12"/>
    </row>
    <row r="16" spans="1:11" ht="17.25" thickBot="1">
      <c r="B16" s="12"/>
      <c r="C16" s="28"/>
      <c r="D16" s="36" t="s">
        <v>0</v>
      </c>
      <c r="E16" s="28"/>
      <c r="F16" s="12"/>
      <c r="G16" s="12"/>
      <c r="H16" s="12"/>
      <c r="I16" s="12"/>
      <c r="J16" s="12"/>
      <c r="K16" s="12"/>
    </row>
    <row r="17" spans="2:11" ht="17.25" thickBot="1">
      <c r="B17" s="28"/>
      <c r="C17" s="28"/>
      <c r="D17" s="36" t="s">
        <v>0</v>
      </c>
      <c r="E17" s="28"/>
      <c r="F17" s="28"/>
      <c r="G17" s="28"/>
      <c r="H17" s="12"/>
      <c r="I17" s="12"/>
      <c r="J17" s="12"/>
      <c r="K17" s="12"/>
    </row>
    <row r="18" spans="2:11" ht="16.5">
      <c r="B18" s="34" t="s">
        <v>31</v>
      </c>
      <c r="C18" s="34" t="s">
        <v>32</v>
      </c>
      <c r="D18" s="34" t="s">
        <v>33</v>
      </c>
      <c r="E18" s="34" t="s">
        <v>67</v>
      </c>
      <c r="F18" s="34" t="s">
        <v>33</v>
      </c>
      <c r="G18" s="34" t="s">
        <v>34</v>
      </c>
      <c r="H18" s="12"/>
      <c r="I18" s="12"/>
      <c r="J18" s="12"/>
      <c r="K18" s="12"/>
    </row>
    <row r="19" spans="2:11" ht="17.25" thickBot="1">
      <c r="B19" s="36" t="s">
        <v>32</v>
      </c>
      <c r="C19" s="36" t="s">
        <v>35</v>
      </c>
      <c r="D19" s="36" t="s">
        <v>36</v>
      </c>
      <c r="E19" s="36" t="s">
        <v>23</v>
      </c>
      <c r="F19" s="36" t="s">
        <v>37</v>
      </c>
      <c r="G19" s="36" t="s">
        <v>38</v>
      </c>
      <c r="H19" s="12"/>
      <c r="I19" s="12"/>
      <c r="J19" s="12"/>
      <c r="K19" s="12"/>
    </row>
    <row r="20" spans="2:11" ht="16.5">
      <c r="B20" s="38" t="s">
        <v>0</v>
      </c>
      <c r="C20" s="38" t="s">
        <v>0</v>
      </c>
      <c r="D20" s="38" t="s">
        <v>0</v>
      </c>
      <c r="E20" s="38" t="s">
        <v>0</v>
      </c>
      <c r="F20" s="38" t="s">
        <v>0</v>
      </c>
      <c r="G20" s="38" t="s">
        <v>0</v>
      </c>
      <c r="H20" s="12"/>
      <c r="I20" s="12"/>
      <c r="J20" s="12"/>
      <c r="K20" s="12"/>
    </row>
    <row r="21" spans="2:11" ht="16.5">
      <c r="B21" s="34"/>
      <c r="C21" s="34"/>
      <c r="D21" s="34"/>
      <c r="E21" s="34"/>
      <c r="F21" s="34"/>
      <c r="G21" s="34"/>
      <c r="H21" s="12"/>
      <c r="I21" s="12"/>
      <c r="J21" s="12"/>
      <c r="K21" s="12"/>
    </row>
    <row r="22" spans="2:11" ht="17.25">
      <c r="B22" s="90" t="s">
        <v>39</v>
      </c>
      <c r="C22" s="131">
        <f>'S&amp;D'!I48</f>
        <v>0.68</v>
      </c>
      <c r="D22" s="131">
        <f>+'Indicated Yield Equity Rate'!D52</f>
        <v>9.1700000000000004E-2</v>
      </c>
      <c r="E22" s="103" t="s">
        <v>40</v>
      </c>
      <c r="F22" s="131">
        <f>+D22</f>
        <v>9.1700000000000004E-2</v>
      </c>
      <c r="G22" s="132">
        <f>+F22*C22</f>
        <v>6.2356000000000009E-2</v>
      </c>
      <c r="H22" s="12"/>
      <c r="I22" s="12"/>
      <c r="J22" s="12"/>
      <c r="K22" s="12"/>
    </row>
    <row r="23" spans="2:11" ht="17.25">
      <c r="B23" s="90" t="s">
        <v>0</v>
      </c>
      <c r="C23" s="103" t="s">
        <v>0</v>
      </c>
      <c r="D23" s="103" t="s">
        <v>0</v>
      </c>
      <c r="E23" s="103" t="s">
        <v>0</v>
      </c>
      <c r="F23" s="133" t="s">
        <v>0</v>
      </c>
      <c r="G23" s="121" t="s">
        <v>0</v>
      </c>
      <c r="H23" s="12"/>
      <c r="I23" s="12"/>
      <c r="J23" s="12"/>
      <c r="K23" s="12"/>
    </row>
    <row r="24" spans="2:11" ht="17.25">
      <c r="B24" s="90" t="s">
        <v>41</v>
      </c>
      <c r="C24" s="131">
        <f>'S&amp;D'!J48</f>
        <v>0.32</v>
      </c>
      <c r="D24" s="131">
        <f>+Debt!J27</f>
        <v>5.6399999999999999E-2</v>
      </c>
      <c r="E24" s="131">
        <v>0.26</v>
      </c>
      <c r="F24" s="131">
        <f>+D24*(1-E24)</f>
        <v>4.1735999999999995E-2</v>
      </c>
      <c r="G24" s="132">
        <f>+C24*F24</f>
        <v>1.3355519999999999E-2</v>
      </c>
      <c r="H24" s="12"/>
      <c r="I24" s="12"/>
      <c r="J24" s="12"/>
      <c r="K24" s="12"/>
    </row>
    <row r="25" spans="2:11" ht="18" thickBot="1">
      <c r="B25" s="96" t="s">
        <v>0</v>
      </c>
      <c r="C25" s="96" t="s">
        <v>0</v>
      </c>
      <c r="D25" s="96" t="s">
        <v>0</v>
      </c>
      <c r="E25" s="96" t="s">
        <v>0</v>
      </c>
      <c r="F25" s="134" t="s">
        <v>0</v>
      </c>
      <c r="G25" s="135" t="s">
        <v>0</v>
      </c>
      <c r="H25" s="12"/>
      <c r="I25" s="12"/>
      <c r="J25" s="12"/>
      <c r="K25" s="12"/>
    </row>
    <row r="26" spans="2:11" ht="17.25">
      <c r="B26" s="90" t="s">
        <v>70</v>
      </c>
      <c r="C26" s="136">
        <f>+C22+C24</f>
        <v>1</v>
      </c>
      <c r="D26" s="90" t="s">
        <v>0</v>
      </c>
      <c r="E26" s="90" t="s">
        <v>0</v>
      </c>
      <c r="F26" s="137" t="s">
        <v>0</v>
      </c>
      <c r="G26" s="132">
        <f>+G22+G24</f>
        <v>7.5711520000000004E-2</v>
      </c>
      <c r="H26" s="12"/>
      <c r="I26" s="12"/>
      <c r="J26" s="12"/>
      <c r="K26" s="12"/>
    </row>
    <row r="27" spans="2:11" ht="18" thickBot="1">
      <c r="B27" s="61"/>
      <c r="C27" s="61"/>
      <c r="D27" s="61"/>
      <c r="E27" s="61"/>
      <c r="F27" s="61"/>
      <c r="G27" s="138"/>
      <c r="H27" s="12"/>
      <c r="I27" s="12"/>
      <c r="J27" s="12"/>
      <c r="K27" s="12"/>
    </row>
    <row r="28" spans="2:11" ht="18" thickBot="1">
      <c r="B28" s="12"/>
      <c r="C28" s="12"/>
      <c r="D28" s="12"/>
      <c r="E28" s="12"/>
      <c r="F28" s="183" t="s">
        <v>73</v>
      </c>
      <c r="G28" s="288">
        <v>7.5700000000000003E-2</v>
      </c>
      <c r="H28" s="12"/>
      <c r="I28" s="12"/>
      <c r="J28" s="12"/>
      <c r="K28" s="12"/>
    </row>
    <row r="29" spans="2:11" ht="16.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ht="16.5">
      <c r="B30" s="12"/>
      <c r="C30" s="12"/>
      <c r="D30" s="12"/>
      <c r="E30" s="12"/>
      <c r="F30" s="12"/>
      <c r="G30" s="12"/>
      <c r="H30" s="12"/>
      <c r="I30" s="12"/>
      <c r="J30" s="12"/>
      <c r="K30" s="12"/>
    </row>
  </sheetData>
  <pageMargins left="0.25" right="0.25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5631F-B284-4F75-B05C-C409AB53D71E}">
  <sheetPr>
    <tabColor rgb="FF92D050"/>
    <pageSetUpPr fitToPage="1"/>
  </sheetPr>
  <dimension ref="A1:K64"/>
  <sheetViews>
    <sheetView view="pageBreakPreview" topLeftCell="A33" zoomScale="80" zoomScaleNormal="80" zoomScaleSheetLayoutView="80" workbookViewId="0">
      <selection activeCell="G63" sqref="G63"/>
    </sheetView>
  </sheetViews>
  <sheetFormatPr defaultRowHeight="15"/>
  <cols>
    <col min="1" max="1" width="17.28515625" customWidth="1"/>
    <col min="2" max="2" width="31.7109375" customWidth="1"/>
    <col min="3" max="3" width="16.5703125" customWidth="1"/>
    <col min="4" max="4" width="35.28515625" customWidth="1"/>
    <col min="5" max="5" width="14.85546875" customWidth="1"/>
    <col min="6" max="6" width="25.85546875" customWidth="1"/>
    <col min="7" max="7" width="24.140625" customWidth="1"/>
    <col min="8" max="8" width="17.7109375" customWidth="1"/>
  </cols>
  <sheetData>
    <row r="1" spans="1:11" ht="26.25">
      <c r="A1" s="23" t="s">
        <v>1</v>
      </c>
      <c r="C1" s="12"/>
      <c r="D1" s="12"/>
      <c r="E1" s="12"/>
      <c r="F1" s="12"/>
      <c r="G1" s="12"/>
      <c r="H1" s="12"/>
      <c r="I1" s="12"/>
      <c r="J1" s="12"/>
      <c r="K1" s="12"/>
    </row>
    <row r="2" spans="1:11" ht="17.25">
      <c r="A2" s="24" t="s">
        <v>9</v>
      </c>
      <c r="C2" s="12"/>
      <c r="D2" s="12"/>
      <c r="E2" s="12"/>
      <c r="F2" s="12"/>
      <c r="G2" s="12"/>
      <c r="H2" s="12"/>
      <c r="I2" s="12"/>
      <c r="J2" s="12"/>
      <c r="K2" s="12"/>
    </row>
    <row r="3" spans="1:11" ht="16.5">
      <c r="A3" s="25" t="s">
        <v>412</v>
      </c>
      <c r="C3" s="12"/>
      <c r="D3" s="12"/>
      <c r="E3" s="12"/>
      <c r="F3" s="12"/>
      <c r="G3" s="12"/>
      <c r="H3" s="12"/>
      <c r="I3" s="12"/>
      <c r="J3" s="12"/>
      <c r="K3" s="12"/>
    </row>
    <row r="4" spans="1:11" ht="16.5">
      <c r="B4" s="25"/>
      <c r="C4" s="12"/>
      <c r="D4" s="12"/>
      <c r="E4" s="12"/>
      <c r="F4" s="12"/>
      <c r="G4" s="12"/>
      <c r="H4" s="12"/>
      <c r="I4" s="12"/>
      <c r="J4" s="12"/>
      <c r="K4" s="12"/>
    </row>
    <row r="5" spans="1:11" ht="16.5">
      <c r="B5" s="25"/>
      <c r="C5" s="12"/>
      <c r="D5" s="12"/>
      <c r="E5" s="12"/>
      <c r="F5" s="12"/>
      <c r="G5" s="12"/>
      <c r="H5" s="12"/>
      <c r="I5" s="12"/>
      <c r="J5" s="12"/>
      <c r="K5" s="12"/>
    </row>
    <row r="6" spans="1:11" ht="16.5">
      <c r="B6" s="25"/>
      <c r="C6" s="12"/>
      <c r="D6" s="12"/>
      <c r="E6" s="12"/>
      <c r="F6" s="12"/>
      <c r="G6" s="12"/>
      <c r="H6" s="12"/>
      <c r="I6" s="12"/>
      <c r="J6" s="12"/>
      <c r="K6" s="12"/>
    </row>
    <row r="7" spans="1:11" ht="16.5">
      <c r="B7" s="25"/>
      <c r="C7" s="12"/>
      <c r="D7" s="12"/>
      <c r="E7" s="12"/>
      <c r="F7" s="12"/>
      <c r="G7" s="12"/>
      <c r="H7" s="12"/>
      <c r="I7" s="12"/>
      <c r="J7" s="12"/>
      <c r="K7" s="12"/>
    </row>
    <row r="8" spans="1:11" ht="16.5">
      <c r="B8" s="25"/>
      <c r="C8" s="12"/>
      <c r="D8" s="12"/>
      <c r="E8" s="12"/>
      <c r="F8" s="12"/>
      <c r="G8" s="12"/>
      <c r="H8" s="12"/>
      <c r="I8" s="12"/>
      <c r="J8" s="12"/>
      <c r="K8" s="12"/>
    </row>
    <row r="9" spans="1:11" ht="16.5">
      <c r="B9" s="25"/>
      <c r="C9" s="12"/>
      <c r="D9" s="12"/>
      <c r="E9" s="12"/>
      <c r="F9" s="12"/>
      <c r="G9" s="12"/>
      <c r="H9" s="12"/>
      <c r="I9" s="12"/>
      <c r="J9" s="12"/>
      <c r="K9" s="12"/>
    </row>
    <row r="10" spans="1:11" ht="20.25">
      <c r="B10" s="12"/>
      <c r="C10" s="12"/>
      <c r="D10" s="78" t="s">
        <v>0</v>
      </c>
      <c r="E10" s="12"/>
      <c r="F10" s="12"/>
      <c r="G10" s="12"/>
      <c r="H10" s="12"/>
      <c r="I10" s="12"/>
      <c r="J10" s="12"/>
      <c r="K10" s="12"/>
    </row>
    <row r="11" spans="1:11" ht="20.25">
      <c r="B11" s="12"/>
      <c r="C11" s="12"/>
      <c r="D11" s="78" t="s">
        <v>62</v>
      </c>
      <c r="E11" s="12"/>
      <c r="F11" s="12"/>
      <c r="G11" s="12"/>
      <c r="H11" s="12"/>
      <c r="I11" s="12"/>
      <c r="J11" s="12"/>
      <c r="K11" s="12"/>
    </row>
    <row r="12" spans="1:11" ht="16.5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16.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7.25" thickBot="1">
      <c r="B14" s="12"/>
      <c r="C14" s="28"/>
      <c r="D14" s="28"/>
      <c r="E14" s="28"/>
      <c r="F14" s="12"/>
      <c r="G14" s="12"/>
      <c r="H14" s="12"/>
      <c r="I14" s="12"/>
      <c r="J14" s="12"/>
      <c r="K14" s="12"/>
    </row>
    <row r="15" spans="1:11" ht="26.25">
      <c r="B15" s="12"/>
      <c r="C15" s="12"/>
      <c r="D15" s="31" t="str">
        <f>+'S&amp;D'!A12</f>
        <v>Water Utility Companies (Private)</v>
      </c>
      <c r="E15" s="12"/>
      <c r="F15" s="12"/>
      <c r="G15" s="12"/>
      <c r="H15" s="12"/>
      <c r="I15" s="12"/>
      <c r="J15" s="12"/>
      <c r="K15" s="12"/>
    </row>
    <row r="16" spans="1:11" ht="21" thickBot="1">
      <c r="B16" s="12"/>
      <c r="C16" s="28"/>
      <c r="D16" s="130" t="s">
        <v>69</v>
      </c>
      <c r="E16" s="28"/>
      <c r="F16" s="12"/>
      <c r="G16" s="12"/>
      <c r="H16" s="12"/>
      <c r="I16" s="12"/>
      <c r="J16" s="12"/>
      <c r="K16" s="12"/>
    </row>
    <row r="17" spans="2:11" ht="16.5">
      <c r="H17" s="12"/>
      <c r="I17" s="12"/>
      <c r="J17" s="12"/>
      <c r="K17" s="12"/>
    </row>
    <row r="18" spans="2:11" ht="17.25" thickBot="1">
      <c r="B18" s="28"/>
      <c r="C18" s="28"/>
      <c r="D18" s="36" t="s">
        <v>0</v>
      </c>
      <c r="E18" s="28"/>
      <c r="F18" s="28"/>
      <c r="G18" s="28"/>
      <c r="H18" s="12"/>
      <c r="I18" s="12"/>
      <c r="J18" s="12"/>
      <c r="K18" s="12"/>
    </row>
    <row r="19" spans="2:11" ht="16.5">
      <c r="B19" s="34" t="s">
        <v>31</v>
      </c>
      <c r="C19" s="34" t="s">
        <v>32</v>
      </c>
      <c r="D19" s="34" t="s">
        <v>66</v>
      </c>
      <c r="E19" s="34" t="s">
        <v>67</v>
      </c>
      <c r="F19" s="34" t="s">
        <v>65</v>
      </c>
      <c r="G19" s="34" t="s">
        <v>34</v>
      </c>
      <c r="H19" s="12"/>
      <c r="I19" s="12"/>
      <c r="J19" s="12"/>
      <c r="K19" s="12"/>
    </row>
    <row r="20" spans="2:11" ht="17.25" thickBot="1">
      <c r="B20" s="36" t="s">
        <v>32</v>
      </c>
      <c r="C20" s="36" t="s">
        <v>35</v>
      </c>
      <c r="D20" s="36" t="s">
        <v>36</v>
      </c>
      <c r="E20" s="36" t="s">
        <v>23</v>
      </c>
      <c r="F20" s="36" t="s">
        <v>37</v>
      </c>
      <c r="G20" s="36" t="s">
        <v>68</v>
      </c>
      <c r="H20" s="12"/>
      <c r="I20" s="12"/>
      <c r="J20" s="12"/>
      <c r="K20" s="12"/>
    </row>
    <row r="21" spans="2:11" ht="16.5">
      <c r="B21" s="38" t="s">
        <v>0</v>
      </c>
      <c r="C21" s="38" t="s">
        <v>0</v>
      </c>
      <c r="D21" s="38" t="s">
        <v>0</v>
      </c>
      <c r="E21" s="38" t="s">
        <v>0</v>
      </c>
      <c r="F21" s="38" t="s">
        <v>0</v>
      </c>
      <c r="G21" s="38" t="s">
        <v>0</v>
      </c>
      <c r="H21" s="12"/>
      <c r="I21" s="12"/>
      <c r="J21" s="12"/>
      <c r="K21" s="12"/>
    </row>
    <row r="22" spans="2:11" ht="16.5">
      <c r="B22" s="34"/>
      <c r="C22" s="34"/>
      <c r="D22" s="34"/>
      <c r="E22" s="34"/>
      <c r="F22" s="34"/>
      <c r="G22" s="34"/>
      <c r="H22" s="12"/>
      <c r="I22" s="12"/>
      <c r="J22" s="12"/>
      <c r="K22" s="12"/>
    </row>
    <row r="23" spans="2:11" ht="17.25">
      <c r="B23" s="90" t="s">
        <v>39</v>
      </c>
      <c r="C23" s="131">
        <f>'S&amp;D'!I48</f>
        <v>0.68</v>
      </c>
      <c r="D23" s="131">
        <f>+'Direct NOPAT'!J32</f>
        <v>5.7150000000000006E-2</v>
      </c>
      <c r="E23" s="103" t="s">
        <v>40</v>
      </c>
      <c r="F23" s="131">
        <f>+D23</f>
        <v>5.7150000000000006E-2</v>
      </c>
      <c r="G23" s="132">
        <f>+F23*C23</f>
        <v>3.8862000000000008E-2</v>
      </c>
      <c r="H23" s="12"/>
      <c r="I23" s="12"/>
      <c r="J23" s="12"/>
      <c r="K23" s="12"/>
    </row>
    <row r="24" spans="2:11" ht="17.25">
      <c r="B24" s="90" t="s">
        <v>0</v>
      </c>
      <c r="C24" s="103" t="s">
        <v>0</v>
      </c>
      <c r="D24" s="103" t="s">
        <v>0</v>
      </c>
      <c r="E24" s="103" t="s">
        <v>0</v>
      </c>
      <c r="F24" s="133" t="s">
        <v>0</v>
      </c>
      <c r="G24" s="121" t="s">
        <v>0</v>
      </c>
      <c r="H24" s="12"/>
      <c r="I24" s="12"/>
      <c r="J24" s="12"/>
      <c r="K24" s="12"/>
    </row>
    <row r="25" spans="2:11" ht="17.25">
      <c r="B25" s="90" t="s">
        <v>41</v>
      </c>
      <c r="C25" s="131">
        <f>'S&amp;D'!J48</f>
        <v>0.32</v>
      </c>
      <c r="D25" s="131">
        <f>+Debt!J27</f>
        <v>5.6399999999999999E-2</v>
      </c>
      <c r="E25" s="131">
        <v>0.26</v>
      </c>
      <c r="F25" s="131">
        <f>+D25*(1-E25)</f>
        <v>4.1735999999999995E-2</v>
      </c>
      <c r="G25" s="132">
        <f>+C25*F25</f>
        <v>1.3355519999999999E-2</v>
      </c>
      <c r="H25" s="12"/>
      <c r="I25" s="12"/>
      <c r="J25" s="12"/>
      <c r="K25" s="12"/>
    </row>
    <row r="26" spans="2:11" ht="18" thickBot="1">
      <c r="B26" s="96" t="s">
        <v>0</v>
      </c>
      <c r="C26" s="96" t="s">
        <v>0</v>
      </c>
      <c r="D26" s="96" t="s">
        <v>0</v>
      </c>
      <c r="E26" s="96" t="s">
        <v>0</v>
      </c>
      <c r="F26" s="134" t="s">
        <v>0</v>
      </c>
      <c r="G26" s="135" t="s">
        <v>0</v>
      </c>
      <c r="H26" s="12"/>
      <c r="I26" s="12"/>
      <c r="J26" s="12"/>
      <c r="K26" s="12"/>
    </row>
    <row r="27" spans="2:11" ht="17.25">
      <c r="B27" s="90" t="s">
        <v>42</v>
      </c>
      <c r="C27" s="136">
        <f>+C23+C25</f>
        <v>1</v>
      </c>
      <c r="D27" s="90" t="s">
        <v>0</v>
      </c>
      <c r="E27" s="90" t="s">
        <v>0</v>
      </c>
      <c r="F27" s="137" t="s">
        <v>0</v>
      </c>
      <c r="G27" s="132">
        <f>+G23+G25</f>
        <v>5.2217520000000003E-2</v>
      </c>
      <c r="H27" s="12"/>
      <c r="I27" s="12"/>
      <c r="J27" s="12"/>
      <c r="K27" s="12"/>
    </row>
    <row r="28" spans="2:11" ht="18" thickBot="1">
      <c r="B28" s="61"/>
      <c r="C28" s="61"/>
      <c r="D28" s="61"/>
      <c r="E28" s="61"/>
      <c r="F28" s="61"/>
      <c r="G28" s="138"/>
      <c r="H28" s="12"/>
      <c r="I28" s="12"/>
      <c r="J28" s="12"/>
      <c r="K28" s="12"/>
    </row>
    <row r="29" spans="2:11" ht="18" thickBot="1">
      <c r="B29" s="12"/>
      <c r="C29" s="12"/>
      <c r="D29" s="12"/>
      <c r="E29" s="12"/>
      <c r="F29" s="183" t="s">
        <v>73</v>
      </c>
      <c r="G29" s="288">
        <v>5.2200000000000003E-2</v>
      </c>
      <c r="H29" s="12"/>
      <c r="I29" s="12"/>
      <c r="J29" s="12"/>
      <c r="K29" s="12"/>
    </row>
    <row r="30" spans="2:11" ht="18" thickBot="1">
      <c r="B30" s="12"/>
      <c r="C30" s="12"/>
      <c r="D30" s="12"/>
      <c r="E30" s="12"/>
      <c r="F30" s="137"/>
      <c r="G30" s="132"/>
      <c r="H30" s="12"/>
      <c r="I30" s="12"/>
      <c r="J30" s="12"/>
      <c r="K30" s="12"/>
    </row>
    <row r="31" spans="2:11" ht="18" thickBot="1">
      <c r="B31" s="12"/>
      <c r="C31" s="12"/>
      <c r="D31" s="12"/>
      <c r="E31" s="12"/>
      <c r="F31" s="183" t="s">
        <v>222</v>
      </c>
      <c r="G31" s="214">
        <f>1/G29</f>
        <v>19.157088122605362</v>
      </c>
      <c r="H31" s="12"/>
      <c r="I31" s="12"/>
      <c r="J31" s="12"/>
      <c r="K31" s="12"/>
    </row>
    <row r="32" spans="2:11" ht="17.25">
      <c r="B32" s="12"/>
      <c r="C32" s="12"/>
      <c r="D32" s="12"/>
      <c r="E32" s="12"/>
      <c r="F32" s="137"/>
      <c r="G32" s="132"/>
      <c r="H32" s="12"/>
      <c r="I32" s="12"/>
      <c r="J32" s="12"/>
      <c r="K32" s="12"/>
    </row>
    <row r="33" spans="1:11" ht="17.25">
      <c r="B33" s="12"/>
      <c r="C33" s="12"/>
      <c r="D33" s="12"/>
      <c r="E33" s="12"/>
      <c r="F33" s="137"/>
      <c r="G33" s="132"/>
      <c r="H33" s="12"/>
      <c r="I33" s="12"/>
      <c r="J33" s="12"/>
      <c r="K33" s="12"/>
    </row>
    <row r="34" spans="1:11" ht="26.25">
      <c r="A34" s="23" t="s">
        <v>1</v>
      </c>
      <c r="C34" s="12"/>
      <c r="D34" s="12"/>
      <c r="E34" s="12"/>
      <c r="F34" s="137"/>
      <c r="G34" s="132"/>
      <c r="H34" s="12"/>
      <c r="I34" s="12"/>
      <c r="J34" s="12"/>
      <c r="K34" s="12"/>
    </row>
    <row r="35" spans="1:11" ht="17.25">
      <c r="A35" s="24" t="s">
        <v>9</v>
      </c>
      <c r="C35" s="12"/>
      <c r="D35" s="12"/>
      <c r="E35" s="12"/>
      <c r="F35" s="137"/>
      <c r="G35" s="132"/>
      <c r="H35" s="12"/>
      <c r="I35" s="12"/>
      <c r="J35" s="12"/>
      <c r="K35" s="12"/>
    </row>
    <row r="36" spans="1:11" ht="17.25">
      <c r="A36" s="25" t="s">
        <v>412</v>
      </c>
      <c r="C36" s="12"/>
      <c r="D36" s="12"/>
      <c r="E36" s="12"/>
      <c r="F36" s="137"/>
      <c r="G36" s="132"/>
      <c r="H36" s="12"/>
      <c r="I36" s="12"/>
      <c r="J36" s="12"/>
      <c r="K36" s="12"/>
    </row>
    <row r="37" spans="1:11" ht="17.25">
      <c r="A37" s="25"/>
      <c r="C37" s="12"/>
      <c r="D37" s="12"/>
      <c r="E37" s="12"/>
      <c r="F37" s="137"/>
      <c r="G37" s="132"/>
      <c r="H37" s="12"/>
      <c r="I37" s="12"/>
      <c r="J37" s="12"/>
      <c r="K37" s="12"/>
    </row>
    <row r="38" spans="1:11" ht="17.25">
      <c r="A38" s="25"/>
      <c r="C38" s="12"/>
      <c r="D38" s="12"/>
      <c r="E38" s="12"/>
      <c r="F38" s="137"/>
      <c r="G38" s="132"/>
      <c r="H38" s="12"/>
      <c r="I38" s="12"/>
      <c r="J38" s="12"/>
      <c r="K38" s="12"/>
    </row>
    <row r="39" spans="1:11" ht="17.25">
      <c r="A39" s="25"/>
      <c r="C39" s="12"/>
      <c r="D39" s="12"/>
      <c r="E39" s="12"/>
      <c r="F39" s="137"/>
      <c r="G39" s="132"/>
      <c r="H39" s="12"/>
      <c r="I39" s="12"/>
      <c r="J39" s="12"/>
      <c r="K39" s="12"/>
    </row>
    <row r="40" spans="1:11" ht="17.25">
      <c r="A40" s="25"/>
      <c r="C40" s="12"/>
      <c r="D40" s="12"/>
      <c r="E40" s="12"/>
      <c r="F40" s="137"/>
      <c r="G40" s="132"/>
      <c r="H40" s="12"/>
      <c r="I40" s="12"/>
      <c r="J40" s="12"/>
      <c r="K40" s="12"/>
    </row>
    <row r="41" spans="1:11" ht="17.25">
      <c r="A41" s="25"/>
      <c r="C41" s="12"/>
      <c r="D41" s="12"/>
      <c r="E41" s="12"/>
      <c r="F41" s="137"/>
      <c r="G41" s="132"/>
      <c r="H41" s="12"/>
      <c r="I41" s="12"/>
      <c r="J41" s="12"/>
      <c r="K41" s="12"/>
    </row>
    <row r="42" spans="1:11" ht="17.25">
      <c r="A42" s="25"/>
      <c r="C42" s="12"/>
      <c r="D42" s="12"/>
      <c r="E42" s="12"/>
      <c r="F42" s="137"/>
      <c r="G42" s="132"/>
      <c r="H42" s="12"/>
      <c r="I42" s="12"/>
      <c r="J42" s="12"/>
      <c r="K42" s="12"/>
    </row>
    <row r="43" spans="1:11" ht="17.25">
      <c r="A43" s="25"/>
      <c r="C43" s="12"/>
      <c r="D43" s="12"/>
      <c r="E43" s="12"/>
      <c r="F43" s="137"/>
      <c r="G43" s="132"/>
      <c r="H43" s="12"/>
      <c r="I43" s="12"/>
      <c r="J43" s="12"/>
      <c r="K43" s="12"/>
    </row>
    <row r="44" spans="1:11" ht="20.25">
      <c r="A44" s="25"/>
      <c r="C44" s="12"/>
      <c r="D44" s="78" t="s">
        <v>62</v>
      </c>
      <c r="E44" s="12"/>
      <c r="F44" s="137"/>
      <c r="G44" s="132"/>
      <c r="H44" s="12"/>
      <c r="I44" s="12"/>
      <c r="J44" s="12"/>
      <c r="K44" s="12"/>
    </row>
    <row r="45" spans="1:11" ht="20.25">
      <c r="A45" s="25"/>
      <c r="C45" s="12"/>
      <c r="D45" s="78"/>
      <c r="E45" s="12"/>
      <c r="F45" s="137"/>
      <c r="G45" s="132"/>
      <c r="H45" s="12"/>
      <c r="I45" s="12"/>
      <c r="J45" s="12"/>
      <c r="K45" s="12"/>
    </row>
    <row r="46" spans="1:11" ht="20.25">
      <c r="A46" s="25"/>
      <c r="C46" s="12"/>
      <c r="D46" s="78"/>
      <c r="E46" s="12"/>
      <c r="F46" s="137"/>
      <c r="G46" s="132"/>
      <c r="H46" s="12"/>
      <c r="I46" s="12"/>
      <c r="J46" s="12"/>
      <c r="K46" s="12"/>
    </row>
    <row r="47" spans="1:11" ht="17.25" thickBot="1">
      <c r="B47" s="12"/>
      <c r="C47" s="28"/>
      <c r="D47" s="28"/>
      <c r="E47" s="28"/>
      <c r="F47" s="12"/>
      <c r="G47" s="12"/>
      <c r="H47" s="12"/>
      <c r="I47" s="12"/>
      <c r="J47" s="12"/>
      <c r="K47" s="12"/>
    </row>
    <row r="48" spans="1:11" ht="26.25">
      <c r="B48" s="12"/>
      <c r="C48" s="12"/>
      <c r="D48" s="31" t="str">
        <f>+D15</f>
        <v>Water Utility Companies (Private)</v>
      </c>
      <c r="E48" s="12"/>
      <c r="F48" s="12"/>
      <c r="G48" s="12"/>
      <c r="H48" s="12"/>
      <c r="I48" s="12"/>
      <c r="J48" s="12"/>
      <c r="K48" s="12"/>
    </row>
    <row r="49" spans="2:11" ht="21" thickBot="1">
      <c r="B49" s="12"/>
      <c r="C49" s="28"/>
      <c r="D49" s="130" t="s">
        <v>64</v>
      </c>
      <c r="E49" s="28"/>
      <c r="F49" s="12"/>
      <c r="G49" s="12"/>
      <c r="H49" s="12"/>
      <c r="I49" s="12"/>
      <c r="J49" s="12"/>
      <c r="K49" s="12"/>
    </row>
    <row r="50" spans="2:11" ht="16.5"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2:11" ht="17.25" thickBot="1">
      <c r="B51" s="28"/>
      <c r="C51" s="28"/>
      <c r="D51" s="36" t="s">
        <v>0</v>
      </c>
      <c r="E51" s="28"/>
      <c r="F51" s="28"/>
      <c r="G51" s="28"/>
      <c r="H51" s="12"/>
      <c r="I51" s="12"/>
      <c r="J51" s="12"/>
      <c r="K51" s="12"/>
    </row>
    <row r="52" spans="2:11" ht="16.5">
      <c r="B52" s="34" t="s">
        <v>31</v>
      </c>
      <c r="C52" s="34" t="s">
        <v>32</v>
      </c>
      <c r="D52" s="34" t="s">
        <v>66</v>
      </c>
      <c r="E52" s="34" t="s">
        <v>67</v>
      </c>
      <c r="F52" s="34" t="s">
        <v>65</v>
      </c>
      <c r="G52" s="34" t="s">
        <v>34</v>
      </c>
      <c r="H52" s="12"/>
      <c r="I52" s="12"/>
      <c r="J52" s="12"/>
      <c r="K52" s="12"/>
    </row>
    <row r="53" spans="2:11" ht="17.25" thickBot="1">
      <c r="B53" s="36" t="s">
        <v>32</v>
      </c>
      <c r="C53" s="36" t="s">
        <v>35</v>
      </c>
      <c r="D53" s="36" t="s">
        <v>36</v>
      </c>
      <c r="E53" s="36" t="s">
        <v>23</v>
      </c>
      <c r="F53" s="36" t="s">
        <v>37</v>
      </c>
      <c r="G53" s="36" t="s">
        <v>68</v>
      </c>
      <c r="H53" s="12"/>
      <c r="I53" s="12"/>
      <c r="J53" s="12"/>
      <c r="K53" s="12"/>
    </row>
    <row r="54" spans="2:11" ht="16.5">
      <c r="B54" s="38" t="s">
        <v>0</v>
      </c>
      <c r="C54" s="38" t="s">
        <v>0</v>
      </c>
      <c r="D54" s="38" t="s">
        <v>0</v>
      </c>
      <c r="E54" s="38" t="s">
        <v>0</v>
      </c>
      <c r="F54" s="38" t="s">
        <v>0</v>
      </c>
      <c r="G54" s="38" t="s">
        <v>0</v>
      </c>
      <c r="H54" s="12"/>
      <c r="I54" s="12"/>
      <c r="J54" s="12"/>
      <c r="K54" s="12"/>
    </row>
    <row r="55" spans="2:11" ht="16.5">
      <c r="B55" s="34"/>
      <c r="C55" s="34"/>
      <c r="D55" s="34"/>
      <c r="E55" s="34"/>
      <c r="F55" s="34"/>
      <c r="G55" s="34"/>
      <c r="H55" s="12"/>
      <c r="I55" s="12"/>
      <c r="J55" s="12"/>
      <c r="K55" s="12"/>
    </row>
    <row r="56" spans="2:11" ht="17.25">
      <c r="B56" s="90" t="s">
        <v>39</v>
      </c>
      <c r="C56" s="131">
        <f>'S&amp;D'!I48</f>
        <v>0.68</v>
      </c>
      <c r="D56" s="131">
        <f>+'Direct GCF'!H31</f>
        <v>8.6199999999999999E-2</v>
      </c>
      <c r="E56" s="103" t="s">
        <v>40</v>
      </c>
      <c r="F56" s="131">
        <f>+D56</f>
        <v>8.6199999999999999E-2</v>
      </c>
      <c r="G56" s="132">
        <f>+F56*C56</f>
        <v>5.8616000000000001E-2</v>
      </c>
      <c r="H56" s="12"/>
      <c r="I56" s="12"/>
      <c r="J56" s="12"/>
      <c r="K56" s="12"/>
    </row>
    <row r="57" spans="2:11" ht="17.25">
      <c r="B57" s="90" t="s">
        <v>0</v>
      </c>
      <c r="C57" s="103" t="s">
        <v>0</v>
      </c>
      <c r="D57" s="103" t="s">
        <v>0</v>
      </c>
      <c r="E57" s="103" t="s">
        <v>0</v>
      </c>
      <c r="F57" s="133" t="s">
        <v>0</v>
      </c>
      <c r="G57" s="121" t="s">
        <v>0</v>
      </c>
      <c r="H57" s="12"/>
      <c r="I57" s="12"/>
      <c r="J57" s="12"/>
      <c r="K57" s="12"/>
    </row>
    <row r="58" spans="2:11" ht="17.25">
      <c r="B58" s="90" t="s">
        <v>41</v>
      </c>
      <c r="C58" s="131">
        <f>'S&amp;D'!J48</f>
        <v>0.32</v>
      </c>
      <c r="D58" s="131">
        <f>+Debt!J27</f>
        <v>5.6399999999999999E-2</v>
      </c>
      <c r="E58" s="131">
        <v>0.26</v>
      </c>
      <c r="F58" s="131">
        <f>+D58*(1-E58)</f>
        <v>4.1735999999999995E-2</v>
      </c>
      <c r="G58" s="132">
        <f>+C58*F58</f>
        <v>1.3355519999999999E-2</v>
      </c>
      <c r="H58" s="12"/>
      <c r="I58" s="12"/>
      <c r="J58" s="12"/>
      <c r="K58" s="12"/>
    </row>
    <row r="59" spans="2:11" ht="18" thickBot="1">
      <c r="B59" s="96" t="s">
        <v>0</v>
      </c>
      <c r="C59" s="96" t="s">
        <v>0</v>
      </c>
      <c r="D59" s="96" t="s">
        <v>0</v>
      </c>
      <c r="E59" s="96" t="s">
        <v>0</v>
      </c>
      <c r="F59" s="134" t="s">
        <v>0</v>
      </c>
      <c r="G59" s="135" t="s">
        <v>0</v>
      </c>
      <c r="H59" s="12"/>
      <c r="I59" s="12"/>
      <c r="J59" s="12"/>
      <c r="K59" s="12"/>
    </row>
    <row r="60" spans="2:11" ht="17.25">
      <c r="B60" s="90" t="s">
        <v>42</v>
      </c>
      <c r="C60" s="136">
        <f>+C56+C58</f>
        <v>1</v>
      </c>
      <c r="D60" s="90" t="s">
        <v>0</v>
      </c>
      <c r="E60" s="90" t="s">
        <v>0</v>
      </c>
      <c r="F60" s="137" t="s">
        <v>0</v>
      </c>
      <c r="G60" s="132">
        <f>+G56+G58</f>
        <v>7.1971519999999997E-2</v>
      </c>
      <c r="H60" s="12"/>
      <c r="I60" s="12"/>
      <c r="J60" s="12"/>
      <c r="K60" s="12"/>
    </row>
    <row r="61" spans="2:11" ht="18" thickBot="1">
      <c r="B61" s="61"/>
      <c r="C61" s="61"/>
      <c r="D61" s="61"/>
      <c r="E61" s="61"/>
      <c r="F61" s="61"/>
      <c r="G61" s="138"/>
      <c r="H61" s="12"/>
      <c r="I61" s="12"/>
      <c r="J61" s="12"/>
      <c r="K61" s="12"/>
    </row>
    <row r="62" spans="2:11" ht="18" thickBot="1">
      <c r="B62" s="12"/>
      <c r="C62" s="12"/>
      <c r="D62" s="12"/>
      <c r="E62" s="12"/>
      <c r="F62" s="183" t="s">
        <v>73</v>
      </c>
      <c r="G62" s="288">
        <v>7.1999999999999995E-2</v>
      </c>
      <c r="H62" s="12"/>
      <c r="I62" s="12"/>
      <c r="J62" s="12"/>
      <c r="K62" s="12"/>
    </row>
    <row r="63" spans="2:11" ht="15.75" thickBot="1"/>
    <row r="64" spans="2:11" ht="18" thickBot="1">
      <c r="F64" s="183" t="s">
        <v>222</v>
      </c>
      <c r="G64" s="214">
        <f>1/G62</f>
        <v>13.888888888888889</v>
      </c>
    </row>
  </sheetData>
  <pageMargins left="0.25" right="0.25" top="0.75" bottom="0.75" header="0.3" footer="0.3"/>
  <pageSetup scale="72" fitToHeight="0" orientation="landscape" r:id="rId1"/>
  <rowBreaks count="1" manualBreakCount="1">
    <brk id="33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M72"/>
  <sheetViews>
    <sheetView view="pageBreakPreview" topLeftCell="A5" zoomScale="60" zoomScaleNormal="80" zoomScalePageLayoutView="70" workbookViewId="0">
      <pane xSplit="1" topLeftCell="B1" activePane="topRight" state="frozen"/>
      <selection activeCell="E9" sqref="E9"/>
      <selection pane="topRight" activeCell="F57" sqref="F57"/>
    </sheetView>
  </sheetViews>
  <sheetFormatPr defaultRowHeight="15"/>
  <cols>
    <col min="1" max="1" width="63" customWidth="1"/>
    <col min="2" max="2" width="11.5703125" bestFit="1" customWidth="1"/>
    <col min="3" max="3" width="20.42578125" bestFit="1" customWidth="1"/>
    <col min="4" max="4" width="25.5703125" bestFit="1" customWidth="1"/>
    <col min="5" max="5" width="28" customWidth="1"/>
    <col min="6" max="7" width="29.140625" customWidth="1"/>
    <col min="8" max="8" width="31.85546875" customWidth="1"/>
    <col min="9" max="9" width="31.5703125" customWidth="1"/>
    <col min="10" max="10" width="30.85546875" customWidth="1"/>
    <col min="11" max="11" width="12.85546875" customWidth="1"/>
    <col min="12" max="12" width="25.85546875" bestFit="1" customWidth="1"/>
    <col min="13" max="13" width="30.140625" bestFit="1" customWidth="1"/>
    <col min="14" max="14" width="9.140625" customWidth="1"/>
  </cols>
  <sheetData>
    <row r="1" spans="1:12" ht="26.25">
      <c r="A1" s="23" t="s">
        <v>1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2" ht="17.25">
      <c r="A2" s="24" t="s">
        <v>9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2" ht="16.5">
      <c r="A3" s="25" t="s">
        <v>412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16.5">
      <c r="A4" s="25"/>
      <c r="B4" s="12"/>
      <c r="C4" s="12"/>
      <c r="D4" s="12"/>
      <c r="E4" s="12"/>
      <c r="F4" s="181" t="s">
        <v>0</v>
      </c>
      <c r="G4" s="12"/>
      <c r="H4" s="12"/>
      <c r="I4" s="12"/>
      <c r="J4" s="12"/>
      <c r="K4" s="12"/>
    </row>
    <row r="5" spans="1:12" ht="16.5">
      <c r="B5" s="12"/>
      <c r="C5" s="12"/>
      <c r="D5" s="12"/>
      <c r="E5" s="26"/>
      <c r="F5" s="181" t="s">
        <v>0</v>
      </c>
      <c r="G5" s="12"/>
      <c r="H5" s="12"/>
      <c r="I5" s="12"/>
      <c r="J5" s="12"/>
      <c r="K5" s="12" t="s">
        <v>0</v>
      </c>
    </row>
    <row r="6" spans="1:12" ht="16.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2" ht="16.5">
      <c r="A7" s="12"/>
      <c r="B7" s="34"/>
      <c r="C7" s="34"/>
      <c r="D7" s="34"/>
      <c r="E7" s="34"/>
      <c r="F7" s="34"/>
      <c r="G7" s="14"/>
      <c r="H7" s="43"/>
      <c r="I7" s="43"/>
      <c r="J7" s="85"/>
      <c r="K7" s="85"/>
      <c r="L7" s="3"/>
    </row>
    <row r="8" spans="1:12" ht="16.5">
      <c r="A8" s="86"/>
      <c r="B8" s="34"/>
      <c r="C8" s="34"/>
      <c r="D8" s="34"/>
      <c r="E8" s="34"/>
      <c r="F8" s="34"/>
      <c r="G8" s="14"/>
      <c r="H8" s="43"/>
      <c r="I8" s="43"/>
      <c r="J8" s="85"/>
      <c r="K8" s="85"/>
      <c r="L8" s="3"/>
    </row>
    <row r="9" spans="1:12" ht="16.5">
      <c r="A9" s="86"/>
      <c r="B9" s="34"/>
      <c r="C9" s="34"/>
      <c r="D9" s="34"/>
      <c r="E9" s="34"/>
      <c r="F9" s="34"/>
      <c r="G9" s="14"/>
      <c r="H9" s="43"/>
      <c r="I9" s="43"/>
      <c r="J9" s="85"/>
      <c r="K9" s="85"/>
      <c r="L9" s="3"/>
    </row>
    <row r="10" spans="1:12" ht="16.5">
      <c r="A10" s="43"/>
      <c r="D10" s="43"/>
      <c r="E10" s="43"/>
      <c r="F10" s="43"/>
      <c r="G10" s="43"/>
      <c r="H10" s="43"/>
      <c r="I10" s="43"/>
      <c r="J10" s="43"/>
      <c r="K10" s="43"/>
      <c r="L10" s="2"/>
    </row>
    <row r="11" spans="1:12" ht="17.25" thickBot="1">
      <c r="A11" s="43"/>
      <c r="D11" s="43"/>
      <c r="E11" s="87"/>
      <c r="F11" s="28"/>
      <c r="G11" s="87"/>
      <c r="H11" s="43"/>
      <c r="I11" s="43"/>
      <c r="J11" s="43"/>
      <c r="K11" s="43"/>
      <c r="L11" s="2"/>
    </row>
    <row r="12" spans="1:12" ht="27" thickBot="1">
      <c r="A12" s="27" t="s">
        <v>375</v>
      </c>
      <c r="D12" s="43"/>
      <c r="E12" s="43"/>
      <c r="F12" s="31" t="s">
        <v>74</v>
      </c>
      <c r="G12" s="43"/>
      <c r="H12" s="43"/>
      <c r="I12" s="43"/>
      <c r="J12" s="43"/>
      <c r="K12" s="12"/>
    </row>
    <row r="13" spans="1:12" ht="21" thickBot="1">
      <c r="A13" s="30"/>
      <c r="D13" s="43"/>
      <c r="E13" s="87"/>
      <c r="F13" s="36" t="s">
        <v>413</v>
      </c>
      <c r="G13" s="87"/>
      <c r="H13" s="43"/>
      <c r="I13" s="43"/>
      <c r="J13" s="43"/>
      <c r="K13" s="12"/>
    </row>
    <row r="14" spans="1:12" ht="20.25">
      <c r="A14" s="30"/>
      <c r="B14" s="43"/>
      <c r="C14" s="43"/>
      <c r="D14" s="43"/>
      <c r="E14" s="43"/>
      <c r="F14" s="13" t="s">
        <v>0</v>
      </c>
      <c r="G14" s="43"/>
      <c r="H14" s="43"/>
      <c r="I14" s="43"/>
      <c r="J14" s="43"/>
      <c r="K14" s="12"/>
    </row>
    <row r="15" spans="1:12" ht="17.25" thickBot="1">
      <c r="A15" s="41" t="s">
        <v>0</v>
      </c>
      <c r="B15" s="41" t="s">
        <v>0</v>
      </c>
      <c r="C15" s="41" t="s">
        <v>0</v>
      </c>
      <c r="D15" s="41"/>
      <c r="E15" s="41"/>
      <c r="F15" s="41"/>
      <c r="G15" s="41" t="s">
        <v>0</v>
      </c>
      <c r="H15" s="87"/>
      <c r="I15" s="87"/>
      <c r="J15" s="87"/>
      <c r="K15" s="12"/>
    </row>
    <row r="16" spans="1:12" ht="17.25">
      <c r="A16" s="230"/>
      <c r="B16" s="231"/>
      <c r="C16" s="248"/>
      <c r="D16" s="215" t="s">
        <v>13</v>
      </c>
      <c r="E16" s="243" t="s">
        <v>13</v>
      </c>
      <c r="F16" s="215" t="s">
        <v>13</v>
      </c>
      <c r="G16" s="232" t="s">
        <v>231</v>
      </c>
      <c r="H16" s="359" t="s">
        <v>415</v>
      </c>
      <c r="I16" s="359" t="s">
        <v>415</v>
      </c>
      <c r="J16" s="359" t="s">
        <v>415</v>
      </c>
      <c r="K16" s="12"/>
    </row>
    <row r="17" spans="1:13" ht="17.25">
      <c r="A17" s="88" t="s">
        <v>0</v>
      </c>
      <c r="B17" s="89" t="s">
        <v>3</v>
      </c>
      <c r="C17" s="218" t="s">
        <v>5</v>
      </c>
      <c r="D17" s="91" t="s">
        <v>10</v>
      </c>
      <c r="E17" s="244" t="s">
        <v>10</v>
      </c>
      <c r="F17" s="91" t="s">
        <v>19</v>
      </c>
      <c r="G17" s="92" t="s">
        <v>415</v>
      </c>
      <c r="H17" s="89" t="s">
        <v>12</v>
      </c>
      <c r="I17" s="235" t="s">
        <v>11</v>
      </c>
      <c r="J17" s="93" t="s">
        <v>142</v>
      </c>
      <c r="K17" s="12"/>
    </row>
    <row r="18" spans="1:13" ht="17.25">
      <c r="A18" s="88" t="s">
        <v>2</v>
      </c>
      <c r="B18" s="89" t="s">
        <v>4</v>
      </c>
      <c r="C18" s="218" t="s">
        <v>6</v>
      </c>
      <c r="D18" s="91" t="s">
        <v>45</v>
      </c>
      <c r="E18" s="244" t="s">
        <v>46</v>
      </c>
      <c r="F18" s="91" t="s">
        <v>10</v>
      </c>
      <c r="G18" s="92" t="s">
        <v>10</v>
      </c>
      <c r="H18" s="89" t="s">
        <v>72</v>
      </c>
      <c r="I18" s="245"/>
      <c r="J18" s="93" t="s">
        <v>232</v>
      </c>
      <c r="K18" s="12" t="s">
        <v>0</v>
      </c>
    </row>
    <row r="19" spans="1:13" ht="18" thickBot="1">
      <c r="A19" s="94" t="s">
        <v>0</v>
      </c>
      <c r="B19" s="95" t="s">
        <v>0</v>
      </c>
      <c r="C19" s="111" t="s">
        <v>0</v>
      </c>
      <c r="D19" s="95" t="s">
        <v>0</v>
      </c>
      <c r="E19" s="96" t="s">
        <v>0</v>
      </c>
      <c r="F19" s="95" t="s">
        <v>0</v>
      </c>
      <c r="G19" s="96" t="s">
        <v>0</v>
      </c>
      <c r="H19" s="97" t="s">
        <v>61</v>
      </c>
      <c r="I19" s="98" t="s">
        <v>60</v>
      </c>
      <c r="J19" s="97" t="s">
        <v>60</v>
      </c>
      <c r="K19" s="12"/>
    </row>
    <row r="20" spans="1:13" ht="17.25" thickBot="1">
      <c r="A20" s="270" t="s">
        <v>7</v>
      </c>
      <c r="B20" s="250" t="s">
        <v>7</v>
      </c>
      <c r="C20" s="280" t="s">
        <v>7</v>
      </c>
      <c r="D20" s="280" t="s">
        <v>7</v>
      </c>
      <c r="E20" s="280" t="s">
        <v>7</v>
      </c>
      <c r="F20" s="250"/>
      <c r="G20" s="271" t="s">
        <v>7</v>
      </c>
      <c r="H20" s="282" t="s">
        <v>8</v>
      </c>
      <c r="I20" s="363" t="s">
        <v>8</v>
      </c>
      <c r="J20" s="250" t="s">
        <v>8</v>
      </c>
      <c r="K20" s="12"/>
    </row>
    <row r="21" spans="1:13" ht="17.25">
      <c r="A21" s="88"/>
      <c r="B21" s="89"/>
      <c r="C21" s="218"/>
      <c r="D21" s="89"/>
      <c r="E21" s="90"/>
      <c r="F21" s="89"/>
      <c r="G21" s="90"/>
      <c r="H21" s="231"/>
      <c r="I21" s="364"/>
      <c r="J21" s="101"/>
      <c r="K21" s="12"/>
    </row>
    <row r="22" spans="1:13" ht="17.25">
      <c r="A22" s="102" t="s">
        <v>290</v>
      </c>
      <c r="B22" s="89" t="s">
        <v>291</v>
      </c>
      <c r="C22" s="218" t="s">
        <v>302</v>
      </c>
      <c r="D22" s="104">
        <v>87.5</v>
      </c>
      <c r="E22" s="58">
        <v>76.03</v>
      </c>
      <c r="F22" s="104">
        <f>AVERAGE(D22,E22)</f>
        <v>81.765000000000001</v>
      </c>
      <c r="G22" s="58">
        <v>77.72</v>
      </c>
      <c r="H22" s="360">
        <v>38151027</v>
      </c>
      <c r="I22" s="365"/>
      <c r="J22" s="311">
        <f>640382000+385000</f>
        <v>640767000</v>
      </c>
      <c r="K22" s="12"/>
    </row>
    <row r="23" spans="1:13" ht="17.25">
      <c r="A23" s="102" t="s">
        <v>292</v>
      </c>
      <c r="B23" s="89" t="s">
        <v>293</v>
      </c>
      <c r="C23" s="218" t="s">
        <v>302</v>
      </c>
      <c r="D23" s="104">
        <v>142.97</v>
      </c>
      <c r="E23" s="58">
        <v>122.71</v>
      </c>
      <c r="F23" s="104">
        <f t="shared" ref="F23:F27" si="0">AVERAGE(D23,E23)</f>
        <v>132.84</v>
      </c>
      <c r="G23" s="58">
        <v>124.49</v>
      </c>
      <c r="H23" s="361">
        <f>200371701-5451216</f>
        <v>194920485</v>
      </c>
      <c r="I23" s="365">
        <v>3000000</v>
      </c>
      <c r="J23" s="312">
        <f>12518000000+637000000</f>
        <v>13155000000</v>
      </c>
      <c r="K23" s="12"/>
    </row>
    <row r="24" spans="1:13" ht="17.25">
      <c r="A24" s="102" t="s">
        <v>294</v>
      </c>
      <c r="B24" s="93" t="s">
        <v>295</v>
      </c>
      <c r="C24" s="218" t="s">
        <v>302</v>
      </c>
      <c r="D24" s="104">
        <v>54.75</v>
      </c>
      <c r="E24" s="58">
        <v>44.39</v>
      </c>
      <c r="F24" s="104">
        <f t="shared" ref="F24" si="1">AVERAGE(D24,E24)</f>
        <v>49.57</v>
      </c>
      <c r="G24" s="58">
        <v>45.33</v>
      </c>
      <c r="H24" s="311">
        <v>59484000</v>
      </c>
      <c r="I24" s="365"/>
      <c r="J24" s="311">
        <f>1104571000+72422000</f>
        <v>1176993000</v>
      </c>
      <c r="K24" s="12"/>
      <c r="L24" t="s">
        <v>0</v>
      </c>
    </row>
    <row r="25" spans="1:13" ht="17.25">
      <c r="A25" s="249" t="s">
        <v>296</v>
      </c>
      <c r="B25" s="93" t="s">
        <v>297</v>
      </c>
      <c r="C25" s="218" t="s">
        <v>302</v>
      </c>
      <c r="D25" s="104">
        <v>41.05</v>
      </c>
      <c r="E25" s="58">
        <v>35.770000000000003</v>
      </c>
      <c r="F25" s="104">
        <f t="shared" si="0"/>
        <v>38.409999999999997</v>
      </c>
      <c r="G25" s="58">
        <v>36.32</v>
      </c>
      <c r="H25" s="311">
        <f>278209660-3386069</f>
        <v>274823591</v>
      </c>
      <c r="I25" s="365"/>
      <c r="J25" s="313">
        <f>7416289000+142807000</f>
        <v>7559096000</v>
      </c>
      <c r="K25" s="12"/>
    </row>
    <row r="26" spans="1:13" ht="17.25">
      <c r="A26" s="105" t="s">
        <v>298</v>
      </c>
      <c r="B26" s="93" t="s">
        <v>299</v>
      </c>
      <c r="C26" s="218" t="s">
        <v>302</v>
      </c>
      <c r="D26" s="104">
        <v>70.73</v>
      </c>
      <c r="E26" s="58">
        <v>50.88</v>
      </c>
      <c r="F26" s="104">
        <f t="shared" si="0"/>
        <v>60.805000000000007</v>
      </c>
      <c r="G26" s="58">
        <v>52.63</v>
      </c>
      <c r="H26" s="314">
        <v>17887000</v>
      </c>
      <c r="I26" s="365">
        <v>1635000</v>
      </c>
      <c r="J26" s="314">
        <f>352822000+7711000</f>
        <v>360533000</v>
      </c>
      <c r="K26" s="12"/>
    </row>
    <row r="27" spans="1:13" ht="18" thickBot="1">
      <c r="A27" s="275" t="s">
        <v>300</v>
      </c>
      <c r="B27" s="95" t="s">
        <v>301</v>
      </c>
      <c r="C27" s="111" t="s">
        <v>302</v>
      </c>
      <c r="D27" s="316">
        <v>60.56</v>
      </c>
      <c r="E27" s="317">
        <v>48</v>
      </c>
      <c r="F27" s="316">
        <f t="shared" si="0"/>
        <v>54.28</v>
      </c>
      <c r="G27" s="317">
        <v>49.22</v>
      </c>
      <c r="H27" s="362">
        <v>33629169</v>
      </c>
      <c r="I27" s="366"/>
      <c r="J27" s="315">
        <f>1706904000+3648000</f>
        <v>1710552000</v>
      </c>
      <c r="K27" s="12"/>
      <c r="M27" s="10" t="s">
        <v>0</v>
      </c>
    </row>
    <row r="28" spans="1:13" ht="17.2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2"/>
    </row>
    <row r="29" spans="1:13" ht="17.25">
      <c r="A29" s="106"/>
      <c r="B29" s="106"/>
      <c r="C29" s="106"/>
      <c r="D29" s="106"/>
      <c r="E29" s="106"/>
      <c r="F29" s="106"/>
      <c r="G29" s="106"/>
      <c r="H29" s="106"/>
      <c r="I29" s="106"/>
      <c r="J29" s="106" t="s">
        <v>0</v>
      </c>
      <c r="K29" s="12"/>
    </row>
    <row r="30" spans="1:13" ht="18" thickBot="1">
      <c r="A30" s="107" t="s">
        <v>0</v>
      </c>
      <c r="B30" s="108"/>
      <c r="C30" s="108"/>
      <c r="D30" s="108"/>
      <c r="E30" s="108"/>
      <c r="F30" s="28"/>
      <c r="G30" s="108"/>
      <c r="H30" s="108"/>
      <c r="I30" s="108"/>
      <c r="J30" s="106"/>
      <c r="K30" s="106"/>
      <c r="L30" s="4"/>
    </row>
    <row r="31" spans="1:13" ht="17.25">
      <c r="A31" s="88"/>
      <c r="B31" s="231"/>
      <c r="C31" s="90"/>
      <c r="D31" s="359" t="s">
        <v>415</v>
      </c>
      <c r="E31" s="109" t="s">
        <v>415</v>
      </c>
      <c r="F31" s="359" t="s">
        <v>415</v>
      </c>
      <c r="G31" s="109" t="s">
        <v>415</v>
      </c>
      <c r="H31" s="359" t="s">
        <v>415</v>
      </c>
      <c r="I31" s="109" t="s">
        <v>415</v>
      </c>
      <c r="J31" s="359" t="s">
        <v>415</v>
      </c>
      <c r="K31" s="12"/>
      <c r="L31" s="5"/>
    </row>
    <row r="32" spans="1:13" ht="17.25">
      <c r="A32" s="88" t="s">
        <v>0</v>
      </c>
      <c r="B32" s="89" t="s">
        <v>3</v>
      </c>
      <c r="C32" s="90" t="s">
        <v>5</v>
      </c>
      <c r="D32" s="89" t="s">
        <v>12</v>
      </c>
      <c r="E32" s="103" t="s">
        <v>141</v>
      </c>
      <c r="F32" s="93" t="s">
        <v>269</v>
      </c>
      <c r="G32" s="90" t="s">
        <v>198</v>
      </c>
      <c r="H32" s="93" t="s">
        <v>16</v>
      </c>
      <c r="I32" s="103" t="s">
        <v>17</v>
      </c>
      <c r="J32" s="93" t="s">
        <v>51</v>
      </c>
      <c r="K32" s="12"/>
      <c r="L32" s="5"/>
    </row>
    <row r="33" spans="1:12" ht="18" thickBot="1">
      <c r="A33" s="94" t="s">
        <v>2</v>
      </c>
      <c r="B33" s="95" t="s">
        <v>4</v>
      </c>
      <c r="C33" s="96" t="s">
        <v>6</v>
      </c>
      <c r="D33" s="95" t="s">
        <v>14</v>
      </c>
      <c r="E33" s="96" t="s">
        <v>14</v>
      </c>
      <c r="F33" s="95" t="s">
        <v>282</v>
      </c>
      <c r="G33" s="96" t="s">
        <v>14</v>
      </c>
      <c r="H33" s="95" t="s">
        <v>350</v>
      </c>
      <c r="I33" s="96" t="s">
        <v>0</v>
      </c>
      <c r="J33" s="95" t="s">
        <v>351</v>
      </c>
      <c r="K33" s="12"/>
      <c r="L33" s="1"/>
    </row>
    <row r="34" spans="1:12" ht="16.5">
      <c r="A34" s="99" t="s">
        <v>7</v>
      </c>
      <c r="B34" s="100" t="s">
        <v>7</v>
      </c>
      <c r="C34" s="42" t="s">
        <v>7</v>
      </c>
      <c r="D34" s="100" t="s">
        <v>15</v>
      </c>
      <c r="E34" s="42" t="s">
        <v>8</v>
      </c>
      <c r="F34" s="100" t="s">
        <v>8</v>
      </c>
      <c r="G34" s="42" t="s">
        <v>8</v>
      </c>
      <c r="H34" s="100" t="s">
        <v>15</v>
      </c>
      <c r="I34" s="42" t="s">
        <v>15</v>
      </c>
      <c r="J34" s="100" t="s">
        <v>15</v>
      </c>
      <c r="K34" s="12"/>
      <c r="L34" s="5"/>
    </row>
    <row r="35" spans="1:12" ht="17.25">
      <c r="A35" s="88"/>
      <c r="B35" s="89"/>
      <c r="C35" s="90"/>
      <c r="D35" s="383"/>
      <c r="E35" s="106"/>
      <c r="F35" s="383"/>
      <c r="G35" s="106"/>
      <c r="H35" s="101"/>
      <c r="I35" s="61"/>
      <c r="J35" s="101"/>
      <c r="K35" s="12"/>
      <c r="L35" s="4"/>
    </row>
    <row r="36" spans="1:12" ht="17.25">
      <c r="A36" s="102" t="str">
        <f t="shared" ref="A36:C41" si="2">+A22</f>
        <v>American States Water Company</v>
      </c>
      <c r="B36" s="89" t="str">
        <f t="shared" si="2"/>
        <v>AWR</v>
      </c>
      <c r="C36" s="90" t="str">
        <f t="shared" si="2"/>
        <v>Water Utility</v>
      </c>
      <c r="D36" s="384">
        <f t="shared" ref="D36:D41" si="3">(+H22)*G22</f>
        <v>2965097818.4400001</v>
      </c>
      <c r="E36" s="283">
        <f t="shared" ref="E36:E41" si="4">(1/1)*I22</f>
        <v>0</v>
      </c>
      <c r="F36" s="384">
        <v>8000000</v>
      </c>
      <c r="G36" s="365">
        <f>(608184/643893)*J22</f>
        <v>605231361.62064195</v>
      </c>
      <c r="H36" s="311">
        <f>+D36+E36+F36+G36</f>
        <v>3578329180.0606422</v>
      </c>
      <c r="I36" s="114">
        <f t="shared" ref="I36:I41" si="5">(+D36)/H36</f>
        <v>0.82862634185873041</v>
      </c>
      <c r="J36" s="386">
        <f>(+E36+F36+G36)/H36</f>
        <v>0.17137365814126956</v>
      </c>
      <c r="K36" s="12"/>
      <c r="L36" s="4"/>
    </row>
    <row r="37" spans="1:12" ht="17.25">
      <c r="A37" s="102" t="str">
        <f t="shared" si="2"/>
        <v>American Water Works Company Inc</v>
      </c>
      <c r="B37" s="89" t="str">
        <f t="shared" si="2"/>
        <v>AWK</v>
      </c>
      <c r="C37" s="90" t="str">
        <f t="shared" si="2"/>
        <v>Water Utility</v>
      </c>
      <c r="D37" s="384">
        <f t="shared" si="3"/>
        <v>24265651177.649998</v>
      </c>
      <c r="E37" s="113">
        <f t="shared" si="4"/>
        <v>3000000</v>
      </c>
      <c r="F37" s="384">
        <v>89000000</v>
      </c>
      <c r="G37" s="365">
        <f>(11873000000/13155000000)*J23</f>
        <v>11873000000</v>
      </c>
      <c r="H37" s="311">
        <f>+D37+E37+F37+G37</f>
        <v>36230651177.649994</v>
      </c>
      <c r="I37" s="114">
        <f t="shared" si="5"/>
        <v>0.6697547625812208</v>
      </c>
      <c r="J37" s="386">
        <f t="shared" ref="J37:J41" si="6">(+E37+F37+G37)/H37</f>
        <v>0.33024523741877937</v>
      </c>
      <c r="K37" s="12"/>
      <c r="L37" s="4"/>
    </row>
    <row r="38" spans="1:12" ht="17.25">
      <c r="A38" s="102" t="str">
        <f t="shared" si="2"/>
        <v xml:space="preserve">California Water Service Group </v>
      </c>
      <c r="B38" s="89" t="str">
        <f t="shared" si="2"/>
        <v>CWT</v>
      </c>
      <c r="C38" s="90" t="str">
        <f t="shared" si="2"/>
        <v>Water Utility</v>
      </c>
      <c r="D38" s="384">
        <f>(+H24)*G24</f>
        <v>2696409720</v>
      </c>
      <c r="E38" s="113">
        <f t="shared" si="4"/>
        <v>0</v>
      </c>
      <c r="F38" s="384">
        <v>13301000</v>
      </c>
      <c r="G38" s="365">
        <f>(998401/1176993)*J24</f>
        <v>998401000</v>
      </c>
      <c r="H38" s="311">
        <f t="shared" ref="H38" si="7">+D38+E38+F38+G38</f>
        <v>3708111720</v>
      </c>
      <c r="I38" s="114">
        <f>(+D38)/H38</f>
        <v>0.72716517829187732</v>
      </c>
      <c r="J38" s="386">
        <f t="shared" ref="J38" si="8">(+E38+F38+G38)/H38</f>
        <v>0.27283482170812262</v>
      </c>
      <c r="K38" s="12"/>
      <c r="L38" s="4"/>
    </row>
    <row r="39" spans="1:12" ht="17.25">
      <c r="A39" s="102" t="str">
        <f t="shared" si="2"/>
        <v>Essential Utilities, Inc.</v>
      </c>
      <c r="B39" s="89" t="str">
        <f t="shared" si="2"/>
        <v>WTRG</v>
      </c>
      <c r="C39" s="90" t="str">
        <f t="shared" si="2"/>
        <v>Water Utility</v>
      </c>
      <c r="D39" s="384">
        <f t="shared" si="3"/>
        <v>9981592825.1200008</v>
      </c>
      <c r="E39" s="113">
        <f t="shared" si="4"/>
        <v>0</v>
      </c>
      <c r="F39" s="384">
        <v>31263000</v>
      </c>
      <c r="G39" s="365">
        <f>(6431777/7559096)*J25</f>
        <v>6431777000</v>
      </c>
      <c r="H39" s="311">
        <f t="shared" ref="H39:H41" si="9">+D39+E39+F39+G39</f>
        <v>16444632825.120001</v>
      </c>
      <c r="I39" s="114">
        <f t="shared" si="5"/>
        <v>0.60698179954937137</v>
      </c>
      <c r="J39" s="386">
        <f t="shared" si="6"/>
        <v>0.39301820045062863</v>
      </c>
      <c r="K39" s="12"/>
      <c r="L39" s="4"/>
    </row>
    <row r="40" spans="1:12" ht="17.25">
      <c r="A40" s="102" t="str">
        <f t="shared" si="2"/>
        <v>Middlesex Water Company</v>
      </c>
      <c r="B40" s="89" t="str">
        <f t="shared" si="2"/>
        <v>MSEX</v>
      </c>
      <c r="C40" s="90" t="str">
        <f t="shared" si="2"/>
        <v>Water Utility</v>
      </c>
      <c r="D40" s="384">
        <f t="shared" si="3"/>
        <v>941392810</v>
      </c>
      <c r="E40" s="113">
        <f t="shared" si="4"/>
        <v>1635000</v>
      </c>
      <c r="F40" s="384">
        <v>2600000</v>
      </c>
      <c r="G40" s="365">
        <f>(125067/129602)*J26</f>
        <v>347917321.57682753</v>
      </c>
      <c r="H40" s="311">
        <f t="shared" si="9"/>
        <v>1293545131.5768275</v>
      </c>
      <c r="I40" s="114">
        <f t="shared" si="5"/>
        <v>0.72776185926535475</v>
      </c>
      <c r="J40" s="386">
        <f t="shared" si="6"/>
        <v>0.2722381407346452</v>
      </c>
      <c r="K40" s="12"/>
      <c r="L40" s="4"/>
    </row>
    <row r="41" spans="1:12" ht="17.25">
      <c r="A41" s="102" t="str">
        <f t="shared" si="2"/>
        <v>SJW Corporation</v>
      </c>
      <c r="B41" s="89" t="str">
        <f t="shared" si="2"/>
        <v>SJW</v>
      </c>
      <c r="C41" s="90" t="str">
        <f t="shared" si="2"/>
        <v>Water Utility</v>
      </c>
      <c r="D41" s="384">
        <f t="shared" si="3"/>
        <v>1655227698.1800001</v>
      </c>
      <c r="E41" s="113">
        <f t="shared" si="4"/>
        <v>0</v>
      </c>
      <c r="F41" s="384">
        <v>0</v>
      </c>
      <c r="G41" s="365">
        <v>1490024000</v>
      </c>
      <c r="H41" s="311">
        <f t="shared" si="9"/>
        <v>3145251698.1800003</v>
      </c>
      <c r="I41" s="114">
        <f t="shared" si="5"/>
        <v>0.52626239710411649</v>
      </c>
      <c r="J41" s="386">
        <f t="shared" si="6"/>
        <v>0.47373760289588346</v>
      </c>
      <c r="K41" s="12"/>
      <c r="L41" s="4"/>
    </row>
    <row r="42" spans="1:12" ht="18" thickBot="1">
      <c r="A42" s="115"/>
      <c r="B42" s="385"/>
      <c r="C42" s="108"/>
      <c r="D42" s="385"/>
      <c r="E42" s="108"/>
      <c r="F42" s="385"/>
      <c r="G42" s="108"/>
      <c r="H42" s="385"/>
      <c r="I42" s="108"/>
      <c r="J42" s="385"/>
      <c r="K42" s="12"/>
    </row>
    <row r="43" spans="1:12" ht="17.25">
      <c r="A43" s="12"/>
      <c r="B43" s="12"/>
      <c r="C43" s="12"/>
      <c r="D43" s="12"/>
      <c r="E43" s="12"/>
      <c r="F43" s="12"/>
      <c r="G43" s="12"/>
      <c r="H43" s="117" t="s">
        <v>45</v>
      </c>
      <c r="I43" s="120">
        <f>MAX(I36:I41)</f>
        <v>0.82862634185873041</v>
      </c>
      <c r="J43" s="120">
        <f>MAX(J36:J41)</f>
        <v>0.47373760289588346</v>
      </c>
      <c r="K43" s="12"/>
    </row>
    <row r="44" spans="1:12" ht="17.25">
      <c r="E44" s="12" t="s">
        <v>0</v>
      </c>
      <c r="G44" s="12" t="s">
        <v>0</v>
      </c>
      <c r="H44" s="367" t="s">
        <v>46</v>
      </c>
      <c r="I44" s="368">
        <f>MIN(I36:I41)</f>
        <v>0.52626239710411649</v>
      </c>
      <c r="J44" s="368">
        <f>MIN(J36:J41)</f>
        <v>0.17137365814126956</v>
      </c>
      <c r="K44" s="12"/>
    </row>
    <row r="45" spans="1:12" ht="17.25">
      <c r="E45" s="118"/>
      <c r="F45" s="284" t="s">
        <v>0</v>
      </c>
      <c r="G45" s="12" t="s">
        <v>0</v>
      </c>
      <c r="H45" s="14" t="s">
        <v>18</v>
      </c>
      <c r="I45" s="119">
        <f>MEDIAN(I36:I41)</f>
        <v>0.69845997043654906</v>
      </c>
      <c r="J45" s="120">
        <f>MEDIAN(J36:J41)</f>
        <v>0.301540029563451</v>
      </c>
      <c r="K45" s="12"/>
    </row>
    <row r="46" spans="1:12" ht="17.25">
      <c r="E46" s="285" t="s">
        <v>0</v>
      </c>
      <c r="F46" s="284" t="s">
        <v>0</v>
      </c>
      <c r="G46" s="12" t="s">
        <v>0</v>
      </c>
      <c r="H46" s="14" t="s">
        <v>374</v>
      </c>
      <c r="I46" s="119">
        <f>AVERAGE(I36:I41)</f>
        <v>0.6810920564417785</v>
      </c>
      <c r="J46" s="120">
        <f>AVERAGE(J36:J41)</f>
        <v>0.3189079435582215</v>
      </c>
      <c r="K46" s="12"/>
    </row>
    <row r="47" spans="1:12" ht="18" thickBot="1">
      <c r="E47" s="118"/>
      <c r="G47" s="12"/>
      <c r="H47" s="12"/>
      <c r="I47" s="61"/>
      <c r="J47" s="61"/>
      <c r="K47" s="12"/>
    </row>
    <row r="48" spans="1:12" ht="27" thickBot="1">
      <c r="E48" s="118"/>
      <c r="G48" s="12"/>
      <c r="H48" s="182" t="s">
        <v>200</v>
      </c>
      <c r="I48" s="286">
        <v>0.68</v>
      </c>
      <c r="J48" s="287">
        <v>0.32</v>
      </c>
      <c r="K48" s="12"/>
    </row>
    <row r="49" spans="1:11" ht="17.25">
      <c r="E49" s="118"/>
      <c r="F49" s="12"/>
      <c r="G49" s="12"/>
      <c r="H49" s="12"/>
      <c r="I49" s="61"/>
      <c r="J49" s="61" t="s">
        <v>0</v>
      </c>
      <c r="K49" s="12"/>
    </row>
    <row r="50" spans="1:11" ht="16.5">
      <c r="E50" s="118"/>
      <c r="F50" s="12"/>
      <c r="G50" s="12"/>
      <c r="H50" s="12"/>
      <c r="I50" s="12"/>
      <c r="J50" s="12"/>
      <c r="K50" s="12"/>
    </row>
    <row r="51" spans="1:11" ht="16.5">
      <c r="E51" s="118"/>
      <c r="F51" s="12"/>
      <c r="G51" s="12"/>
      <c r="H51" s="12"/>
      <c r="I51" s="12"/>
      <c r="J51" s="12"/>
      <c r="K51" s="12"/>
    </row>
    <row r="52" spans="1:11" ht="26.25">
      <c r="A52" s="22" t="s">
        <v>71</v>
      </c>
      <c r="B52" s="12"/>
      <c r="C52" s="75"/>
      <c r="D52" s="122"/>
      <c r="E52" s="118"/>
      <c r="F52" s="12"/>
      <c r="G52" s="12"/>
      <c r="H52" s="12"/>
      <c r="I52" s="12"/>
      <c r="J52" s="12"/>
      <c r="K52" s="12"/>
    </row>
    <row r="53" spans="1:11" ht="16.5">
      <c r="A53" s="86" t="s">
        <v>54</v>
      </c>
      <c r="B53" s="12"/>
      <c r="C53" s="75"/>
      <c r="D53" s="122"/>
      <c r="E53" s="118"/>
      <c r="F53" s="12"/>
      <c r="G53" s="12"/>
      <c r="H53" s="12"/>
      <c r="I53" s="12"/>
      <c r="J53" s="12"/>
      <c r="K53" s="12"/>
    </row>
    <row r="54" spans="1:11" ht="16.5">
      <c r="A54" s="12" t="s">
        <v>145</v>
      </c>
    </row>
    <row r="55" spans="1:11" ht="16.5">
      <c r="A55" s="12" t="s">
        <v>143</v>
      </c>
    </row>
    <row r="56" spans="1:11" ht="16.5">
      <c r="A56" s="12" t="s">
        <v>144</v>
      </c>
    </row>
    <row r="57" spans="1:11" ht="16.5">
      <c r="A57" s="12" t="s">
        <v>287</v>
      </c>
    </row>
    <row r="58" spans="1:11" ht="16.5">
      <c r="A58" s="12" t="s">
        <v>339</v>
      </c>
    </row>
    <row r="59" spans="1:11" ht="16.5">
      <c r="A59" s="181" t="s">
        <v>478</v>
      </c>
    </row>
    <row r="61" spans="1:11" ht="26.25">
      <c r="A61" s="247" t="s">
        <v>288</v>
      </c>
    </row>
    <row r="62" spans="1:11" ht="17.25" customHeight="1">
      <c r="A62" s="246"/>
    </row>
    <row r="63" spans="1:11" ht="17.25">
      <c r="A63" s="138" t="s">
        <v>0</v>
      </c>
    </row>
    <row r="64" spans="1:11" ht="16.5">
      <c r="A64" s="12"/>
    </row>
    <row r="65" spans="1:1" ht="16.5">
      <c r="A65" s="12"/>
    </row>
    <row r="66" spans="1:1" ht="16.5">
      <c r="A66" s="12"/>
    </row>
    <row r="67" spans="1:1" ht="26.25">
      <c r="A67" s="247" t="s">
        <v>289</v>
      </c>
    </row>
    <row r="68" spans="1:1" ht="20.25" customHeight="1">
      <c r="A68" s="246"/>
    </row>
    <row r="69" spans="1:1" ht="17.25">
      <c r="A69" s="138" t="s">
        <v>0</v>
      </c>
    </row>
    <row r="70" spans="1:1" ht="17.25">
      <c r="A70" s="138" t="s">
        <v>0</v>
      </c>
    </row>
    <row r="71" spans="1:1" ht="16.5">
      <c r="A71" s="12"/>
    </row>
    <row r="72" spans="1:1" ht="16.5">
      <c r="A72" s="12"/>
    </row>
  </sheetData>
  <pageMargins left="0.25" right="0.25" top="0.75" bottom="0.75" header="0.3" footer="0.3"/>
  <pageSetup scale="39" orientation="landscape" r:id="rId1"/>
  <rowBreaks count="1" manualBreakCount="1">
    <brk id="48" max="11" man="1"/>
  </rowBreaks>
  <colBreaks count="1" manualBreakCount="1">
    <brk id="11" max="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FF50-7DB7-41D1-AD2F-655311479817}">
  <sheetPr>
    <tabColor rgb="FF92D050"/>
    <pageSetUpPr fitToPage="1"/>
  </sheetPr>
  <dimension ref="A1:J58"/>
  <sheetViews>
    <sheetView view="pageBreakPreview" topLeftCell="A20" zoomScale="70" zoomScaleNormal="80" zoomScaleSheetLayoutView="70" zoomScalePageLayoutView="70" workbookViewId="0">
      <pane xSplit="1" topLeftCell="B1" activePane="topRight" state="frozen"/>
      <selection activeCell="I6" sqref="I6"/>
      <selection pane="topRight" activeCell="E29" sqref="E29"/>
    </sheetView>
  </sheetViews>
  <sheetFormatPr defaultRowHeight="15"/>
  <cols>
    <col min="1" max="1" width="62.42578125" customWidth="1"/>
    <col min="2" max="2" width="11.5703125" bestFit="1" customWidth="1"/>
    <col min="3" max="3" width="20.42578125" bestFit="1" customWidth="1"/>
    <col min="4" max="4" width="30.140625" customWidth="1"/>
    <col min="5" max="5" width="28" customWidth="1"/>
    <col min="6" max="6" width="29.140625" customWidth="1"/>
    <col min="7" max="7" width="23.42578125" customWidth="1"/>
    <col min="8" max="8" width="12.85546875" customWidth="1"/>
    <col min="9" max="9" width="25.85546875" bestFit="1" customWidth="1"/>
    <col min="10" max="10" width="30.140625" bestFit="1" customWidth="1"/>
    <col min="11" max="11" width="9.140625" customWidth="1"/>
  </cols>
  <sheetData>
    <row r="1" spans="1:9" ht="26.25">
      <c r="A1" s="23" t="s">
        <v>1</v>
      </c>
      <c r="B1" s="12"/>
      <c r="C1" s="12"/>
      <c r="D1" s="12"/>
      <c r="E1" s="12"/>
      <c r="F1" s="12"/>
      <c r="G1" s="12"/>
      <c r="H1" s="12"/>
    </row>
    <row r="2" spans="1:9" ht="17.25">
      <c r="A2" s="24" t="s">
        <v>9</v>
      </c>
      <c r="B2" s="12"/>
      <c r="C2" s="12"/>
      <c r="D2" s="12"/>
      <c r="E2" s="12"/>
      <c r="F2" s="12"/>
      <c r="G2" s="12"/>
      <c r="H2" s="12"/>
    </row>
    <row r="3" spans="1:9" ht="16.5">
      <c r="A3" s="25" t="s">
        <v>412</v>
      </c>
      <c r="B3" s="12"/>
      <c r="C3" s="12"/>
      <c r="D3" s="12"/>
      <c r="E3" s="12"/>
      <c r="F3" s="12"/>
      <c r="G3" s="12"/>
      <c r="H3" s="12"/>
    </row>
    <row r="4" spans="1:9" ht="16.5">
      <c r="A4" s="25"/>
      <c r="B4" s="12"/>
      <c r="C4" s="12"/>
      <c r="D4" s="12"/>
      <c r="E4" s="12"/>
      <c r="F4" s="181" t="s">
        <v>0</v>
      </c>
      <c r="G4" s="12"/>
      <c r="H4" s="12"/>
    </row>
    <row r="5" spans="1:9" ht="16.5">
      <c r="B5" s="12"/>
      <c r="C5" s="12"/>
      <c r="D5" s="12"/>
      <c r="E5" s="26"/>
      <c r="F5" s="181" t="s">
        <v>0</v>
      </c>
      <c r="G5" s="12"/>
      <c r="H5" s="12" t="s">
        <v>0</v>
      </c>
    </row>
    <row r="6" spans="1:9" ht="16.5">
      <c r="A6" s="86"/>
      <c r="B6" s="34"/>
      <c r="C6" s="34"/>
      <c r="D6" s="34"/>
      <c r="E6" s="34"/>
      <c r="F6" s="34"/>
      <c r="G6" s="14"/>
      <c r="H6" s="85"/>
      <c r="I6" s="3"/>
    </row>
    <row r="7" spans="1:9" ht="16.5">
      <c r="A7" s="43"/>
      <c r="B7" s="43"/>
      <c r="C7" s="43"/>
      <c r="D7" s="43"/>
      <c r="E7" s="43"/>
      <c r="F7" s="43"/>
      <c r="G7" s="43"/>
      <c r="H7" s="43"/>
      <c r="I7" s="2"/>
    </row>
    <row r="8" spans="1:9" ht="17.25" thickBot="1">
      <c r="A8" s="43"/>
      <c r="B8" s="43"/>
      <c r="C8" s="43"/>
      <c r="D8" s="87"/>
      <c r="E8" s="28"/>
      <c r="F8" s="87"/>
      <c r="H8" s="43"/>
      <c r="I8" s="2"/>
    </row>
    <row r="9" spans="1:9" ht="27" thickBot="1">
      <c r="A9" s="27" t="str">
        <f>+'S&amp;D'!A12</f>
        <v>Water Utility Companies (Private)</v>
      </c>
      <c r="B9" s="43"/>
      <c r="C9" s="43"/>
      <c r="D9" s="43"/>
      <c r="E9" s="31" t="s">
        <v>280</v>
      </c>
      <c r="F9" s="43"/>
      <c r="H9" s="12"/>
    </row>
    <row r="10" spans="1:9" ht="21" thickBot="1">
      <c r="A10" s="30"/>
      <c r="B10" s="43"/>
      <c r="C10" s="43"/>
      <c r="D10" s="87"/>
      <c r="E10" s="36" t="s">
        <v>413</v>
      </c>
      <c r="F10" s="87"/>
      <c r="H10" s="12"/>
    </row>
    <row r="11" spans="1:9" ht="20.25">
      <c r="A11" s="30"/>
      <c r="B11" s="43"/>
      <c r="C11" s="43"/>
      <c r="D11" s="43"/>
      <c r="E11" s="34"/>
      <c r="F11" s="43"/>
      <c r="H11" s="12"/>
    </row>
    <row r="12" spans="1:9" ht="20.25">
      <c r="A12" s="30"/>
      <c r="B12" s="43"/>
      <c r="C12" s="43"/>
      <c r="D12" s="43"/>
      <c r="E12" s="34"/>
      <c r="F12" s="43"/>
      <c r="H12" s="12"/>
    </row>
    <row r="13" spans="1:9" ht="16.5">
      <c r="B13" s="43"/>
      <c r="C13" s="43"/>
      <c r="D13" s="43"/>
      <c r="E13" s="34"/>
      <c r="F13" s="43"/>
      <c r="H13" s="12"/>
    </row>
    <row r="14" spans="1:9" ht="20.25">
      <c r="A14" s="30"/>
      <c r="B14" s="43"/>
      <c r="C14" s="43"/>
      <c r="D14" s="43"/>
      <c r="E14" s="13" t="s">
        <v>0</v>
      </c>
      <c r="F14" s="43"/>
      <c r="H14" s="12"/>
    </row>
    <row r="15" spans="1:9" ht="17.25" thickBot="1">
      <c r="A15" s="41" t="s">
        <v>0</v>
      </c>
      <c r="B15" s="41" t="s">
        <v>0</v>
      </c>
      <c r="C15" s="41" t="s">
        <v>0</v>
      </c>
      <c r="D15" s="41"/>
      <c r="E15" s="41"/>
      <c r="F15" s="41"/>
      <c r="H15" s="12"/>
    </row>
    <row r="16" spans="1:9" ht="17.25">
      <c r="A16" s="230"/>
      <c r="B16" s="231"/>
      <c r="C16" s="232"/>
      <c r="D16" s="215" t="s">
        <v>0</v>
      </c>
      <c r="E16" s="216" t="s">
        <v>0</v>
      </c>
      <c r="F16" s="215" t="s">
        <v>0</v>
      </c>
      <c r="H16" s="12"/>
    </row>
    <row r="17" spans="1:10" ht="17.25">
      <c r="A17" s="88" t="s">
        <v>0</v>
      </c>
      <c r="B17" s="89" t="s">
        <v>3</v>
      </c>
      <c r="C17" s="90" t="s">
        <v>5</v>
      </c>
      <c r="D17" s="91" t="s">
        <v>0</v>
      </c>
      <c r="E17" s="217" t="s">
        <v>0</v>
      </c>
      <c r="F17" s="91" t="s">
        <v>272</v>
      </c>
      <c r="H17" s="12"/>
    </row>
    <row r="18" spans="1:10" ht="17.25">
      <c r="A18" s="88"/>
      <c r="B18" s="89" t="s">
        <v>4</v>
      </c>
      <c r="C18" s="90" t="s">
        <v>6</v>
      </c>
      <c r="D18" s="91" t="s">
        <v>281</v>
      </c>
      <c r="E18" s="217" t="s">
        <v>281</v>
      </c>
      <c r="F18" s="91" t="s">
        <v>123</v>
      </c>
      <c r="H18" s="12"/>
    </row>
    <row r="19" spans="1:10" ht="18" thickBot="1">
      <c r="A19" s="94" t="s">
        <v>2</v>
      </c>
      <c r="B19" s="95" t="s">
        <v>0</v>
      </c>
      <c r="C19" s="96" t="s">
        <v>0</v>
      </c>
      <c r="D19" s="269" t="s">
        <v>270</v>
      </c>
      <c r="E19" s="268" t="s">
        <v>60</v>
      </c>
      <c r="F19" s="95" t="s">
        <v>0</v>
      </c>
      <c r="H19" s="12"/>
    </row>
    <row r="20" spans="1:10" ht="16.5">
      <c r="A20" s="270" t="s">
        <v>7</v>
      </c>
      <c r="B20" s="250" t="s">
        <v>7</v>
      </c>
      <c r="C20" s="271" t="s">
        <v>7</v>
      </c>
      <c r="D20" s="250" t="s">
        <v>7</v>
      </c>
      <c r="E20" s="112" t="s">
        <v>271</v>
      </c>
      <c r="F20" s="100"/>
      <c r="H20" s="12"/>
    </row>
    <row r="21" spans="1:10" ht="17.25">
      <c r="A21" s="88"/>
      <c r="B21" s="89"/>
      <c r="C21" s="90"/>
      <c r="D21" s="89"/>
      <c r="E21" s="218"/>
      <c r="F21" s="89"/>
      <c r="H21" s="12"/>
    </row>
    <row r="22" spans="1:10" ht="17.25">
      <c r="A22" s="102" t="str">
        <f>+'S&amp;D'!A22</f>
        <v>American States Water Company</v>
      </c>
      <c r="B22" s="80" t="str">
        <f>+'S&amp;D'!B22</f>
        <v>AWR</v>
      </c>
      <c r="C22" s="90" t="str">
        <f>+'S&amp;D'!C22</f>
        <v>Water Utility</v>
      </c>
      <c r="D22" s="233">
        <f>+'S&amp;D'!D36</f>
        <v>2965097818.4400001</v>
      </c>
      <c r="E22" s="234">
        <v>920051000</v>
      </c>
      <c r="F22" s="104">
        <f>+D22/E22</f>
        <v>3.2227537586938118</v>
      </c>
      <c r="H22" s="12"/>
    </row>
    <row r="23" spans="1:10" ht="17.25">
      <c r="A23" s="102" t="str">
        <f>+'S&amp;D'!A23</f>
        <v>American Water Works Company Inc</v>
      </c>
      <c r="B23" s="80" t="str">
        <f>+'S&amp;D'!B23</f>
        <v>AWK</v>
      </c>
      <c r="C23" s="90" t="str">
        <f>+'S&amp;D'!C23</f>
        <v>Water Utility</v>
      </c>
      <c r="D23" s="233">
        <f>+'S&amp;D'!D37</f>
        <v>24265651177.649998</v>
      </c>
      <c r="E23" s="234">
        <v>10332000000</v>
      </c>
      <c r="F23" s="104">
        <f>+D23/E23</f>
        <v>2.3485918677555166</v>
      </c>
      <c r="H23" s="12"/>
    </row>
    <row r="24" spans="1:10" ht="17.25">
      <c r="A24" s="102" t="str">
        <f>+'S&amp;D'!A24</f>
        <v xml:space="preserve">California Water Service Group </v>
      </c>
      <c r="B24" s="80" t="str">
        <f>+'S&amp;D'!B24</f>
        <v>CWT</v>
      </c>
      <c r="C24" s="90" t="str">
        <f>+'S&amp;D'!C24</f>
        <v>Water Utility</v>
      </c>
      <c r="D24" s="233">
        <f>+'S&amp;D'!D38</f>
        <v>2696409720</v>
      </c>
      <c r="E24" s="234">
        <f>1638286000-3015000</f>
        <v>1635271000</v>
      </c>
      <c r="F24" s="104">
        <f t="shared" ref="F24:F27" si="0">+D24/E24</f>
        <v>1.6489069518141031</v>
      </c>
      <c r="H24" s="12"/>
    </row>
    <row r="25" spans="1:10" ht="17.25">
      <c r="A25" s="102" t="str">
        <f>+'S&amp;D'!A25</f>
        <v>Essential Utilities, Inc.</v>
      </c>
      <c r="B25" s="80" t="str">
        <f>+'S&amp;D'!B25</f>
        <v>WTRG</v>
      </c>
      <c r="C25" s="90" t="str">
        <f>+'S&amp;D'!C25</f>
        <v>Water Utility</v>
      </c>
      <c r="D25" s="233">
        <f>+'S&amp;D'!D39</f>
        <v>9981592825.1200008</v>
      </c>
      <c r="E25" s="234">
        <v>6198809000</v>
      </c>
      <c r="F25" s="104">
        <f t="shared" si="0"/>
        <v>1.6102436492429435</v>
      </c>
      <c r="H25" s="12"/>
    </row>
    <row r="26" spans="1:10" ht="17.25">
      <c r="A26" s="102" t="str">
        <f>+'S&amp;D'!A26</f>
        <v>Middlesex Water Company</v>
      </c>
      <c r="B26" s="80" t="str">
        <f>+'S&amp;D'!B26</f>
        <v>MSEX</v>
      </c>
      <c r="C26" s="90" t="str">
        <f>+'S&amp;D'!C26</f>
        <v>Water Utility</v>
      </c>
      <c r="D26" s="233">
        <f>+'S&amp;D'!D40</f>
        <v>941392810</v>
      </c>
      <c r="E26" s="234">
        <v>445263000</v>
      </c>
      <c r="F26" s="104">
        <f t="shared" si="0"/>
        <v>2.1142399211252676</v>
      </c>
      <c r="H26" s="12"/>
    </row>
    <row r="27" spans="1:10" ht="18" thickBot="1">
      <c r="A27" s="275" t="str">
        <f>+'S&amp;D'!A27</f>
        <v>SJW Corporation</v>
      </c>
      <c r="B27" s="81" t="str">
        <f>+'S&amp;D'!B27</f>
        <v>SJW</v>
      </c>
      <c r="C27" s="96" t="str">
        <f>+'S&amp;D'!C27</f>
        <v>Water Utility</v>
      </c>
      <c r="D27" s="276">
        <f>+'S&amp;D'!D41</f>
        <v>1655227698.1800001</v>
      </c>
      <c r="E27" s="234">
        <v>1366974000</v>
      </c>
      <c r="F27" s="104">
        <f t="shared" si="0"/>
        <v>1.2108699201155253</v>
      </c>
      <c r="H27" s="12"/>
      <c r="J27" s="10" t="s">
        <v>0</v>
      </c>
    </row>
    <row r="28" spans="1:10" ht="27" customHeight="1" thickBot="1">
      <c r="A28" s="115"/>
      <c r="B28" s="108"/>
      <c r="C28" s="108"/>
      <c r="D28" s="116"/>
      <c r="E28" s="274" t="s">
        <v>279</v>
      </c>
      <c r="F28" s="183">
        <f>AVERAGE(F22:F27)</f>
        <v>2.0259343447911951</v>
      </c>
      <c r="H28" s="12"/>
    </row>
    <row r="29" spans="1:10" ht="17.25">
      <c r="A29" s="106"/>
      <c r="B29" s="106"/>
      <c r="C29" s="106"/>
      <c r="D29" s="106"/>
      <c r="E29" s="227"/>
      <c r="F29" s="229"/>
      <c r="H29" s="12"/>
    </row>
    <row r="30" spans="1:10" ht="17.25">
      <c r="A30" s="106"/>
      <c r="B30" s="106"/>
      <c r="C30" s="106"/>
      <c r="D30" s="106"/>
      <c r="E30" s="227"/>
      <c r="F30" s="229"/>
      <c r="H30" s="12"/>
    </row>
    <row r="31" spans="1:10" ht="17.25">
      <c r="A31" s="106"/>
      <c r="B31" s="106"/>
      <c r="C31" s="106"/>
      <c r="D31" s="106"/>
      <c r="E31" s="227"/>
      <c r="F31" s="229"/>
      <c r="H31" s="12"/>
    </row>
    <row r="32" spans="1:10" ht="18" thickBot="1">
      <c r="A32" s="106"/>
      <c r="B32" s="106"/>
      <c r="C32" s="106"/>
      <c r="D32" s="106"/>
      <c r="E32" s="106"/>
      <c r="F32" s="106"/>
      <c r="H32" s="12"/>
    </row>
    <row r="33" spans="1:8" ht="17.25">
      <c r="A33" s="230"/>
      <c r="B33" s="231"/>
      <c r="C33" s="232"/>
      <c r="D33" s="215" t="s">
        <v>0</v>
      </c>
      <c r="E33" s="216" t="s">
        <v>0</v>
      </c>
      <c r="F33" s="215" t="s">
        <v>0</v>
      </c>
      <c r="H33" s="12"/>
    </row>
    <row r="34" spans="1:8" ht="17.25">
      <c r="A34" s="88" t="s">
        <v>0</v>
      </c>
      <c r="B34" s="89" t="s">
        <v>3</v>
      </c>
      <c r="C34" s="90" t="s">
        <v>5</v>
      </c>
      <c r="D34" s="91" t="s">
        <v>0</v>
      </c>
      <c r="E34" s="217" t="s">
        <v>0</v>
      </c>
      <c r="F34" s="91" t="s">
        <v>272</v>
      </c>
      <c r="H34" s="12"/>
    </row>
    <row r="35" spans="1:8" ht="17.25">
      <c r="A35" s="88"/>
      <c r="B35" s="89" t="s">
        <v>4</v>
      </c>
      <c r="C35" s="90" t="s">
        <v>6</v>
      </c>
      <c r="D35" s="91" t="s">
        <v>273</v>
      </c>
      <c r="E35" s="217" t="s">
        <v>273</v>
      </c>
      <c r="F35" s="91" t="s">
        <v>123</v>
      </c>
    </row>
    <row r="36" spans="1:8" ht="18" thickBot="1">
      <c r="A36" s="94" t="s">
        <v>2</v>
      </c>
      <c r="B36" s="95" t="s">
        <v>0</v>
      </c>
      <c r="C36" s="96" t="s">
        <v>0</v>
      </c>
      <c r="D36" s="269" t="s">
        <v>270</v>
      </c>
      <c r="E36" s="268" t="s">
        <v>60</v>
      </c>
      <c r="F36" s="95" t="s">
        <v>0</v>
      </c>
    </row>
    <row r="37" spans="1:8">
      <c r="A37" s="270" t="s">
        <v>7</v>
      </c>
      <c r="B37" s="250" t="s">
        <v>7</v>
      </c>
      <c r="C37" s="271" t="s">
        <v>7</v>
      </c>
      <c r="D37" s="250" t="s">
        <v>271</v>
      </c>
      <c r="E37" s="112" t="s">
        <v>271</v>
      </c>
      <c r="F37" s="100"/>
    </row>
    <row r="38" spans="1:8" ht="17.25">
      <c r="A38" s="88"/>
      <c r="B38" s="89"/>
      <c r="C38" s="90"/>
      <c r="D38" s="89"/>
      <c r="E38" s="218"/>
      <c r="F38" s="89"/>
    </row>
    <row r="39" spans="1:8" ht="17.25">
      <c r="A39" s="102" t="str">
        <f t="shared" ref="A39:C44" si="1">+A22</f>
        <v>American States Water Company</v>
      </c>
      <c r="B39" s="80" t="str">
        <f t="shared" si="1"/>
        <v>AWR</v>
      </c>
      <c r="C39" s="90" t="str">
        <f t="shared" si="1"/>
        <v>Water Utility</v>
      </c>
      <c r="D39" s="233">
        <f>+'S&amp;D'!G36</f>
        <v>605231361.62064195</v>
      </c>
      <c r="E39" s="234">
        <f>+'S&amp;D'!J22</f>
        <v>640767000</v>
      </c>
      <c r="F39" s="104">
        <f>+D39/E39</f>
        <v>0.94454202794563691</v>
      </c>
    </row>
    <row r="40" spans="1:8" ht="17.25">
      <c r="A40" s="102" t="str">
        <f t="shared" si="1"/>
        <v>American Water Works Company Inc</v>
      </c>
      <c r="B40" s="80" t="str">
        <f t="shared" si="1"/>
        <v>AWK</v>
      </c>
      <c r="C40" s="90" t="str">
        <f t="shared" si="1"/>
        <v>Water Utility</v>
      </c>
      <c r="D40" s="233">
        <f>+'S&amp;D'!G37</f>
        <v>11873000000</v>
      </c>
      <c r="E40" s="234">
        <f>+'S&amp;D'!J23</f>
        <v>13155000000</v>
      </c>
      <c r="F40" s="104">
        <f>+D40/E40</f>
        <v>0.90254656024325353</v>
      </c>
    </row>
    <row r="41" spans="1:8" ht="17.25">
      <c r="A41" s="102" t="str">
        <f t="shared" si="1"/>
        <v xml:space="preserve">California Water Service Group </v>
      </c>
      <c r="B41" s="80" t="str">
        <f t="shared" si="1"/>
        <v>CWT</v>
      </c>
      <c r="C41" s="90" t="str">
        <f t="shared" si="1"/>
        <v>Water Utility</v>
      </c>
      <c r="D41" s="233">
        <f>+'S&amp;D'!G38</f>
        <v>998401000</v>
      </c>
      <c r="E41" s="234">
        <f>+'S&amp;D'!J24</f>
        <v>1176993000</v>
      </c>
      <c r="F41" s="104">
        <f t="shared" ref="F41:F44" si="2">+D41/E41</f>
        <v>0.84826417829162959</v>
      </c>
    </row>
    <row r="42" spans="1:8" ht="17.25">
      <c r="A42" s="102" t="str">
        <f t="shared" si="1"/>
        <v>Essential Utilities, Inc.</v>
      </c>
      <c r="B42" s="80" t="str">
        <f t="shared" si="1"/>
        <v>WTRG</v>
      </c>
      <c r="C42" s="90" t="str">
        <f t="shared" si="1"/>
        <v>Water Utility</v>
      </c>
      <c r="D42" s="233">
        <f>+'S&amp;D'!G39</f>
        <v>6431777000</v>
      </c>
      <c r="E42" s="234">
        <f>+'S&amp;D'!J25</f>
        <v>7559096000</v>
      </c>
      <c r="F42" s="104">
        <f t="shared" si="2"/>
        <v>0.85086589719193939</v>
      </c>
    </row>
    <row r="43" spans="1:8" ht="17.25">
      <c r="A43" s="102" t="str">
        <f t="shared" si="1"/>
        <v>Middlesex Water Company</v>
      </c>
      <c r="B43" s="80" t="str">
        <f t="shared" si="1"/>
        <v>MSEX</v>
      </c>
      <c r="C43" s="90" t="str">
        <f t="shared" si="1"/>
        <v>Water Utility</v>
      </c>
      <c r="D43" s="233">
        <f>+'S&amp;D'!G40</f>
        <v>347917321.57682753</v>
      </c>
      <c r="E43" s="234">
        <f>+'S&amp;D'!J26</f>
        <v>360533000</v>
      </c>
      <c r="F43" s="104">
        <f t="shared" si="2"/>
        <v>0.96500825604543139</v>
      </c>
    </row>
    <row r="44" spans="1:8" ht="18" thickBot="1">
      <c r="A44" s="275" t="str">
        <f t="shared" si="1"/>
        <v>SJW Corporation</v>
      </c>
      <c r="B44" s="81" t="str">
        <f t="shared" si="1"/>
        <v>SJW</v>
      </c>
      <c r="C44" s="96" t="str">
        <f t="shared" si="1"/>
        <v>Water Utility</v>
      </c>
      <c r="D44" s="276">
        <f>+'S&amp;D'!G41</f>
        <v>1490024000</v>
      </c>
      <c r="E44" s="234">
        <f>+'S&amp;D'!J27</f>
        <v>1710552000</v>
      </c>
      <c r="F44" s="104">
        <f t="shared" si="2"/>
        <v>0.87107787427684158</v>
      </c>
    </row>
    <row r="45" spans="1:8" ht="27.75" customHeight="1" thickBot="1">
      <c r="A45" s="272"/>
      <c r="B45" s="143"/>
      <c r="C45" s="143"/>
      <c r="D45" s="273"/>
      <c r="E45" s="274" t="s">
        <v>279</v>
      </c>
      <c r="F45" s="183">
        <f>AVERAGE(F39:F44)</f>
        <v>0.89705079899912199</v>
      </c>
    </row>
    <row r="50" spans="1:6">
      <c r="C50" s="219" t="s">
        <v>274</v>
      </c>
      <c r="D50" s="219" t="s">
        <v>275</v>
      </c>
      <c r="E50" s="219"/>
    </row>
    <row r="51" spans="1:6">
      <c r="A51" s="221"/>
      <c r="B51" s="221"/>
      <c r="C51" s="220" t="s">
        <v>35</v>
      </c>
      <c r="D51" s="220" t="s">
        <v>276</v>
      </c>
      <c r="E51" s="220" t="s">
        <v>277</v>
      </c>
    </row>
    <row r="52" spans="1:6" ht="17.25">
      <c r="A52" s="90" t="s">
        <v>39</v>
      </c>
      <c r="B52" s="131" t="s">
        <v>0</v>
      </c>
      <c r="C52" s="131">
        <f>+'Yield CapRate'!C22</f>
        <v>0.68</v>
      </c>
      <c r="D52" s="225">
        <f>+F28</f>
        <v>2.0259343447911951</v>
      </c>
      <c r="E52" s="226">
        <f>+C52*D52</f>
        <v>1.3776353544580127</v>
      </c>
      <c r="F52" s="132" t="s">
        <v>0</v>
      </c>
    </row>
    <row r="53" spans="1:6" ht="17.25">
      <c r="A53" s="222" t="s">
        <v>41</v>
      </c>
      <c r="B53" s="223" t="str">
        <f>'S&amp;D'!I33</f>
        <v xml:space="preserve"> </v>
      </c>
      <c r="C53" s="223">
        <f>+'Yield CapRate'!C24</f>
        <v>0.32</v>
      </c>
      <c r="D53" s="224">
        <f>+F45</f>
        <v>0.89705079899912199</v>
      </c>
      <c r="E53" s="224">
        <f>+C53*D53</f>
        <v>0.28705625567971904</v>
      </c>
      <c r="F53" s="132" t="s">
        <v>0</v>
      </c>
    </row>
    <row r="54" spans="1:6">
      <c r="D54" s="227" t="s">
        <v>278</v>
      </c>
      <c r="E54" s="228">
        <f>+E52+E53</f>
        <v>1.6646916101377318</v>
      </c>
    </row>
    <row r="57" spans="1:6" ht="20.25">
      <c r="A57" s="30" t="s">
        <v>402</v>
      </c>
    </row>
    <row r="58" spans="1:6" ht="20.25">
      <c r="A58" s="30" t="s">
        <v>366</v>
      </c>
    </row>
  </sheetData>
  <pageMargins left="0.25" right="0.25" top="0.75" bottom="0.75" header="0.3" footer="0.3"/>
  <pageSetup scale="49" orientation="landscape" r:id="rId1"/>
  <rowBreaks count="1" manualBreakCount="1">
    <brk id="32" max="6" man="1"/>
  </rowBreaks>
  <colBreaks count="1" manualBreakCount="1">
    <brk id="8" max="71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1145E-BF36-4A2C-868C-9B0DC0104C72}">
  <sheetPr>
    <tabColor rgb="FF92D050"/>
  </sheetPr>
  <dimension ref="A1:L73"/>
  <sheetViews>
    <sheetView view="pageBreakPreview" topLeftCell="A2" zoomScale="70" zoomScaleNormal="80" zoomScaleSheetLayoutView="70" workbookViewId="0">
      <selection activeCell="L33" sqref="L33"/>
    </sheetView>
  </sheetViews>
  <sheetFormatPr defaultRowHeight="15"/>
  <cols>
    <col min="1" max="1" width="45.140625" customWidth="1"/>
    <col min="2" max="2" width="10.85546875" bestFit="1" customWidth="1"/>
    <col min="3" max="3" width="10.7109375" customWidth="1"/>
    <col min="4" max="4" width="21.7109375" customWidth="1"/>
    <col min="5" max="5" width="22.28515625" customWidth="1"/>
    <col min="6" max="6" width="26.5703125" customWidth="1"/>
    <col min="7" max="7" width="26.42578125" customWidth="1"/>
    <col min="8" max="8" width="23.85546875" customWidth="1"/>
    <col min="9" max="9" width="15" customWidth="1"/>
    <col min="10" max="10" width="14.140625" bestFit="1" customWidth="1"/>
    <col min="11" max="11" width="16.7109375" customWidth="1"/>
    <col min="12" max="12" width="23.140625" customWidth="1"/>
  </cols>
  <sheetData>
    <row r="1" spans="1:12" ht="26.25">
      <c r="A1" s="23" t="s">
        <v>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7.25">
      <c r="A2" s="24" t="s">
        <v>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6.5">
      <c r="A3" s="25" t="s">
        <v>412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6.5">
      <c r="A4" s="25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6.5">
      <c r="A5" s="25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ht="16.5">
      <c r="A6" s="25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17.25" thickBot="1">
      <c r="A7" s="12"/>
      <c r="B7" s="12"/>
      <c r="C7" s="12"/>
      <c r="D7" s="12"/>
      <c r="E7" s="12"/>
      <c r="F7" s="28"/>
      <c r="G7" s="28"/>
      <c r="H7" s="29" t="s">
        <v>0</v>
      </c>
      <c r="I7" s="12"/>
      <c r="J7" s="12"/>
      <c r="K7" s="12"/>
      <c r="L7" s="12"/>
    </row>
    <row r="8" spans="1:12" ht="27" thickBot="1">
      <c r="A8" s="239" t="str">
        <f>+'S&amp;D'!A12</f>
        <v>Water Utility Companies (Private)</v>
      </c>
      <c r="B8" s="240"/>
      <c r="C8" s="174"/>
      <c r="D8" s="12"/>
      <c r="E8" s="12"/>
      <c r="F8" s="12"/>
      <c r="G8" s="31" t="s">
        <v>75</v>
      </c>
      <c r="H8" s="12"/>
      <c r="I8" s="12"/>
      <c r="J8" s="12"/>
      <c r="K8" s="12"/>
      <c r="L8" s="12"/>
    </row>
    <row r="9" spans="1:12" ht="20.25">
      <c r="A9" s="30"/>
      <c r="B9" s="12"/>
      <c r="C9" s="12"/>
      <c r="D9" s="12"/>
      <c r="E9" s="12"/>
      <c r="F9" s="12"/>
      <c r="G9" s="90" t="s">
        <v>76</v>
      </c>
      <c r="H9" s="12"/>
      <c r="I9" s="12"/>
      <c r="J9" s="12"/>
      <c r="K9" s="12"/>
      <c r="L9" s="12"/>
    </row>
    <row r="10" spans="1:12" ht="18" customHeight="1" thickBot="1">
      <c r="A10" s="40" t="s">
        <v>0</v>
      </c>
      <c r="B10" s="40" t="s">
        <v>0</v>
      </c>
      <c r="C10" s="40" t="s">
        <v>0</v>
      </c>
      <c r="D10" s="12"/>
      <c r="E10" s="12"/>
      <c r="F10" s="33" t="s">
        <v>0</v>
      </c>
      <c r="G10" s="36" t="s">
        <v>413</v>
      </c>
      <c r="H10" s="33" t="s">
        <v>0</v>
      </c>
      <c r="I10" s="40" t="s">
        <v>0</v>
      </c>
      <c r="J10" s="12"/>
      <c r="K10" s="12"/>
      <c r="L10" s="12"/>
    </row>
    <row r="11" spans="1:12" ht="18" customHeight="1">
      <c r="A11" s="40"/>
      <c r="B11" s="40"/>
      <c r="C11" s="40"/>
      <c r="D11" s="12"/>
      <c r="E11" s="12"/>
      <c r="J11" s="12"/>
      <c r="K11" s="12"/>
      <c r="L11" s="12"/>
    </row>
    <row r="12" spans="1:12" ht="18" customHeight="1">
      <c r="A12" s="40"/>
      <c r="B12" s="40"/>
      <c r="C12" s="40"/>
      <c r="D12" s="12" t="s">
        <v>0</v>
      </c>
      <c r="E12" s="12" t="s">
        <v>0</v>
      </c>
      <c r="G12" s="13" t="s">
        <v>0</v>
      </c>
      <c r="J12" s="12"/>
      <c r="K12" s="12"/>
      <c r="L12" s="12" t="s">
        <v>0</v>
      </c>
    </row>
    <row r="13" spans="1:12" ht="17.25" thickBot="1">
      <c r="A13" s="33"/>
      <c r="B13" s="33"/>
      <c r="C13" s="33"/>
      <c r="D13" s="33"/>
      <c r="E13" s="36"/>
      <c r="F13" s="33"/>
      <c r="G13" s="33"/>
      <c r="H13" s="33"/>
      <c r="I13" s="33"/>
      <c r="J13" s="28"/>
      <c r="K13" s="28"/>
      <c r="L13" s="28"/>
    </row>
    <row r="14" spans="1:12" ht="15" customHeight="1" thickBot="1">
      <c r="A14" s="33" t="s">
        <v>24</v>
      </c>
      <c r="B14" s="33" t="s">
        <v>88</v>
      </c>
      <c r="C14" s="33" t="s">
        <v>89</v>
      </c>
      <c r="D14" s="41" t="s">
        <v>90</v>
      </c>
      <c r="E14" s="33" t="s">
        <v>91</v>
      </c>
      <c r="F14" s="33" t="s">
        <v>92</v>
      </c>
      <c r="G14" s="33" t="s">
        <v>93</v>
      </c>
      <c r="H14" s="33" t="s">
        <v>94</v>
      </c>
      <c r="I14" s="33" t="s">
        <v>95</v>
      </c>
      <c r="J14" s="33" t="s">
        <v>96</v>
      </c>
      <c r="K14" s="33" t="s">
        <v>97</v>
      </c>
      <c r="L14" s="33" t="s">
        <v>105</v>
      </c>
    </row>
    <row r="15" spans="1:12" ht="16.5">
      <c r="A15" s="34" t="s">
        <v>0</v>
      </c>
      <c r="B15" s="34" t="s">
        <v>3</v>
      </c>
      <c r="C15" s="34" t="s">
        <v>77</v>
      </c>
      <c r="D15" s="34" t="s">
        <v>80</v>
      </c>
      <c r="E15" s="34" t="s">
        <v>80</v>
      </c>
      <c r="F15" s="34" t="s">
        <v>81</v>
      </c>
      <c r="G15" s="34" t="s">
        <v>84</v>
      </c>
      <c r="H15" s="34" t="s">
        <v>86</v>
      </c>
      <c r="I15" s="34" t="s">
        <v>108</v>
      </c>
      <c r="J15" s="34" t="s">
        <v>108</v>
      </c>
      <c r="K15" s="34" t="s">
        <v>101</v>
      </c>
      <c r="L15" s="34" t="s">
        <v>103</v>
      </c>
    </row>
    <row r="16" spans="1:12" ht="17.25" thickBot="1">
      <c r="A16" s="36" t="s">
        <v>2</v>
      </c>
      <c r="B16" s="36" t="s">
        <v>4</v>
      </c>
      <c r="C16" s="36" t="s">
        <v>78</v>
      </c>
      <c r="D16" s="36" t="s">
        <v>83</v>
      </c>
      <c r="E16" s="36" t="s">
        <v>82</v>
      </c>
      <c r="F16" s="36" t="s">
        <v>19</v>
      </c>
      <c r="G16" s="36" t="s">
        <v>85</v>
      </c>
      <c r="H16" s="36" t="s">
        <v>87</v>
      </c>
      <c r="I16" s="36" t="s">
        <v>0</v>
      </c>
      <c r="J16" s="36" t="s">
        <v>0</v>
      </c>
      <c r="K16" s="36" t="s">
        <v>102</v>
      </c>
      <c r="L16" s="36" t="s">
        <v>84</v>
      </c>
    </row>
    <row r="17" spans="1:12">
      <c r="A17" s="42" t="s">
        <v>7</v>
      </c>
      <c r="B17" s="42" t="s">
        <v>7</v>
      </c>
      <c r="C17" s="42" t="s">
        <v>79</v>
      </c>
      <c r="D17" s="42" t="s">
        <v>234</v>
      </c>
      <c r="E17" s="42" t="s">
        <v>234</v>
      </c>
      <c r="F17" s="42" t="s">
        <v>106</v>
      </c>
      <c r="G17" s="42" t="s">
        <v>233</v>
      </c>
      <c r="H17" s="42" t="s">
        <v>98</v>
      </c>
      <c r="I17" s="42" t="s">
        <v>99</v>
      </c>
      <c r="J17" s="42" t="s">
        <v>100</v>
      </c>
      <c r="K17" s="42" t="s">
        <v>107</v>
      </c>
      <c r="L17" s="42" t="s">
        <v>104</v>
      </c>
    </row>
    <row r="18" spans="1:12" ht="16.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2" ht="16.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pans="1:12" ht="22.5" customHeight="1">
      <c r="A20" s="61" t="str">
        <f>+'S&amp;D'!A22</f>
        <v>American States Water Company</v>
      </c>
      <c r="B20" s="90" t="str">
        <f>+'S&amp;D'!B22</f>
        <v>AWR</v>
      </c>
      <c r="C20" s="64">
        <f>+'Growth &amp; Inflation Rates'!$D$57</f>
        <v>2.3E-2</v>
      </c>
      <c r="D20" s="277">
        <f>2442895000+304929000</f>
        <v>2747824000</v>
      </c>
      <c r="E20" s="277">
        <f>2279621000+237131000</f>
        <v>2516752000</v>
      </c>
      <c r="F20" s="127">
        <f>(D20+E20)/2</f>
        <v>2632288000</v>
      </c>
      <c r="G20" s="127">
        <v>43647000</v>
      </c>
      <c r="H20" s="18">
        <f>+F20/G20</f>
        <v>60.308566453593606</v>
      </c>
      <c r="I20" s="44">
        <f>+C20*H20</f>
        <v>1.3870970284326529</v>
      </c>
      <c r="J20" s="45">
        <f>1/(1+C20)^H20</f>
        <v>0.25375504653022085</v>
      </c>
      <c r="K20" s="128">
        <f>(G20*I20)/(1-J20)</f>
        <v>81129693.029745638</v>
      </c>
      <c r="L20" s="129">
        <f>+K20/G20</f>
        <v>1.8587690569740334</v>
      </c>
    </row>
    <row r="21" spans="1:12" ht="22.5" customHeight="1">
      <c r="A21" s="61" t="str">
        <f>+'S&amp;D'!A23</f>
        <v>American Water Works Company Inc</v>
      </c>
      <c r="B21" s="90" t="str">
        <f>+'S&amp;D'!B23</f>
        <v>AWK</v>
      </c>
      <c r="C21" s="64">
        <f>+'Growth &amp; Inflation Rates'!$D$57</f>
        <v>2.3E-2</v>
      </c>
      <c r="D21" s="277">
        <v>35059000000</v>
      </c>
      <c r="E21" s="277">
        <v>32189000000</v>
      </c>
      <c r="F21" s="127">
        <f t="shared" ref="F21:F25" si="0">(D21+E21)/2</f>
        <v>33624000000</v>
      </c>
      <c r="G21" s="127">
        <v>788000000</v>
      </c>
      <c r="H21" s="18">
        <f>+F21/G21</f>
        <v>42.670050761421322</v>
      </c>
      <c r="I21" s="44">
        <f>+C21*H21</f>
        <v>0.98141116751269042</v>
      </c>
      <c r="J21" s="45">
        <f>1/(1+C21)^H21</f>
        <v>0.37897120112030569</v>
      </c>
      <c r="K21" s="128">
        <f>(G21*I21)/(1-J21)</f>
        <v>1245275583.6687274</v>
      </c>
      <c r="L21" s="129">
        <f>+K21/G21</f>
        <v>1.5802989640466083</v>
      </c>
    </row>
    <row r="22" spans="1:12" ht="22.5" customHeight="1">
      <c r="A22" s="61" t="str">
        <f>+'S&amp;D'!A24</f>
        <v xml:space="preserve">California Water Service Group </v>
      </c>
      <c r="B22" s="90" t="str">
        <f>+'S&amp;D'!B24</f>
        <v>CWT</v>
      </c>
      <c r="C22" s="64">
        <f>+'Growth &amp; Inflation Rates'!$D$57</f>
        <v>2.3E-2</v>
      </c>
      <c r="D22" s="277">
        <v>5400489000</v>
      </c>
      <c r="E22" s="277">
        <v>4925483000</v>
      </c>
      <c r="F22" s="127">
        <f t="shared" si="0"/>
        <v>5162986000</v>
      </c>
      <c r="G22" s="127">
        <v>131901000</v>
      </c>
      <c r="H22" s="18">
        <f>+F22/G22</f>
        <v>39.142887468631777</v>
      </c>
      <c r="I22" s="44">
        <f>+C22*H22</f>
        <v>0.90028641177853086</v>
      </c>
      <c r="J22" s="45">
        <f>1/(1+C22)^H22</f>
        <v>0.4106191322936707</v>
      </c>
      <c r="K22" s="128">
        <f>(G22*I22)/(1-J22)</f>
        <v>201480374.58719969</v>
      </c>
      <c r="L22" s="129">
        <f>+K22/G22</f>
        <v>1.5275121082266221</v>
      </c>
    </row>
    <row r="23" spans="1:12" ht="22.5" customHeight="1">
      <c r="A23" s="61" t="str">
        <f>+'S&amp;D'!A25</f>
        <v>Essential Utilities, Inc.</v>
      </c>
      <c r="B23" s="90" t="str">
        <f>+'S&amp;D'!B25</f>
        <v>WTRG</v>
      </c>
      <c r="C23" s="64">
        <f>+'Growth &amp; Inflation Rates'!$D$57</f>
        <v>2.3E-2</v>
      </c>
      <c r="D23" s="277">
        <v>16275377000</v>
      </c>
      <c r="E23" s="277">
        <v>14977021000</v>
      </c>
      <c r="F23" s="127">
        <f t="shared" si="0"/>
        <v>15626199000</v>
      </c>
      <c r="G23" s="127">
        <f>363906000+5646000</f>
        <v>369552000</v>
      </c>
      <c r="H23" s="18">
        <f t="shared" ref="H23:H25" si="1">+F23/G23</f>
        <v>42.284168398493314</v>
      </c>
      <c r="I23" s="44">
        <f>+C23*H23</f>
        <v>0.97253587316534618</v>
      </c>
      <c r="J23" s="45">
        <f>1/(1+C23)^H23</f>
        <v>0.38231121759837994</v>
      </c>
      <c r="K23" s="128">
        <f>(G23*I23)/(1-J23)</f>
        <v>581850581.13345683</v>
      </c>
      <c r="L23" s="129">
        <f>+K23/G23</f>
        <v>1.5744755301918454</v>
      </c>
    </row>
    <row r="24" spans="1:12" ht="22.5" customHeight="1">
      <c r="A24" s="61" t="str">
        <f>+'S&amp;D'!A26</f>
        <v>Middlesex Water Company</v>
      </c>
      <c r="B24" s="90" t="str">
        <f>+'S&amp;D'!B26</f>
        <v>MSEX</v>
      </c>
      <c r="C24" s="64">
        <f>+'Growth &amp; Inflation Rates'!$D$57</f>
        <v>2.3E-2</v>
      </c>
      <c r="D24" s="277">
        <v>1309797000</v>
      </c>
      <c r="E24" s="277">
        <v>1233882000</v>
      </c>
      <c r="F24" s="127">
        <f>(D24+E24)/2</f>
        <v>1271839500</v>
      </c>
      <c r="G24" s="127">
        <v>24430000</v>
      </c>
      <c r="H24" s="18">
        <f t="shared" si="1"/>
        <v>52.060560785918952</v>
      </c>
      <c r="I24" s="44">
        <f t="shared" ref="I24:I25" si="2">+C24*H24</f>
        <v>1.1973928980761359</v>
      </c>
      <c r="J24" s="45">
        <f t="shared" ref="J24:J25" si="3">1/(1+C24)^H24</f>
        <v>0.30610397608577289</v>
      </c>
      <c r="K24" s="128">
        <f t="shared" ref="K24:K25" si="4">(G24*I24)/(1-J24)</f>
        <v>42156616.397640429</v>
      </c>
      <c r="L24" s="129">
        <f t="shared" ref="L24:L25" si="5">+K24/G24</f>
        <v>1.7256085303987077</v>
      </c>
    </row>
    <row r="25" spans="1:12" ht="22.5" customHeight="1">
      <c r="A25" s="61" t="str">
        <f>+'S&amp;D'!A27</f>
        <v>SJW Corporation</v>
      </c>
      <c r="B25" s="90" t="str">
        <f>+'S&amp;D'!B27</f>
        <v>SJW</v>
      </c>
      <c r="C25" s="64">
        <f>+'Growth &amp; Inflation Rates'!$D$57</f>
        <v>2.3E-2</v>
      </c>
      <c r="D25" s="277">
        <v>4525061000</v>
      </c>
      <c r="E25" s="277">
        <v>4152252000</v>
      </c>
      <c r="F25" s="127">
        <f t="shared" si="0"/>
        <v>4338656500</v>
      </c>
      <c r="G25" s="127">
        <v>112855000</v>
      </c>
      <c r="H25" s="18">
        <f t="shared" si="1"/>
        <v>38.444521731425283</v>
      </c>
      <c r="I25" s="44">
        <f t="shared" si="2"/>
        <v>0.88422399982278155</v>
      </c>
      <c r="J25" s="45">
        <f t="shared" si="3"/>
        <v>0.41719201273887169</v>
      </c>
      <c r="K25" s="128">
        <f t="shared" si="4"/>
        <v>171221228.39968786</v>
      </c>
      <c r="L25" s="129">
        <f t="shared" si="5"/>
        <v>1.5171789322554416</v>
      </c>
    </row>
    <row r="26" spans="1:12" ht="22.5" customHeight="1" thickBot="1">
      <c r="A26" s="69"/>
      <c r="B26" s="69"/>
      <c r="C26" s="46"/>
      <c r="D26" s="46"/>
      <c r="E26" s="46"/>
      <c r="F26" s="46"/>
      <c r="G26" s="46" t="s">
        <v>44</v>
      </c>
      <c r="H26" s="46"/>
      <c r="I26" s="46" t="s">
        <v>44</v>
      </c>
      <c r="J26" s="46"/>
      <c r="K26" s="46"/>
      <c r="L26" s="46"/>
    </row>
    <row r="27" spans="1:12" ht="22.5" customHeight="1" thickTop="1">
      <c r="A27" s="12"/>
      <c r="B27" s="12"/>
      <c r="C27" s="47" t="s">
        <v>0</v>
      </c>
      <c r="D27" s="47" t="s">
        <v>0</v>
      </c>
      <c r="E27" s="34" t="s">
        <v>0</v>
      </c>
      <c r="F27" s="34"/>
      <c r="G27" s="47" t="s">
        <v>0</v>
      </c>
      <c r="H27" s="34"/>
      <c r="I27" s="47" t="s">
        <v>0</v>
      </c>
      <c r="J27" s="47" t="s">
        <v>0</v>
      </c>
      <c r="K27" s="14" t="s">
        <v>45</v>
      </c>
      <c r="L27" s="51">
        <f>+MAX(L20:L25)</f>
        <v>1.8587690569740334</v>
      </c>
    </row>
    <row r="28" spans="1:12" ht="22.5" customHeight="1">
      <c r="B28" s="12"/>
      <c r="C28" s="47"/>
      <c r="D28" s="47"/>
      <c r="E28" s="34"/>
      <c r="F28" s="34"/>
      <c r="G28" s="47"/>
      <c r="H28" s="34"/>
      <c r="I28" s="47"/>
      <c r="J28" s="47"/>
      <c r="K28" s="14" t="s">
        <v>46</v>
      </c>
      <c r="L28" s="310">
        <f>MIN(L20:L25)</f>
        <v>1.5171789322554416</v>
      </c>
    </row>
    <row r="29" spans="1:12" ht="22.5" customHeight="1">
      <c r="B29" s="12"/>
      <c r="C29" s="12"/>
      <c r="D29" s="12"/>
      <c r="E29" s="12"/>
      <c r="F29" s="12"/>
      <c r="G29" s="12"/>
      <c r="H29" s="12"/>
      <c r="I29" s="12"/>
      <c r="J29" s="12"/>
      <c r="K29" s="14" t="s">
        <v>18</v>
      </c>
      <c r="L29" s="53">
        <f>MEDIAN(L20:L25)</f>
        <v>1.5773872471192267</v>
      </c>
    </row>
    <row r="30" spans="1:12" ht="22.5" customHeight="1">
      <c r="A30" s="12" t="s">
        <v>0</v>
      </c>
      <c r="B30" s="12"/>
      <c r="C30" s="12"/>
      <c r="D30" s="12"/>
      <c r="E30" s="12"/>
      <c r="F30" s="12"/>
      <c r="G30" s="12"/>
      <c r="H30" s="12"/>
      <c r="I30" s="12"/>
      <c r="J30" s="12"/>
      <c r="K30" s="14" t="s">
        <v>374</v>
      </c>
      <c r="L30" s="53">
        <f>AVERAGE(L20:L25)</f>
        <v>1.6306405203488765</v>
      </c>
    </row>
    <row r="31" spans="1:12" ht="22.5" customHeight="1" thickBot="1">
      <c r="A31" s="12"/>
      <c r="B31" s="12"/>
      <c r="C31" s="12"/>
      <c r="D31" s="12"/>
      <c r="E31" s="12"/>
      <c r="F31" s="12"/>
      <c r="G31" s="12" t="s">
        <v>0</v>
      </c>
      <c r="H31" s="12"/>
      <c r="I31" s="12"/>
      <c r="J31" s="12"/>
      <c r="K31" s="12"/>
      <c r="L31" s="12"/>
    </row>
    <row r="32" spans="1:12" ht="22.5" customHeight="1" thickBo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80" t="s">
        <v>200</v>
      </c>
      <c r="L32" s="344">
        <v>1.6306</v>
      </c>
    </row>
    <row r="33" spans="1:12" ht="16.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2" ht="16.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 ht="16.5">
      <c r="A35" s="12" t="s">
        <v>71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1:12" ht="16.5">
      <c r="A36" s="12" t="s">
        <v>246</v>
      </c>
    </row>
    <row r="38" spans="1:12" ht="20.25">
      <c r="A38" s="211"/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</row>
    <row r="39" spans="1:12" ht="26.25">
      <c r="A39" s="23" t="s">
        <v>1</v>
      </c>
      <c r="B39" s="12"/>
      <c r="C39" s="12"/>
      <c r="D39" s="12"/>
      <c r="E39" s="12"/>
      <c r="F39" s="12"/>
      <c r="G39" s="12"/>
      <c r="H39" s="12"/>
      <c r="I39" s="12"/>
      <c r="J39" s="12"/>
      <c r="K39" s="211"/>
      <c r="L39" s="211"/>
    </row>
    <row r="40" spans="1:12" ht="20.25">
      <c r="A40" s="24" t="s">
        <v>9</v>
      </c>
      <c r="B40" s="12"/>
      <c r="C40" s="12"/>
      <c r="D40" s="12"/>
      <c r="E40" s="12"/>
      <c r="F40" s="12"/>
      <c r="G40" s="12"/>
      <c r="H40" s="12"/>
      <c r="I40" s="12"/>
      <c r="J40" s="12"/>
      <c r="K40" s="211"/>
      <c r="L40" s="211"/>
    </row>
    <row r="41" spans="1:12" ht="20.25">
      <c r="A41" s="25" t="s">
        <v>412</v>
      </c>
      <c r="B41" s="12"/>
      <c r="C41" s="12"/>
      <c r="D41" s="12"/>
      <c r="E41" s="12"/>
      <c r="F41" s="12"/>
      <c r="G41" s="12"/>
      <c r="H41" s="12"/>
      <c r="I41" s="12"/>
      <c r="J41" s="12"/>
      <c r="K41" s="211"/>
      <c r="L41" s="211"/>
    </row>
    <row r="42" spans="1:12" ht="20.25">
      <c r="A42" s="25"/>
      <c r="B42" s="12"/>
      <c r="C42" s="12"/>
      <c r="D42" s="12"/>
      <c r="E42" s="12"/>
      <c r="F42" s="12"/>
      <c r="G42" s="12"/>
      <c r="H42" s="12"/>
      <c r="I42" s="12"/>
      <c r="J42" s="12"/>
      <c r="K42" s="211"/>
      <c r="L42" s="211"/>
    </row>
    <row r="43" spans="1:12" ht="20.25">
      <c r="A43" s="25"/>
      <c r="B43" s="12"/>
      <c r="C43" s="12"/>
      <c r="D43" s="12"/>
      <c r="E43" s="12"/>
      <c r="F43" s="12"/>
      <c r="G43" s="12"/>
      <c r="H43" s="12"/>
      <c r="I43" s="12"/>
      <c r="J43" s="12"/>
      <c r="K43" s="211"/>
      <c r="L43" s="211"/>
    </row>
    <row r="44" spans="1:12" ht="20.25">
      <c r="A44" s="25"/>
      <c r="B44" s="12"/>
      <c r="C44" s="12"/>
      <c r="D44" s="12"/>
      <c r="E44" s="12"/>
      <c r="F44" s="12"/>
      <c r="G44" s="12"/>
      <c r="H44" s="12"/>
      <c r="I44" s="12"/>
      <c r="J44" s="12"/>
      <c r="K44" s="211"/>
      <c r="L44" s="211"/>
    </row>
    <row r="45" spans="1:12" ht="21" thickBot="1">
      <c r="B45" s="12"/>
      <c r="C45" s="12"/>
      <c r="D45" s="12"/>
      <c r="E45" s="12"/>
      <c r="F45" s="28"/>
      <c r="G45" s="28"/>
      <c r="H45" s="29" t="s">
        <v>0</v>
      </c>
      <c r="I45" s="12"/>
      <c r="J45" s="12"/>
      <c r="K45" s="211"/>
      <c r="L45" s="211"/>
    </row>
    <row r="46" spans="1:12" ht="26.25">
      <c r="B46" s="12"/>
      <c r="C46" s="12"/>
      <c r="D46" s="12"/>
      <c r="E46" s="12"/>
      <c r="F46" s="12"/>
      <c r="G46" s="31" t="s">
        <v>268</v>
      </c>
      <c r="H46" s="12"/>
      <c r="I46" s="12"/>
      <c r="J46" s="12"/>
      <c r="K46" s="211"/>
      <c r="L46" s="211"/>
    </row>
    <row r="47" spans="1:12" ht="21" thickBot="1">
      <c r="B47" s="40" t="s">
        <v>0</v>
      </c>
      <c r="C47" s="40" t="s">
        <v>0</v>
      </c>
      <c r="D47" s="12"/>
      <c r="E47" s="12"/>
      <c r="F47" s="33" t="s">
        <v>0</v>
      </c>
      <c r="G47" s="36" t="s">
        <v>413</v>
      </c>
      <c r="H47" s="33" t="s">
        <v>0</v>
      </c>
      <c r="I47" s="40" t="s">
        <v>0</v>
      </c>
      <c r="J47" s="12"/>
      <c r="K47" s="211"/>
      <c r="L47" s="211"/>
    </row>
    <row r="48" spans="1:12" ht="20.25"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</row>
    <row r="49" spans="1:12" ht="20.25">
      <c r="A49" s="211"/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</row>
    <row r="50" spans="1:12" ht="20.25">
      <c r="A50" s="211"/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</row>
    <row r="51" spans="1:12" ht="16.5">
      <c r="A51" s="40"/>
      <c r="B51" s="40"/>
      <c r="C51" s="40"/>
      <c r="D51" s="12"/>
      <c r="E51" s="12"/>
      <c r="J51" s="12"/>
      <c r="K51" s="12"/>
      <c r="L51" s="12"/>
    </row>
    <row r="52" spans="1:12" ht="31.5">
      <c r="A52" s="205" t="s">
        <v>257</v>
      </c>
      <c r="B52" s="40"/>
      <c r="C52" s="207" t="s">
        <v>262</v>
      </c>
      <c r="D52" s="12"/>
      <c r="E52" s="12"/>
      <c r="J52" s="12"/>
      <c r="K52" s="12"/>
      <c r="L52" s="12"/>
    </row>
    <row r="53" spans="1:12" ht="31.5">
      <c r="A53" s="205" t="s">
        <v>261</v>
      </c>
      <c r="B53" s="40"/>
      <c r="C53" s="207" t="s">
        <v>267</v>
      </c>
      <c r="D53" s="12"/>
      <c r="E53" s="12"/>
      <c r="J53" s="12"/>
      <c r="K53" s="12"/>
      <c r="L53" s="12"/>
    </row>
    <row r="54" spans="1:12" ht="17.25">
      <c r="A54" s="206" t="s">
        <v>258</v>
      </c>
      <c r="B54" s="40"/>
      <c r="C54" s="40"/>
      <c r="D54" s="12"/>
      <c r="E54" s="12"/>
      <c r="J54" s="12"/>
      <c r="K54" s="12"/>
      <c r="L54" s="12"/>
    </row>
    <row r="55" spans="1:12" ht="17.25">
      <c r="A55" s="206" t="s">
        <v>259</v>
      </c>
      <c r="B55" s="40"/>
      <c r="C55" s="40"/>
      <c r="D55" s="12"/>
      <c r="E55" s="12"/>
      <c r="J55" s="12"/>
      <c r="K55" s="12"/>
      <c r="L55" s="12"/>
    </row>
    <row r="56" spans="1:12" ht="17.25">
      <c r="A56" s="206" t="s">
        <v>260</v>
      </c>
      <c r="B56" s="40"/>
      <c r="C56" s="40"/>
      <c r="D56" s="12"/>
      <c r="E56" s="12"/>
      <c r="J56" s="12"/>
      <c r="K56" s="12"/>
      <c r="L56" s="12"/>
    </row>
    <row r="62" spans="1:12" ht="31.5">
      <c r="A62" s="208" t="s">
        <v>266</v>
      </c>
      <c r="B62" s="106"/>
      <c r="C62" s="106"/>
      <c r="D62" s="106"/>
      <c r="E62" s="106"/>
      <c r="F62" s="106"/>
      <c r="G62" s="12"/>
      <c r="H62" s="12"/>
      <c r="I62" s="12"/>
    </row>
    <row r="63" spans="1:12" ht="17.25">
      <c r="A63" s="106"/>
      <c r="B63" s="106"/>
      <c r="C63" s="106"/>
      <c r="D63" s="106"/>
      <c r="E63" s="106"/>
      <c r="F63" s="106"/>
      <c r="G63" s="12"/>
      <c r="H63" s="12"/>
      <c r="I63" s="12"/>
    </row>
    <row r="64" spans="1:12" ht="18" thickBot="1">
      <c r="A64" s="209" t="s">
        <v>263</v>
      </c>
      <c r="B64" s="108"/>
      <c r="C64" s="108"/>
      <c r="D64" s="210" t="s">
        <v>265</v>
      </c>
      <c r="E64" s="108"/>
      <c r="F64" s="106"/>
      <c r="G64" s="12"/>
      <c r="H64" s="12"/>
      <c r="I64" s="12"/>
    </row>
    <row r="65" spans="1:9" ht="17.25">
      <c r="A65" s="106"/>
      <c r="B65" s="106"/>
      <c r="C65" s="106"/>
      <c r="D65" s="106" t="s">
        <v>264</v>
      </c>
      <c r="E65" s="106"/>
      <c r="F65" s="106"/>
      <c r="G65" s="12"/>
      <c r="H65" s="12"/>
      <c r="I65" s="12"/>
    </row>
    <row r="66" spans="1:9" ht="17.25">
      <c r="A66" s="106"/>
      <c r="B66" s="106"/>
      <c r="C66" s="106"/>
      <c r="D66" s="106"/>
      <c r="E66" s="106"/>
      <c r="F66" s="106"/>
      <c r="G66" s="12"/>
      <c r="H66" s="12"/>
      <c r="I66" s="12"/>
    </row>
    <row r="67" spans="1:9" ht="16.5">
      <c r="A67" s="12"/>
      <c r="B67" s="12"/>
      <c r="C67" s="12"/>
      <c r="D67" s="12"/>
      <c r="E67" s="12"/>
      <c r="F67" s="12"/>
      <c r="G67" s="12"/>
      <c r="H67" s="12"/>
      <c r="I67" s="12"/>
    </row>
    <row r="68" spans="1:9" ht="16.5">
      <c r="A68" s="12"/>
      <c r="B68" s="12"/>
      <c r="C68" s="12"/>
      <c r="D68" s="12"/>
      <c r="E68" s="12"/>
      <c r="F68" s="12"/>
      <c r="G68" s="12"/>
      <c r="H68" s="12"/>
      <c r="I68" s="12"/>
    </row>
    <row r="69" spans="1:9" ht="16.5">
      <c r="A69" s="12"/>
      <c r="B69" s="12"/>
      <c r="C69" s="12"/>
      <c r="D69" s="12"/>
      <c r="E69" s="12"/>
      <c r="F69" s="12"/>
      <c r="G69" s="12"/>
      <c r="H69" s="12"/>
      <c r="I69" s="12"/>
    </row>
    <row r="70" spans="1:9" ht="16.5">
      <c r="A70" s="12"/>
      <c r="B70" s="12"/>
      <c r="C70" s="12"/>
      <c r="D70" s="12"/>
      <c r="E70" s="12"/>
      <c r="F70" s="12"/>
      <c r="G70" s="12"/>
      <c r="H70" s="12"/>
      <c r="I70" s="12"/>
    </row>
    <row r="71" spans="1:9" ht="16.5">
      <c r="A71" s="12"/>
      <c r="B71" s="12"/>
      <c r="C71" s="12"/>
      <c r="D71" s="12"/>
      <c r="E71" s="12"/>
      <c r="F71" s="12"/>
      <c r="G71" s="12"/>
      <c r="H71" s="12"/>
      <c r="I71" s="12"/>
    </row>
    <row r="72" spans="1:9" ht="16.5">
      <c r="A72" s="12" t="s">
        <v>0</v>
      </c>
      <c r="B72" s="12"/>
      <c r="C72" s="12"/>
      <c r="D72" s="12"/>
      <c r="E72" s="12"/>
      <c r="F72" s="12"/>
      <c r="G72" s="12"/>
      <c r="H72" s="12"/>
      <c r="I72" s="12"/>
    </row>
    <row r="73" spans="1:9" ht="16.5">
      <c r="A73" s="12"/>
      <c r="B73" s="12"/>
      <c r="C73" s="12"/>
      <c r="D73" s="12"/>
      <c r="E73" s="12"/>
      <c r="F73" s="12"/>
      <c r="G73" s="12"/>
      <c r="H73" s="12"/>
      <c r="I73" s="12"/>
    </row>
  </sheetData>
  <pageMargins left="0.25" right="0.25" top="0.75" bottom="0.75" header="0.3" footer="0.3"/>
  <pageSetup scale="52" orientation="landscape" r:id="rId1"/>
  <rowBreaks count="1" manualBreakCount="1">
    <brk id="37" max="11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19DCF-8362-451B-93E3-8D44BC877730}">
  <sheetPr>
    <tabColor rgb="FF92D050"/>
  </sheetPr>
  <dimension ref="A1:H33"/>
  <sheetViews>
    <sheetView view="pageBreakPreview" zoomScale="60" zoomScaleNormal="80" workbookViewId="0">
      <selection activeCell="D21" sqref="D21"/>
    </sheetView>
  </sheetViews>
  <sheetFormatPr defaultRowHeight="15"/>
  <cols>
    <col min="1" max="1" width="46.85546875" customWidth="1"/>
    <col min="2" max="2" width="17" customWidth="1"/>
    <col min="3" max="3" width="22.7109375" customWidth="1"/>
    <col min="4" max="4" width="20.140625" customWidth="1"/>
    <col min="5" max="5" width="29.5703125" customWidth="1"/>
    <col min="6" max="6" width="23.5703125" customWidth="1"/>
    <col min="7" max="7" width="21.28515625" customWidth="1"/>
    <col min="8" max="8" width="38.42578125" customWidth="1"/>
    <col min="9" max="9" width="14.140625" bestFit="1" customWidth="1"/>
    <col min="11" max="11" width="10.5703125" customWidth="1"/>
  </cols>
  <sheetData>
    <row r="1" spans="1:8" ht="26.25">
      <c r="A1" s="23" t="s">
        <v>1</v>
      </c>
      <c r="B1" s="12"/>
      <c r="C1" s="12"/>
      <c r="D1" s="12"/>
      <c r="E1" s="12"/>
      <c r="F1" s="12"/>
      <c r="G1" s="12"/>
      <c r="H1" s="12"/>
    </row>
    <row r="2" spans="1:8" ht="17.25">
      <c r="A2" s="24" t="s">
        <v>9</v>
      </c>
      <c r="B2" s="12"/>
      <c r="C2" s="12"/>
      <c r="D2" s="12"/>
      <c r="E2" s="12"/>
      <c r="F2" s="12"/>
      <c r="G2" s="12"/>
      <c r="H2" s="12"/>
    </row>
    <row r="3" spans="1:8" ht="16.5">
      <c r="A3" s="25" t="s">
        <v>412</v>
      </c>
      <c r="B3" s="12"/>
      <c r="C3" s="12"/>
      <c r="D3" s="12"/>
      <c r="E3" s="12"/>
      <c r="F3" s="12"/>
      <c r="G3" s="12"/>
      <c r="H3" s="12"/>
    </row>
    <row r="4" spans="1:8" ht="16.5">
      <c r="A4" s="25"/>
      <c r="B4" s="12"/>
      <c r="C4" s="12"/>
      <c r="D4" s="12"/>
      <c r="E4" s="12"/>
      <c r="F4" s="12"/>
      <c r="G4" s="12"/>
      <c r="H4" s="12"/>
    </row>
    <row r="5" spans="1:8" ht="16.5">
      <c r="A5" s="25"/>
      <c r="B5" s="12"/>
      <c r="C5" s="12"/>
      <c r="D5" s="12"/>
      <c r="E5" s="12"/>
      <c r="F5" s="12"/>
      <c r="G5" s="12"/>
      <c r="H5" s="12"/>
    </row>
    <row r="6" spans="1:8" ht="16.5">
      <c r="A6" s="25"/>
      <c r="B6" s="12"/>
      <c r="C6" s="12"/>
      <c r="D6" s="12"/>
      <c r="E6" s="12"/>
      <c r="F6" s="12"/>
      <c r="G6" s="12"/>
      <c r="H6" s="12"/>
    </row>
    <row r="7" spans="1:8" ht="17.25" thickBot="1">
      <c r="A7" s="12"/>
      <c r="B7" s="12"/>
      <c r="C7" s="12"/>
      <c r="H7" s="12"/>
    </row>
    <row r="8" spans="1:8" ht="21" thickBot="1">
      <c r="A8" s="239" t="str">
        <f>+'S&amp;D'!A12</f>
        <v>Water Utility Companies (Private)</v>
      </c>
      <c r="B8" s="174"/>
      <c r="C8" s="12"/>
      <c r="D8" s="28"/>
      <c r="E8" s="28"/>
      <c r="F8" s="28"/>
      <c r="H8" s="12"/>
    </row>
    <row r="9" spans="1:8" ht="26.25">
      <c r="A9" s="30"/>
      <c r="B9" s="12"/>
      <c r="C9" s="12"/>
      <c r="D9" s="12"/>
      <c r="E9" s="31" t="s">
        <v>117</v>
      </c>
      <c r="F9" s="31"/>
      <c r="H9" s="12"/>
    </row>
    <row r="10" spans="1:8" ht="21" thickBot="1">
      <c r="A10" s="30"/>
      <c r="B10" s="12"/>
      <c r="C10" s="12"/>
      <c r="D10" s="28"/>
      <c r="E10" s="36" t="s">
        <v>413</v>
      </c>
      <c r="F10" s="36"/>
      <c r="H10" s="12"/>
    </row>
    <row r="11" spans="1:8" ht="20.25">
      <c r="A11" s="30"/>
      <c r="B11" s="12"/>
      <c r="H11" s="12"/>
    </row>
    <row r="12" spans="1:8" ht="17.25" thickBot="1">
      <c r="A12" s="33" t="s">
        <v>0</v>
      </c>
      <c r="B12" s="33" t="s">
        <v>0</v>
      </c>
      <c r="C12" s="33" t="s">
        <v>0</v>
      </c>
      <c r="D12" s="33" t="s">
        <v>0</v>
      </c>
      <c r="E12" s="33" t="s">
        <v>0</v>
      </c>
      <c r="F12" s="33"/>
      <c r="G12" s="33"/>
      <c r="H12" s="28"/>
    </row>
    <row r="13" spans="1:8" ht="17.25">
      <c r="A13" s="90" t="s">
        <v>0</v>
      </c>
      <c r="B13" s="90" t="s">
        <v>3</v>
      </c>
      <c r="C13" s="90" t="s">
        <v>5</v>
      </c>
      <c r="D13" s="90" t="s">
        <v>21</v>
      </c>
      <c r="E13" s="163" t="s">
        <v>220</v>
      </c>
      <c r="F13" s="163" t="s">
        <v>325</v>
      </c>
      <c r="G13" s="90" t="s">
        <v>20</v>
      </c>
      <c r="H13" s="90" t="s">
        <v>138</v>
      </c>
    </row>
    <row r="14" spans="1:8" ht="18" thickBot="1">
      <c r="A14" s="96" t="s">
        <v>2</v>
      </c>
      <c r="B14" s="96" t="s">
        <v>4</v>
      </c>
      <c r="C14" s="96" t="s">
        <v>6</v>
      </c>
      <c r="D14" s="96" t="s">
        <v>23</v>
      </c>
      <c r="E14" s="96" t="s">
        <v>326</v>
      </c>
      <c r="F14" s="96" t="s">
        <v>181</v>
      </c>
      <c r="G14" s="96" t="s">
        <v>22</v>
      </c>
      <c r="H14" s="96" t="s">
        <v>115</v>
      </c>
    </row>
    <row r="15" spans="1:8">
      <c r="A15" s="38" t="s">
        <v>7</v>
      </c>
      <c r="B15" s="38" t="s">
        <v>7</v>
      </c>
      <c r="C15" s="38" t="s">
        <v>7</v>
      </c>
      <c r="D15" s="38" t="s">
        <v>7</v>
      </c>
      <c r="E15" s="201" t="s">
        <v>416</v>
      </c>
      <c r="F15" s="201" t="s">
        <v>416</v>
      </c>
      <c r="G15" s="38" t="s">
        <v>7</v>
      </c>
      <c r="H15" s="201" t="s">
        <v>416</v>
      </c>
    </row>
    <row r="16" spans="1:8" ht="17.25" thickBot="1">
      <c r="A16" s="34"/>
      <c r="B16" s="34"/>
      <c r="C16" s="34"/>
      <c r="D16" s="34"/>
      <c r="G16" s="34"/>
      <c r="H16" s="34"/>
    </row>
    <row r="17" spans="1:8" ht="16.5">
      <c r="A17" s="145"/>
      <c r="B17" s="110"/>
      <c r="C17" s="110"/>
      <c r="D17" s="110"/>
      <c r="E17" s="290"/>
      <c r="F17" s="290"/>
      <c r="G17" s="110"/>
      <c r="H17" s="146"/>
    </row>
    <row r="18" spans="1:8" ht="20.25" customHeight="1">
      <c r="A18" s="102" t="str">
        <f>+'S&amp;D'!A22</f>
        <v>American States Water Company</v>
      </c>
      <c r="B18" s="90" t="str">
        <f>+'S&amp;D'!B22</f>
        <v>AWR</v>
      </c>
      <c r="C18" s="90" t="str">
        <f>+'S&amp;D'!C22</f>
        <v>Water Utility</v>
      </c>
      <c r="D18" s="291">
        <v>0.23499999999999999</v>
      </c>
      <c r="E18" s="236">
        <v>0.125</v>
      </c>
      <c r="F18" s="236">
        <v>0.05</v>
      </c>
      <c r="G18" s="90" t="s">
        <v>24</v>
      </c>
      <c r="H18" s="281">
        <v>0.75</v>
      </c>
    </row>
    <row r="19" spans="1:8" ht="20.25" customHeight="1">
      <c r="A19" s="102" t="str">
        <f>+'S&amp;D'!A23</f>
        <v>American Water Works Company Inc</v>
      </c>
      <c r="B19" s="90" t="str">
        <f>+'S&amp;D'!B23</f>
        <v>AWK</v>
      </c>
      <c r="C19" s="90" t="str">
        <f>+'S&amp;D'!C23</f>
        <v>Water Utility</v>
      </c>
      <c r="D19" s="114">
        <v>0.22500000000000001</v>
      </c>
      <c r="E19" s="236">
        <v>0.105</v>
      </c>
      <c r="F19" s="236">
        <v>4.4999999999999998E-2</v>
      </c>
      <c r="G19" s="90" t="s">
        <v>24</v>
      </c>
      <c r="H19" s="281">
        <v>0.85</v>
      </c>
    </row>
    <row r="20" spans="1:8" ht="20.25" customHeight="1">
      <c r="A20" s="102" t="str">
        <f>+'S&amp;D'!A24</f>
        <v xml:space="preserve">California Water Service Group </v>
      </c>
      <c r="B20" s="90" t="str">
        <f>+'S&amp;D'!B24</f>
        <v>CWT</v>
      </c>
      <c r="C20" s="90" t="str">
        <f>+'S&amp;D'!C24</f>
        <v>Water Utility</v>
      </c>
      <c r="D20" s="114">
        <v>0.21</v>
      </c>
      <c r="E20" s="236">
        <v>0.1</v>
      </c>
      <c r="F20" s="236">
        <v>0.06</v>
      </c>
      <c r="G20" s="90" t="s">
        <v>408</v>
      </c>
      <c r="H20" s="281">
        <v>0.85</v>
      </c>
    </row>
    <row r="21" spans="1:8" ht="20.25" customHeight="1">
      <c r="A21" s="102" t="str">
        <f>+'S&amp;D'!A25</f>
        <v>Essential Utilities, Inc.</v>
      </c>
      <c r="B21" s="90" t="str">
        <f>+'S&amp;D'!B25</f>
        <v>WTRG</v>
      </c>
      <c r="C21" s="90" t="str">
        <f>+'S&amp;D'!C25</f>
        <v>Water Utility</v>
      </c>
      <c r="D21" s="114">
        <v>0.05</v>
      </c>
      <c r="E21" s="236">
        <v>0.105</v>
      </c>
      <c r="F21" s="236">
        <v>4.4999999999999998E-2</v>
      </c>
      <c r="G21" s="90" t="s">
        <v>24</v>
      </c>
      <c r="H21" s="281">
        <v>0.9</v>
      </c>
    </row>
    <row r="22" spans="1:8" ht="20.25" customHeight="1">
      <c r="A22" s="102" t="str">
        <f>+'S&amp;D'!A26</f>
        <v>Middlesex Water Company</v>
      </c>
      <c r="B22" s="90" t="str">
        <f>+'S&amp;D'!B26</f>
        <v>MSEX</v>
      </c>
      <c r="C22" s="90" t="str">
        <f>+'S&amp;D'!C26</f>
        <v>Water Utility</v>
      </c>
      <c r="D22" s="114">
        <v>0.21</v>
      </c>
      <c r="E22" s="236">
        <v>0.115</v>
      </c>
      <c r="F22" s="236">
        <v>0.06</v>
      </c>
      <c r="G22" s="90" t="s">
        <v>24</v>
      </c>
      <c r="H22" s="281">
        <v>0.8</v>
      </c>
    </row>
    <row r="23" spans="1:8" ht="20.25" customHeight="1" thickBot="1">
      <c r="A23" s="61" t="str">
        <f>+'S&amp;D'!A27</f>
        <v>SJW Corporation</v>
      </c>
      <c r="B23" s="90" t="str">
        <f>+'S&amp;D'!B27</f>
        <v>SJW</v>
      </c>
      <c r="C23" s="90" t="str">
        <f>+'S&amp;D'!C27</f>
        <v>Water Utility</v>
      </c>
      <c r="D23" s="114">
        <v>0.21</v>
      </c>
      <c r="E23" s="236">
        <v>7.0000000000000007E-2</v>
      </c>
      <c r="F23" s="236">
        <v>3.5000000000000003E-2</v>
      </c>
      <c r="G23" s="90" t="s">
        <v>24</v>
      </c>
      <c r="H23" s="292">
        <v>0.8</v>
      </c>
    </row>
    <row r="24" spans="1:8" ht="20.25" customHeight="1" thickTop="1">
      <c r="A24" s="106"/>
      <c r="B24" s="106"/>
      <c r="C24" s="4"/>
      <c r="D24" s="158" t="s">
        <v>0</v>
      </c>
      <c r="E24" s="4"/>
      <c r="F24" s="4"/>
      <c r="G24" s="117" t="s">
        <v>45</v>
      </c>
      <c r="H24" s="159">
        <v>1</v>
      </c>
    </row>
    <row r="25" spans="1:8" ht="20.25" customHeight="1">
      <c r="A25" s="106"/>
      <c r="B25" s="106"/>
      <c r="C25" s="4"/>
      <c r="D25" s="158" t="s">
        <v>0</v>
      </c>
      <c r="E25" s="4"/>
      <c r="F25" s="4"/>
      <c r="G25" s="117" t="s">
        <v>46</v>
      </c>
      <c r="H25" s="343">
        <v>0.7</v>
      </c>
    </row>
    <row r="26" spans="1:8" ht="20.25" customHeight="1">
      <c r="A26" s="106"/>
      <c r="B26" s="106"/>
      <c r="C26" s="4"/>
      <c r="D26" s="160" t="s">
        <v>0</v>
      </c>
      <c r="E26" s="4"/>
      <c r="F26" s="4"/>
      <c r="G26" s="117" t="s">
        <v>18</v>
      </c>
      <c r="H26" s="161">
        <f>MEDIAN(H18:H23)</f>
        <v>0.82499999999999996</v>
      </c>
    </row>
    <row r="27" spans="1:8" ht="20.25" customHeight="1">
      <c r="A27" s="106"/>
      <c r="B27" s="106"/>
      <c r="C27" s="4"/>
      <c r="D27" s="120" t="s">
        <v>0</v>
      </c>
      <c r="E27" s="4"/>
      <c r="F27" s="4"/>
      <c r="G27" s="117" t="s">
        <v>374</v>
      </c>
      <c r="H27" s="162">
        <f>AVERAGE(H18:H23)</f>
        <v>0.82500000000000007</v>
      </c>
    </row>
    <row r="28" spans="1:8" ht="20.25" customHeight="1" thickBot="1">
      <c r="A28" s="12"/>
      <c r="B28" s="12"/>
      <c r="C28" s="12"/>
      <c r="D28" s="12"/>
      <c r="G28" s="12"/>
      <c r="H28" s="12"/>
    </row>
    <row r="29" spans="1:8" ht="20.25" customHeight="1" thickBot="1">
      <c r="A29" s="12"/>
      <c r="B29" s="12"/>
      <c r="C29" s="12"/>
      <c r="D29" s="12"/>
      <c r="G29" s="180" t="s">
        <v>73</v>
      </c>
      <c r="H29" s="289">
        <v>0.83</v>
      </c>
    </row>
    <row r="30" spans="1:8" ht="20.25" customHeight="1">
      <c r="A30" s="12"/>
      <c r="B30" s="12"/>
      <c r="C30" s="12"/>
      <c r="D30" s="12"/>
      <c r="G30" s="12"/>
      <c r="H30" s="260"/>
    </row>
    <row r="31" spans="1:8" ht="20.25" customHeight="1">
      <c r="A31" s="12"/>
      <c r="B31" s="12"/>
      <c r="C31" s="12"/>
      <c r="D31" s="12"/>
      <c r="G31" s="12"/>
      <c r="H31" s="260"/>
    </row>
    <row r="32" spans="1:8" ht="17.25">
      <c r="A32" s="106" t="s">
        <v>328</v>
      </c>
    </row>
    <row r="33" spans="1:1" ht="17.25">
      <c r="A33" s="106" t="s">
        <v>327</v>
      </c>
    </row>
  </sheetData>
  <pageMargins left="0.25" right="0.25" top="0.75" bottom="0.75" header="0.3" footer="0.3"/>
  <pageSetup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F0854-9225-4685-BC0B-402957CF1047}">
  <sheetPr>
    <tabColor rgb="FF92D050"/>
  </sheetPr>
  <dimension ref="A1:K29"/>
  <sheetViews>
    <sheetView view="pageBreakPreview" zoomScale="60" zoomScaleNormal="80" workbookViewId="0">
      <selection activeCell="K21" sqref="K21"/>
    </sheetView>
  </sheetViews>
  <sheetFormatPr defaultRowHeight="15"/>
  <cols>
    <col min="1" max="1" width="50.42578125" customWidth="1"/>
    <col min="2" max="2" width="10.85546875" bestFit="1" customWidth="1"/>
    <col min="3" max="3" width="19.140625" bestFit="1" customWidth="1"/>
    <col min="4" max="4" width="15.28515625" customWidth="1"/>
    <col min="5" max="5" width="16" customWidth="1"/>
    <col min="6" max="6" width="20" customWidth="1"/>
    <col min="7" max="7" width="16.5703125" customWidth="1"/>
    <col min="8" max="8" width="19.140625" customWidth="1"/>
    <col min="9" max="10" width="20.140625" customWidth="1"/>
    <col min="11" max="11" width="17.7109375" customWidth="1"/>
    <col min="12" max="12" width="23.7109375" customWidth="1"/>
  </cols>
  <sheetData>
    <row r="1" spans="1:11" ht="26.25">
      <c r="A1" s="23" t="s">
        <v>1</v>
      </c>
      <c r="B1" s="12"/>
      <c r="C1" s="12"/>
      <c r="D1" s="12"/>
      <c r="E1" s="12"/>
      <c r="F1" s="12"/>
      <c r="G1" s="12"/>
      <c r="H1" s="12"/>
      <c r="I1" s="12"/>
      <c r="J1" s="12"/>
    </row>
    <row r="2" spans="1:11" ht="17.25">
      <c r="A2" s="24" t="s">
        <v>9</v>
      </c>
      <c r="B2" s="12"/>
      <c r="C2" s="12"/>
      <c r="D2" s="12"/>
      <c r="E2" s="12"/>
      <c r="F2" s="12"/>
      <c r="G2" s="12"/>
      <c r="H2" s="12"/>
      <c r="I2" s="12"/>
      <c r="J2" s="12"/>
    </row>
    <row r="3" spans="1:11" ht="16.5">
      <c r="A3" s="25" t="s">
        <v>412</v>
      </c>
      <c r="B3" s="12"/>
      <c r="C3" s="12"/>
      <c r="D3" s="12"/>
      <c r="E3" s="12"/>
      <c r="F3" s="12"/>
      <c r="G3" s="12"/>
      <c r="H3" s="12"/>
      <c r="I3" s="12"/>
      <c r="J3" s="12"/>
    </row>
    <row r="4" spans="1:11" ht="16.5">
      <c r="A4" s="25"/>
      <c r="B4" s="12"/>
      <c r="C4" s="12"/>
      <c r="D4" s="12"/>
      <c r="E4" s="12"/>
      <c r="F4" s="12"/>
      <c r="G4" s="12"/>
      <c r="H4" s="12"/>
      <c r="I4" s="12"/>
      <c r="J4" s="12"/>
    </row>
    <row r="5" spans="1:11" ht="17.25" thickBot="1">
      <c r="A5" s="12"/>
      <c r="B5" s="12"/>
      <c r="C5" s="12"/>
      <c r="D5" s="12"/>
      <c r="E5" s="12"/>
      <c r="F5" s="12"/>
      <c r="G5" s="26"/>
      <c r="H5" s="12"/>
      <c r="I5" s="12"/>
      <c r="J5" s="12"/>
    </row>
    <row r="6" spans="1:11" ht="21" thickBot="1">
      <c r="A6" s="239" t="str">
        <f>+'S&amp;D'!A12</f>
        <v>Water Utility Companies (Private)</v>
      </c>
      <c r="B6" s="174"/>
      <c r="C6" s="12"/>
      <c r="D6" s="28"/>
      <c r="E6" s="28"/>
      <c r="F6" s="29" t="s">
        <v>0</v>
      </c>
      <c r="G6" s="12"/>
      <c r="H6" s="12"/>
      <c r="I6" s="12"/>
      <c r="J6" s="12"/>
    </row>
    <row r="7" spans="1:11" ht="26.25">
      <c r="A7" s="30"/>
      <c r="B7" s="12"/>
      <c r="C7" s="12"/>
      <c r="D7" s="12"/>
      <c r="E7" s="31" t="s">
        <v>161</v>
      </c>
      <c r="F7" s="12"/>
      <c r="G7" s="12"/>
      <c r="H7" s="12"/>
      <c r="I7" s="12"/>
      <c r="J7" s="12"/>
    </row>
    <row r="8" spans="1:11" ht="21" thickBot="1">
      <c r="A8" s="30"/>
      <c r="B8" s="12"/>
      <c r="C8" s="12"/>
      <c r="D8" s="28"/>
      <c r="E8" s="32" t="s">
        <v>413</v>
      </c>
      <c r="F8" s="28"/>
      <c r="G8" s="12"/>
      <c r="H8" s="12"/>
      <c r="I8" s="12"/>
      <c r="J8" s="12"/>
    </row>
    <row r="9" spans="1:11" ht="17.25" thickBot="1">
      <c r="A9" s="33" t="s">
        <v>0</v>
      </c>
      <c r="B9" s="33" t="s">
        <v>0</v>
      </c>
      <c r="C9" s="33" t="s">
        <v>0</v>
      </c>
      <c r="D9" s="33" t="s">
        <v>0</v>
      </c>
      <c r="E9" s="33" t="s">
        <v>0</v>
      </c>
      <c r="F9" s="33"/>
      <c r="G9" s="28"/>
      <c r="H9" s="28"/>
      <c r="I9" s="28"/>
      <c r="J9" s="28"/>
      <c r="K9" s="143"/>
    </row>
    <row r="10" spans="1:11" ht="16.5">
      <c r="A10" s="34" t="s">
        <v>0</v>
      </c>
      <c r="B10" s="34" t="s">
        <v>3</v>
      </c>
      <c r="C10" s="34" t="s">
        <v>5</v>
      </c>
      <c r="D10" s="34" t="s">
        <v>156</v>
      </c>
      <c r="E10" s="34" t="s">
        <v>157</v>
      </c>
      <c r="F10" s="34" t="s">
        <v>159</v>
      </c>
      <c r="G10" s="34" t="s">
        <v>157</v>
      </c>
      <c r="H10" s="34" t="s">
        <v>159</v>
      </c>
      <c r="I10" s="34" t="s">
        <v>157</v>
      </c>
      <c r="J10" s="34" t="s">
        <v>159</v>
      </c>
      <c r="K10" s="34" t="s">
        <v>250</v>
      </c>
    </row>
    <row r="11" spans="1:11" ht="16.5">
      <c r="A11" s="34"/>
      <c r="B11" s="34" t="s">
        <v>4</v>
      </c>
      <c r="C11" s="34" t="s">
        <v>6</v>
      </c>
      <c r="D11" s="34" t="s">
        <v>27</v>
      </c>
      <c r="E11" s="34" t="s">
        <v>158</v>
      </c>
      <c r="F11" s="34" t="s">
        <v>116</v>
      </c>
      <c r="G11" s="34" t="s">
        <v>158</v>
      </c>
      <c r="H11" s="34" t="s">
        <v>116</v>
      </c>
      <c r="I11" s="34" t="s">
        <v>158</v>
      </c>
      <c r="J11" s="34" t="s">
        <v>116</v>
      </c>
      <c r="K11" s="34" t="s">
        <v>173</v>
      </c>
    </row>
    <row r="12" spans="1:11" ht="17.25" thickBot="1">
      <c r="A12" s="36" t="s">
        <v>2</v>
      </c>
      <c r="B12" s="36" t="s">
        <v>0</v>
      </c>
      <c r="C12" s="36" t="s">
        <v>0</v>
      </c>
      <c r="D12" s="36" t="s">
        <v>0</v>
      </c>
      <c r="E12" s="36" t="s">
        <v>160</v>
      </c>
      <c r="F12" s="36" t="s">
        <v>160</v>
      </c>
      <c r="G12" s="36" t="s">
        <v>248</v>
      </c>
      <c r="H12" s="36" t="s">
        <v>248</v>
      </c>
      <c r="I12" s="36" t="s">
        <v>249</v>
      </c>
      <c r="J12" s="36" t="s">
        <v>249</v>
      </c>
      <c r="K12" s="203" t="s">
        <v>251</v>
      </c>
    </row>
    <row r="13" spans="1:11">
      <c r="A13" s="38" t="s">
        <v>7</v>
      </c>
      <c r="B13" s="38" t="s">
        <v>7</v>
      </c>
      <c r="C13" s="38" t="s">
        <v>7</v>
      </c>
      <c r="D13" s="39" t="s">
        <v>112</v>
      </c>
      <c r="E13" s="38" t="s">
        <v>7</v>
      </c>
      <c r="F13" s="38" t="s">
        <v>15</v>
      </c>
      <c r="G13" s="38" t="s">
        <v>7</v>
      </c>
      <c r="H13" s="38" t="s">
        <v>15</v>
      </c>
      <c r="I13" s="38" t="s">
        <v>7</v>
      </c>
      <c r="J13" s="38" t="s">
        <v>15</v>
      </c>
      <c r="K13" s="38" t="s">
        <v>15</v>
      </c>
    </row>
    <row r="14" spans="1:11" ht="16.5">
      <c r="A14" s="34"/>
      <c r="B14" s="34"/>
      <c r="C14" s="34"/>
      <c r="D14" s="34"/>
      <c r="E14" s="34"/>
      <c r="F14" s="34"/>
      <c r="G14" s="12"/>
      <c r="H14" s="12"/>
      <c r="I14" s="12"/>
      <c r="J14" s="12"/>
      <c r="K14" s="12"/>
    </row>
    <row r="15" spans="1:11" ht="16.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7.25">
      <c r="A16" s="61" t="str">
        <f>+'S&amp;D'!A22</f>
        <v>American States Water Company</v>
      </c>
      <c r="B16" s="90" t="str">
        <f>+'S&amp;D'!B22</f>
        <v>AWR</v>
      </c>
      <c r="C16" s="90" t="str">
        <f>+'S&amp;D'!C22</f>
        <v>Water Utility</v>
      </c>
      <c r="D16" s="58">
        <f>+'S&amp;D'!G22</f>
        <v>77.72</v>
      </c>
      <c r="E16" s="60">
        <v>1.79</v>
      </c>
      <c r="F16" s="64">
        <f>+E16/D16</f>
        <v>2.3031394750386004E-2</v>
      </c>
      <c r="G16" s="60">
        <v>1.95</v>
      </c>
      <c r="H16" s="64">
        <f>+G16/D16</f>
        <v>2.5090066906845086E-2</v>
      </c>
      <c r="I16" s="60">
        <v>2.5</v>
      </c>
      <c r="J16" s="64">
        <f>+I16/D16</f>
        <v>3.2166752444673187E-2</v>
      </c>
      <c r="K16" s="202">
        <f>RATE(3,,-G16,I16)</f>
        <v>8.6346740846675124E-2</v>
      </c>
    </row>
    <row r="17" spans="1:11" ht="17.25">
      <c r="A17" s="61" t="str">
        <f>+'S&amp;D'!A23</f>
        <v>American Water Works Company Inc</v>
      </c>
      <c r="B17" s="90" t="str">
        <f>+'S&amp;D'!B23</f>
        <v>AWK</v>
      </c>
      <c r="C17" s="90" t="str">
        <f>+'S&amp;D'!C23</f>
        <v>Water Utility</v>
      </c>
      <c r="D17" s="58">
        <f>+'S&amp;D'!G23</f>
        <v>124.49</v>
      </c>
      <c r="E17" s="60">
        <v>3.25</v>
      </c>
      <c r="F17" s="64">
        <f t="shared" ref="F17:F21" si="0">+E17/D17</f>
        <v>2.6106514579484298E-2</v>
      </c>
      <c r="G17" s="60">
        <v>3.5</v>
      </c>
      <c r="H17" s="64">
        <f t="shared" ref="H17:H21" si="1">+G17/D17</f>
        <v>2.8114708008675396E-2</v>
      </c>
      <c r="I17" s="60">
        <v>4.45</v>
      </c>
      <c r="J17" s="64">
        <f t="shared" ref="J17:J21" si="2">+I17/D17</f>
        <v>3.5745843039601578E-2</v>
      </c>
      <c r="K17" s="202">
        <f>RATE(3,,-G17,I17)</f>
        <v>8.333802947152244E-2</v>
      </c>
    </row>
    <row r="18" spans="1:11" ht="17.25">
      <c r="A18" s="61" t="str">
        <f>+'S&amp;D'!A24</f>
        <v xml:space="preserve">California Water Service Group </v>
      </c>
      <c r="B18" s="90" t="str">
        <f>+'S&amp;D'!B24</f>
        <v>CWT</v>
      </c>
      <c r="C18" s="90" t="str">
        <f>+'S&amp;D'!C24</f>
        <v>Water Utility</v>
      </c>
      <c r="D18" s="58">
        <f>+'S&amp;D'!G24</f>
        <v>45.33</v>
      </c>
      <c r="E18" s="60">
        <v>1.2</v>
      </c>
      <c r="F18" s="64">
        <f t="shared" si="0"/>
        <v>2.6472534745201854E-2</v>
      </c>
      <c r="G18" s="60">
        <v>1.25</v>
      </c>
      <c r="H18" s="64">
        <f t="shared" si="1"/>
        <v>2.7575557026251932E-2</v>
      </c>
      <c r="I18" s="60">
        <v>1.45</v>
      </c>
      <c r="J18" s="64">
        <f t="shared" si="2"/>
        <v>3.1987646150452242E-2</v>
      </c>
      <c r="K18" s="202">
        <f t="shared" ref="K18:K21" si="3">RATE(3,,-G18,I18)</f>
        <v>5.0717574498580192E-2</v>
      </c>
    </row>
    <row r="19" spans="1:11" ht="17.25">
      <c r="A19" s="61" t="str">
        <f>+'S&amp;D'!A25</f>
        <v>Essential Utilities, Inc.</v>
      </c>
      <c r="B19" s="90" t="str">
        <f>+'S&amp;D'!B25</f>
        <v>WTRG</v>
      </c>
      <c r="C19" s="90" t="str">
        <f>+'S&amp;D'!C25</f>
        <v>Water Utility</v>
      </c>
      <c r="D19" s="58">
        <f>+'S&amp;D'!G25</f>
        <v>36.32</v>
      </c>
      <c r="E19" s="60">
        <v>1.35</v>
      </c>
      <c r="F19" s="64">
        <f t="shared" si="0"/>
        <v>3.7169603524229079E-2</v>
      </c>
      <c r="G19" s="60">
        <v>1.43</v>
      </c>
      <c r="H19" s="64">
        <f t="shared" si="1"/>
        <v>3.9372246696035243E-2</v>
      </c>
      <c r="I19" s="60">
        <v>1.75</v>
      </c>
      <c r="J19" s="64">
        <f t="shared" si="2"/>
        <v>4.8182819383259912E-2</v>
      </c>
      <c r="K19" s="202">
        <f t="shared" si="3"/>
        <v>6.9631055662226521E-2</v>
      </c>
    </row>
    <row r="20" spans="1:11" ht="17.25">
      <c r="A20" s="61" t="str">
        <f>+'S&amp;D'!A26</f>
        <v>Middlesex Water Company</v>
      </c>
      <c r="B20" s="90" t="str">
        <f>+'S&amp;D'!B26</f>
        <v>MSEX</v>
      </c>
      <c r="C20" s="90" t="str">
        <f>+'S&amp;D'!C26</f>
        <v>Water Utility</v>
      </c>
      <c r="D20" s="58">
        <f>+'S&amp;D'!G26</f>
        <v>52.63</v>
      </c>
      <c r="E20" s="60">
        <v>1.4</v>
      </c>
      <c r="F20" s="64">
        <f t="shared" si="0"/>
        <v>2.6600798023940716E-2</v>
      </c>
      <c r="G20" s="60">
        <v>1.46</v>
      </c>
      <c r="H20" s="64">
        <f t="shared" si="1"/>
        <v>2.7740832224966747E-2</v>
      </c>
      <c r="I20" s="60">
        <v>1.65</v>
      </c>
      <c r="J20" s="64">
        <f t="shared" si="2"/>
        <v>3.135094052821584E-2</v>
      </c>
      <c r="K20" s="202">
        <f t="shared" si="3"/>
        <v>4.1622524765684579E-2</v>
      </c>
    </row>
    <row r="21" spans="1:11" ht="17.25">
      <c r="A21" s="61" t="str">
        <f>+'S&amp;D'!A27</f>
        <v>SJW Corporation</v>
      </c>
      <c r="B21" s="90" t="str">
        <f>+'S&amp;D'!B27</f>
        <v>SJW</v>
      </c>
      <c r="C21" s="90" t="str">
        <f>+'S&amp;D'!C27</f>
        <v>Water Utility</v>
      </c>
      <c r="D21" s="58">
        <f>+'S&amp;D'!G27</f>
        <v>49.22</v>
      </c>
      <c r="E21" s="60">
        <v>1.68</v>
      </c>
      <c r="F21" s="64">
        <f t="shared" si="0"/>
        <v>3.4132466477041851E-2</v>
      </c>
      <c r="G21" s="60">
        <v>1.75</v>
      </c>
      <c r="H21" s="64">
        <f t="shared" si="1"/>
        <v>3.5554652580251929E-2</v>
      </c>
      <c r="I21" s="60">
        <v>1.95</v>
      </c>
      <c r="J21" s="64">
        <f t="shared" si="2"/>
        <v>3.9618041446566436E-2</v>
      </c>
      <c r="K21" s="202">
        <f t="shared" si="3"/>
        <v>3.6729653706913307E-2</v>
      </c>
    </row>
    <row r="22" spans="1:11" ht="17.25" thickBot="1">
      <c r="A22" s="12"/>
      <c r="B22" s="12"/>
      <c r="C22" s="43"/>
      <c r="D22" s="46"/>
      <c r="E22" s="46"/>
      <c r="F22" s="46"/>
      <c r="G22" s="46"/>
      <c r="H22" s="46"/>
      <c r="I22" s="46"/>
      <c r="J22" s="46"/>
      <c r="K22" s="46"/>
    </row>
    <row r="23" spans="1:11" ht="17.25" thickTop="1">
      <c r="A23" s="12"/>
      <c r="B23" s="12"/>
      <c r="D23" s="14" t="s">
        <v>45</v>
      </c>
      <c r="E23" s="16">
        <f>+MAX(E16:E21)</f>
        <v>3.25</v>
      </c>
      <c r="F23" s="294">
        <f t="shared" ref="F23:K23" si="4">+MAX(F16:F21)</f>
        <v>3.7169603524229079E-2</v>
      </c>
      <c r="G23" s="16">
        <f t="shared" si="4"/>
        <v>3.5</v>
      </c>
      <c r="H23" s="294">
        <f t="shared" si="4"/>
        <v>3.9372246696035243E-2</v>
      </c>
      <c r="I23" s="16">
        <f t="shared" si="4"/>
        <v>4.45</v>
      </c>
      <c r="J23" s="294">
        <f t="shared" si="4"/>
        <v>4.8182819383259912E-2</v>
      </c>
      <c r="K23" s="294">
        <f t="shared" si="4"/>
        <v>8.6346740846675124E-2</v>
      </c>
    </row>
    <row r="24" spans="1:11" ht="16.5">
      <c r="A24" s="12"/>
      <c r="B24" s="12"/>
      <c r="D24" s="14" t="s">
        <v>46</v>
      </c>
      <c r="E24" s="309">
        <f>MIN(E16:E21)</f>
        <v>1.2</v>
      </c>
      <c r="F24" s="308">
        <f t="shared" ref="F24:K24" si="5">MIN(F16:F21)</f>
        <v>2.3031394750386004E-2</v>
      </c>
      <c r="G24" s="309">
        <f t="shared" si="5"/>
        <v>1.25</v>
      </c>
      <c r="H24" s="308">
        <f t="shared" si="5"/>
        <v>2.5090066906845086E-2</v>
      </c>
      <c r="I24" s="309">
        <f t="shared" si="5"/>
        <v>1.45</v>
      </c>
      <c r="J24" s="308">
        <f t="shared" si="5"/>
        <v>3.135094052821584E-2</v>
      </c>
      <c r="K24" s="308">
        <f t="shared" si="5"/>
        <v>3.6729653706913307E-2</v>
      </c>
    </row>
    <row r="25" spans="1:11" ht="16.5">
      <c r="A25" s="12"/>
      <c r="B25" s="12"/>
      <c r="D25" s="14" t="s">
        <v>18</v>
      </c>
      <c r="E25" s="17">
        <f t="shared" ref="E25:K25" si="6">MEDIAN(E16:E21)</f>
        <v>1.54</v>
      </c>
      <c r="F25" s="53">
        <f t="shared" si="6"/>
        <v>2.6536666384571285E-2</v>
      </c>
      <c r="G25" s="17">
        <f t="shared" si="6"/>
        <v>1.605</v>
      </c>
      <c r="H25" s="53">
        <f t="shared" si="6"/>
        <v>2.7927770116821071E-2</v>
      </c>
      <c r="I25" s="17">
        <f t="shared" si="6"/>
        <v>1.85</v>
      </c>
      <c r="J25" s="53">
        <f t="shared" si="6"/>
        <v>3.3956297742137383E-2</v>
      </c>
      <c r="K25" s="53">
        <f t="shared" si="6"/>
        <v>6.0174315080403357E-2</v>
      </c>
    </row>
    <row r="26" spans="1:11" ht="16.5">
      <c r="A26" s="12"/>
      <c r="B26" s="12"/>
      <c r="D26" s="14" t="s">
        <v>374</v>
      </c>
      <c r="E26" s="21">
        <f t="shared" ref="E26:K26" si="7">AVERAGE(E16:E21)</f>
        <v>1.7783333333333333</v>
      </c>
      <c r="F26" s="55">
        <f t="shared" si="7"/>
        <v>2.8918885350047302E-2</v>
      </c>
      <c r="G26" s="21">
        <f t="shared" si="7"/>
        <v>1.89</v>
      </c>
      <c r="H26" s="55">
        <f t="shared" si="7"/>
        <v>3.0574677240504389E-2</v>
      </c>
      <c r="I26" s="21">
        <f t="shared" si="7"/>
        <v>2.2916666666666665</v>
      </c>
      <c r="J26" s="55">
        <f t="shared" si="7"/>
        <v>3.6508673832128198E-2</v>
      </c>
      <c r="K26" s="55">
        <f t="shared" si="7"/>
        <v>6.1397596491933694E-2</v>
      </c>
    </row>
    <row r="27" spans="1:11" ht="16.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26.25">
      <c r="A28" s="12"/>
      <c r="B28" s="12"/>
      <c r="C28" s="12"/>
      <c r="D28" s="12"/>
      <c r="E28" s="12"/>
      <c r="F28" s="48" t="s">
        <v>0</v>
      </c>
      <c r="G28" s="62" t="s">
        <v>0</v>
      </c>
      <c r="H28" s="12"/>
      <c r="I28" s="12"/>
      <c r="J28" s="12"/>
      <c r="K28" s="12"/>
    </row>
    <row r="29" spans="1:11" ht="18.75">
      <c r="A29" s="204" t="s">
        <v>252</v>
      </c>
    </row>
  </sheetData>
  <pageMargins left="0.25" right="0.25" top="0.75" bottom="0.75" header="0.3" footer="0.3"/>
  <pageSetup scale="5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596C7-3CA4-4A86-9548-2C135C060B79}">
  <sheetPr>
    <tabColor rgb="FF92D050"/>
  </sheetPr>
  <dimension ref="A1:K29"/>
  <sheetViews>
    <sheetView view="pageBreakPreview" zoomScale="60" zoomScaleNormal="80" workbookViewId="0">
      <selection activeCell="K18" sqref="K18"/>
    </sheetView>
  </sheetViews>
  <sheetFormatPr defaultRowHeight="15"/>
  <cols>
    <col min="1" max="1" width="51.5703125" customWidth="1"/>
    <col min="2" max="2" width="10.85546875" bestFit="1" customWidth="1"/>
    <col min="3" max="3" width="19.140625" bestFit="1" customWidth="1"/>
    <col min="4" max="4" width="15.28515625" customWidth="1"/>
    <col min="5" max="5" width="16" customWidth="1"/>
    <col min="6" max="6" width="20" customWidth="1"/>
    <col min="7" max="7" width="16.5703125" customWidth="1"/>
    <col min="8" max="8" width="19.140625" customWidth="1"/>
    <col min="9" max="10" width="20.140625" customWidth="1"/>
    <col min="11" max="11" width="17.7109375" customWidth="1"/>
    <col min="12" max="12" width="23.7109375" customWidth="1"/>
  </cols>
  <sheetData>
    <row r="1" spans="1:11" ht="26.25">
      <c r="A1" s="23" t="s">
        <v>1</v>
      </c>
      <c r="B1" s="12"/>
      <c r="C1" s="12"/>
      <c r="D1" s="12"/>
      <c r="E1" s="12"/>
      <c r="F1" s="12"/>
      <c r="G1" s="12"/>
      <c r="H1" s="12"/>
      <c r="I1" s="12"/>
      <c r="J1" s="12"/>
    </row>
    <row r="2" spans="1:11" ht="17.25">
      <c r="A2" s="24" t="s">
        <v>9</v>
      </c>
      <c r="B2" s="12"/>
      <c r="C2" s="12"/>
      <c r="D2" s="12"/>
      <c r="E2" s="12"/>
      <c r="F2" s="12"/>
      <c r="G2" s="12"/>
      <c r="H2" s="12"/>
      <c r="I2" s="12"/>
      <c r="J2" s="12"/>
    </row>
    <row r="3" spans="1:11" ht="16.5">
      <c r="A3" s="25" t="s">
        <v>412</v>
      </c>
      <c r="B3" s="12"/>
      <c r="C3" s="12"/>
      <c r="D3" s="12"/>
      <c r="E3" s="12"/>
      <c r="F3" s="12"/>
      <c r="G3" s="12"/>
      <c r="H3" s="12"/>
      <c r="I3" s="12"/>
      <c r="J3" s="12"/>
    </row>
    <row r="4" spans="1:11" ht="16.5">
      <c r="A4" s="25"/>
      <c r="B4" s="12"/>
      <c r="C4" s="12"/>
      <c r="D4" s="12"/>
      <c r="E4" s="12"/>
      <c r="F4" s="12"/>
      <c r="G4" s="12"/>
      <c r="H4" s="12"/>
      <c r="I4" s="12"/>
      <c r="J4" s="12"/>
    </row>
    <row r="5" spans="1:11" ht="17.25" thickBot="1">
      <c r="A5" s="12"/>
      <c r="B5" s="12"/>
      <c r="C5" s="12"/>
      <c r="D5" s="12"/>
      <c r="E5" s="12"/>
      <c r="F5" s="12"/>
      <c r="G5" s="26"/>
      <c r="H5" s="12"/>
      <c r="I5" s="12"/>
      <c r="J5" s="12"/>
    </row>
    <row r="6" spans="1:11" ht="21" thickBot="1">
      <c r="A6" s="239" t="str">
        <f>+'S&amp;D'!A12</f>
        <v>Water Utility Companies (Private)</v>
      </c>
      <c r="B6" s="174"/>
      <c r="C6" s="12"/>
      <c r="D6" s="28"/>
      <c r="E6" s="28"/>
      <c r="F6" s="29" t="s">
        <v>0</v>
      </c>
      <c r="G6" s="12"/>
      <c r="H6" s="12"/>
      <c r="I6" s="12"/>
      <c r="J6" s="12"/>
    </row>
    <row r="7" spans="1:11" ht="26.25">
      <c r="A7" s="30"/>
      <c r="B7" s="12"/>
      <c r="C7" s="12"/>
      <c r="D7" s="12"/>
      <c r="E7" s="31" t="s">
        <v>253</v>
      </c>
      <c r="F7" s="12"/>
      <c r="G7" s="12"/>
      <c r="H7" s="12"/>
      <c r="I7" s="12"/>
      <c r="J7" s="12"/>
    </row>
    <row r="8" spans="1:11" ht="21" thickBot="1">
      <c r="A8" s="30"/>
      <c r="B8" s="12"/>
      <c r="C8" s="12"/>
      <c r="D8" s="28"/>
      <c r="E8" s="32" t="s">
        <v>413</v>
      </c>
      <c r="F8" s="28"/>
      <c r="G8" s="12"/>
      <c r="H8" s="12"/>
      <c r="I8" s="12"/>
      <c r="J8" s="12"/>
    </row>
    <row r="9" spans="1:11" ht="17.25" thickBot="1">
      <c r="A9" s="33" t="s">
        <v>0</v>
      </c>
      <c r="B9" s="33" t="s">
        <v>0</v>
      </c>
      <c r="C9" s="33" t="s">
        <v>0</v>
      </c>
      <c r="D9" s="33" t="s">
        <v>0</v>
      </c>
      <c r="E9" s="33" t="s">
        <v>0</v>
      </c>
      <c r="F9" s="33"/>
      <c r="G9" s="28"/>
      <c r="H9" s="28"/>
      <c r="I9" s="28"/>
      <c r="J9" s="28"/>
      <c r="K9" s="143"/>
    </row>
    <row r="10" spans="1:11" ht="16.5">
      <c r="A10" s="34" t="s">
        <v>0</v>
      </c>
      <c r="B10" s="34" t="s">
        <v>3</v>
      </c>
      <c r="C10" s="34" t="s">
        <v>5</v>
      </c>
      <c r="D10" s="34" t="s">
        <v>156</v>
      </c>
      <c r="E10" s="34" t="s">
        <v>162</v>
      </c>
      <c r="F10" s="34" t="s">
        <v>162</v>
      </c>
      <c r="G10" s="34" t="s">
        <v>162</v>
      </c>
      <c r="H10" s="34" t="s">
        <v>162</v>
      </c>
      <c r="I10" s="34" t="s">
        <v>162</v>
      </c>
      <c r="J10" s="34" t="s">
        <v>162</v>
      </c>
      <c r="K10" s="34" t="s">
        <v>250</v>
      </c>
    </row>
    <row r="11" spans="1:11" ht="16.5">
      <c r="A11" s="34"/>
      <c r="B11" s="34" t="s">
        <v>4</v>
      </c>
      <c r="C11" s="34" t="s">
        <v>6</v>
      </c>
      <c r="D11" s="34" t="s">
        <v>27</v>
      </c>
      <c r="E11" s="34" t="s">
        <v>158</v>
      </c>
      <c r="F11" s="34" t="s">
        <v>116</v>
      </c>
      <c r="G11" s="34" t="s">
        <v>158</v>
      </c>
      <c r="H11" s="34" t="s">
        <v>116</v>
      </c>
      <c r="I11" s="34" t="s">
        <v>158</v>
      </c>
      <c r="J11" s="34" t="s">
        <v>116</v>
      </c>
      <c r="K11" s="34" t="s">
        <v>173</v>
      </c>
    </row>
    <row r="12" spans="1:11" ht="17.25" thickBot="1">
      <c r="A12" s="36" t="s">
        <v>2</v>
      </c>
      <c r="B12" s="36" t="s">
        <v>0</v>
      </c>
      <c r="C12" s="36" t="s">
        <v>0</v>
      </c>
      <c r="D12" s="36" t="s">
        <v>0</v>
      </c>
      <c r="E12" s="36" t="s">
        <v>160</v>
      </c>
      <c r="F12" s="36" t="s">
        <v>160</v>
      </c>
      <c r="G12" s="36" t="s">
        <v>248</v>
      </c>
      <c r="H12" s="36" t="s">
        <v>248</v>
      </c>
      <c r="I12" s="36" t="s">
        <v>249</v>
      </c>
      <c r="J12" s="36" t="s">
        <v>249</v>
      </c>
      <c r="K12" s="203" t="s">
        <v>251</v>
      </c>
    </row>
    <row r="13" spans="1:11">
      <c r="A13" s="38" t="s">
        <v>7</v>
      </c>
      <c r="B13" s="38" t="s">
        <v>7</v>
      </c>
      <c r="C13" s="38" t="s">
        <v>7</v>
      </c>
      <c r="D13" s="39" t="s">
        <v>112</v>
      </c>
      <c r="E13" s="38" t="s">
        <v>7</v>
      </c>
      <c r="F13" s="38" t="s">
        <v>15</v>
      </c>
      <c r="G13" s="38" t="s">
        <v>7</v>
      </c>
      <c r="H13" s="38" t="s">
        <v>15</v>
      </c>
      <c r="I13" s="38" t="s">
        <v>7</v>
      </c>
      <c r="J13" s="38" t="s">
        <v>15</v>
      </c>
      <c r="K13" s="38" t="s">
        <v>15</v>
      </c>
    </row>
    <row r="14" spans="1:11" ht="16.5">
      <c r="A14" s="34"/>
      <c r="B14" s="34"/>
      <c r="C14" s="34"/>
      <c r="D14" s="34"/>
      <c r="E14" s="34"/>
      <c r="F14" s="34"/>
      <c r="G14" s="12"/>
      <c r="H14" s="12"/>
      <c r="I14" s="12"/>
      <c r="J14" s="12"/>
      <c r="K14" s="12"/>
    </row>
    <row r="15" spans="1:11" ht="16.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7.25">
      <c r="A16" s="43" t="str">
        <f>+'S&amp;D'!A22</f>
        <v>American States Water Company</v>
      </c>
      <c r="B16" s="34" t="str">
        <f>+'S&amp;D'!B22</f>
        <v>AWR</v>
      </c>
      <c r="C16" s="34" t="str">
        <f>+'S&amp;D'!C22</f>
        <v>Water Utility</v>
      </c>
      <c r="D16" s="58">
        <f>+'S&amp;D'!G22</f>
        <v>77.72</v>
      </c>
      <c r="E16" s="60">
        <v>3.05</v>
      </c>
      <c r="F16" s="64">
        <f>+E16/D16</f>
        <v>3.9243437982501288E-2</v>
      </c>
      <c r="G16" s="60">
        <v>3.3</v>
      </c>
      <c r="H16" s="64">
        <f>+G16/D16</f>
        <v>4.2460113226968604E-2</v>
      </c>
      <c r="I16" s="60">
        <v>3.9</v>
      </c>
      <c r="J16" s="64">
        <f>+I16/D16</f>
        <v>5.0180133813690173E-2</v>
      </c>
      <c r="K16" s="202">
        <f t="shared" ref="K16:K21" si="0">RATE(3,,-G16,I16)</f>
        <v>5.7264270346431334E-2</v>
      </c>
    </row>
    <row r="17" spans="1:11" ht="17.25">
      <c r="A17" s="43" t="str">
        <f>+'S&amp;D'!A23</f>
        <v>American Water Works Company Inc</v>
      </c>
      <c r="B17" s="34" t="str">
        <f>+'S&amp;D'!B23</f>
        <v>AWK</v>
      </c>
      <c r="C17" s="34" t="str">
        <f>+'S&amp;D'!C23</f>
        <v>Water Utility</v>
      </c>
      <c r="D17" s="58">
        <f>+'S&amp;D'!G23</f>
        <v>124.49</v>
      </c>
      <c r="E17" s="60">
        <v>5.7</v>
      </c>
      <c r="F17" s="64">
        <f t="shared" ref="F17:F21" si="1">+E17/D17</f>
        <v>4.5786810185557074E-2</v>
      </c>
      <c r="G17" s="60">
        <v>6.15</v>
      </c>
      <c r="H17" s="64">
        <f t="shared" ref="H17:H21" si="2">+G17/D17</f>
        <v>4.9401558358101054E-2</v>
      </c>
      <c r="I17" s="60">
        <v>7.5</v>
      </c>
      <c r="J17" s="64">
        <f t="shared" ref="J17:J21" si="3">+I17/D17</f>
        <v>6.0245802875732994E-2</v>
      </c>
      <c r="K17" s="202">
        <f t="shared" si="0"/>
        <v>6.8387297499167055E-2</v>
      </c>
    </row>
    <row r="18" spans="1:11" ht="17.25">
      <c r="A18" s="43" t="str">
        <f>+'S&amp;D'!A24</f>
        <v xml:space="preserve">California Water Service Group </v>
      </c>
      <c r="B18" s="34" t="str">
        <f>+'S&amp;D'!B24</f>
        <v>CWT</v>
      </c>
      <c r="C18" s="34" t="str">
        <f>+'S&amp;D'!C24</f>
        <v>Water Utility</v>
      </c>
      <c r="D18" s="58">
        <f>+'S&amp;D'!G24</f>
        <v>45.33</v>
      </c>
      <c r="E18" s="60">
        <v>3</v>
      </c>
      <c r="F18" s="64">
        <f t="shared" si="1"/>
        <v>6.6181336863004633E-2</v>
      </c>
      <c r="G18" s="60">
        <v>3.2</v>
      </c>
      <c r="H18" s="64">
        <f t="shared" si="2"/>
        <v>7.0593425987204944E-2</v>
      </c>
      <c r="I18" s="60">
        <v>3.45</v>
      </c>
      <c r="J18" s="64">
        <f t="shared" si="3"/>
        <v>7.6108537392455336E-2</v>
      </c>
      <c r="K18" s="202">
        <f t="shared" si="0"/>
        <v>2.5391482425587728E-2</v>
      </c>
    </row>
    <row r="19" spans="1:11" ht="17.25">
      <c r="A19" s="43" t="str">
        <f>+'S&amp;D'!A25</f>
        <v>Essential Utilities, Inc.</v>
      </c>
      <c r="B19" s="34" t="str">
        <f>+'S&amp;D'!B25</f>
        <v>WTRG</v>
      </c>
      <c r="C19" s="34" t="str">
        <f>+'S&amp;D'!C25</f>
        <v>Water Utility</v>
      </c>
      <c r="D19" s="58">
        <f>+'S&amp;D'!G25</f>
        <v>36.32</v>
      </c>
      <c r="E19" s="60">
        <v>2.25</v>
      </c>
      <c r="F19" s="64">
        <f t="shared" si="1"/>
        <v>6.1949339207048461E-2</v>
      </c>
      <c r="G19" s="60">
        <v>2.4500000000000002</v>
      </c>
      <c r="H19" s="64">
        <f t="shared" si="2"/>
        <v>6.7455947136563887E-2</v>
      </c>
      <c r="I19" s="60">
        <v>2.75</v>
      </c>
      <c r="J19" s="64">
        <f t="shared" si="3"/>
        <v>7.571585903083701E-2</v>
      </c>
      <c r="K19" s="202">
        <f t="shared" si="0"/>
        <v>3.9255192684493949E-2</v>
      </c>
    </row>
    <row r="20" spans="1:11" ht="17.25">
      <c r="A20" s="43" t="str">
        <f>+'S&amp;D'!A26</f>
        <v>Middlesex Water Company</v>
      </c>
      <c r="B20" s="34" t="str">
        <f>+'S&amp;D'!B26</f>
        <v>MSEX</v>
      </c>
      <c r="C20" s="34" t="str">
        <f>+'S&amp;D'!C26</f>
        <v>Water Utility</v>
      </c>
      <c r="D20" s="58">
        <f>+'S&amp;D'!G26</f>
        <v>52.63</v>
      </c>
      <c r="E20" s="60">
        <v>2.75</v>
      </c>
      <c r="F20" s="64">
        <f t="shared" si="1"/>
        <v>5.2251567547026409E-2</v>
      </c>
      <c r="G20" s="60">
        <v>2.95</v>
      </c>
      <c r="H20" s="64">
        <f t="shared" si="2"/>
        <v>5.6051681550446514E-2</v>
      </c>
      <c r="I20" s="60">
        <v>3.45</v>
      </c>
      <c r="J20" s="64">
        <f t="shared" si="3"/>
        <v>6.5551966558996769E-2</v>
      </c>
      <c r="K20" s="202">
        <f t="shared" si="0"/>
        <v>5.3575573041543985E-2</v>
      </c>
    </row>
    <row r="21" spans="1:11" ht="17.25">
      <c r="A21" s="43" t="str">
        <f>+'S&amp;D'!A27</f>
        <v>SJW Corporation</v>
      </c>
      <c r="B21" s="34" t="str">
        <f>+'S&amp;D'!B27</f>
        <v>SJW</v>
      </c>
      <c r="C21" s="34" t="str">
        <f>+'S&amp;D'!C27</f>
        <v>Water Utility</v>
      </c>
      <c r="D21" s="58">
        <f>+'S&amp;D'!G27</f>
        <v>49.22</v>
      </c>
      <c r="E21" s="60">
        <v>3.2</v>
      </c>
      <c r="F21" s="64">
        <f t="shared" si="1"/>
        <v>6.5014221861032104E-2</v>
      </c>
      <c r="G21" s="60">
        <v>3.4</v>
      </c>
      <c r="H21" s="64">
        <f t="shared" si="2"/>
        <v>6.9077610727346611E-2</v>
      </c>
      <c r="I21" s="60">
        <v>3.75</v>
      </c>
      <c r="J21" s="64">
        <f t="shared" si="3"/>
        <v>7.6188541243396996E-2</v>
      </c>
      <c r="K21" s="202">
        <f t="shared" si="0"/>
        <v>3.3199332429568636E-2</v>
      </c>
    </row>
    <row r="22" spans="1:11" ht="17.25" thickBot="1">
      <c r="A22" s="12"/>
      <c r="B22" s="12"/>
      <c r="C22" s="43"/>
      <c r="D22" s="46"/>
      <c r="E22" s="46"/>
      <c r="F22" s="46"/>
      <c r="G22" s="46"/>
      <c r="H22" s="46"/>
      <c r="I22" s="46"/>
      <c r="J22" s="46"/>
      <c r="K22" s="46"/>
    </row>
    <row r="23" spans="1:11" ht="17.25" thickTop="1">
      <c r="A23" s="12"/>
      <c r="B23" s="12"/>
      <c r="C23" s="14" t="s">
        <v>45</v>
      </c>
      <c r="D23" s="16">
        <f>+MAX(D16:D21)</f>
        <v>124.49</v>
      </c>
      <c r="E23" s="16">
        <f t="shared" ref="E23:K23" si="4">+MAX(E16:E21)</f>
        <v>5.7</v>
      </c>
      <c r="F23" s="294">
        <f t="shared" si="4"/>
        <v>6.6181336863004633E-2</v>
      </c>
      <c r="G23" s="16">
        <f t="shared" si="4"/>
        <v>6.15</v>
      </c>
      <c r="H23" s="294">
        <f t="shared" si="4"/>
        <v>7.0593425987204944E-2</v>
      </c>
      <c r="I23" s="16">
        <f t="shared" si="4"/>
        <v>7.5</v>
      </c>
      <c r="J23" s="294">
        <f t="shared" si="4"/>
        <v>7.6188541243396996E-2</v>
      </c>
      <c r="K23" s="294">
        <f t="shared" si="4"/>
        <v>6.8387297499167055E-2</v>
      </c>
    </row>
    <row r="24" spans="1:11" ht="16.5">
      <c r="A24" s="12"/>
      <c r="B24" s="12"/>
      <c r="C24" s="14" t="s">
        <v>46</v>
      </c>
      <c r="D24" s="309">
        <f>MIN(D16:D21)</f>
        <v>36.32</v>
      </c>
      <c r="E24" s="309">
        <f t="shared" ref="E24:K24" si="5">MIN(E16:E21)</f>
        <v>2.25</v>
      </c>
      <c r="F24" s="308">
        <f t="shared" si="5"/>
        <v>3.9243437982501288E-2</v>
      </c>
      <c r="G24" s="309">
        <f t="shared" si="5"/>
        <v>2.4500000000000002</v>
      </c>
      <c r="H24" s="308">
        <f t="shared" si="5"/>
        <v>4.2460113226968604E-2</v>
      </c>
      <c r="I24" s="309">
        <f t="shared" si="5"/>
        <v>2.75</v>
      </c>
      <c r="J24" s="308">
        <f t="shared" si="5"/>
        <v>5.0180133813690173E-2</v>
      </c>
      <c r="K24" s="308">
        <f t="shared" si="5"/>
        <v>2.5391482425587728E-2</v>
      </c>
    </row>
    <row r="25" spans="1:11" ht="16.5">
      <c r="A25" s="12"/>
      <c r="B25" s="12"/>
      <c r="C25" s="14" t="s">
        <v>18</v>
      </c>
      <c r="D25" s="17">
        <f t="shared" ref="D25:K25" si="6">MEDIAN(D16:D21)</f>
        <v>50.924999999999997</v>
      </c>
      <c r="E25" s="17">
        <f t="shared" si="6"/>
        <v>3.0249999999999999</v>
      </c>
      <c r="F25" s="53">
        <f t="shared" si="6"/>
        <v>5.7100453377037438E-2</v>
      </c>
      <c r="G25" s="17">
        <f t="shared" si="6"/>
        <v>3.25</v>
      </c>
      <c r="H25" s="53">
        <f t="shared" si="6"/>
        <v>6.1753814343505201E-2</v>
      </c>
      <c r="I25" s="17">
        <f t="shared" si="6"/>
        <v>3.6</v>
      </c>
      <c r="J25" s="53">
        <f t="shared" si="6"/>
        <v>7.0633912794916889E-2</v>
      </c>
      <c r="K25" s="53">
        <f t="shared" si="6"/>
        <v>4.6415382863018967E-2</v>
      </c>
    </row>
    <row r="26" spans="1:11" ht="16.5">
      <c r="A26" s="12"/>
      <c r="B26" s="12"/>
      <c r="C26" s="14" t="s">
        <v>374</v>
      </c>
      <c r="D26" s="21">
        <f t="shared" ref="D26:K26" si="7">AVERAGE(D16:D21)</f>
        <v>64.284999999999982</v>
      </c>
      <c r="E26" s="21">
        <f t="shared" si="7"/>
        <v>3.3249999999999997</v>
      </c>
      <c r="F26" s="55">
        <f t="shared" si="7"/>
        <v>5.5071118941028334E-2</v>
      </c>
      <c r="G26" s="21">
        <f t="shared" si="7"/>
        <v>3.5749999999999993</v>
      </c>
      <c r="H26" s="55">
        <f t="shared" si="7"/>
        <v>5.9173389497771935E-2</v>
      </c>
      <c r="I26" s="21">
        <f t="shared" si="7"/>
        <v>4.1333333333333337</v>
      </c>
      <c r="J26" s="55">
        <f t="shared" si="7"/>
        <v>6.7331806819184881E-2</v>
      </c>
      <c r="K26" s="55">
        <f t="shared" si="7"/>
        <v>4.6178858071132117E-2</v>
      </c>
    </row>
    <row r="27" spans="1:11" ht="16.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26.25">
      <c r="A28" s="12"/>
      <c r="B28" s="12"/>
      <c r="C28" s="12"/>
      <c r="D28" s="12"/>
      <c r="E28" s="12"/>
      <c r="F28" s="48" t="s">
        <v>0</v>
      </c>
      <c r="G28" s="62" t="s">
        <v>0</v>
      </c>
      <c r="H28" s="12"/>
      <c r="I28" s="12"/>
      <c r="J28" s="12"/>
      <c r="K28" s="12"/>
    </row>
    <row r="29" spans="1:11" ht="18.75">
      <c r="A29" s="204" t="s">
        <v>252</v>
      </c>
    </row>
  </sheetData>
  <pageMargins left="0.25" right="0.25" top="0.75" bottom="0.75" header="0.3" footer="0.3"/>
  <pageSetup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CFB36B36E7EE46B860E7832FBC9DDB" ma:contentTypeVersion="2" ma:contentTypeDescription="Create a new document." ma:contentTypeScope="" ma:versionID="2e3b4bac0c97e1a68d6ab173eaee7b3d">
  <xsd:schema xmlns:xsd="http://www.w3.org/2001/XMLSchema" xmlns:xs="http://www.w3.org/2001/XMLSchema" xmlns:p="http://schemas.microsoft.com/office/2006/metadata/properties" xmlns:ns2="f94b9277-b0a3-4d91-bade-04ea91219630" targetNamespace="http://schemas.microsoft.com/office/2006/metadata/properties" ma:root="true" ma:fieldsID="93ea9a64a9ab47897a537ad3dd05bc89" ns2:_="">
    <xsd:import namespace="f94b9277-b0a3-4d91-bade-04ea9121963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b9277-b0a3-4d91-bade-04ea912196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B52645-88D2-47B8-9A4D-390DE2990A23}"/>
</file>

<file path=customXml/itemProps2.xml><?xml version="1.0" encoding="utf-8"?>
<ds:datastoreItem xmlns:ds="http://schemas.openxmlformats.org/officeDocument/2006/customXml" ds:itemID="{203918B2-0631-4AFD-93C9-989CA1C9FC6F}"/>
</file>

<file path=customXml/itemProps3.xml><?xml version="1.0" encoding="utf-8"?>
<ds:datastoreItem xmlns:ds="http://schemas.openxmlformats.org/officeDocument/2006/customXml" ds:itemID="{440C84D7-647E-4B81-BEA4-D746346506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18</vt:i4>
      </vt:variant>
    </vt:vector>
  </HeadingPairs>
  <TitlesOfParts>
    <vt:vector size="37" baseType="lpstr">
      <vt:lpstr>Cover Sheet</vt:lpstr>
      <vt:lpstr>Yield CapRate</vt:lpstr>
      <vt:lpstr>Direct CapRates</vt:lpstr>
      <vt:lpstr>S&amp;D</vt:lpstr>
      <vt:lpstr>Market to Book Ratios</vt:lpstr>
      <vt:lpstr>Maintenance CapEx</vt:lpstr>
      <vt:lpstr>Beta for CAPM</vt:lpstr>
      <vt:lpstr>Dividends </vt:lpstr>
      <vt:lpstr>Earnings</vt:lpstr>
      <vt:lpstr>Debt</vt:lpstr>
      <vt:lpstr>Direct GCF</vt:lpstr>
      <vt:lpstr>Direct NOPAT</vt:lpstr>
      <vt:lpstr>Growth &amp; Inflation Rates</vt:lpstr>
      <vt:lpstr>Indicated Yield Equity Rate</vt:lpstr>
      <vt:lpstr>CAPM</vt:lpstr>
      <vt:lpstr>Single Stage Div Growth Model</vt:lpstr>
      <vt:lpstr>Two-Stage Div Growth Model</vt:lpstr>
      <vt:lpstr>Multiples</vt:lpstr>
      <vt:lpstr>Info</vt:lpstr>
      <vt:lpstr>'Beta for CAPM'!Print_Area</vt:lpstr>
      <vt:lpstr>CAPM!Print_Area</vt:lpstr>
      <vt:lpstr>'Cover Sheet'!Print_Area</vt:lpstr>
      <vt:lpstr>Debt!Print_Area</vt:lpstr>
      <vt:lpstr>'Direct CapRates'!Print_Area</vt:lpstr>
      <vt:lpstr>'Direct GCF'!Print_Area</vt:lpstr>
      <vt:lpstr>'Direct NOPAT'!Print_Area</vt:lpstr>
      <vt:lpstr>'Dividends '!Print_Area</vt:lpstr>
      <vt:lpstr>Earnings!Print_Area</vt:lpstr>
      <vt:lpstr>'Growth &amp; Inflation Rates'!Print_Area</vt:lpstr>
      <vt:lpstr>'Indicated Yield Equity Rate'!Print_Area</vt:lpstr>
      <vt:lpstr>'Maintenance CapEx'!Print_Area</vt:lpstr>
      <vt:lpstr>'Market to Book Ratios'!Print_Area</vt:lpstr>
      <vt:lpstr>Multiples!Print_Area</vt:lpstr>
      <vt:lpstr>'S&amp;D'!Print_Area</vt:lpstr>
      <vt:lpstr>'Single Stage Div Growth Model'!Print_Area</vt:lpstr>
      <vt:lpstr>'Two-Stage Div Growth Model'!Print_Area</vt:lpstr>
      <vt:lpstr>'Yield CapRate'!Print_Area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Cap Rate Study - Water Utility</dc:title>
  <dc:creator>%USERNAME%</dc:creator>
  <cp:lastModifiedBy>Sheeks, Ashley (DOR)</cp:lastModifiedBy>
  <cp:lastPrinted>2023-05-30T13:55:00Z</cp:lastPrinted>
  <dcterms:created xsi:type="dcterms:W3CDTF">2016-02-12T19:29:24Z</dcterms:created>
  <dcterms:modified xsi:type="dcterms:W3CDTF">2025-10-01T15:57:44Z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0x01010019CFB36B36E7EE46B860E7832FBC9DDB</vt:lpwstr>
  </property>
</Properties>
</file>