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5.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K:\CAP Rate Studies\CAP RATE STUDY 2024\2024 CAP Rate Study - All Industries\(2) Ready for Review\"/>
    </mc:Choice>
  </mc:AlternateContent>
  <xr:revisionPtr revIDLastSave="0" documentId="13_ncr:1_{0DD78E45-D937-4566-AB27-68BA146CB10E}" xr6:coauthVersionLast="47" xr6:coauthVersionMax="47" xr10:uidLastSave="{00000000-0000-0000-0000-000000000000}"/>
  <bookViews>
    <workbookView xWindow="-21720" yWindow="-1530" windowWidth="21840" windowHeight="13140" tabRatio="822" activeTab="3" xr2:uid="{00000000-000D-0000-FFFF-FFFF00000000}"/>
  </bookViews>
  <sheets>
    <sheet name="Cover Sheet" sheetId="6" r:id="rId1"/>
    <sheet name="Yield CapRate" sheetId="7" r:id="rId2"/>
    <sheet name="Direct CapRates" sheetId="10" r:id="rId3"/>
    <sheet name="S&amp;D" sheetId="3" r:id="rId4"/>
    <sheet name="Market to Book Ratios" sheetId="29" r:id="rId5"/>
    <sheet name="Maintenance CapEx" sheetId="11" r:id="rId6"/>
    <sheet name="Beta for CAPM" sheetId="14" r:id="rId7"/>
    <sheet name="Dividends " sheetId="17" r:id="rId8"/>
    <sheet name="Earnings" sheetId="27" r:id="rId9"/>
    <sheet name="Direct Debt" sheetId="13" r:id="rId10"/>
    <sheet name="Yield Debt" sheetId="8" r:id="rId11"/>
    <sheet name="Direct GCF" sheetId="5" r:id="rId12"/>
    <sheet name="Direct NOPAT" sheetId="12" r:id="rId13"/>
    <sheet name="Growth &amp; Inflation Rates" sheetId="24" r:id="rId14"/>
    <sheet name="Indicated Yield Equity Rate " sheetId="33" r:id="rId15"/>
    <sheet name="CAPM" sheetId="34" r:id="rId16"/>
    <sheet name="Single Stage Div Growth Model" sheetId="19" r:id="rId17"/>
    <sheet name="Two-Stage Div Growth Model" sheetId="20" r:id="rId18"/>
    <sheet name="Multiples" sheetId="25" r:id="rId19"/>
    <sheet name="Info" sheetId="9" r:id="rId20"/>
  </sheets>
  <definedNames>
    <definedName name="_xlnm.Print_Area" localSheetId="6">'Beta for CAPM'!$A$1:$I$34</definedName>
    <definedName name="_xlnm.Print_Area" localSheetId="15">CAPM!$A$1:$H$84</definedName>
    <definedName name="_xlnm.Print_Area" localSheetId="0">'Cover Sheet'!$A$1:$I$37</definedName>
    <definedName name="_xlnm.Print_Area" localSheetId="2">'Direct CapRates'!$A$1:$H$66</definedName>
    <definedName name="_xlnm.Print_Area" localSheetId="9">'Direct Debt'!$A$1:$K$31</definedName>
    <definedName name="_xlnm.Print_Area" localSheetId="11">'Direct GCF'!$A$1:$N$35</definedName>
    <definedName name="_xlnm.Print_Area" localSheetId="12">'Direct NOPAT'!$A$1:$N$52</definedName>
    <definedName name="_xlnm.Print_Area" localSheetId="7">'Dividends '!$A$1:$K$27</definedName>
    <definedName name="_xlnm.Print_Area" localSheetId="8">Earnings!$A$1:$K$26</definedName>
    <definedName name="_xlnm.Print_Area" localSheetId="13">'Growth &amp; Inflation Rates'!$A$1:$H$118</definedName>
    <definedName name="_xlnm.Print_Area" localSheetId="14">'Indicated Yield Equity Rate '!$A$1:$F$60</definedName>
    <definedName name="_xlnm.Print_Area" localSheetId="5">'Maintenance CapEx'!$A$1:$L$73</definedName>
    <definedName name="_xlnm.Print_Area" localSheetId="4">'Market to Book Ratios'!$A$1:$G$54</definedName>
    <definedName name="_xlnm.Print_Area" localSheetId="18">Multiples!$A$1:$H$37</definedName>
    <definedName name="_xlnm.Print_Area" localSheetId="3">'S&amp;D'!$A$1:$L$62</definedName>
    <definedName name="_xlnm.Print_Area" localSheetId="16">'Single Stage Div Growth Model'!$A$1:$K$43</definedName>
    <definedName name="_xlnm.Print_Area" localSheetId="17">'Two-Stage Div Growth Model'!$A$1:$I$41</definedName>
    <definedName name="_xlnm.Print_Area" localSheetId="1">'Yield CapRate'!$A$1:$H$35</definedName>
    <definedName name="_xlnm.Print_Area" localSheetId="10">'Yield Debt'!$A$1:$M$55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8" i="33" l="1"/>
  <c r="H25" i="20"/>
  <c r="H24" i="20"/>
  <c r="E22" i="20"/>
  <c r="E23" i="20"/>
  <c r="E21" i="20"/>
  <c r="D22" i="20"/>
  <c r="D23" i="20"/>
  <c r="D21" i="20"/>
  <c r="J21" i="19"/>
  <c r="I21" i="19"/>
  <c r="H21" i="19"/>
  <c r="G21" i="19"/>
  <c r="J20" i="19"/>
  <c r="I20" i="19"/>
  <c r="H20" i="19"/>
  <c r="G20" i="19"/>
  <c r="F21" i="19"/>
  <c r="F20" i="19"/>
  <c r="H21" i="25"/>
  <c r="G21" i="25"/>
  <c r="F21" i="25"/>
  <c r="H20" i="25"/>
  <c r="G20" i="25"/>
  <c r="F20" i="25"/>
  <c r="E21" i="25"/>
  <c r="E20" i="25"/>
  <c r="G47" i="12" l="1"/>
  <c r="F47" i="12"/>
  <c r="E47" i="12"/>
  <c r="G46" i="12"/>
  <c r="F46" i="12"/>
  <c r="E46" i="12"/>
  <c r="M21" i="12"/>
  <c r="L21" i="12"/>
  <c r="K21" i="12"/>
  <c r="M20" i="12"/>
  <c r="L20" i="12"/>
  <c r="K20" i="12"/>
  <c r="G21" i="12"/>
  <c r="F21" i="12"/>
  <c r="G20" i="12"/>
  <c r="F20" i="12"/>
  <c r="E21" i="12"/>
  <c r="E20" i="12"/>
  <c r="M22" i="5"/>
  <c r="L22" i="5"/>
  <c r="J22" i="5"/>
  <c r="M21" i="5"/>
  <c r="L21" i="5"/>
  <c r="J21" i="5"/>
  <c r="F22" i="5"/>
  <c r="E22" i="5"/>
  <c r="F21" i="5"/>
  <c r="E21" i="5"/>
  <c r="D22" i="5"/>
  <c r="D21" i="5"/>
  <c r="K34" i="3"/>
  <c r="J34" i="3"/>
  <c r="J20" i="8"/>
  <c r="I20" i="8"/>
  <c r="J19" i="8"/>
  <c r="I19" i="8"/>
  <c r="G20" i="8"/>
  <c r="G19" i="8"/>
  <c r="J24" i="13"/>
  <c r="J23" i="13"/>
  <c r="I24" i="13"/>
  <c r="I23" i="13"/>
  <c r="K20" i="27"/>
  <c r="J20" i="27"/>
  <c r="I20" i="27"/>
  <c r="H20" i="27"/>
  <c r="G20" i="27"/>
  <c r="F20" i="27"/>
  <c r="K19" i="27"/>
  <c r="J19" i="27"/>
  <c r="I19" i="27"/>
  <c r="H19" i="27"/>
  <c r="G19" i="27"/>
  <c r="F19" i="27"/>
  <c r="E20" i="27"/>
  <c r="E19" i="27"/>
  <c r="K21" i="17"/>
  <c r="J21" i="17"/>
  <c r="I21" i="17"/>
  <c r="H21" i="17"/>
  <c r="G21" i="17"/>
  <c r="F21" i="17"/>
  <c r="K20" i="17"/>
  <c r="J20" i="17"/>
  <c r="I20" i="17"/>
  <c r="H20" i="17"/>
  <c r="G20" i="17"/>
  <c r="F20" i="17"/>
  <c r="E21" i="17"/>
  <c r="E20" i="17"/>
  <c r="L26" i="11"/>
  <c r="L25" i="11"/>
  <c r="G21" i="11"/>
  <c r="J23" i="3" l="1"/>
  <c r="I23" i="14"/>
  <c r="I22" i="14"/>
  <c r="H23" i="14"/>
  <c r="H22" i="14"/>
  <c r="C20" i="13"/>
  <c r="E88" i="24" l="1"/>
  <c r="E87" i="24"/>
  <c r="G58" i="3"/>
  <c r="J24" i="3"/>
  <c r="H24" i="3"/>
  <c r="E19" i="13"/>
  <c r="J22" i="3"/>
  <c r="F93" i="24" l="1"/>
  <c r="F34" i="3"/>
  <c r="E90" i="24"/>
  <c r="E89" i="24"/>
  <c r="D86" i="24"/>
  <c r="F86" i="24" s="1"/>
  <c r="D85" i="24"/>
  <c r="F85" i="24" s="1"/>
  <c r="D84" i="24"/>
  <c r="F84" i="24" s="1"/>
  <c r="D83" i="24"/>
  <c r="F83" i="24" s="1"/>
  <c r="D82" i="24"/>
  <c r="F82" i="24" s="1"/>
  <c r="D81" i="24"/>
  <c r="F81" i="24" s="1"/>
  <c r="D80" i="24"/>
  <c r="F80" i="24" s="1"/>
  <c r="D79" i="24"/>
  <c r="F79" i="24" s="1"/>
  <c r="A46" i="34"/>
  <c r="B46" i="34"/>
  <c r="E46" i="34" s="1"/>
  <c r="A59" i="34"/>
  <c r="A58" i="34"/>
  <c r="A57" i="34"/>
  <c r="D90" i="24" l="1"/>
  <c r="F90" i="24" s="1"/>
  <c r="D89" i="24"/>
  <c r="F89" i="24" s="1"/>
  <c r="A6" i="25"/>
  <c r="A6" i="20"/>
  <c r="A6" i="19"/>
  <c r="B58" i="34"/>
  <c r="E58" i="34" s="1"/>
  <c r="B48" i="34"/>
  <c r="E48" i="34" s="1"/>
  <c r="A48" i="34"/>
  <c r="B47" i="34"/>
  <c r="E47" i="34" s="1"/>
  <c r="A47" i="34"/>
  <c r="A45" i="34"/>
  <c r="A6" i="34"/>
  <c r="A6" i="33"/>
  <c r="A7" i="24"/>
  <c r="A6" i="12"/>
  <c r="A6" i="5"/>
  <c r="A6" i="8"/>
  <c r="A6" i="13"/>
  <c r="A6" i="27"/>
  <c r="A6" i="17"/>
  <c r="A8" i="14"/>
  <c r="A8" i="11"/>
  <c r="A9" i="29"/>
  <c r="A16" i="6"/>
  <c r="D16" i="7"/>
  <c r="D15" i="10"/>
  <c r="C16" i="34"/>
  <c r="C20" i="34" s="1"/>
  <c r="E16" i="34"/>
  <c r="B61" i="34"/>
  <c r="E61" i="34" s="1"/>
  <c r="B59" i="34"/>
  <c r="E59" i="34" s="1"/>
  <c r="B57" i="34"/>
  <c r="E57" i="34" s="1"/>
  <c r="B55" i="34"/>
  <c r="E55" i="34" s="1"/>
  <c r="B54" i="34"/>
  <c r="E54" i="34" s="1"/>
  <c r="B52" i="34"/>
  <c r="E52" i="34" s="1"/>
  <c r="B50" i="34"/>
  <c r="E50" i="34" s="1"/>
  <c r="B45" i="34"/>
  <c r="E45" i="34" s="1"/>
  <c r="B43" i="34"/>
  <c r="E43" i="34" s="1"/>
  <c r="B42" i="34"/>
  <c r="E42" i="34" s="1"/>
  <c r="D43" i="33"/>
  <c r="D23" i="7"/>
  <c r="D42" i="33"/>
  <c r="D41" i="33"/>
  <c r="D40" i="33"/>
  <c r="D20" i="34" l="1"/>
  <c r="C46" i="34"/>
  <c r="D46" i="34" s="1"/>
  <c r="C42" i="34"/>
  <c r="D42" i="34" s="1"/>
  <c r="C22" i="34"/>
  <c r="C21" i="34"/>
  <c r="E24" i="34"/>
  <c r="F50" i="34" s="1"/>
  <c r="E21" i="34"/>
  <c r="F47" i="34" s="1"/>
  <c r="E22" i="34"/>
  <c r="F48" i="34" s="1"/>
  <c r="F42" i="34"/>
  <c r="C19" i="34"/>
  <c r="C26" i="34"/>
  <c r="C29" i="34"/>
  <c r="C33" i="34"/>
  <c r="E19" i="34"/>
  <c r="F45" i="34" s="1"/>
  <c r="E26" i="34"/>
  <c r="F52" i="34" s="1"/>
  <c r="E28" i="34"/>
  <c r="F54" i="34" s="1"/>
  <c r="E29" i="34"/>
  <c r="F55" i="34" s="1"/>
  <c r="E31" i="34"/>
  <c r="F57" i="34" s="1"/>
  <c r="E33" i="34"/>
  <c r="F59" i="34" s="1"/>
  <c r="F61" i="34"/>
  <c r="C17" i="34"/>
  <c r="C32" i="34" s="1"/>
  <c r="C24" i="34"/>
  <c r="C28" i="34"/>
  <c r="C31" i="34"/>
  <c r="C35" i="34"/>
  <c r="D35" i="34" s="1"/>
  <c r="D16" i="34"/>
  <c r="F16" i="34" s="1"/>
  <c r="D14" i="33" s="1"/>
  <c r="E17" i="34"/>
  <c r="E20" i="34" s="1"/>
  <c r="G42" i="34" l="1"/>
  <c r="D27" i="33" s="1"/>
  <c r="F20" i="34"/>
  <c r="D17" i="33" s="1"/>
  <c r="F46" i="34"/>
  <c r="G46" i="34" s="1"/>
  <c r="D30" i="33" s="1"/>
  <c r="D22" i="34"/>
  <c r="F22" i="34" s="1"/>
  <c r="D19" i="33" s="1"/>
  <c r="C48" i="34"/>
  <c r="D48" i="34" s="1"/>
  <c r="G48" i="34" s="1"/>
  <c r="D32" i="33" s="1"/>
  <c r="D32" i="34"/>
  <c r="C58" i="34"/>
  <c r="D58" i="34" s="1"/>
  <c r="D21" i="34"/>
  <c r="F21" i="34" s="1"/>
  <c r="D18" i="33" s="1"/>
  <c r="C47" i="34"/>
  <c r="D47" i="34" s="1"/>
  <c r="G47" i="34" s="1"/>
  <c r="D31" i="33" s="1"/>
  <c r="F43" i="34"/>
  <c r="E32" i="34"/>
  <c r="F58" i="34" s="1"/>
  <c r="F35" i="34"/>
  <c r="C61" i="34"/>
  <c r="D61" i="34" s="1"/>
  <c r="G61" i="34" s="1"/>
  <c r="D33" i="34"/>
  <c r="F33" i="34" s="1"/>
  <c r="D26" i="33" s="1"/>
  <c r="C54" i="34"/>
  <c r="D54" i="34" s="1"/>
  <c r="G54" i="34" s="1"/>
  <c r="D35" i="33" s="1"/>
  <c r="D28" i="34"/>
  <c r="F28" i="34" s="1"/>
  <c r="D22" i="33" s="1"/>
  <c r="C59" i="34"/>
  <c r="D59" i="34" s="1"/>
  <c r="G59" i="34" s="1"/>
  <c r="D39" i="33" s="1"/>
  <c r="C55" i="34"/>
  <c r="D55" i="34" s="1"/>
  <c r="G55" i="34" s="1"/>
  <c r="D36" i="33" s="1"/>
  <c r="D29" i="34"/>
  <c r="F29" i="34" s="1"/>
  <c r="D23" i="33" s="1"/>
  <c r="C50" i="34"/>
  <c r="D50" i="34" s="1"/>
  <c r="G50" i="34" s="1"/>
  <c r="D33" i="33" s="1"/>
  <c r="D24" i="34"/>
  <c r="F24" i="34" s="1"/>
  <c r="D20" i="33" s="1"/>
  <c r="C52" i="34"/>
  <c r="D52" i="34" s="1"/>
  <c r="G52" i="34" s="1"/>
  <c r="D34" i="33" s="1"/>
  <c r="D26" i="34"/>
  <c r="F26" i="34" s="1"/>
  <c r="D21" i="33" s="1"/>
  <c r="C57" i="34"/>
  <c r="D57" i="34" s="1"/>
  <c r="G57" i="34" s="1"/>
  <c r="D37" i="33" s="1"/>
  <c r="D31" i="34"/>
  <c r="F31" i="34" s="1"/>
  <c r="D24" i="33" s="1"/>
  <c r="C43" i="34"/>
  <c r="D43" i="34" s="1"/>
  <c r="G43" i="34" s="1"/>
  <c r="D28" i="33" s="1"/>
  <c r="D17" i="34"/>
  <c r="F17" i="34" s="1"/>
  <c r="D15" i="33" s="1"/>
  <c r="C45" i="34"/>
  <c r="D45" i="34" s="1"/>
  <c r="G45" i="34" s="1"/>
  <c r="D29" i="33" s="1"/>
  <c r="D19" i="34"/>
  <c r="F19" i="34" s="1"/>
  <c r="D16" i="33" s="1"/>
  <c r="J17" i="19"/>
  <c r="G58" i="34" l="1"/>
  <c r="D38" i="33" s="1"/>
  <c r="F32" i="34"/>
  <c r="D25" i="33" s="1"/>
  <c r="D49" i="33" s="1"/>
  <c r="G21" i="8"/>
  <c r="G22" i="8"/>
  <c r="D45" i="33" l="1"/>
  <c r="D46" i="33"/>
  <c r="D47" i="33"/>
  <c r="G21" i="13" l="1"/>
  <c r="G20" i="13"/>
  <c r="G19" i="13"/>
  <c r="F22" i="11"/>
  <c r="F21" i="11"/>
  <c r="F20" i="11"/>
  <c r="F36" i="3"/>
  <c r="F35" i="3"/>
  <c r="E36" i="3"/>
  <c r="E35" i="3"/>
  <c r="E34" i="3"/>
  <c r="H36" i="3"/>
  <c r="F21" i="13" s="1"/>
  <c r="F24" i="3"/>
  <c r="H35" i="3"/>
  <c r="F20" i="13" s="1"/>
  <c r="F23" i="3"/>
  <c r="H34" i="3"/>
  <c r="F19" i="13" s="1"/>
  <c r="F22" i="3"/>
  <c r="C22" i="11"/>
  <c r="C21" i="11"/>
  <c r="C20" i="11"/>
  <c r="G24" i="24"/>
  <c r="F21" i="20" l="1"/>
  <c r="F23" i="20" l="1"/>
  <c r="F22" i="20"/>
  <c r="A42" i="12"/>
  <c r="C42" i="12"/>
  <c r="D42" i="12"/>
  <c r="A43" i="12"/>
  <c r="C43" i="12"/>
  <c r="D43" i="12"/>
  <c r="A44" i="12"/>
  <c r="C44" i="12"/>
  <c r="D44" i="12"/>
  <c r="E48" i="12" l="1"/>
  <c r="F44" i="12"/>
  <c r="G44" i="12" s="1"/>
  <c r="F43" i="12"/>
  <c r="G43" i="12" s="1"/>
  <c r="F42" i="12"/>
  <c r="E49" i="12"/>
  <c r="F49" i="12" l="1"/>
  <c r="F48" i="12"/>
  <c r="G42" i="12"/>
  <c r="G48" i="12" s="1"/>
  <c r="G49" i="12" l="1"/>
  <c r="D18" i="25" l="1"/>
  <c r="C18" i="25"/>
  <c r="B18" i="25"/>
  <c r="D17" i="25"/>
  <c r="C17" i="25"/>
  <c r="B17" i="25"/>
  <c r="C23" i="20"/>
  <c r="B23" i="20"/>
  <c r="A23" i="20"/>
  <c r="C22" i="20"/>
  <c r="B22" i="20"/>
  <c r="A22" i="20"/>
  <c r="D19" i="19"/>
  <c r="C19" i="19"/>
  <c r="B19" i="19"/>
  <c r="A19" i="19"/>
  <c r="D18" i="19"/>
  <c r="C18" i="19"/>
  <c r="B18" i="19"/>
  <c r="A18" i="19"/>
  <c r="D18" i="12"/>
  <c r="J18" i="12" s="1"/>
  <c r="L18" i="12" s="1"/>
  <c r="M18" i="12" s="1"/>
  <c r="C18" i="12"/>
  <c r="I18" i="12" s="1"/>
  <c r="A18" i="12"/>
  <c r="D17" i="12"/>
  <c r="F17" i="12" s="1"/>
  <c r="G17" i="12" s="1"/>
  <c r="C17" i="12"/>
  <c r="I17" i="12" s="1"/>
  <c r="A17" i="12"/>
  <c r="C19" i="5"/>
  <c r="I19" i="5" s="1"/>
  <c r="L19" i="5" s="1"/>
  <c r="M19" i="5" s="1"/>
  <c r="B19" i="5"/>
  <c r="H19" i="5" s="1"/>
  <c r="A19" i="5"/>
  <c r="C18" i="5"/>
  <c r="I18" i="5" s="1"/>
  <c r="L18" i="5" s="1"/>
  <c r="M18" i="5" s="1"/>
  <c r="B18" i="5"/>
  <c r="H18" i="5" s="1"/>
  <c r="A18" i="5"/>
  <c r="E17" i="8"/>
  <c r="D17" i="8"/>
  <c r="C17" i="8"/>
  <c r="B17" i="8"/>
  <c r="A17" i="8"/>
  <c r="E16" i="8"/>
  <c r="D16" i="8"/>
  <c r="C16" i="8"/>
  <c r="B16" i="8"/>
  <c r="A16" i="8"/>
  <c r="B21" i="13"/>
  <c r="A21" i="13"/>
  <c r="B20" i="13"/>
  <c r="A20" i="13"/>
  <c r="K18" i="27"/>
  <c r="D18" i="27"/>
  <c r="J18" i="27" s="1"/>
  <c r="C18" i="27"/>
  <c r="B18" i="27"/>
  <c r="A18" i="27"/>
  <c r="K17" i="27"/>
  <c r="D17" i="27"/>
  <c r="J17" i="27" s="1"/>
  <c r="C17" i="27"/>
  <c r="B17" i="27"/>
  <c r="A17" i="27"/>
  <c r="K18" i="17"/>
  <c r="D18" i="17"/>
  <c r="J18" i="17" s="1"/>
  <c r="C18" i="17"/>
  <c r="B18" i="17"/>
  <c r="A18" i="17"/>
  <c r="K17" i="17"/>
  <c r="D17" i="17"/>
  <c r="J17" i="17" s="1"/>
  <c r="C17" i="17"/>
  <c r="B17" i="17"/>
  <c r="A17" i="17"/>
  <c r="C20" i="14"/>
  <c r="B20" i="14"/>
  <c r="A20" i="14"/>
  <c r="C19" i="14"/>
  <c r="B19" i="14"/>
  <c r="A19" i="14"/>
  <c r="H22" i="11"/>
  <c r="J22" i="11" s="1"/>
  <c r="B22" i="11"/>
  <c r="A22" i="11"/>
  <c r="H21" i="11"/>
  <c r="B21" i="11"/>
  <c r="A21" i="11"/>
  <c r="A40" i="29"/>
  <c r="C24" i="29"/>
  <c r="C39" i="29" s="1"/>
  <c r="B24" i="29"/>
  <c r="B39" i="29" s="1"/>
  <c r="A24" i="29"/>
  <c r="A39" i="29" s="1"/>
  <c r="C23" i="29"/>
  <c r="C38" i="29" s="1"/>
  <c r="B23" i="29"/>
  <c r="B38" i="29" s="1"/>
  <c r="A23" i="29"/>
  <c r="A38" i="29" s="1"/>
  <c r="D36" i="3"/>
  <c r="D35" i="3"/>
  <c r="E39" i="29"/>
  <c r="E38" i="29"/>
  <c r="C36" i="3"/>
  <c r="B36" i="3"/>
  <c r="A36" i="3"/>
  <c r="C35" i="3"/>
  <c r="B35" i="3"/>
  <c r="A35" i="3"/>
  <c r="E18" i="19" l="1"/>
  <c r="I35" i="3"/>
  <c r="K35" i="3" s="1"/>
  <c r="E19" i="19"/>
  <c r="I36" i="3"/>
  <c r="K36" i="3" s="1"/>
  <c r="F17" i="25"/>
  <c r="H17" i="25"/>
  <c r="F18" i="25"/>
  <c r="H18" i="25"/>
  <c r="I22" i="11"/>
  <c r="K22" i="11" s="1"/>
  <c r="L22" i="11" s="1"/>
  <c r="F18" i="17"/>
  <c r="F17" i="17"/>
  <c r="F17" i="27"/>
  <c r="F18" i="12"/>
  <c r="G18" i="12" s="1"/>
  <c r="E18" i="5"/>
  <c r="F18" i="5" s="1"/>
  <c r="F18" i="27"/>
  <c r="E19" i="5"/>
  <c r="F19" i="5" s="1"/>
  <c r="D23" i="29"/>
  <c r="F23" i="29" s="1"/>
  <c r="D24" i="29"/>
  <c r="F24" i="29" s="1"/>
  <c r="J17" i="12"/>
  <c r="L17" i="12" s="1"/>
  <c r="M17" i="12" s="1"/>
  <c r="H17" i="27"/>
  <c r="H18" i="27"/>
  <c r="H17" i="17"/>
  <c r="H18" i="17"/>
  <c r="I21" i="11"/>
  <c r="J21" i="11"/>
  <c r="K38" i="3" l="1"/>
  <c r="K37" i="3"/>
  <c r="J36" i="3"/>
  <c r="F18" i="19"/>
  <c r="F19" i="19"/>
  <c r="K21" i="11"/>
  <c r="L21" i="11" s="1"/>
  <c r="D39" i="29"/>
  <c r="F39" i="29" s="1"/>
  <c r="D38" i="29"/>
  <c r="F38" i="29" s="1"/>
  <c r="J18" i="19" l="1"/>
  <c r="J19" i="19"/>
  <c r="I18" i="19"/>
  <c r="I19" i="19"/>
  <c r="J20" i="13"/>
  <c r="H20" i="13"/>
  <c r="I20" i="13" s="1"/>
  <c r="J35" i="3"/>
  <c r="J21" i="13"/>
  <c r="H21" i="13"/>
  <c r="I21" i="13" s="1"/>
  <c r="J38" i="3" l="1"/>
  <c r="J37" i="3"/>
  <c r="A20" i="11"/>
  <c r="C21" i="20" l="1"/>
  <c r="B21" i="20"/>
  <c r="A21" i="20"/>
  <c r="C17" i="19"/>
  <c r="B17" i="19"/>
  <c r="A17" i="19"/>
  <c r="C16" i="12"/>
  <c r="I16" i="12" s="1"/>
  <c r="A16" i="12"/>
  <c r="B17" i="5"/>
  <c r="H17" i="5" s="1"/>
  <c r="A17" i="5"/>
  <c r="D15" i="8"/>
  <c r="C16" i="25" l="1"/>
  <c r="B16" i="25"/>
  <c r="C15" i="8"/>
  <c r="B15" i="8"/>
  <c r="A15" i="8"/>
  <c r="B19" i="13"/>
  <c r="A19" i="13"/>
  <c r="C16" i="27"/>
  <c r="B16" i="27"/>
  <c r="A16" i="27"/>
  <c r="C16" i="17"/>
  <c r="B16" i="17"/>
  <c r="A16" i="17"/>
  <c r="C18" i="14" l="1"/>
  <c r="B18" i="14"/>
  <c r="A18" i="14"/>
  <c r="B20" i="11" l="1"/>
  <c r="C22" i="29"/>
  <c r="C37" i="29" s="1"/>
  <c r="B22" i="29"/>
  <c r="B37" i="29" s="1"/>
  <c r="A22" i="29"/>
  <c r="A37" i="29" s="1"/>
  <c r="G64" i="10" l="1"/>
  <c r="B49" i="29"/>
  <c r="I22" i="27"/>
  <c r="G22" i="27"/>
  <c r="E22" i="27"/>
  <c r="I21" i="27"/>
  <c r="G21" i="27"/>
  <c r="E21" i="27"/>
  <c r="K16" i="27"/>
  <c r="D16" i="27"/>
  <c r="J16" i="27" s="1"/>
  <c r="A15" i="24" l="1"/>
  <c r="A24" i="24"/>
  <c r="G23" i="20"/>
  <c r="H23" i="20" s="1"/>
  <c r="G22" i="20"/>
  <c r="H22" i="20" s="1"/>
  <c r="D48" i="10"/>
  <c r="K22" i="27"/>
  <c r="D16" i="24" s="1"/>
  <c r="K21" i="27"/>
  <c r="D15" i="24" s="1"/>
  <c r="F16" i="27"/>
  <c r="H16" i="27"/>
  <c r="K22" i="17"/>
  <c r="C15" i="24" s="1"/>
  <c r="K23" i="17"/>
  <c r="C16" i="24" s="1"/>
  <c r="J22" i="27" l="1"/>
  <c r="J21" i="27"/>
  <c r="F22" i="27"/>
  <c r="F21" i="27"/>
  <c r="H22" i="27"/>
  <c r="H21" i="27"/>
  <c r="I23" i="17" l="1"/>
  <c r="I22" i="17"/>
  <c r="H24" i="24" l="1"/>
  <c r="D58" i="10"/>
  <c r="G31" i="10" l="1"/>
  <c r="D16" i="25"/>
  <c r="H16" i="25" s="1"/>
  <c r="D25" i="10"/>
  <c r="H23" i="25" l="1"/>
  <c r="H22" i="25"/>
  <c r="G21" i="20"/>
  <c r="F16" i="25"/>
  <c r="H23" i="19"/>
  <c r="G23" i="19"/>
  <c r="H22" i="19"/>
  <c r="G22" i="19"/>
  <c r="D17" i="19"/>
  <c r="G23" i="17"/>
  <c r="G22" i="17"/>
  <c r="D16" i="17"/>
  <c r="E23" i="17"/>
  <c r="E22" i="17"/>
  <c r="I25" i="14"/>
  <c r="I24" i="14"/>
  <c r="I22" i="8"/>
  <c r="I21" i="8"/>
  <c r="H20" i="11"/>
  <c r="E15" i="8"/>
  <c r="C17" i="5"/>
  <c r="I17" i="5" s="1"/>
  <c r="L17" i="5" s="1"/>
  <c r="J29" i="12"/>
  <c r="D23" i="10" s="1"/>
  <c r="I29" i="12"/>
  <c r="H28" i="5"/>
  <c r="D56" i="10" s="1"/>
  <c r="G28" i="5"/>
  <c r="H25" i="14"/>
  <c r="H24" i="14"/>
  <c r="J19" i="13"/>
  <c r="J27" i="13" s="1"/>
  <c r="H19" i="13"/>
  <c r="I19" i="13" s="1"/>
  <c r="I27" i="13" s="1"/>
  <c r="K23" i="12"/>
  <c r="E23" i="12"/>
  <c r="K22" i="12"/>
  <c r="E22" i="12"/>
  <c r="D16" i="12"/>
  <c r="J16" i="12" s="1"/>
  <c r="J26" i="13" l="1"/>
  <c r="I26" i="13"/>
  <c r="J23" i="17"/>
  <c r="J22" i="17"/>
  <c r="J25" i="13"/>
  <c r="I25" i="13"/>
  <c r="L16" i="12"/>
  <c r="F23" i="25"/>
  <c r="F22" i="25"/>
  <c r="F16" i="12"/>
  <c r="G16" i="12" s="1"/>
  <c r="F17" i="19" l="1"/>
  <c r="F22" i="17"/>
  <c r="F23" i="17"/>
  <c r="H22" i="17"/>
  <c r="H23" i="17"/>
  <c r="G22" i="12"/>
  <c r="F23" i="12"/>
  <c r="F22" i="12"/>
  <c r="M16" i="12"/>
  <c r="G23" i="12"/>
  <c r="H27" i="20" l="1"/>
  <c r="H26" i="20"/>
  <c r="L23" i="12"/>
  <c r="L22" i="12"/>
  <c r="F23" i="19"/>
  <c r="F22" i="19"/>
  <c r="M23" i="12"/>
  <c r="M22" i="12"/>
  <c r="J23" i="19" l="1"/>
  <c r="J22" i="19"/>
  <c r="I23" i="19"/>
  <c r="I22" i="19"/>
  <c r="J24" i="5"/>
  <c r="J23" i="5"/>
  <c r="J20" i="11"/>
  <c r="I20" i="11"/>
  <c r="F56" i="10"/>
  <c r="C58" i="10"/>
  <c r="C56" i="10"/>
  <c r="F58" i="10"/>
  <c r="F25" i="10"/>
  <c r="C25" i="10"/>
  <c r="F23" i="10"/>
  <c r="C23" i="10"/>
  <c r="K20" i="11" l="1"/>
  <c r="L20" i="11" s="1"/>
  <c r="G25" i="10"/>
  <c r="C27" i="10"/>
  <c r="C60" i="10"/>
  <c r="G23" i="10"/>
  <c r="G56" i="10"/>
  <c r="G58" i="10"/>
  <c r="D37" i="29" l="1"/>
  <c r="E37" i="29"/>
  <c r="L27" i="11"/>
  <c r="L28" i="11"/>
  <c r="G27" i="10"/>
  <c r="G60" i="10"/>
  <c r="F37" i="29" l="1"/>
  <c r="M17" i="5"/>
  <c r="L23" i="5"/>
  <c r="L24" i="5"/>
  <c r="F41" i="29" l="1"/>
  <c r="D49" i="29" s="1"/>
  <c r="M24" i="5"/>
  <c r="M23" i="5"/>
  <c r="E17" i="5" l="1"/>
  <c r="C23" i="7" l="1"/>
  <c r="C48" i="29" s="1"/>
  <c r="C25" i="7"/>
  <c r="C49" i="29" s="1"/>
  <c r="E49" i="29" s="1"/>
  <c r="D25" i="7" l="1"/>
  <c r="J21" i="8" l="1"/>
  <c r="J22" i="8" l="1"/>
  <c r="D34" i="3" l="1"/>
  <c r="I34" i="3" s="1"/>
  <c r="E17" i="19" l="1"/>
  <c r="D22" i="29"/>
  <c r="F22" i="29" s="1"/>
  <c r="F26" i="29" s="1"/>
  <c r="D48" i="29" s="1"/>
  <c r="E48" i="29" s="1"/>
  <c r="E50" i="29" s="1"/>
  <c r="D24" i="5" l="1"/>
  <c r="D23" i="5"/>
  <c r="J39" i="3" l="1"/>
  <c r="K40" i="3"/>
  <c r="C34" i="3" l="1"/>
  <c r="B34" i="3" l="1"/>
  <c r="A34" i="3"/>
  <c r="E23" i="5" l="1"/>
  <c r="K39" i="3"/>
  <c r="E24" i="5"/>
  <c r="J40" i="3"/>
  <c r="F17" i="5"/>
  <c r="F23" i="5" s="1"/>
  <c r="F23" i="7" l="1"/>
  <c r="G23" i="7" s="1"/>
  <c r="F24" i="5"/>
  <c r="C27" i="7"/>
  <c r="F25" i="7"/>
  <c r="G25" i="7" s="1"/>
  <c r="G2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rev4175</author>
    <author>rev4440</author>
    <author>rev4279</author>
    <author>rev3569</author>
    <author>rev3857</author>
    <author>REVT221</author>
    <author>K Reaves</author>
  </authors>
  <commentList>
    <comment ref="G22" authorId="0" shapeId="0" xr:uid="{F710D0B4-71A5-4B7B-A92C-980E332BC0B7}">
      <text>
        <r>
          <rPr>
            <b/>
            <sz val="9"/>
            <color indexed="81"/>
            <rFont val="Tahoma"/>
            <family val="2"/>
          </rPr>
          <t>rev4175:</t>
        </r>
        <r>
          <rPr>
            <sz val="9"/>
            <color indexed="81"/>
            <rFont val="Tahoma"/>
            <family val="2"/>
          </rPr>
          <t xml:space="preserve">
Valueline 12/29/2023 Closing price
</t>
        </r>
      </text>
    </comment>
    <comment ref="H22" authorId="1" shapeId="0" xr:uid="{3E872292-705E-4A7F-B5E7-DB09AB929D7F}">
      <text>
        <r>
          <rPr>
            <sz val="9"/>
            <color indexed="81"/>
            <rFont val="Tahoma"/>
            <family val="2"/>
          </rPr>
          <t>Page 52 of PDF, 10-K</t>
        </r>
      </text>
    </comment>
    <comment ref="I22" authorId="2" shapeId="0" xr:uid="{C3C9B3C8-70C5-4AC4-BF0F-7A50BEFE15ED}">
      <text>
        <r>
          <rPr>
            <b/>
            <sz val="9"/>
            <color indexed="81"/>
            <rFont val="Tahoma"/>
            <family val="2"/>
          </rPr>
          <t>rev4279:</t>
        </r>
        <r>
          <rPr>
            <sz val="9"/>
            <color indexed="81"/>
            <rFont val="Tahoma"/>
            <family val="2"/>
          </rPr>
          <t xml:space="preserve">
PG 50 of PDF, 10-K</t>
        </r>
      </text>
    </comment>
    <comment ref="J22" authorId="1" shapeId="0" xr:uid="{A750052F-CCF9-4840-833A-30C6DDE6186E}">
      <text>
        <r>
          <rPr>
            <sz val="9"/>
            <color indexed="81"/>
            <rFont val="Tahoma"/>
            <family val="2"/>
          </rPr>
          <t>Page 52 of PDF, 10-K
Current Portion of debt obligations PLUS LTD</t>
        </r>
      </text>
    </comment>
    <comment ref="G23" authorId="0" shapeId="0" xr:uid="{7922336E-0C2F-4D0F-8DEE-CD199A21B3AF}">
      <text>
        <r>
          <rPr>
            <b/>
            <sz val="9"/>
            <color indexed="81"/>
            <rFont val="Tahoma"/>
            <family val="2"/>
          </rPr>
          <t>rev4175:</t>
        </r>
        <r>
          <rPr>
            <sz val="9"/>
            <color indexed="81"/>
            <rFont val="Tahoma"/>
            <family val="2"/>
          </rPr>
          <t xml:space="preserve">
Valueline 12/29/2023 Closing price
</t>
        </r>
      </text>
    </comment>
    <comment ref="H23" authorId="1" shapeId="0" xr:uid="{D182F9D2-32B7-48B6-B823-F501186B2CE0}">
      <text>
        <r>
          <rPr>
            <sz val="9"/>
            <color indexed="81"/>
            <rFont val="Tahoma"/>
            <family val="2"/>
          </rPr>
          <t>4TH QUARTER 10Q COVER PAGE</t>
        </r>
      </text>
    </comment>
    <comment ref="J23" authorId="1" shapeId="0" xr:uid="{245325DF-BEF9-4632-BACD-E8DFD3D5107D}">
      <text>
        <r>
          <rPr>
            <sz val="9"/>
            <color indexed="81"/>
            <rFont val="Tahoma"/>
            <family val="2"/>
          </rPr>
          <t>4th Quarter 10Q pg 4
Current portion of LTD plus LTD, less current portion</t>
        </r>
      </text>
    </comment>
    <comment ref="G24" authorId="0" shapeId="0" xr:uid="{BCEC0C7A-D038-4F4A-970E-C7A766A0DAD0}">
      <text>
        <r>
          <rPr>
            <b/>
            <sz val="9"/>
            <color indexed="81"/>
            <rFont val="Tahoma"/>
            <family val="2"/>
          </rPr>
          <t>rev4175:</t>
        </r>
        <r>
          <rPr>
            <sz val="9"/>
            <color indexed="81"/>
            <rFont val="Tahoma"/>
            <family val="2"/>
          </rPr>
          <t xml:space="preserve">
Valueline 12/29/2023 Closing price
</t>
        </r>
      </text>
    </comment>
    <comment ref="H24" authorId="1" shapeId="0" xr:uid="{2D2F1BD6-691F-4E74-9A1D-ED8A3CE590A9}">
      <text>
        <r>
          <rPr>
            <sz val="9"/>
            <color indexed="81"/>
            <rFont val="Tahoma"/>
            <family val="2"/>
          </rPr>
          <t>Page 63 of PDF, 10-K
Class A common stock plus class B minus Treasury stock</t>
        </r>
      </text>
    </comment>
    <comment ref="I24" authorId="1" shapeId="0" xr:uid="{61DA8053-08B8-40B0-A267-6E56BA02F03E}">
      <text>
        <r>
          <rPr>
            <sz val="9"/>
            <color indexed="81"/>
            <rFont val="Tahoma"/>
            <family val="2"/>
          </rPr>
          <t>Page 94 of PDF, 10-K</t>
        </r>
      </text>
    </comment>
    <comment ref="J24" authorId="1" shapeId="0" xr:uid="{5AC3FB79-4D05-4BE2-A8EE-4C476959A386}">
      <text>
        <r>
          <rPr>
            <sz val="9"/>
            <color indexed="81"/>
            <rFont val="Tahoma"/>
            <family val="2"/>
          </rPr>
          <t>Page 63 of PDF, 10-K
Current Maturities of LTD plus LTD</t>
        </r>
      </text>
    </comment>
    <comment ref="F30" authorId="3" shapeId="0" xr:uid="{CEF678F7-6580-4CF3-AC8E-A803AFF27478}">
      <text>
        <r>
          <rPr>
            <b/>
            <sz val="11"/>
            <color indexed="81"/>
            <rFont val="Tahoma"/>
            <family val="2"/>
          </rPr>
          <t>rev3569:</t>
        </r>
        <r>
          <rPr>
            <sz val="11"/>
            <color indexed="81"/>
            <rFont val="Tahoma"/>
            <family val="2"/>
          </rPr>
          <t xml:space="preserve">
identify present value in 10K</t>
        </r>
      </text>
    </comment>
    <comment ref="G30" authorId="3" shapeId="0" xr:uid="{1F3A85E6-A544-4129-93B7-5A519FC1C2C4}">
      <text>
        <r>
          <rPr>
            <b/>
            <sz val="11"/>
            <color indexed="81"/>
            <rFont val="Tahoma"/>
            <family val="2"/>
          </rPr>
          <t>rev3569:</t>
        </r>
        <r>
          <rPr>
            <sz val="11"/>
            <color indexed="81"/>
            <rFont val="Tahoma"/>
            <family val="2"/>
          </rPr>
          <t xml:space="preserve">
identify present value in 10K</t>
        </r>
      </text>
    </comment>
    <comment ref="H34" authorId="4" shapeId="0" xr:uid="{9FD7B0DB-9FA8-4F4A-BD8D-DE4004D3B4A9}">
      <text>
        <r>
          <rPr>
            <sz val="9"/>
            <color indexed="81"/>
            <rFont val="Tahoma"/>
            <family val="2"/>
          </rPr>
          <t>Page 67 of PDF, 10-K
amount 1,464.9 at top of pg 67
48.3 LESS than carrying value, so, 1464.9 - 48.3</t>
        </r>
      </text>
    </comment>
    <comment ref="H35" authorId="5" shapeId="0" xr:uid="{EDC594DE-6A07-439E-985B-0290E9ED3E02}">
      <text>
        <r>
          <rPr>
            <sz val="9"/>
            <color indexed="81"/>
            <rFont val="Tahoma"/>
            <family val="2"/>
          </rPr>
          <t>10Q Pg 14 Carrying value $19.7 billion at 11/30/22 and FV $17.1 billion at 11/3/22</t>
        </r>
      </text>
    </comment>
    <comment ref="H36" authorId="5" shapeId="0" xr:uid="{9125602C-B0B1-4328-A046-60ABBB230DEB}">
      <text>
        <r>
          <rPr>
            <sz val="9"/>
            <color indexed="81"/>
            <rFont val="Tahoma"/>
            <family val="2"/>
          </rPr>
          <t>Fair Value: Page 100 of PDF, 10-K
Carrying Value: Page 96 of PDF, 10-K</t>
        </r>
      </text>
    </comment>
    <comment ref="F58" authorId="6" shapeId="0" xr:uid="{AE62A510-8B3E-4547-99AD-C40170BFCEDB}">
      <text>
        <r>
          <rPr>
            <sz val="9"/>
            <color indexed="81"/>
            <rFont val="Tahoma"/>
            <family val="2"/>
          </rPr>
          <t>Page 58 
 of PDF, 10-K
Operating Lease assets</t>
        </r>
      </text>
    </comment>
    <comment ref="G58" authorId="6" shapeId="0" xr:uid="{140FBC9F-CBB3-4B21-AAB3-BB1E9D63FD37}">
      <text>
        <r>
          <rPr>
            <sz val="9"/>
            <color indexed="81"/>
            <rFont val="Tahoma"/>
            <family val="2"/>
          </rPr>
          <t>Page 58 of PDF, 10-K
Current portion of lease obligations plus long term lease obligations</t>
        </r>
      </text>
    </comment>
    <comment ref="H58" authorId="6" shapeId="0" xr:uid="{3B252108-C0DD-4AF8-9DAE-6FA717207819}">
      <text>
        <r>
          <rPr>
            <sz val="9"/>
            <color indexed="81"/>
            <rFont val="Tahoma"/>
            <family val="2"/>
          </rPr>
          <t>Page 58 of PDF, 10-K
Rent</t>
        </r>
      </text>
    </comment>
    <comment ref="F59" authorId="6" shapeId="0" xr:uid="{3B9B8468-BD6D-4C23-955A-D59925697FF7}">
      <text>
        <r>
          <rPr>
            <sz val="9"/>
            <color indexed="81"/>
            <rFont val="Tahoma"/>
            <family val="2"/>
          </rPr>
          <t>Page 59 of PDF, 10-K</t>
        </r>
      </text>
    </comment>
    <comment ref="G59" authorId="6" shapeId="0" xr:uid="{F1FA9318-3D00-47B0-8C06-7BA96C10320E}">
      <text>
        <r>
          <rPr>
            <sz val="9"/>
            <color indexed="81"/>
            <rFont val="Tahoma"/>
            <family val="2"/>
          </rPr>
          <t>Page 49 of PDF, 10-K</t>
        </r>
      </text>
    </comment>
    <comment ref="H59" authorId="6" shapeId="0" xr:uid="{8DDD02F3-87D7-4FD0-BB92-3572152A577F}">
      <text>
        <r>
          <rPr>
            <b/>
            <sz val="9"/>
            <color indexed="81"/>
            <rFont val="Tahoma"/>
            <family val="2"/>
          </rPr>
          <t>K Reaves:</t>
        </r>
        <r>
          <rPr>
            <sz val="9"/>
            <color indexed="81"/>
            <rFont val="Tahoma"/>
            <family val="2"/>
          </rPr>
          <t xml:space="preserve">
Page 60 of PDF, 10-K (based on where last year's figures were obtained)</t>
        </r>
      </text>
    </comment>
    <comment ref="F60" authorId="6" shapeId="0" xr:uid="{DEA80B17-ABA5-4367-B541-0D71F71EF1F3}">
      <text>
        <r>
          <rPr>
            <sz val="9"/>
            <color indexed="81"/>
            <rFont val="Tahoma"/>
            <family val="2"/>
          </rPr>
          <t>Page 3 of PDF, 10-Q</t>
        </r>
      </text>
    </comment>
    <comment ref="G60" authorId="6" shapeId="0" xr:uid="{D9C4A205-8AB5-4E41-932D-27EEF00655FA}">
      <text>
        <r>
          <rPr>
            <sz val="9"/>
            <color indexed="81"/>
            <rFont val="Tahoma"/>
            <family val="2"/>
          </rPr>
          <t>Page 18 of PDF, 10-Q
Present value of lease liability totoal operating leases column</t>
        </r>
      </text>
    </comment>
    <comment ref="F61" authorId="6" shapeId="0" xr:uid="{85C4A57B-2010-4A3B-A7C7-458971F97DC6}">
      <text>
        <r>
          <rPr>
            <sz val="9"/>
            <color indexed="81"/>
            <rFont val="Tahoma"/>
            <family val="2"/>
          </rPr>
          <t>Page 110 of PDF, 10-K</t>
        </r>
      </text>
    </comment>
    <comment ref="G61" authorId="6" shapeId="0" xr:uid="{43B9A33A-9047-4B82-9069-7495205CABA4}">
      <text>
        <r>
          <rPr>
            <sz val="9"/>
            <color indexed="81"/>
            <rFont val="Tahoma"/>
            <family val="2"/>
          </rPr>
          <t>Page 110
 of PDF, 10-K</t>
        </r>
      </text>
    </comment>
    <comment ref="H61" authorId="0" shapeId="0" xr:uid="{6A65C457-CBB4-4F92-A9BD-6683D9B893AA}">
      <text>
        <r>
          <rPr>
            <b/>
            <sz val="9"/>
            <color indexed="81"/>
            <rFont val="Tahoma"/>
            <family val="2"/>
          </rPr>
          <t>rev4175:</t>
        </r>
        <r>
          <rPr>
            <sz val="9"/>
            <color indexed="81"/>
            <rFont val="Tahoma"/>
            <family val="2"/>
          </rPr>
          <t xml:space="preserve">
10K page 107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rev4279</author>
    <author>rev3569</author>
    <author>Baker, Mike A (DOR)</author>
  </authors>
  <commentList>
    <comment ref="E22" authorId="0" shapeId="0" xr:uid="{59775455-A53C-486A-9544-C305AA83D9F5}">
      <text>
        <r>
          <rPr>
            <b/>
            <sz val="9"/>
            <color indexed="81"/>
            <rFont val="Tahoma"/>
            <family val="2"/>
          </rPr>
          <t>rev4279:</t>
        </r>
        <r>
          <rPr>
            <sz val="9"/>
            <color indexed="81"/>
            <rFont val="Tahoma"/>
            <family val="2"/>
          </rPr>
          <t xml:space="preserve">
10K PG 52</t>
        </r>
      </text>
    </comment>
    <comment ref="E23" authorId="0" shapeId="0" xr:uid="{9CB02FE4-98C1-4A5A-92F1-D5D4F55B04C1}">
      <text>
        <r>
          <rPr>
            <b/>
            <sz val="9"/>
            <color indexed="81"/>
            <rFont val="Tahoma"/>
            <family val="2"/>
          </rPr>
          <t>rev4279:</t>
        </r>
        <r>
          <rPr>
            <sz val="9"/>
            <color indexed="81"/>
            <rFont val="Tahoma"/>
            <family val="2"/>
          </rPr>
          <t xml:space="preserve">
4TH QUARTER 10Q PG 8</t>
        </r>
      </text>
    </comment>
    <comment ref="E24" authorId="1" shapeId="0" xr:uid="{5B1D4A8E-8BDB-43A6-ACFB-A6BE61989E9C}">
      <text>
        <r>
          <rPr>
            <b/>
            <sz val="9"/>
            <color indexed="81"/>
            <rFont val="Tahoma"/>
            <family val="2"/>
          </rPr>
          <t>rev3569:</t>
        </r>
        <r>
          <rPr>
            <sz val="9"/>
            <color indexed="81"/>
            <rFont val="Tahoma"/>
            <family val="2"/>
          </rPr>
          <t xml:space="preserve">
10K PDF Balance Sheet page 63 </t>
        </r>
      </text>
    </comment>
    <comment ref="E25" authorId="2" shapeId="0" xr:uid="{FA7B8A1A-ACB9-4BC9-8D87-C792654396BD}">
      <text>
        <r>
          <rPr>
            <b/>
            <sz val="9"/>
            <color indexed="81"/>
            <rFont val="Tahoma"/>
            <family val="2"/>
          </rPr>
          <t>Baker, Mike A (DOR):</t>
        </r>
        <r>
          <rPr>
            <sz val="9"/>
            <color indexed="81"/>
            <rFont val="Tahoma"/>
            <family val="2"/>
          </rPr>
          <t xml:space="preserve">
See 10K page 45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rev4279</author>
    <author>Baker, Mike A (DOR)</author>
  </authors>
  <commentList>
    <comment ref="D20" authorId="0" shapeId="0" xr:uid="{220AD228-E997-4569-916F-69070DF768F2}">
      <text>
        <r>
          <rPr>
            <b/>
            <sz val="9"/>
            <color indexed="81"/>
            <rFont val="Tahoma"/>
            <family val="2"/>
          </rPr>
          <t>rev4279:</t>
        </r>
        <r>
          <rPr>
            <sz val="9"/>
            <color indexed="81"/>
            <rFont val="Tahoma"/>
            <family val="2"/>
          </rPr>
          <t xml:space="preserve">
10K pg 69 NOTE E</t>
        </r>
      </text>
    </comment>
    <comment ref="E20" authorId="0" shapeId="0" xr:uid="{9D644B8B-B7E7-4575-87BD-6EC95E983FD2}">
      <text>
        <r>
          <rPr>
            <b/>
            <sz val="9"/>
            <color indexed="81"/>
            <rFont val="Tahoma"/>
            <family val="2"/>
          </rPr>
          <t>rev4279:</t>
        </r>
        <r>
          <rPr>
            <sz val="9"/>
            <color indexed="81"/>
            <rFont val="Tahoma"/>
            <family val="2"/>
          </rPr>
          <t xml:space="preserve">
10K pg 69 NOTE E</t>
        </r>
      </text>
    </comment>
    <comment ref="D21" authorId="0" shapeId="0" xr:uid="{54A24C91-C59A-48C9-9A1F-A3E5604FEC40}">
      <text>
        <r>
          <rPr>
            <b/>
            <sz val="9"/>
            <color indexed="81"/>
            <rFont val="Tahoma"/>
            <family val="2"/>
          </rPr>
          <t>rev4279:</t>
        </r>
        <r>
          <rPr>
            <sz val="9"/>
            <color indexed="81"/>
            <rFont val="Tahoma"/>
            <family val="2"/>
          </rPr>
          <t xml:space="preserve">
10Q pg 3 </t>
        </r>
      </text>
    </comment>
    <comment ref="E21" authorId="0" shapeId="0" xr:uid="{1F535BCB-0EE5-4460-B305-E8F6A4E480D4}">
      <text>
        <r>
          <rPr>
            <b/>
            <sz val="9"/>
            <color indexed="81"/>
            <rFont val="Tahoma"/>
            <family val="2"/>
          </rPr>
          <t>rev4279:</t>
        </r>
        <r>
          <rPr>
            <sz val="9"/>
            <color indexed="81"/>
            <rFont val="Tahoma"/>
            <family val="2"/>
          </rPr>
          <t xml:space="preserve">
PULLED FROM LAST YEAR'S CAP RATE STUDY</t>
        </r>
      </text>
    </comment>
    <comment ref="G21" authorId="1" shapeId="0" xr:uid="{437B61E8-6F15-4600-9C5A-BA64E43194CF}">
      <text>
        <r>
          <rPr>
            <b/>
            <sz val="9"/>
            <color indexed="81"/>
            <rFont val="Tahoma"/>
            <family val="2"/>
          </rPr>
          <t>Baker, Mike A (DOR):</t>
        </r>
        <r>
          <rPr>
            <sz val="9"/>
            <color indexed="81"/>
            <rFont val="Tahoma"/>
            <family val="2"/>
          </rPr>
          <t xml:space="preserve">
See FY22-23 Quarterly Statements  4 Qtrs  
</t>
        </r>
      </text>
    </comment>
    <comment ref="D22" authorId="0" shapeId="0" xr:uid="{00BC8E62-C5E0-4E5C-BDE2-1A87ADE7899D}">
      <text>
        <r>
          <rPr>
            <b/>
            <sz val="9"/>
            <color indexed="81"/>
            <rFont val="Tahoma"/>
            <family val="2"/>
          </rPr>
          <t>rev4279:</t>
        </r>
        <r>
          <rPr>
            <sz val="9"/>
            <color indexed="81"/>
            <rFont val="Tahoma"/>
            <family val="2"/>
          </rPr>
          <t xml:space="preserve">
10K pg 79 NOTE 4</t>
        </r>
      </text>
    </comment>
    <comment ref="E22" authorId="0" shapeId="0" xr:uid="{E58FC50E-868E-4E84-A0DA-879C4C478EB9}">
      <text>
        <r>
          <rPr>
            <b/>
            <sz val="9"/>
            <color indexed="81"/>
            <rFont val="Tahoma"/>
            <family val="2"/>
          </rPr>
          <t>rev4279:</t>
        </r>
        <r>
          <rPr>
            <sz val="9"/>
            <color indexed="81"/>
            <rFont val="Tahoma"/>
            <family val="2"/>
          </rPr>
          <t xml:space="preserve">
10K pg 79</t>
        </r>
      </text>
    </comment>
    <comment ref="G22" authorId="0" shapeId="0" xr:uid="{F91809F9-D502-4FA7-A310-67D74CEA91D5}">
      <text>
        <r>
          <rPr>
            <b/>
            <sz val="9"/>
            <color indexed="81"/>
            <rFont val="Tahoma"/>
            <family val="2"/>
          </rPr>
          <t>rev4279:</t>
        </r>
        <r>
          <rPr>
            <sz val="9"/>
            <color indexed="81"/>
            <rFont val="Tahoma"/>
            <family val="2"/>
          </rPr>
          <t xml:space="preserve">
10K PG 64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rev4279</author>
    <author>Sheeks, David (DOR)</author>
    <author>Baker, Mike A (DOR)</author>
  </authors>
  <commentList>
    <comment ref="C19" authorId="0" shapeId="0" xr:uid="{55CF1DDC-31AF-4F1F-96C0-A2103249DD37}">
      <text>
        <r>
          <rPr>
            <b/>
            <sz val="9"/>
            <color indexed="81"/>
            <rFont val="Tahoma"/>
            <family val="2"/>
          </rPr>
          <t>rev4279:</t>
        </r>
        <r>
          <rPr>
            <sz val="9"/>
            <color indexed="81"/>
            <rFont val="Tahoma"/>
            <family val="2"/>
          </rPr>
          <t xml:space="preserve">
10K PG 53</t>
        </r>
      </text>
    </comment>
    <comment ref="D19" authorId="1" shapeId="0" xr:uid="{F18FE702-89AE-4C0D-BDB3-164FC789787C}">
      <text>
        <r>
          <rPr>
            <b/>
            <sz val="9"/>
            <color indexed="81"/>
            <rFont val="Tahoma"/>
            <charset val="1"/>
          </rPr>
          <t>Sheeks, David (DOR):</t>
        </r>
        <r>
          <rPr>
            <sz val="9"/>
            <color indexed="81"/>
            <rFont val="Tahoma"/>
            <charset val="1"/>
          </rPr>
          <t xml:space="preserve">
10k pg 72</t>
        </r>
      </text>
    </comment>
    <comment ref="E19" authorId="0" shapeId="0" xr:uid="{54E0A28D-D1D3-43C0-B91F-02B526951C88}">
      <text>
        <r>
          <rPr>
            <b/>
            <sz val="9"/>
            <color indexed="81"/>
            <rFont val="Tahoma"/>
            <family val="2"/>
          </rPr>
          <t>rev4279:</t>
        </r>
        <r>
          <rPr>
            <sz val="9"/>
            <color indexed="81"/>
            <rFont val="Tahoma"/>
            <family val="2"/>
          </rPr>
          <t xml:space="preserve">
PG 69 NOTE F</t>
        </r>
      </text>
    </comment>
    <comment ref="C20" authorId="2" shapeId="0" xr:uid="{B250E2E9-FAB5-4006-80D3-5B18B764AE59}">
      <text>
        <r>
          <rPr>
            <sz val="9"/>
            <color indexed="81"/>
            <rFont val="Tahoma"/>
            <family val="2"/>
          </rPr>
          <t>AMOUNTS FROM FEDEX 10Q'S FOR 1ST, 2ND, 3RD, AND 4TH QUARTERS EARNING RELEASE STATEMENTS</t>
        </r>
      </text>
    </comment>
    <comment ref="C21" authorId="0" shapeId="0" xr:uid="{6EEBC4F1-EC8B-4B0F-8FCB-8C1A301212A7}">
      <text>
        <r>
          <rPr>
            <b/>
            <sz val="9"/>
            <color indexed="81"/>
            <rFont val="Tahoma"/>
            <family val="2"/>
          </rPr>
          <t>rev4279:</t>
        </r>
        <r>
          <rPr>
            <sz val="9"/>
            <color indexed="81"/>
            <rFont val="Tahoma"/>
            <family val="2"/>
          </rPr>
          <t xml:space="preserve">
10K PG 64</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Baker, Mike A (DOR)</author>
  </authors>
  <commentList>
    <comment ref="H15" authorId="0" shapeId="0" xr:uid="{844DB192-277D-4947-AA89-CFA76F8B92E9}">
      <text>
        <r>
          <rPr>
            <b/>
            <sz val="9"/>
            <color indexed="81"/>
            <rFont val="Tahoma"/>
            <family val="2"/>
          </rPr>
          <t>Baker, Mike A (DOR):</t>
        </r>
        <r>
          <rPr>
            <sz val="9"/>
            <color indexed="81"/>
            <rFont val="Tahoma"/>
            <family val="2"/>
          </rPr>
          <t xml:space="preserve">
See Montana study</t>
        </r>
      </text>
    </comment>
  </commentList>
</comments>
</file>

<file path=xl/sharedStrings.xml><?xml version="1.0" encoding="utf-8"?>
<sst xmlns="http://schemas.openxmlformats.org/spreadsheetml/2006/main" count="1588" uniqueCount="501">
  <si>
    <t xml:space="preserve"> </t>
  </si>
  <si>
    <t>KENTUCKY DEPARTMENT OF REVENUE</t>
  </si>
  <si>
    <t>Company</t>
  </si>
  <si>
    <t>Ticker</t>
  </si>
  <si>
    <t>Symbol</t>
  </si>
  <si>
    <t xml:space="preserve">Industry </t>
  </si>
  <si>
    <t>Group</t>
  </si>
  <si>
    <t>VL</t>
  </si>
  <si>
    <t>10K / SEC</t>
  </si>
  <si>
    <t>DIVISION OF STATE VALUATION, PUBLIC SERVICE BRANCH</t>
  </si>
  <si>
    <t>Stock Price</t>
  </si>
  <si>
    <t>Preferred Stock</t>
  </si>
  <si>
    <t>Common Stock</t>
  </si>
  <si>
    <t>4th Qtr</t>
  </si>
  <si>
    <t>FMV</t>
  </si>
  <si>
    <t>Calculated</t>
  </si>
  <si>
    <t>Total Market Value</t>
  </si>
  <si>
    <t>% Common Stock</t>
  </si>
  <si>
    <t>Median</t>
  </si>
  <si>
    <t>Average</t>
  </si>
  <si>
    <t xml:space="preserve">Financial </t>
  </si>
  <si>
    <t xml:space="preserve">Actual </t>
  </si>
  <si>
    <t>Strength</t>
  </si>
  <si>
    <t>Tax Rate</t>
  </si>
  <si>
    <t>A</t>
  </si>
  <si>
    <t>B+</t>
  </si>
  <si>
    <t>Computed</t>
  </si>
  <si>
    <t>Price</t>
  </si>
  <si>
    <t>Multiple</t>
  </si>
  <si>
    <t>Inverse</t>
  </si>
  <si>
    <t>KENTUCKY</t>
  </si>
  <si>
    <t xml:space="preserve">Source of </t>
  </si>
  <si>
    <t>Capital</t>
  </si>
  <si>
    <t>Cost of Capital</t>
  </si>
  <si>
    <t>Weighted</t>
  </si>
  <si>
    <t>Structure</t>
  </si>
  <si>
    <t>Rate</t>
  </si>
  <si>
    <t>After Tax</t>
  </si>
  <si>
    <t>Cost</t>
  </si>
  <si>
    <t>EQUITY</t>
  </si>
  <si>
    <t>-</t>
  </si>
  <si>
    <t>DEBT</t>
  </si>
  <si>
    <t>TOTAL</t>
  </si>
  <si>
    <t>A+</t>
  </si>
  <si>
    <t xml:space="preserve">  </t>
  </si>
  <si>
    <t>High</t>
  </si>
  <si>
    <t>Low</t>
  </si>
  <si>
    <t>Mergent Bond</t>
  </si>
  <si>
    <t>Rating</t>
  </si>
  <si>
    <t>Debt Rate</t>
  </si>
  <si>
    <t>S &amp; P</t>
  </si>
  <si>
    <t>% LT Debt &amp; Pref Stock</t>
  </si>
  <si>
    <t>Baa1</t>
  </si>
  <si>
    <t>Baa2</t>
  </si>
  <si>
    <t>The capital structure of this industry is a representative or typical capital structure of the group, not that of the present owner.  The capital structure selected reflects the most likely arrangement of a prospective buyer.</t>
  </si>
  <si>
    <t>A1</t>
  </si>
  <si>
    <t>Ba1</t>
  </si>
  <si>
    <t>A3</t>
  </si>
  <si>
    <t>Baa3</t>
  </si>
  <si>
    <t>A-</t>
  </si>
  <si>
    <t>Book Value</t>
  </si>
  <si>
    <t>Shares Issued less Treasury</t>
  </si>
  <si>
    <t>DIRECT CAPITALIZATION RATE CONCLUSION</t>
  </si>
  <si>
    <t>YIELD CAPITALIZATION RATE CONCLUSION</t>
  </si>
  <si>
    <t>GCF After Tax</t>
  </si>
  <si>
    <t>Capitalization Rate</t>
  </si>
  <si>
    <t>Capitalization</t>
  </si>
  <si>
    <t>Marginal</t>
  </si>
  <si>
    <t>CAP RATE</t>
  </si>
  <si>
    <t>NOI After Tax  (NOPAT)</t>
  </si>
  <si>
    <t>WACC</t>
  </si>
  <si>
    <t>Notes:</t>
  </si>
  <si>
    <t>Shares Outstanding *</t>
  </si>
  <si>
    <t>Selected</t>
  </si>
  <si>
    <t>CAPITAL STRUCTURE</t>
  </si>
  <si>
    <t>Maintenance Capital Expenditures</t>
  </si>
  <si>
    <t>Estimate using Guideline Companies</t>
  </si>
  <si>
    <t>Inflation</t>
  </si>
  <si>
    <t>Rate %</t>
  </si>
  <si>
    <t>CPI</t>
  </si>
  <si>
    <t>PP&amp;E Gross</t>
  </si>
  <si>
    <t>PP&amp;E</t>
  </si>
  <si>
    <t>Previous Year</t>
  </si>
  <si>
    <t>Current Year</t>
  </si>
  <si>
    <t>Depreciation</t>
  </si>
  <si>
    <t>Expense</t>
  </si>
  <si>
    <t xml:space="preserve">Average Life of </t>
  </si>
  <si>
    <t>Assets</t>
  </si>
  <si>
    <t>B</t>
  </si>
  <si>
    <t>C</t>
  </si>
  <si>
    <t>D</t>
  </si>
  <si>
    <t>E</t>
  </si>
  <si>
    <t>F</t>
  </si>
  <si>
    <t>G</t>
  </si>
  <si>
    <t>H</t>
  </si>
  <si>
    <t>I</t>
  </si>
  <si>
    <t>J</t>
  </si>
  <si>
    <t>K</t>
  </si>
  <si>
    <t>F/G</t>
  </si>
  <si>
    <t>C*H</t>
  </si>
  <si>
    <t>1/(1=C)^H</t>
  </si>
  <si>
    <t>Replacement</t>
  </si>
  <si>
    <t xml:space="preserve">Cost </t>
  </si>
  <si>
    <t>RC as % of</t>
  </si>
  <si>
    <t>K/G</t>
  </si>
  <si>
    <t>L</t>
  </si>
  <si>
    <t>(D+E)/2</t>
  </si>
  <si>
    <t>(G*I) / (1-J)</t>
  </si>
  <si>
    <t>*</t>
  </si>
  <si>
    <t>Gross Cash Flow</t>
  </si>
  <si>
    <t>NOPAT</t>
  </si>
  <si>
    <t>VL Projected NOI</t>
  </si>
  <si>
    <t xml:space="preserve">Year End </t>
  </si>
  <si>
    <t>VL Historic</t>
  </si>
  <si>
    <t>VL Projected</t>
  </si>
  <si>
    <t>Interest Expense</t>
  </si>
  <si>
    <t>Mkt Value LT Debt</t>
  </si>
  <si>
    <t>Book Value LT Debt</t>
  </si>
  <si>
    <t>Current</t>
  </si>
  <si>
    <t>Yield</t>
  </si>
  <si>
    <t>C/H</t>
  </si>
  <si>
    <t>(D+F)/2</t>
  </si>
  <si>
    <t>BETA SELECTION for CAPM</t>
  </si>
  <si>
    <t>SELECTED AVERAGE &gt;</t>
  </si>
  <si>
    <t>Source</t>
  </si>
  <si>
    <t>GDP</t>
  </si>
  <si>
    <t>Nominal</t>
  </si>
  <si>
    <t>Growth</t>
  </si>
  <si>
    <t>DEBT RATE for Yield Approach</t>
  </si>
  <si>
    <t>Book Ratio</t>
  </si>
  <si>
    <t>Mkt to</t>
  </si>
  <si>
    <t>Numeric</t>
  </si>
  <si>
    <t>10K / GAAP</t>
  </si>
  <si>
    <t>Caa3</t>
  </si>
  <si>
    <t>Caa2</t>
  </si>
  <si>
    <t>Caa1</t>
  </si>
  <si>
    <t>B3</t>
  </si>
  <si>
    <t>B2</t>
  </si>
  <si>
    <t>B1</t>
  </si>
  <si>
    <t>Ba3</t>
  </si>
  <si>
    <t>Ba2</t>
  </si>
  <si>
    <t>A2</t>
  </si>
  <si>
    <t>Aa3</t>
  </si>
  <si>
    <t>Aa2</t>
  </si>
  <si>
    <t>Aa1</t>
  </si>
  <si>
    <t>Bond Rating Scale</t>
  </si>
  <si>
    <t>Levered Beta</t>
  </si>
  <si>
    <t>Notes</t>
  </si>
  <si>
    <t>https://www.philadelphiafed.org/research-and-data/real-time-center/livingston-survey</t>
  </si>
  <si>
    <t>https://www.philadelphiafed.org/surveys-and-data/real-time-data-research/survey-of-professional-forecasters</t>
  </si>
  <si>
    <t>https://www.cbo.gov/about/products/budget-economic-data#4</t>
  </si>
  <si>
    <t>Preferred Stock ***</t>
  </si>
  <si>
    <t>Long Term Debt **</t>
  </si>
  <si>
    <t xml:space="preserve">** Debt includes  LT Debt , Current portion of LT Debt, and Finance leases from 10K </t>
  </si>
  <si>
    <t>*** Market value of preferred stock assumed to equal book value</t>
  </si>
  <si>
    <t>* Outstanding stock shares are generally already net of Treasury stock shares</t>
  </si>
  <si>
    <t>MODEL</t>
  </si>
  <si>
    <t>EQUITY RATES for YIELD APPROACH</t>
  </si>
  <si>
    <t>CAPM - The CFO Survey</t>
  </si>
  <si>
    <t>CAPM - Fernandez, Banuls, &amp; Acin</t>
  </si>
  <si>
    <t>CAPM - Ex Post (BVR Historical, Arithmeic)</t>
  </si>
  <si>
    <t>CAPM - Ex Post (BVR Historical, Geometric)</t>
  </si>
  <si>
    <t>Empirical CAPM - The CFO Survey</t>
  </si>
  <si>
    <t>Empirical CAPM - Fernandez, Banuls, &amp; Acin</t>
  </si>
  <si>
    <t>Empirical CAPM - Ex Post (BVR Historical, Arithmeic)</t>
  </si>
  <si>
    <t>Empirical CAPM - Ex Post (BVR Historical, Geometric)</t>
  </si>
  <si>
    <t>Stock</t>
  </si>
  <si>
    <t>Dividends</t>
  </si>
  <si>
    <t>Per Share</t>
  </si>
  <si>
    <t>Dividend</t>
  </si>
  <si>
    <t>Historic</t>
  </si>
  <si>
    <t>Dividend Data</t>
  </si>
  <si>
    <t>Earnings</t>
  </si>
  <si>
    <t>Equity</t>
  </si>
  <si>
    <t>Equity Rate</t>
  </si>
  <si>
    <t>(F+G)</t>
  </si>
  <si>
    <t>(F+H)</t>
  </si>
  <si>
    <t>Dividend Yield</t>
  </si>
  <si>
    <t xml:space="preserve">Projected Short Term </t>
  </si>
  <si>
    <t>DGM - Earnings Growth Rate &gt;</t>
  </si>
  <si>
    <t>DGM - Dividend Growth Rate &gt;</t>
  </si>
  <si>
    <t>Yield Equity Rate - DGM (Two-Stage)</t>
  </si>
  <si>
    <t>Stable</t>
  </si>
  <si>
    <t>Growth Rate</t>
  </si>
  <si>
    <t>Cost of</t>
  </si>
  <si>
    <t>g</t>
  </si>
  <si>
    <t>DY</t>
  </si>
  <si>
    <t>G1</t>
  </si>
  <si>
    <t>(G1 + g)/2</t>
  </si>
  <si>
    <t>KE = (DY X (1 + .5(G))) + .67 (G1) + .33(g)</t>
  </si>
  <si>
    <t>Kentucky</t>
  </si>
  <si>
    <r>
      <t xml:space="preserve">DEBT RATE for Direct Approach </t>
    </r>
    <r>
      <rPr>
        <b/>
        <sz val="12"/>
        <color theme="1"/>
        <rFont val="Microsoft GothicNeo"/>
        <family val="2"/>
        <charset val="129"/>
      </rPr>
      <t>(Embedded)</t>
    </r>
  </si>
  <si>
    <t>Common Equity</t>
  </si>
  <si>
    <t>.</t>
  </si>
  <si>
    <t xml:space="preserve">Obligations rated Ca are highly speculative and are likely in, or very near, default, with some prospect of recovery in principal and interest. </t>
  </si>
  <si>
    <t xml:space="preserve">Obligations rated C are the lowest-rated class of bonds and are typical­ly in default, with little prospect for recovery of principal and interest. </t>
  </si>
  <si>
    <t xml:space="preserve">Obligations rated Caa are judged to be of poor standing and are subject to very high credit risk . </t>
  </si>
  <si>
    <t>Obligations rated Aaa are judged to be of the highest quality, with minimal risk.</t>
  </si>
  <si>
    <t xml:space="preserve">Obligations rated A are considered upper-medium-grade and are sub­ject to low credit risk. </t>
  </si>
  <si>
    <t xml:space="preserve">Obligations rated B are considered speculative and are subject to high credit risk. </t>
  </si>
  <si>
    <t xml:space="preserve">Obligations rated Ba are judged to have speculative elements and are subject to substantial credit risk. </t>
  </si>
  <si>
    <t xml:space="preserve">Obligations rated Baa are subject to moderate credit risk. They are considered medium-grade and as such may possess speculative characteristics. </t>
  </si>
  <si>
    <t>D1 = Expected Dividends</t>
  </si>
  <si>
    <r>
      <t>K</t>
    </r>
    <r>
      <rPr>
        <b/>
        <sz val="10"/>
        <color theme="1"/>
        <rFont val="Microsoft GothicNeo"/>
        <family val="2"/>
        <charset val="129"/>
      </rPr>
      <t>E</t>
    </r>
    <r>
      <rPr>
        <b/>
        <sz val="16"/>
        <color theme="1"/>
        <rFont val="Microsoft GothicNeo"/>
        <family val="2"/>
        <charset val="129"/>
      </rPr>
      <t xml:space="preserve"> = (D</t>
    </r>
    <r>
      <rPr>
        <b/>
        <sz val="10"/>
        <color theme="1"/>
        <rFont val="Microsoft GothicNeo"/>
        <family val="2"/>
        <charset val="129"/>
      </rPr>
      <t>1</t>
    </r>
    <r>
      <rPr>
        <b/>
        <sz val="16"/>
        <color theme="1"/>
        <rFont val="Microsoft GothicNeo"/>
        <family val="2"/>
        <charset val="129"/>
      </rPr>
      <t xml:space="preserve"> / P</t>
    </r>
    <r>
      <rPr>
        <b/>
        <sz val="10"/>
        <color theme="1"/>
        <rFont val="Microsoft GothicNeo"/>
        <family val="2"/>
        <charset val="129"/>
      </rPr>
      <t>o</t>
    </r>
    <r>
      <rPr>
        <b/>
        <sz val="16"/>
        <color theme="1"/>
        <rFont val="Microsoft GothicNeo"/>
        <family val="2"/>
        <charset val="129"/>
      </rPr>
      <t>) + G</t>
    </r>
  </si>
  <si>
    <t>KE = Cost of Equity</t>
  </si>
  <si>
    <t>Po   = Current Price</t>
  </si>
  <si>
    <r>
      <t>Price (P</t>
    </r>
    <r>
      <rPr>
        <b/>
        <sz val="9"/>
        <color theme="1"/>
        <rFont val="Microsoft GothicNeo"/>
        <family val="2"/>
        <charset val="129"/>
      </rPr>
      <t>0</t>
    </r>
    <r>
      <rPr>
        <b/>
        <sz val="11"/>
        <color theme="1"/>
        <rFont val="Microsoft GothicNeo"/>
        <family val="2"/>
        <charset val="129"/>
      </rPr>
      <t>)</t>
    </r>
  </si>
  <si>
    <t xml:space="preserve">Dividend Growth Rate </t>
  </si>
  <si>
    <t xml:space="preserve">Earnings Per Share Growth Rate </t>
  </si>
  <si>
    <r>
      <t>Long Term Debt</t>
    </r>
    <r>
      <rPr>
        <b/>
        <sz val="10"/>
        <color theme="1"/>
        <rFont val="Microsoft GothicNeo"/>
        <family val="2"/>
        <charset val="129"/>
      </rPr>
      <t xml:space="preserve"> </t>
    </r>
  </si>
  <si>
    <t>CAPITAL ASSET PRICING MODEL (CAPM)</t>
  </si>
  <si>
    <t>Selected &gt;</t>
  </si>
  <si>
    <t>Inflation and Gross Domestic Product (GDP) Data</t>
  </si>
  <si>
    <t>INFLATION &amp; GDP</t>
  </si>
  <si>
    <t>SELECTED &gt;</t>
  </si>
  <si>
    <t>Equity Risk Premium (ERP)</t>
  </si>
  <si>
    <t>Indicated Equity Rate</t>
  </si>
  <si>
    <t>Industry Risk Premium</t>
  </si>
  <si>
    <t>Weighted Industry Risk Premium (75%)</t>
  </si>
  <si>
    <t>Weighted Equity Risk Premium (25%)</t>
  </si>
  <si>
    <t xml:space="preserve">The CFO Survey  (4) </t>
  </si>
  <si>
    <t>BVR - Historical, Arithmetic Mean  (6)</t>
  </si>
  <si>
    <t>BVR - Historical, Geometric Mean  (7)</t>
  </si>
  <si>
    <t>Empirical CAPM Models</t>
  </si>
  <si>
    <t>CAPM Models</t>
  </si>
  <si>
    <t>KE = Rf + (B  X  ERP X  75%) = (ERP  X  25%)</t>
  </si>
  <si>
    <t>KE = Rf + (B  X  ERP)</t>
  </si>
  <si>
    <t>Industry Beta (B)</t>
  </si>
  <si>
    <t>Value Line Earnings</t>
  </si>
  <si>
    <t>Value Line Dividends</t>
  </si>
  <si>
    <t>Yahoo Finance</t>
  </si>
  <si>
    <t>Return on</t>
  </si>
  <si>
    <t>Gross Revenue</t>
  </si>
  <si>
    <t>Multiplier</t>
  </si>
  <si>
    <t>NOPAT CASH FLOW MULTIPLE &amp; EQUITY RATE</t>
  </si>
  <si>
    <r>
      <t xml:space="preserve">NOPAT CASH FLOW MULTIPLE &amp; EQUITY RATE </t>
    </r>
    <r>
      <rPr>
        <b/>
        <sz val="12"/>
        <color theme="1"/>
        <rFont val="Microsoft GothicNeo"/>
        <family val="2"/>
        <charset val="129"/>
      </rPr>
      <t>(1 Yr Projected VL)</t>
    </r>
  </si>
  <si>
    <t>Long Term Debt includes LT Debt plus Current Portion of LT debt, plus Finance Leases</t>
  </si>
  <si>
    <t>Two-Stage DGM Rate &gt;</t>
  </si>
  <si>
    <t>DGM - Single Stage - Earnings Growth</t>
  </si>
  <si>
    <t>DGM - Single Stage - Dividend Growth</t>
  </si>
  <si>
    <t>DGM - Two Stage - Dividend Growth</t>
  </si>
  <si>
    <r>
      <t xml:space="preserve">NOPAT CASH FLOW MULTIPLE &amp; EQUITY RATE </t>
    </r>
    <r>
      <rPr>
        <b/>
        <sz val="12"/>
        <color theme="1"/>
        <rFont val="Microsoft GothicNeo"/>
        <family val="2"/>
        <charset val="129"/>
      </rPr>
      <t>(LT 25-27 Yr Projected VL)</t>
    </r>
  </si>
  <si>
    <t>VL LT Projected NOI</t>
  </si>
  <si>
    <t>Indicated Rate of Debt &gt;</t>
  </si>
  <si>
    <t>Year End</t>
  </si>
  <si>
    <t>&amp; Finance Leases</t>
  </si>
  <si>
    <t>10K Income Statement</t>
  </si>
  <si>
    <t>10K Balance Sheet</t>
  </si>
  <si>
    <t>Indicated Rate of Equity Selected &gt;</t>
  </si>
  <si>
    <t>SHORT-TERM GROWTH RATES (5 years)</t>
  </si>
  <si>
    <t>INFLATION RATES</t>
  </si>
  <si>
    <t>LONG TERM GROWTH RATES</t>
  </si>
  <si>
    <t xml:space="preserve">The Federal Reserve Bank projects their "longer run" estimate of change in the U.S. real Gross Domestice Product (GDP) </t>
  </si>
  <si>
    <t>The World Bank forecasts U.S. GDP</t>
  </si>
  <si>
    <t>GROWTH &amp; INFLATION RATES</t>
  </si>
  <si>
    <t>Real LT Growth</t>
  </si>
  <si>
    <t>Federal Reserve Board members and Federal Reserve Bank presidents estimate of long run personal consumption expenditures inflation (5)</t>
  </si>
  <si>
    <t xml:space="preserve">FRB members &amp; FRB presidents opinion (5) </t>
  </si>
  <si>
    <t>Survey of Professional Forecasters Tables 8 &amp; 9   (3)</t>
  </si>
  <si>
    <t>Federal Reserve Statistical Release  10 Yr Inflation protected Treasury securities (1)</t>
  </si>
  <si>
    <t xml:space="preserve">Federal Reserve Statistical Release  20 Yr Inflation protected Treasury securities (1) </t>
  </si>
  <si>
    <t xml:space="preserve">Federal Reserve Statistical Release  30 Yr Inflation protected Treasury securities (1) </t>
  </si>
  <si>
    <t>Federal Reserve Bank of Philadelphia / Livingston Survey Mean  (2)</t>
  </si>
  <si>
    <t>Federal Reserve Bank of Philadelphia / Livingston Survey  Median (2)</t>
  </si>
  <si>
    <t>“Since no firm can grow forever at a rate higher than the growth rate of the economy in which it operates, the constant growth rate cannot be greater</t>
  </si>
  <si>
    <t xml:space="preserve">than the overall growth rate of the economy.”  Dr. Aswath Damodaran (n.d.) The Stable Growth Rate, </t>
  </si>
  <si>
    <t>http://pages.stern.nyu.edu/~adamodar/New_Home_Page/valquestions/stablegrowthrate.htm</t>
  </si>
  <si>
    <t>*Cornell, B. &amp; Gerger, R. (2017) Estimating Terminal Values with Inflation : The Inputs Matter - It is Not a Formulaic Exercise.  Business Valuation Review, Vol.36, Number 4, 117-123.</t>
  </si>
  <si>
    <t>C1  C2  C3</t>
  </si>
  <si>
    <t>MEDIAN GROWTH RATES</t>
  </si>
  <si>
    <t>SOURCE &gt;</t>
  </si>
  <si>
    <t>SOURCES &gt;</t>
  </si>
  <si>
    <t>Vl Projected 2023</t>
  </si>
  <si>
    <t>1 Yr Projected</t>
  </si>
  <si>
    <t>3-5 Yr Projected</t>
  </si>
  <si>
    <t>Short Term</t>
  </si>
  <si>
    <t>(1)</t>
  </si>
  <si>
    <t>(1)    4 Year compound annual growth rate (CAGR)  - 3 periods</t>
  </si>
  <si>
    <t>Earnings Data</t>
  </si>
  <si>
    <r>
      <t xml:space="preserve">KY DOR                    Earnings Growth Rate                 </t>
    </r>
    <r>
      <rPr>
        <b/>
        <sz val="9"/>
        <color theme="1"/>
        <rFont val="Microsoft GothicNeo"/>
        <family val="2"/>
        <charset val="129"/>
      </rPr>
      <t xml:space="preserve"> (Median / Average)</t>
    </r>
  </si>
  <si>
    <r>
      <t xml:space="preserve">KY DOR                Dividends Growth Rate </t>
    </r>
    <r>
      <rPr>
        <b/>
        <sz val="9"/>
        <color theme="1"/>
        <rFont val="Microsoft GothicNeo"/>
        <family val="2"/>
        <charset val="129"/>
      </rPr>
      <t xml:space="preserve"> (Median / Average)</t>
    </r>
  </si>
  <si>
    <t>YIELD EQUITY RATE</t>
  </si>
  <si>
    <t>g = b X ROE</t>
  </si>
  <si>
    <t>g = LT growth rate</t>
  </si>
  <si>
    <t>b = reinvestment rate</t>
  </si>
  <si>
    <t>ROE = Return on equity (or return on investment)</t>
  </si>
  <si>
    <t>b = g  / ROE</t>
  </si>
  <si>
    <t>The plowback ratio is multiplied by Net Cash Flow to estimate the amount of additional capital expenditures needed to achieve projected results.</t>
  </si>
  <si>
    <t>Reinvestment Rate =</t>
  </si>
  <si>
    <t>EBIT (1-Tax Rate)</t>
  </si>
  <si>
    <t>Capital Expenditures - Depreciation + Change in Working Capital</t>
  </si>
  <si>
    <t>Aswath Damodaran's model to determine the Reinvesment Rate &gt;</t>
  </si>
  <si>
    <t>It is assumed that the ROE is a fixed (unchanging) rate.</t>
  </si>
  <si>
    <t>Maintenance Capital Expenditures and Change in Working Capital</t>
  </si>
  <si>
    <t>http://www.federalreserve.gov/</t>
  </si>
  <si>
    <t>Operating Leases ****</t>
  </si>
  <si>
    <t>Market Value</t>
  </si>
  <si>
    <t>10K</t>
  </si>
  <si>
    <t>Market to</t>
  </si>
  <si>
    <t>Long Term Debt</t>
  </si>
  <si>
    <t xml:space="preserve">Capital </t>
  </si>
  <si>
    <t>Market</t>
  </si>
  <si>
    <t>to Book</t>
  </si>
  <si>
    <t>Composite</t>
  </si>
  <si>
    <t>Total</t>
  </si>
  <si>
    <t>AVERAGE</t>
  </si>
  <si>
    <t>Market to Book Ratios - Obsolescence Measurement</t>
  </si>
  <si>
    <t>Common Total Equity</t>
  </si>
  <si>
    <t>FMV / PV</t>
  </si>
  <si>
    <t>GCF CASH FLOW MULTIPLE &amp; EQUITY RATE</t>
  </si>
  <si>
    <r>
      <t xml:space="preserve">GCF CASH FLOW MULTIPLE &amp; EQUITY RATE </t>
    </r>
    <r>
      <rPr>
        <b/>
        <sz val="12"/>
        <color theme="1"/>
        <rFont val="Microsoft GothicNeo"/>
        <family val="2"/>
        <charset val="129"/>
      </rPr>
      <t>(1 Yr Projected VL)</t>
    </r>
  </si>
  <si>
    <t>https://tradingeconomics.com/united-states/gdp-growth</t>
  </si>
  <si>
    <t xml:space="preserve">http://www.worldbank.org/en/publication/global-economic-prospects </t>
  </si>
  <si>
    <t>CFRA                                    S&amp;P Net Advantage</t>
  </si>
  <si>
    <t>Zacks Investment Research</t>
  </si>
  <si>
    <t>Companies excluded from the study &gt;</t>
  </si>
  <si>
    <r>
      <t>K</t>
    </r>
    <r>
      <rPr>
        <b/>
        <sz val="10"/>
        <color theme="1"/>
        <rFont val="Microsoft GothicNeo"/>
        <family val="2"/>
        <charset val="129"/>
      </rPr>
      <t>E</t>
    </r>
    <r>
      <rPr>
        <b/>
        <sz val="16"/>
        <color theme="1"/>
        <rFont val="Microsoft GothicNeo"/>
        <family val="2"/>
        <charset val="129"/>
      </rPr>
      <t xml:space="preserve"> = (DY  X  (1+ .5(G)))  + .67(G1)  +  .33(g)</t>
    </r>
  </si>
  <si>
    <t>G   = Average growth rate</t>
  </si>
  <si>
    <t>G1 = Short term growth estimate</t>
  </si>
  <si>
    <t>DY = Dividend Yield     See ValueLine</t>
  </si>
  <si>
    <t>g   = Stable Growth - Nominal growth rate</t>
  </si>
  <si>
    <t>AA+</t>
  </si>
  <si>
    <t>AAA</t>
  </si>
  <si>
    <t>AA</t>
  </si>
  <si>
    <t>Obligations rated Aa are judged to be of high quality, with minimal risk.</t>
  </si>
  <si>
    <t>AA-</t>
  </si>
  <si>
    <t>BBB+</t>
  </si>
  <si>
    <t>BBB</t>
  </si>
  <si>
    <t>BBB-</t>
  </si>
  <si>
    <t>BB+</t>
  </si>
  <si>
    <t>BB</t>
  </si>
  <si>
    <t>BB-</t>
  </si>
  <si>
    <t>B-</t>
  </si>
  <si>
    <t>CCC+</t>
  </si>
  <si>
    <t>CCC</t>
  </si>
  <si>
    <t>CCC-</t>
  </si>
  <si>
    <t>CC</t>
  </si>
  <si>
    <t>Scale</t>
  </si>
  <si>
    <t>Retained to</t>
  </si>
  <si>
    <t>Shareholders Equity</t>
  </si>
  <si>
    <t>Retained to Common Equity -- Net profit less all common and preferred dividends divided by common equity including intangible assets, expressed as a percentage.  Also known as the plowback ratio.</t>
  </si>
  <si>
    <t>Return on Shareholders Equity -- Annual net profit divided by year-end shareholders equity, expressed as a percentage.</t>
  </si>
  <si>
    <t>Ca1</t>
  </si>
  <si>
    <t>Ca2</t>
  </si>
  <si>
    <t>Ca3</t>
  </si>
  <si>
    <t>CC+</t>
  </si>
  <si>
    <t>CC-</t>
  </si>
  <si>
    <t>AAA-</t>
  </si>
  <si>
    <t>AAA+</t>
  </si>
  <si>
    <t>Aaa1</t>
  </si>
  <si>
    <t>Aaa2</t>
  </si>
  <si>
    <t>Aaa3</t>
  </si>
  <si>
    <t>Share</t>
  </si>
  <si>
    <t>Gross Revenues</t>
  </si>
  <si>
    <t>NOPAT Earnings</t>
  </si>
  <si>
    <t>The purpose of this ratio is to test whether the market price is worth more (or less) than the cost of the assets.</t>
  </si>
  <si>
    <t>If the result is greater than one(1), it indicates the market value exceeds book value and can often be used as a sign of competent management.</t>
  </si>
  <si>
    <t>The higher the return on revenue the higher the price to revenue will be.</t>
  </si>
  <si>
    <t>Cash flow is typically defined to be net income plus depreciation and amortization.</t>
  </si>
  <si>
    <t xml:space="preserve">This measure is considered relevant for companies with high non-cash charges reflected in the income statement.  Non-cash charges include depreciation &amp; amortization, goodwill impairments, asset write downs, </t>
  </si>
  <si>
    <t>stock based compensation, and deferred income taxes and investment tax credits.</t>
  </si>
  <si>
    <t>P/E Ratio - Long Term Projection NOPAT</t>
  </si>
  <si>
    <t>CS+LTD +PS + OL</t>
  </si>
  <si>
    <t>&amp; Op Leases</t>
  </si>
  <si>
    <t>Earnings Growth = DY + EG</t>
  </si>
  <si>
    <t>Dividend Growth = DY + DG</t>
  </si>
  <si>
    <t>EG = Earnings Growth</t>
  </si>
  <si>
    <t>DG = Dividend Growth</t>
  </si>
  <si>
    <t>DY = Dividend Yield</t>
  </si>
  <si>
    <t>G = Projected Growth (Earnings Per Share 5 Yr Growth Rate)</t>
  </si>
  <si>
    <t>G = Projected Growth (Div. 5 Yr Growth Rate)</t>
  </si>
  <si>
    <t>General Partner Units</t>
  </si>
  <si>
    <t>Gross Book Value Equity</t>
  </si>
  <si>
    <t>GROSS REVENUE &amp; GROSS BOOK (EQUITY) MULTIPLES</t>
  </si>
  <si>
    <t>Multiple *</t>
  </si>
  <si>
    <t>* This multiple is applicable to service type companies, or those with few assets.  These companies sell at prices related to their revenues.</t>
  </si>
  <si>
    <t>** The book value, or common equity, per share is total owners' equity minus preferred stock divided by the number of common shares outstanding.</t>
  </si>
  <si>
    <t xml:space="preserve">Property, Plant &amp; Equipment includes CWIP, but should exclude intangibles and the associated amortization.  </t>
  </si>
  <si>
    <t>Common Total Equity excludes 'noncontrolling interests' equity value.</t>
  </si>
  <si>
    <t xml:space="preserve">http://www.federalreserve.gov/Releases/H15/Current/ </t>
  </si>
  <si>
    <t>Companies added to the study &gt;</t>
  </si>
  <si>
    <t>Per Share **</t>
  </si>
  <si>
    <t>Inflation is the % change in the value of the Wholesale Price Index (WPI) on a year-to-year basis.</t>
  </si>
  <si>
    <t>Federal Reserve Statistical release - Inflation Protected Treasury Indexed Securities - 10 Year  (1)</t>
  </si>
  <si>
    <t xml:space="preserve">Federal Reserve Statistical release - Inflation Protected Treasury Indexed Securities - 20 Year  (1) </t>
  </si>
  <si>
    <t xml:space="preserve">Federal Reserve Statistical release - Inflation Protected Treasury Indexed Securities - 30 Year (1) </t>
  </si>
  <si>
    <t>Mergent Rating</t>
  </si>
  <si>
    <t>Air Transport Services Group</t>
  </si>
  <si>
    <t>ATSG</t>
  </si>
  <si>
    <t>Air Trans</t>
  </si>
  <si>
    <t>Atlas Air</t>
  </si>
  <si>
    <t xml:space="preserve">FedEx Corp </t>
  </si>
  <si>
    <t>FDX</t>
  </si>
  <si>
    <t xml:space="preserve">United Parcel Service </t>
  </si>
  <si>
    <t>UPS</t>
  </si>
  <si>
    <t>Any difference between the lease liability value and lease asset value is prepayments, lease incentives, and/or other direct costs.</t>
  </si>
  <si>
    <t>Maintenance, real estate taxes,insurance and other operating expenses associated with the leases are excluded from the ROU measurement.</t>
  </si>
  <si>
    <t>Op Lease Expense</t>
  </si>
  <si>
    <t>ROU Values Assets</t>
  </si>
  <si>
    <t>ROU Values Liab.</t>
  </si>
  <si>
    <t>Air Freight Carriers</t>
  </si>
  <si>
    <t>na</t>
  </si>
  <si>
    <t>Projected 1 Yr</t>
  </si>
  <si>
    <t>Earnings Per Share Growth Rate</t>
  </si>
  <si>
    <t xml:space="preserve">Risk Free Rate (Rf) </t>
  </si>
  <si>
    <t>Yield Equity Rate - DGM (Dividend Growth) &amp; DGM (Earnings Growth)  -- Gordon Growth</t>
  </si>
  <si>
    <t>Three Stage Ex Ante  Version 1  (1) (2)</t>
  </si>
  <si>
    <t>Three Stage Ex Ante  Version 2   (1) (2)</t>
  </si>
  <si>
    <t>CAPM - Ex Ante, Three Stage - V1</t>
  </si>
  <si>
    <t>CAPM - Ex Ante, Three Stage - V2</t>
  </si>
  <si>
    <t>Empirical CAPM - Ex Ante, Three Stage - V1</t>
  </si>
  <si>
    <t>Empirical CAPM - Ex Ante, Three Stage - V2</t>
  </si>
  <si>
    <t>Mean</t>
  </si>
  <si>
    <t>Harmonic Mean</t>
  </si>
  <si>
    <t>A market to book ratio over one would be an indication of no obsolescence.</t>
  </si>
  <si>
    <t xml:space="preserve">S&amp;P Rating </t>
  </si>
  <si>
    <t>S&amp;P Global Market Intelligence (9)</t>
  </si>
  <si>
    <t xml:space="preserve">(1) &amp; (2) Three Stage Dividend Growth Model, S&amp;P 500.  The Three Stage Ex Ante calculations were performed by Minnesota and Montana.  The Equity risk premiums are shown above.  </t>
  </si>
  <si>
    <t>http://pages.stern.nyu.edu/~adamodar/New_Home_Page/datacurrent.html</t>
  </si>
  <si>
    <t>https://www.richmondfed.org/research/national_economy/cfo_survey</t>
  </si>
  <si>
    <t>https://www.bvresources.com/products/faqs/cost-of-capital-professional</t>
  </si>
  <si>
    <t>https://simplywall.st/stocks/us/transportation</t>
  </si>
  <si>
    <t>Damodaran Implied ERP Ex Ante   Trailing 12 mo Cash Yield (3)</t>
  </si>
  <si>
    <t>Damodaran Implied ERP Ex Ante   Net Cash Yield (3)</t>
  </si>
  <si>
    <t>Damodaran Implied ERP Ex Ante   Norm. Earnings &amp; Payout (3)</t>
  </si>
  <si>
    <t>KROLL Ex Post  - ERP Historical (8)</t>
  </si>
  <si>
    <t>KROLL Ex Post - ERP Supply Side (8)</t>
  </si>
  <si>
    <t>KROLL Ex Ante - ERP Conditional (8)</t>
  </si>
  <si>
    <t>CAPM - Ex Ante KROLL ERP Conditional</t>
  </si>
  <si>
    <t>Empirical CAPM - Ex Ante KROLL ERP Conditional</t>
  </si>
  <si>
    <t>CAPM - Ex Post KROLL ERP Supply Side</t>
  </si>
  <si>
    <t>CAPM - Ex Post KROLL ERP Historical</t>
  </si>
  <si>
    <t>Empirical CAPM - Ex Post KROLL ERP Historical</t>
  </si>
  <si>
    <t>Empirical CAPM - Ex Post KROLL ERP Supply Side</t>
  </si>
  <si>
    <t>CAPM - Ex Ante  Damodaran 12 Mo Cash Yield</t>
  </si>
  <si>
    <t>CAPM - Ex Ante  Damodaran Net Cash Yield</t>
  </si>
  <si>
    <t>CAPM - Ex Ante  Damodaran NEP</t>
  </si>
  <si>
    <t>Empirical CAPM - Ex Ante  Damodaran 12 Mo Cash Yield</t>
  </si>
  <si>
    <t>Empirical CAPM - Ex Ante  Damodaran Net Cash Yield</t>
  </si>
  <si>
    <t>Empirical CAPM - Ex Ante  Damodaran NEP</t>
  </si>
  <si>
    <t>Damodaran Implied ERP Ex Ante   Avg CF Yield Last 10 Yrs (3)</t>
  </si>
  <si>
    <t>P. Fernandez, T. Garcia de Santos &amp; J.F.Acin  (5)</t>
  </si>
  <si>
    <t>CAPM - Ex Ante  Damodaran Avg CF Yield Last 10 Yrs</t>
  </si>
  <si>
    <t>Empirical CAPM - Ex Ante  Damodaran Avg CF Yield Last 10 Yrs</t>
  </si>
  <si>
    <t>The Trading Economics projects the U.S. GDP annual growth rate for 2025</t>
  </si>
  <si>
    <t xml:space="preserve">Trading Economics, United States Full Year GDP Growth Rate Forecast  </t>
  </si>
  <si>
    <t>To calculate the inflation rate, compare the inflation-indexed securities to the non-inflation indexed securities. The difference between the securities (using the 10-year, 20-year, and 30- year constant securities) provides the inflation rate.</t>
  </si>
  <si>
    <t>Federal Reserve Bank of Philadelphia  /Survey of Professional Forecasters  Mean (3)</t>
  </si>
  <si>
    <t xml:space="preserve">Congressional Budget Office Real Economic Projections (4)  </t>
  </si>
  <si>
    <t>https://www.cbo.gov/system/files/2021-02/56970-Outlook.p</t>
  </si>
  <si>
    <t>2024 CAPITALIZATION RATE STUDY</t>
  </si>
  <si>
    <t>2024 Tax Year</t>
  </si>
  <si>
    <t>YEAR END 12/31/2023</t>
  </si>
  <si>
    <t>Dec. 31, 2023</t>
  </si>
  <si>
    <t>The market yield on 20 year US Treasury  Jan 2, 2024</t>
  </si>
  <si>
    <t>Board of Governors of the Federal Reserve System, H.15, Selected Interest Rates, Market Yield on U.S. Treasury Securities 20-year constant maturity quoted on investment bases, daily observations as of Jan 2, 2024.</t>
  </si>
  <si>
    <t>Board of Governors of the Federal Reserve System, Economic projections of Federal Reserve Board members and Federal Reserve Bank presidents under their individual assessments of projected appropriate monetary policy. December 2023</t>
  </si>
  <si>
    <t>https://www.federalreserve.gov/monetarypolicy/files/fomcprojtabl20231213.pdf</t>
  </si>
  <si>
    <r>
      <t xml:space="preserve">1.60% </t>
    </r>
    <r>
      <rPr>
        <b/>
        <sz val="14"/>
        <color theme="1"/>
        <rFont val="Microsoft GothicNeo"/>
        <family val="2"/>
        <charset val="129"/>
      </rPr>
      <t>in 2024</t>
    </r>
    <r>
      <rPr>
        <b/>
        <sz val="18"/>
        <color theme="1"/>
        <rFont val="Microsoft GothicNeo"/>
        <family val="2"/>
        <charset val="129"/>
      </rPr>
      <t xml:space="preserve">   &amp;  1.70%</t>
    </r>
    <r>
      <rPr>
        <b/>
        <sz val="14"/>
        <color theme="1"/>
        <rFont val="Microsoft GothicNeo"/>
        <family val="2"/>
        <charset val="129"/>
      </rPr>
      <t xml:space="preserve"> in 2025 </t>
    </r>
  </si>
  <si>
    <t>World Bank Group Flagship Report, Global Economic Prospects. January 2024-25. Page 4.</t>
  </si>
  <si>
    <r>
      <t xml:space="preserve">1.5% in </t>
    </r>
    <r>
      <rPr>
        <b/>
        <sz val="14"/>
        <rFont val="Microsoft GothicNeo"/>
        <family val="2"/>
        <charset val="129"/>
      </rPr>
      <t>2024</t>
    </r>
    <r>
      <rPr>
        <b/>
        <sz val="18"/>
        <rFont val="Microsoft GothicNeo"/>
        <family val="2"/>
        <charset val="129"/>
      </rPr>
      <t xml:space="preserve">  &amp;  2.2% in </t>
    </r>
    <r>
      <rPr>
        <b/>
        <sz val="14"/>
        <rFont val="Microsoft GothicNeo"/>
        <family val="2"/>
        <charset val="129"/>
      </rPr>
      <t>2025&amp;2026</t>
    </r>
  </si>
  <si>
    <t>The Congressional Budget Office projects the U.S. GDP annual growth rates</t>
  </si>
  <si>
    <r>
      <t xml:space="preserve">2.1% </t>
    </r>
    <r>
      <rPr>
        <b/>
        <sz val="14"/>
        <rFont val="Microsoft GothicNeo"/>
        <family val="2"/>
        <charset val="129"/>
      </rPr>
      <t>2027 to 2028</t>
    </r>
    <r>
      <rPr>
        <b/>
        <sz val="18"/>
        <rFont val="Microsoft GothicNeo"/>
        <family val="2"/>
        <charset val="129"/>
      </rPr>
      <t xml:space="preserve">  &amp;  1.9% </t>
    </r>
    <r>
      <rPr>
        <b/>
        <sz val="14"/>
        <rFont val="Microsoft GothicNeo"/>
        <family val="2"/>
        <charset val="129"/>
      </rPr>
      <t>2029 to 2034</t>
    </r>
  </si>
  <si>
    <t>https://www.cbo.gov/publication/59933</t>
  </si>
  <si>
    <t>5 Yr  Jan 2 2024</t>
  </si>
  <si>
    <t>3.93 - 1.76 = 2.17</t>
  </si>
  <si>
    <t>10 Yr  Jan 2 2024</t>
  </si>
  <si>
    <t>3.95 - 1.74 = 2.21</t>
  </si>
  <si>
    <t>20 Yr  Jan 2 2024</t>
  </si>
  <si>
    <t>4.25 - 1.84 = 2.41</t>
  </si>
  <si>
    <t>30 Yr  Jan 2 2024</t>
  </si>
  <si>
    <t>4.08 - 1.91 = 2.17</t>
  </si>
  <si>
    <t xml:space="preserve">(1)  Federal Reserve Statistical Release  January 2, 2024 </t>
  </si>
  <si>
    <t xml:space="preserve">(2)  Federal Reserve Bank of Philadelphia The Livingston Survey December 15, 2023 Table 3, page 8   Inflation Rate and Real GDP mean for next 10 years </t>
  </si>
  <si>
    <t>(2)  Federal Reserve Bank of Philadelphia The Livingston Survey December 17, 2023 Table 3, page 8   Median annual CPI Rate and Real GDP Growth Rate for next 10 years</t>
  </si>
  <si>
    <t>(3)  Federal Reserve Bank of Philadelphia Survey of Professional Forecasters February 9, 2024 Table 8 and Table 9 Average over next 10-Year mean   See below.</t>
  </si>
  <si>
    <t>spfq124.pdf (philadelphiafed.org)</t>
  </si>
  <si>
    <t>(4)  Budget Office, The Budget and Economic Outlook: 2024 to 2034, Table 2-1  and 2023 to 2033, Table C-1  See bellow.</t>
  </si>
  <si>
    <t>Retrieved February 8, 2024 from</t>
  </si>
  <si>
    <t xml:space="preserve">(5) Board of Governors of the Federal Reserve System, Economic projections of Federal Reserve Board members and Federal Reserve Bank presidents under their individual assessments of projected appropriate monetary policy. December 2023 </t>
  </si>
  <si>
    <t>(3) Implied Equity Risk Premium on January 5, 2024 as determined by Dr. Aswath Damodaran</t>
  </si>
  <si>
    <t xml:space="preserve">(4) The CFO Survey (2023). Data &amp; Results December 20, 2023. Mean average annual S&amp;P return over next ten years (8.9%) less annual yield on 10‐year Treasury Bonds (3.96%). </t>
  </si>
  <si>
    <t>(5) Fernandez, P., Garcia D., &amp; Acin, J. F. (2023). Survey: Market Risk Premium and Risk‐Free Rate used for 80 countries in 2023. SSRN Electronic Journal.</t>
  </si>
  <si>
    <t>https://papers.ssrn.com/sol3/papers.cfm?abstract_id=4407839</t>
  </si>
  <si>
    <t xml:space="preserve">(6) &amp; (7) Business Valuation Resources, Cost of Capital Professional. (2024). Historical ERP 1928 to present, using arithmetic mean, geometric mean, and 20-Year Treasury Securities. </t>
  </si>
  <si>
    <t xml:space="preserve">(8) KROLL, Cost of Capital Navigator. (2024). </t>
  </si>
  <si>
    <t xml:space="preserve">(9) S&amp;P Global Market Intelligence ( Jan. 2024). </t>
  </si>
  <si>
    <t xml:space="preserve">Federal Reserve Bank of Philadelphia - The Livingston Survey - Inflation Mean (measured by the CPI over next 10 years) Dec. 2023  Table 3   Page 8  (2) </t>
  </si>
  <si>
    <t xml:space="preserve">Federal Reserve Bank of Philadelphia - The Livingston Survey - Inflation Median (measured by the CPI over next 10 years) Dec. 2023  Table 3  Page 8  (2)  </t>
  </si>
  <si>
    <t>Congressional Budget Office  Average % change Yr to Yr  2024-2034  Table2-1  (4)</t>
  </si>
  <si>
    <t>Daily Tresury Par Real Yield Curve Rates  Jan 2 (1)</t>
  </si>
  <si>
    <t>BBB / AA-</t>
  </si>
  <si>
    <t>Baa2 / Aa3</t>
  </si>
  <si>
    <t xml:space="preserve">**** Market value of operating leases for all companies </t>
  </si>
  <si>
    <t xml:space="preserve">***** Market value of variable operating leases for all companies </t>
  </si>
  <si>
    <t>Variable Op Leases *****</t>
  </si>
  <si>
    <t>Finance</t>
  </si>
  <si>
    <t>Estimated 20-22 to 27-29</t>
  </si>
  <si>
    <t>nil</t>
  </si>
  <si>
    <t>Corporate                          December Avg</t>
  </si>
  <si>
    <t>Utility                                                December 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</si>
</sst>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0_);_(* \(#,##0.0000\);_(* &quot;-&quot;??_);_(@_)"/>
    <numFmt numFmtId="167" formatCode="_(* #,##0.000_);_(* \(#,##0.000\);_(* &quot;-&quot;??_);_(@_)"/>
    <numFmt numFmtId="168" formatCode="0.000%"/>
    <numFmt numFmtId="169" formatCode="0.0000%"/>
  </numFmts>
  <fonts count="77">
    <font>
      <sz val="11"/>
      <color theme="1"/>
      <name val="Calibri"/>
      <family val="2"/>
      <scheme val="minor"/>
    </font>
    <font>
      <sz val="11"/>
      <color theme="1"/>
      <name val="Calibri"/>
      <family val="2"/>
      <scheme val="minor"/>
    </font>
    <font>
      <b/>
      <sz val="12"/>
      <color theme="1"/>
      <name val="Calibri"/>
      <family val="2"/>
      <scheme val="minor"/>
    </font>
    <font>
      <b/>
      <sz val="11"/>
      <color theme="1"/>
      <name val="Helvetica Narrow Bold"/>
      <family val="2"/>
    </font>
    <font>
      <sz val="12"/>
      <color theme="1"/>
      <name val="Calibri"/>
      <family val="2"/>
      <scheme val="minor"/>
    </font>
    <font>
      <b/>
      <sz val="14"/>
      <color theme="1"/>
      <name val="Calibri"/>
      <family val="2"/>
      <scheme val="minor"/>
    </font>
    <font>
      <sz val="14"/>
      <color theme="1"/>
      <name val="Calibri"/>
      <family val="2"/>
      <scheme val="minor"/>
    </font>
    <font>
      <b/>
      <sz val="22"/>
      <color theme="1"/>
      <name val="Georgia"/>
      <family val="1"/>
    </font>
    <font>
      <sz val="11"/>
      <color theme="1"/>
      <name val="Georgia"/>
      <family val="1"/>
    </font>
    <font>
      <b/>
      <i/>
      <sz val="22"/>
      <color theme="1"/>
      <name val="Georgia"/>
      <family val="1"/>
    </font>
    <font>
      <i/>
      <sz val="11"/>
      <color theme="1"/>
      <name val="Georgia"/>
      <family val="1"/>
    </font>
    <font>
      <b/>
      <sz val="11"/>
      <color theme="1"/>
      <name val="Palatino Roman"/>
      <family val="1"/>
    </font>
    <font>
      <sz val="11"/>
      <color theme="1"/>
      <name val="Palatino Roman"/>
      <family val="1"/>
    </font>
    <font>
      <b/>
      <sz val="26"/>
      <color theme="1"/>
      <name val="Calibri"/>
      <family val="2"/>
      <scheme val="minor"/>
    </font>
    <font>
      <sz val="26"/>
      <color theme="1"/>
      <name val="Calibri"/>
      <family val="2"/>
      <scheme val="minor"/>
    </font>
    <font>
      <b/>
      <sz val="11"/>
      <name val="Calibri"/>
      <family val="2"/>
      <scheme val="minor"/>
    </font>
    <font>
      <sz val="9"/>
      <color indexed="81"/>
      <name val="Tahoma"/>
      <family val="2"/>
    </font>
    <font>
      <sz val="12"/>
      <name val="TIMES"/>
    </font>
    <font>
      <u/>
      <sz val="11"/>
      <color theme="10"/>
      <name val="Calibri"/>
      <family val="2"/>
      <scheme val="minor"/>
    </font>
    <font>
      <sz val="11"/>
      <color theme="1"/>
      <name val="Microsoft GothicNeo"/>
      <family val="2"/>
      <charset val="129"/>
    </font>
    <font>
      <sz val="11"/>
      <name val="Microsoft GothicNeo"/>
      <family val="2"/>
      <charset val="129"/>
    </font>
    <font>
      <b/>
      <sz val="11"/>
      <color theme="1"/>
      <name val="Microsoft GothicNeo"/>
      <family val="2"/>
      <charset val="129"/>
    </font>
    <font>
      <b/>
      <sz val="11"/>
      <name val="Microsoft GothicNeo"/>
      <family val="2"/>
      <charset val="129"/>
    </font>
    <font>
      <b/>
      <sz val="18"/>
      <color theme="1"/>
      <name val="Microsoft GothicNeo"/>
      <family val="2"/>
      <charset val="129"/>
    </font>
    <font>
      <b/>
      <sz val="16"/>
      <color theme="1"/>
      <name val="Microsoft GothicNeo"/>
      <family val="2"/>
      <charset val="129"/>
    </font>
    <font>
      <b/>
      <sz val="12"/>
      <color indexed="8"/>
      <name val="Microsoft GothicNeo"/>
      <family val="2"/>
      <charset val="129"/>
    </font>
    <font>
      <b/>
      <sz val="11"/>
      <color indexed="8"/>
      <name val="Microsoft GothicNeo"/>
      <family val="2"/>
      <charset val="129"/>
    </font>
    <font>
      <b/>
      <sz val="11"/>
      <color rgb="FFFF0000"/>
      <name val="Microsoft GothicNeo"/>
      <family val="2"/>
      <charset val="129"/>
    </font>
    <font>
      <b/>
      <sz val="14"/>
      <color theme="1"/>
      <name val="Microsoft GothicNeo"/>
      <family val="2"/>
      <charset val="129"/>
    </font>
    <font>
      <b/>
      <sz val="10"/>
      <color theme="1"/>
      <name val="Microsoft GothicNeo"/>
      <family val="2"/>
      <charset val="129"/>
    </font>
    <font>
      <sz val="9"/>
      <color theme="1"/>
      <name val="Microsoft GothicNeo"/>
      <family val="2"/>
      <charset val="129"/>
    </font>
    <font>
      <sz val="10"/>
      <color theme="1"/>
      <name val="Microsoft GothicNeo"/>
      <family val="2"/>
      <charset val="129"/>
    </font>
    <font>
      <i/>
      <sz val="9"/>
      <color theme="1"/>
      <name val="Microsoft GothicNeo"/>
      <family val="2"/>
      <charset val="129"/>
    </font>
    <font>
      <b/>
      <sz val="9"/>
      <color theme="1"/>
      <name val="Microsoft GothicNeo"/>
      <family val="2"/>
      <charset val="129"/>
    </font>
    <font>
      <b/>
      <sz val="12"/>
      <color theme="1"/>
      <name val="Microsoft GothicNeo"/>
      <family val="2"/>
      <charset val="129"/>
    </font>
    <font>
      <b/>
      <i/>
      <sz val="10"/>
      <color theme="1"/>
      <name val="Microsoft GothicNeo"/>
      <family val="2"/>
      <charset val="129"/>
    </font>
    <font>
      <sz val="16"/>
      <color theme="1"/>
      <name val="Microsoft GothicNeo"/>
      <family val="2"/>
      <charset val="129"/>
    </font>
    <font>
      <sz val="12"/>
      <color theme="1"/>
      <name val="Microsoft GothicNeo"/>
      <family val="2"/>
      <charset val="129"/>
    </font>
    <font>
      <b/>
      <sz val="12"/>
      <name val="Microsoft GothicNeo"/>
      <family val="2"/>
      <charset val="129"/>
    </font>
    <font>
      <b/>
      <i/>
      <u/>
      <sz val="11"/>
      <color theme="1"/>
      <name val="Microsoft GothicNeo"/>
      <family val="2"/>
      <charset val="129"/>
    </font>
    <font>
      <b/>
      <i/>
      <sz val="11"/>
      <color theme="1"/>
      <name val="Microsoft GothicNeo"/>
      <family val="2"/>
      <charset val="129"/>
    </font>
    <font>
      <i/>
      <sz val="10"/>
      <color theme="1"/>
      <name val="Microsoft GothicNeo"/>
      <family val="2"/>
      <charset val="129"/>
    </font>
    <font>
      <b/>
      <sz val="16"/>
      <name val="Microsoft GothicNeo"/>
      <family val="2"/>
      <charset val="129"/>
    </font>
    <font>
      <b/>
      <sz val="16"/>
      <color rgb="FFFF0000"/>
      <name val="Microsoft GothicNeo"/>
      <family val="2"/>
      <charset val="129"/>
    </font>
    <font>
      <sz val="12"/>
      <color rgb="FFFF0000"/>
      <name val="Microsoft GothicNeo"/>
      <family val="2"/>
      <charset val="129"/>
    </font>
    <font>
      <b/>
      <sz val="12"/>
      <color rgb="FF0000CC"/>
      <name val="Microsoft GothicNeo"/>
      <family val="2"/>
      <charset val="129"/>
    </font>
    <font>
      <b/>
      <sz val="14"/>
      <name val="Microsoft GothicNeo"/>
      <family val="2"/>
      <charset val="129"/>
    </font>
    <font>
      <u/>
      <sz val="11"/>
      <color theme="10"/>
      <name val="Microsoft GothicNeo"/>
      <family val="2"/>
      <charset val="129"/>
    </font>
    <font>
      <sz val="10"/>
      <name val="Microsoft GothicNeo"/>
      <family val="2"/>
      <charset val="129"/>
    </font>
    <font>
      <b/>
      <sz val="12"/>
      <color rgb="FFFF0000"/>
      <name val="Microsoft GothicNeo"/>
      <family val="2"/>
      <charset val="129"/>
    </font>
    <font>
      <b/>
      <sz val="14"/>
      <color rgb="FFFF0000"/>
      <name val="Microsoft GothicNeo"/>
      <family val="2"/>
      <charset val="129"/>
    </font>
    <font>
      <b/>
      <sz val="11"/>
      <color theme="1"/>
      <name val="Calibri"/>
      <family val="2"/>
      <scheme val="minor"/>
    </font>
    <font>
      <sz val="14"/>
      <color theme="1"/>
      <name val="Microsoft GothicNeo"/>
      <family val="2"/>
      <charset val="129"/>
    </font>
    <font>
      <sz val="11"/>
      <color rgb="FFFF0000"/>
      <name val="Microsoft GothicNeo"/>
      <family val="2"/>
      <charset val="129"/>
    </font>
    <font>
      <sz val="18"/>
      <color theme="1"/>
      <name val="Microsoft GothicNeo"/>
      <family val="2"/>
      <charset val="129"/>
    </font>
    <font>
      <sz val="20"/>
      <color theme="1"/>
      <name val="Microsoft GothicNeo"/>
      <family val="2"/>
      <charset val="129"/>
    </font>
    <font>
      <b/>
      <sz val="20"/>
      <color theme="1"/>
      <name val="Microsoft GothicNeo"/>
      <family val="2"/>
      <charset val="129"/>
    </font>
    <font>
      <b/>
      <sz val="11"/>
      <color indexed="81"/>
      <name val="Tahoma"/>
      <family val="2"/>
    </font>
    <font>
      <sz val="11"/>
      <color indexed="81"/>
      <name val="Tahoma"/>
      <family val="2"/>
    </font>
    <font>
      <b/>
      <i/>
      <sz val="18"/>
      <color rgb="FF0000CC"/>
      <name val="Microsoft GothicNeo"/>
      <family val="2"/>
      <charset val="129"/>
    </font>
    <font>
      <b/>
      <sz val="9"/>
      <color indexed="81"/>
      <name val="Tahoma"/>
      <family val="2"/>
    </font>
    <font>
      <sz val="11"/>
      <name val="Calibri"/>
      <family val="2"/>
      <scheme val="minor"/>
    </font>
    <font>
      <b/>
      <i/>
      <sz val="18"/>
      <name val="Calibri"/>
      <family val="2"/>
      <scheme val="minor"/>
    </font>
    <font>
      <b/>
      <i/>
      <sz val="10"/>
      <color rgb="FF0000CC"/>
      <name val="Microsoft GothicNeo"/>
      <family val="2"/>
      <charset val="129"/>
    </font>
    <font>
      <b/>
      <i/>
      <sz val="14"/>
      <color theme="1"/>
      <name val="Calibri"/>
      <family val="2"/>
      <scheme val="minor"/>
    </font>
    <font>
      <b/>
      <sz val="9"/>
      <name val="Microsoft GothicNeo"/>
      <family val="2"/>
      <charset val="129"/>
    </font>
    <font>
      <b/>
      <sz val="11"/>
      <color theme="9" tint="-0.499984740745262"/>
      <name val="Microsoft GothicNeo"/>
      <family val="2"/>
      <charset val="129"/>
    </font>
    <font>
      <b/>
      <sz val="14"/>
      <color theme="9" tint="-0.499984740745262"/>
      <name val="Microsoft GothicNeo"/>
      <family val="2"/>
      <charset val="129"/>
    </font>
    <font>
      <i/>
      <sz val="11"/>
      <color theme="1"/>
      <name val="Microsoft GothicNeo"/>
      <family val="2"/>
      <charset val="129"/>
    </font>
    <font>
      <b/>
      <sz val="18"/>
      <name val="Microsoft GothicNeo"/>
      <family val="2"/>
      <charset val="129"/>
    </font>
    <font>
      <sz val="11"/>
      <name val="Microsoft GothicNeo Light"/>
      <family val="2"/>
      <charset val="129"/>
    </font>
    <font>
      <sz val="11"/>
      <color rgb="FF0000CC"/>
      <name val="Microsoft GothicNeo"/>
      <family val="2"/>
      <charset val="129"/>
    </font>
    <font>
      <b/>
      <sz val="11"/>
      <color theme="1"/>
      <name val="Cordia New"/>
      <family val="2"/>
      <charset val="222"/>
    </font>
    <font>
      <b/>
      <sz val="12"/>
      <color theme="1"/>
      <name val="Cordia New"/>
      <family val="2"/>
      <charset val="222"/>
    </font>
    <font>
      <b/>
      <sz val="12"/>
      <name val="Cordia New"/>
      <family val="2"/>
      <charset val="222"/>
    </font>
    <font>
      <sz val="9"/>
      <color indexed="81"/>
      <name val="Tahoma"/>
      <charset val="1"/>
    </font>
    <font>
      <b/>
      <sz val="9"/>
      <color indexed="81"/>
      <name val="Tahoma"/>
      <charset val="1"/>
    </font>
  </fonts>
  <fills count="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s>
  <borders count="42">
    <border>
      <left/>
      <right/>
      <top/>
      <bottom/>
      <diagonal/>
    </border>
    <border>
      <left/>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7" fillId="0" borderId="0"/>
    <xf numFmtId="0" fontId="17" fillId="0" borderId="0"/>
    <xf numFmtId="0" fontId="18" fillId="0" borderId="0" applyNumberFormat="0" applyFill="0" applyBorder="0" applyAlignment="0" applyProtection="0"/>
  </cellStyleXfs>
  <cellXfs count="486">
    <xf numFmtId="0" fontId="0" fillId="0" borderId="0" xfId="0"/>
    <xf numFmtId="0" fontId="2" fillId="0" borderId="0" xfId="0" applyFont="1"/>
    <xf numFmtId="0" fontId="3" fillId="0" borderId="0" xfId="0" applyFont="1"/>
    <xf numFmtId="164" fontId="3" fillId="0" borderId="0" xfId="1" applyNumberFormat="1" applyFont="1"/>
    <xf numFmtId="0" fontId="4" fillId="0" borderId="0" xfId="0" applyFont="1"/>
    <xf numFmtId="0" fontId="2"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19" fillId="0" borderId="0" xfId="0" applyFont="1"/>
    <xf numFmtId="0" fontId="19" fillId="0" borderId="0" xfId="0" applyFont="1" applyAlignment="1">
      <alignment horizontal="center"/>
    </xf>
    <xf numFmtId="0" fontId="21" fillId="0" borderId="0" xfId="0" applyFont="1" applyAlignment="1">
      <alignment horizontal="right"/>
    </xf>
    <xf numFmtId="43" fontId="22" fillId="0" borderId="0" xfId="1" applyFont="1" applyAlignment="1">
      <alignment horizontal="right" vertical="center"/>
    </xf>
    <xf numFmtId="43" fontId="22" fillId="0" borderId="0" xfId="1" applyFont="1" applyFill="1" applyAlignment="1">
      <alignment horizontal="right" vertical="center"/>
    </xf>
    <xf numFmtId="43" fontId="21" fillId="0" borderId="0" xfId="1" applyFont="1" applyFill="1" applyAlignment="1">
      <alignment horizontal="right"/>
    </xf>
    <xf numFmtId="43" fontId="21" fillId="0" borderId="0" xfId="1" applyFont="1" applyFill="1" applyAlignment="1">
      <alignment horizontal="center"/>
    </xf>
    <xf numFmtId="43" fontId="21" fillId="0" borderId="0" xfId="1" applyFont="1" applyFill="1" applyAlignment="1">
      <alignment horizontal="center" vertical="center"/>
    </xf>
    <xf numFmtId="43" fontId="21" fillId="0" borderId="0" xfId="1" applyFont="1" applyFill="1" applyBorder="1" applyAlignment="1">
      <alignment horizontal="center" vertical="center"/>
    </xf>
    <xf numFmtId="43" fontId="21" fillId="0" borderId="0" xfId="1" applyFont="1" applyFill="1"/>
    <xf numFmtId="0" fontId="23" fillId="0" borderId="0" xfId="0" applyFont="1"/>
    <xf numFmtId="0" fontId="24" fillId="0" borderId="0" xfId="0" applyFont="1"/>
    <xf numFmtId="0" fontId="25" fillId="0" borderId="0" xfId="0" applyFont="1"/>
    <xf numFmtId="0" fontId="26" fillId="0" borderId="0" xfId="0" applyFont="1"/>
    <xf numFmtId="0" fontId="27" fillId="0" borderId="0" xfId="0" applyFont="1"/>
    <xf numFmtId="0" fontId="28" fillId="0" borderId="15" xfId="0" applyFont="1" applyBorder="1"/>
    <xf numFmtId="0" fontId="19" fillId="0" borderId="2" xfId="0" applyFont="1" applyBorder="1"/>
    <xf numFmtId="0" fontId="27" fillId="0" borderId="2" xfId="0" applyFont="1" applyBorder="1"/>
    <xf numFmtId="0" fontId="28" fillId="0" borderId="0" xfId="0" applyFont="1"/>
    <xf numFmtId="0" fontId="24" fillId="0" borderId="0" xfId="0" applyFont="1" applyAlignment="1">
      <alignment horizontal="center"/>
    </xf>
    <xf numFmtId="0" fontId="29" fillId="0" borderId="2" xfId="0" applyFont="1" applyBorder="1" applyAlignment="1">
      <alignment horizontal="center"/>
    </xf>
    <xf numFmtId="0" fontId="30" fillId="0" borderId="2" xfId="0" applyFont="1" applyBorder="1" applyAlignment="1">
      <alignment horizontal="center"/>
    </xf>
    <xf numFmtId="0" fontId="21" fillId="0" borderId="0" xfId="0" applyFont="1" applyAlignment="1">
      <alignment horizontal="center"/>
    </xf>
    <xf numFmtId="0" fontId="29" fillId="0" borderId="0" xfId="0" applyFont="1" applyAlignment="1">
      <alignment horizontal="center"/>
    </xf>
    <xf numFmtId="0" fontId="21" fillId="0" borderId="2" xfId="0" applyFont="1" applyBorder="1" applyAlignment="1">
      <alignment horizontal="center"/>
    </xf>
    <xf numFmtId="0" fontId="31" fillId="0" borderId="2" xfId="0" applyFont="1" applyBorder="1" applyAlignment="1">
      <alignment horizontal="center"/>
    </xf>
    <xf numFmtId="0" fontId="30" fillId="0" borderId="1" xfId="0" applyFont="1" applyBorder="1" applyAlignment="1">
      <alignment horizontal="center"/>
    </xf>
    <xf numFmtId="0" fontId="32" fillId="0" borderId="1" xfId="0" applyFont="1" applyBorder="1" applyAlignment="1">
      <alignment horizontal="center"/>
    </xf>
    <xf numFmtId="0" fontId="30" fillId="0" borderId="0" xfId="0" applyFont="1" applyAlignment="1">
      <alignment horizontal="center"/>
    </xf>
    <xf numFmtId="0" fontId="33" fillId="0" borderId="2" xfId="0" applyFont="1" applyBorder="1" applyAlignment="1">
      <alignment horizontal="center"/>
    </xf>
    <xf numFmtId="0" fontId="35" fillId="0" borderId="1" xfId="0" applyFont="1" applyBorder="1" applyAlignment="1">
      <alignment horizontal="center"/>
    </xf>
    <xf numFmtId="0" fontId="21" fillId="0" borderId="0" xfId="0" applyFont="1"/>
    <xf numFmtId="166" fontId="22" fillId="0" borderId="0" xfId="1" applyNumberFormat="1" applyFont="1" applyFill="1" applyAlignment="1">
      <alignment horizontal="center"/>
    </xf>
    <xf numFmtId="166" fontId="22" fillId="0" borderId="0" xfId="1" applyNumberFormat="1" applyFont="1" applyFill="1"/>
    <xf numFmtId="0" fontId="21" fillId="0" borderId="4" xfId="0" applyFont="1" applyBorder="1"/>
    <xf numFmtId="0" fontId="22" fillId="0" borderId="0" xfId="0" applyFont="1" applyAlignment="1">
      <alignment horizontal="center" vertical="center"/>
    </xf>
    <xf numFmtId="166" fontId="21" fillId="0" borderId="0" xfId="1" applyNumberFormat="1" applyFont="1" applyFill="1" applyAlignment="1">
      <alignment horizontal="center"/>
    </xf>
    <xf numFmtId="0" fontId="24" fillId="0" borderId="0" xfId="0" applyFont="1" applyAlignment="1">
      <alignment horizontal="right"/>
    </xf>
    <xf numFmtId="10" fontId="21" fillId="0" borderId="0" xfId="2" applyNumberFormat="1" applyFont="1" applyFill="1" applyAlignment="1">
      <alignment horizontal="center" vertical="center"/>
    </xf>
    <xf numFmtId="10" fontId="21" fillId="0" borderId="0" xfId="2" applyNumberFormat="1" applyFont="1" applyFill="1" applyBorder="1" applyAlignment="1">
      <alignment horizontal="center" vertical="center"/>
    </xf>
    <xf numFmtId="10" fontId="22" fillId="0" borderId="0" xfId="2" applyNumberFormat="1" applyFont="1" applyAlignment="1">
      <alignment horizontal="right" vertical="center"/>
    </xf>
    <xf numFmtId="10" fontId="22" fillId="0" borderId="0" xfId="2" applyNumberFormat="1" applyFont="1" applyFill="1" applyAlignment="1">
      <alignment horizontal="right"/>
    </xf>
    <xf numFmtId="10" fontId="21" fillId="0" borderId="0" xfId="2" applyNumberFormat="1" applyFont="1" applyFill="1" applyAlignment="1">
      <alignment horizontal="right"/>
    </xf>
    <xf numFmtId="10" fontId="21" fillId="0" borderId="0" xfId="2" applyNumberFormat="1" applyFont="1" applyFill="1" applyAlignment="1">
      <alignment horizontal="center"/>
    </xf>
    <xf numFmtId="10" fontId="21" fillId="0" borderId="0" xfId="2" applyNumberFormat="1" applyFont="1" applyFill="1"/>
    <xf numFmtId="0" fontId="19" fillId="2" borderId="19" xfId="0" applyFont="1" applyFill="1" applyBorder="1" applyAlignment="1">
      <alignment horizontal="center"/>
    </xf>
    <xf numFmtId="0" fontId="19" fillId="2" borderId="21" xfId="0" applyFont="1" applyFill="1" applyBorder="1" applyAlignment="1">
      <alignment horizontal="center"/>
    </xf>
    <xf numFmtId="2" fontId="38" fillId="0" borderId="0" xfId="0" applyNumberFormat="1" applyFont="1" applyAlignment="1">
      <alignment horizontal="center"/>
    </xf>
    <xf numFmtId="164" fontId="38" fillId="0" borderId="0" xfId="1" applyNumberFormat="1" applyFont="1" applyAlignment="1"/>
    <xf numFmtId="2" fontId="22" fillId="0" borderId="0" xfId="0" applyNumberFormat="1" applyFont="1" applyAlignment="1">
      <alignment horizontal="center"/>
    </xf>
    <xf numFmtId="0" fontId="34" fillId="0" borderId="0" xfId="0" applyFont="1"/>
    <xf numFmtId="43" fontId="24" fillId="0" borderId="0" xfId="1" applyFont="1" applyFill="1"/>
    <xf numFmtId="2" fontId="38" fillId="0" borderId="4" xfId="0" applyNumberFormat="1" applyFont="1" applyBorder="1" applyAlignment="1">
      <alignment horizontal="center"/>
    </xf>
    <xf numFmtId="10" fontId="22" fillId="0" borderId="0" xfId="2" applyNumberFormat="1" applyFont="1" applyFill="1" applyAlignment="1">
      <alignment horizontal="center"/>
    </xf>
    <xf numFmtId="0" fontId="19" fillId="0" borderId="2" xfId="0" applyFont="1" applyBorder="1" applyAlignment="1">
      <alignment horizontal="center"/>
    </xf>
    <xf numFmtId="0" fontId="31" fillId="0" borderId="16" xfId="0" applyFont="1" applyBorder="1" applyAlignment="1">
      <alignment horizontal="center"/>
    </xf>
    <xf numFmtId="0" fontId="24" fillId="0" borderId="0" xfId="0" applyFont="1" applyAlignment="1">
      <alignment horizontal="center" vertical="center"/>
    </xf>
    <xf numFmtId="0" fontId="19" fillId="0" borderId="4" xfId="0" applyFont="1" applyBorder="1"/>
    <xf numFmtId="2" fontId="21" fillId="0" borderId="0" xfId="0" applyNumberFormat="1" applyFont="1" applyAlignment="1">
      <alignment horizontal="right"/>
    </xf>
    <xf numFmtId="10" fontId="21" fillId="0" borderId="0" xfId="0" applyNumberFormat="1" applyFont="1"/>
    <xf numFmtId="0" fontId="39" fillId="0" borderId="0" xfId="0" applyFont="1" applyAlignment="1">
      <alignment horizontal="center"/>
    </xf>
    <xf numFmtId="0" fontId="40" fillId="0" borderId="0" xfId="0" applyFont="1"/>
    <xf numFmtId="0" fontId="41" fillId="0" borderId="16" xfId="0" applyFont="1" applyBorder="1" applyAlignment="1">
      <alignment horizontal="center"/>
    </xf>
    <xf numFmtId="0" fontId="36" fillId="0" borderId="0" xfId="0" applyFont="1" applyAlignment="1">
      <alignment horizontal="right"/>
    </xf>
    <xf numFmtId="0" fontId="28" fillId="0" borderId="0" xfId="0" applyFont="1" applyAlignment="1">
      <alignment horizontal="center"/>
    </xf>
    <xf numFmtId="0" fontId="21" fillId="0" borderId="23" xfId="0" applyFont="1" applyBorder="1" applyAlignment="1">
      <alignment horizontal="center"/>
    </xf>
    <xf numFmtId="0" fontId="21" fillId="0" borderId="9" xfId="0" applyFont="1" applyBorder="1" applyAlignment="1">
      <alignment horizontal="center"/>
    </xf>
    <xf numFmtId="0" fontId="21" fillId="0" borderId="3" xfId="0" applyFont="1" applyBorder="1" applyAlignment="1">
      <alignment horizontal="center"/>
    </xf>
    <xf numFmtId="10" fontId="21" fillId="0" borderId="0" xfId="2" applyNumberFormat="1" applyFont="1"/>
    <xf numFmtId="10" fontId="21" fillId="0" borderId="0" xfId="1" applyNumberFormat="1" applyFont="1" applyFill="1"/>
    <xf numFmtId="10" fontId="43" fillId="0" borderId="0" xfId="2" applyNumberFormat="1" applyFont="1" applyFill="1" applyAlignment="1">
      <alignment horizontal="center"/>
    </xf>
    <xf numFmtId="164" fontId="21" fillId="0" borderId="0" xfId="1" applyNumberFormat="1" applyFont="1"/>
    <xf numFmtId="0" fontId="19" fillId="0" borderId="0" xfId="0" applyFont="1" applyAlignment="1">
      <alignment horizontal="left"/>
    </xf>
    <xf numFmtId="0" fontId="21" fillId="0" borderId="2" xfId="0" applyFont="1" applyBorder="1"/>
    <xf numFmtId="0" fontId="34" fillId="0" borderId="7" xfId="0" applyFont="1" applyBorder="1" applyAlignment="1">
      <alignment horizontal="center"/>
    </xf>
    <xf numFmtId="0" fontId="34" fillId="0" borderId="9" xfId="0" applyFont="1" applyBorder="1" applyAlignment="1">
      <alignment horizontal="center"/>
    </xf>
    <xf numFmtId="0" fontId="34" fillId="0" borderId="0" xfId="0" applyFont="1" applyAlignment="1">
      <alignment horizontal="center"/>
    </xf>
    <xf numFmtId="15" fontId="34" fillId="0" borderId="9" xfId="0" applyNumberFormat="1" applyFont="1" applyBorder="1" applyAlignment="1">
      <alignment horizontal="center"/>
    </xf>
    <xf numFmtId="15" fontId="34" fillId="0" borderId="0" xfId="0" quotePrefix="1" applyNumberFormat="1" applyFont="1" applyAlignment="1">
      <alignment horizontal="center"/>
    </xf>
    <xf numFmtId="0" fontId="22" fillId="0" borderId="9" xfId="0" applyFont="1" applyBorder="1" applyAlignment="1">
      <alignment horizontal="center"/>
    </xf>
    <xf numFmtId="0" fontId="38" fillId="0" borderId="9" xfId="0" applyFont="1" applyBorder="1" applyAlignment="1">
      <alignment horizontal="center"/>
    </xf>
    <xf numFmtId="0" fontId="34" fillId="0" borderId="8" xfId="0" applyFont="1" applyBorder="1" applyAlignment="1">
      <alignment horizontal="center"/>
    </xf>
    <xf numFmtId="0" fontId="34" fillId="0" borderId="3" xfId="0" applyFont="1" applyBorder="1" applyAlignment="1">
      <alignment horizontal="center"/>
    </xf>
    <xf numFmtId="0" fontId="34" fillId="0" borderId="2" xfId="0" applyFont="1" applyBorder="1" applyAlignment="1">
      <alignment horizontal="center"/>
    </xf>
    <xf numFmtId="0" fontId="35" fillId="0" borderId="3" xfId="0" applyFont="1" applyBorder="1" applyAlignment="1">
      <alignment horizontal="center"/>
    </xf>
    <xf numFmtId="0" fontId="35" fillId="0" borderId="2" xfId="0" applyFont="1" applyBorder="1" applyAlignment="1">
      <alignment horizontal="center"/>
    </xf>
    <xf numFmtId="0" fontId="35" fillId="0" borderId="10" xfId="0" applyFont="1" applyBorder="1" applyAlignment="1">
      <alignment horizontal="center"/>
    </xf>
    <xf numFmtId="0" fontId="34" fillId="0" borderId="9" xfId="0" applyFont="1" applyBorder="1"/>
    <xf numFmtId="0" fontId="34" fillId="0" borderId="7" xfId="0" applyFont="1" applyBorder="1"/>
    <xf numFmtId="0" fontId="38" fillId="0" borderId="0" xfId="0" applyFont="1" applyAlignment="1">
      <alignment horizontal="center"/>
    </xf>
    <xf numFmtId="2" fontId="38" fillId="0" borderId="9" xfId="0" applyNumberFormat="1" applyFont="1" applyBorder="1" applyAlignment="1">
      <alignment horizontal="center"/>
    </xf>
    <xf numFmtId="3" fontId="38" fillId="0" borderId="0" xfId="0" applyNumberFormat="1" applyFont="1"/>
    <xf numFmtId="0" fontId="37" fillId="0" borderId="0" xfId="0" applyFont="1"/>
    <xf numFmtId="0" fontId="44" fillId="0" borderId="2" xfId="0" applyFont="1" applyBorder="1"/>
    <xf numFmtId="0" fontId="37" fillId="0" borderId="2" xfId="0" applyFont="1" applyBorder="1"/>
    <xf numFmtId="0" fontId="37" fillId="0" borderId="5" xfId="0" applyFont="1" applyBorder="1"/>
    <xf numFmtId="0" fontId="37" fillId="0" borderId="6" xfId="0" applyFont="1" applyBorder="1"/>
    <xf numFmtId="15" fontId="34" fillId="0" borderId="6" xfId="0" quotePrefix="1" applyNumberFormat="1" applyFont="1" applyBorder="1" applyAlignment="1">
      <alignment horizontal="center"/>
    </xf>
    <xf numFmtId="0" fontId="19" fillId="0" borderId="6" xfId="0" applyFont="1" applyBorder="1"/>
    <xf numFmtId="0" fontId="34" fillId="0" borderId="13" xfId="0" applyFont="1" applyBorder="1" applyAlignment="1">
      <alignment horizontal="center"/>
    </xf>
    <xf numFmtId="0" fontId="35" fillId="0" borderId="14" xfId="0" applyFont="1" applyBorder="1" applyAlignment="1">
      <alignment horizontal="center"/>
    </xf>
    <xf numFmtId="0" fontId="34" fillId="0" borderId="12" xfId="0" applyFont="1" applyBorder="1"/>
    <xf numFmtId="0" fontId="37" fillId="0" borderId="8" xfId="0" applyFont="1" applyBorder="1"/>
    <xf numFmtId="0" fontId="37" fillId="0" borderId="13" xfId="0" applyFont="1" applyBorder="1"/>
    <xf numFmtId="0" fontId="34" fillId="0" borderId="0" xfId="0" applyFont="1" applyAlignment="1">
      <alignment horizontal="right"/>
    </xf>
    <xf numFmtId="164" fontId="21" fillId="0" borderId="0" xfId="0" applyNumberFormat="1" applyFont="1"/>
    <xf numFmtId="10" fontId="34" fillId="0" borderId="0" xfId="0" applyNumberFormat="1" applyFont="1" applyAlignment="1">
      <alignment horizontal="right"/>
    </xf>
    <xf numFmtId="10" fontId="34" fillId="0" borderId="0" xfId="2" applyNumberFormat="1" applyFont="1" applyFill="1"/>
    <xf numFmtId="10" fontId="34" fillId="0" borderId="0" xfId="2" applyNumberFormat="1" applyFont="1"/>
    <xf numFmtId="2" fontId="19" fillId="0" borderId="0" xfId="0" applyNumberFormat="1" applyFont="1"/>
    <xf numFmtId="0" fontId="21" fillId="0" borderId="1" xfId="0" applyFont="1" applyBorder="1" applyAlignment="1">
      <alignment horizontal="center"/>
    </xf>
    <xf numFmtId="0" fontId="28" fillId="0" borderId="0" xfId="0" applyFont="1" applyAlignment="1">
      <alignment horizontal="right"/>
    </xf>
    <xf numFmtId="0" fontId="22" fillId="0" borderId="0" xfId="0" applyFont="1"/>
    <xf numFmtId="0" fontId="20" fillId="0" borderId="0" xfId="0" applyFont="1"/>
    <xf numFmtId="0" fontId="20" fillId="0" borderId="0" xfId="0" applyFont="1" applyAlignment="1">
      <alignment horizontal="left"/>
    </xf>
    <xf numFmtId="0" fontId="47" fillId="0" borderId="0" xfId="6" applyFont="1" applyFill="1" applyAlignment="1" applyProtection="1">
      <alignment horizontal="left" vertical="top"/>
    </xf>
    <xf numFmtId="0" fontId="20" fillId="0" borderId="0" xfId="0" applyFont="1" applyAlignment="1">
      <alignment horizontal="left" vertical="top"/>
    </xf>
    <xf numFmtId="0" fontId="20" fillId="0" borderId="0" xfId="0" applyFont="1" applyAlignment="1">
      <alignment vertical="top"/>
    </xf>
    <xf numFmtId="0" fontId="48" fillId="0" borderId="0" xfId="0" applyFont="1" applyAlignment="1">
      <alignment horizontal="left" vertical="top"/>
    </xf>
    <xf numFmtId="0" fontId="48" fillId="0" borderId="0" xfId="0" applyFont="1"/>
    <xf numFmtId="165" fontId="21" fillId="0" borderId="0" xfId="3" applyNumberFormat="1" applyFont="1" applyFill="1" applyAlignment="1">
      <alignment horizontal="center"/>
    </xf>
    <xf numFmtId="164" fontId="22" fillId="0" borderId="0" xfId="1" applyNumberFormat="1" applyFont="1" applyFill="1"/>
    <xf numFmtId="10" fontId="22" fillId="0" borderId="0" xfId="2" applyNumberFormat="1" applyFont="1" applyFill="1"/>
    <xf numFmtId="0" fontId="28" fillId="0" borderId="2" xfId="0" applyFont="1" applyBorder="1" applyAlignment="1">
      <alignment horizontal="center"/>
    </xf>
    <xf numFmtId="10" fontId="38" fillId="0" borderId="0" xfId="2" applyNumberFormat="1" applyFont="1" applyFill="1" applyAlignment="1">
      <alignment horizontal="center"/>
    </xf>
    <xf numFmtId="10" fontId="38" fillId="0" borderId="0" xfId="2" applyNumberFormat="1" applyFont="1" applyFill="1"/>
    <xf numFmtId="2" fontId="49" fillId="0" borderId="0" xfId="0" applyNumberFormat="1" applyFont="1" applyAlignment="1">
      <alignment horizontal="center"/>
    </xf>
    <xf numFmtId="2" fontId="34" fillId="0" borderId="2" xfId="0" applyNumberFormat="1" applyFont="1" applyBorder="1" applyAlignment="1">
      <alignment horizontal="center"/>
    </xf>
    <xf numFmtId="10" fontId="34" fillId="0" borderId="2" xfId="2" applyNumberFormat="1" applyFont="1" applyBorder="1"/>
    <xf numFmtId="10" fontId="34" fillId="0" borderId="0" xfId="0" applyNumberFormat="1" applyFont="1" applyAlignment="1">
      <alignment horizontal="center"/>
    </xf>
    <xf numFmtId="2" fontId="34" fillId="0" borderId="0" xfId="0" applyNumberFormat="1" applyFont="1" applyAlignment="1">
      <alignment horizontal="center"/>
    </xf>
    <xf numFmtId="0" fontId="38" fillId="0" borderId="0" xfId="0" applyFont="1"/>
    <xf numFmtId="0" fontId="34" fillId="0" borderId="0" xfId="0" applyFont="1" applyAlignment="1">
      <alignment horizontal="left"/>
    </xf>
    <xf numFmtId="10" fontId="19" fillId="0" borderId="0" xfId="0" applyNumberFormat="1" applyFont="1"/>
    <xf numFmtId="0" fontId="18" fillId="0" borderId="0" xfId="6"/>
    <xf numFmtId="0" fontId="50" fillId="0" borderId="2" xfId="0" applyFont="1" applyBorder="1"/>
    <xf numFmtId="0" fontId="0" fillId="0" borderId="2" xfId="0" applyBorder="1"/>
    <xf numFmtId="0" fontId="28" fillId="0" borderId="2" xfId="0" applyFont="1" applyBorder="1"/>
    <xf numFmtId="0" fontId="19" fillId="0" borderId="5" xfId="0" applyFont="1" applyBorder="1"/>
    <xf numFmtId="0" fontId="19" fillId="0" borderId="11" xfId="0" applyFont="1" applyBorder="1"/>
    <xf numFmtId="0" fontId="21" fillId="0" borderId="8" xfId="0" applyFont="1" applyBorder="1" applyAlignment="1">
      <alignment horizontal="center" vertical="center"/>
    </xf>
    <xf numFmtId="0" fontId="28" fillId="0" borderId="33" xfId="0" applyFont="1" applyBorder="1" applyAlignment="1">
      <alignment horizontal="center" vertical="center" wrapText="1"/>
    </xf>
    <xf numFmtId="0" fontId="28" fillId="0" borderId="15" xfId="0" applyFont="1" applyBorder="1" applyAlignment="1">
      <alignment horizontal="center" vertical="center"/>
    </xf>
    <xf numFmtId="0" fontId="28" fillId="0" borderId="15" xfId="0" applyFont="1" applyBorder="1" applyAlignment="1">
      <alignment horizontal="center" vertical="center" wrapText="1"/>
    </xf>
    <xf numFmtId="0" fontId="28" fillId="0" borderId="31" xfId="0" applyFont="1" applyBorder="1" applyAlignment="1">
      <alignment horizontal="center" vertical="center"/>
    </xf>
    <xf numFmtId="0" fontId="34" fillId="0" borderId="15" xfId="0" applyFont="1" applyBorder="1" applyAlignment="1">
      <alignment horizontal="center" vertical="center"/>
    </xf>
    <xf numFmtId="0" fontId="51" fillId="0" borderId="0" xfId="0" applyFont="1"/>
    <xf numFmtId="0" fontId="28" fillId="0" borderId="7" xfId="0" applyFont="1" applyBorder="1" applyAlignment="1">
      <alignment horizontal="center" vertical="center"/>
    </xf>
    <xf numFmtId="0" fontId="34" fillId="0" borderId="2" xfId="0" applyFont="1" applyBorder="1" applyAlignment="1">
      <alignment horizontal="center" vertical="center"/>
    </xf>
    <xf numFmtId="0" fontId="50" fillId="0" borderId="32" xfId="0" applyFont="1" applyBorder="1"/>
    <xf numFmtId="0" fontId="19" fillId="0" borderId="26" xfId="0" applyFont="1" applyBorder="1"/>
    <xf numFmtId="0" fontId="19" fillId="0" borderId="25" xfId="0" applyFont="1" applyBorder="1"/>
    <xf numFmtId="0" fontId="34" fillId="0" borderId="28" xfId="0" applyFont="1" applyBorder="1"/>
    <xf numFmtId="0" fontId="34" fillId="0" borderId="30" xfId="0" applyFont="1" applyBorder="1"/>
    <xf numFmtId="10" fontId="38" fillId="0" borderId="24" xfId="2" applyNumberFormat="1" applyFont="1" applyFill="1" applyBorder="1" applyAlignment="1">
      <alignment horizontal="center"/>
    </xf>
    <xf numFmtId="0" fontId="34" fillId="0" borderId="19" xfId="0" applyFont="1" applyBorder="1"/>
    <xf numFmtId="10" fontId="38" fillId="0" borderId="25" xfId="2" applyNumberFormat="1" applyFont="1" applyFill="1" applyBorder="1" applyAlignment="1">
      <alignment horizontal="center"/>
    </xf>
    <xf numFmtId="0" fontId="34" fillId="0" borderId="21" xfId="0" applyFont="1" applyBorder="1"/>
    <xf numFmtId="0" fontId="34" fillId="0" borderId="1" xfId="0" applyFont="1" applyBorder="1"/>
    <xf numFmtId="10" fontId="38" fillId="0" borderId="26" xfId="2" applyNumberFormat="1" applyFont="1" applyFill="1" applyBorder="1" applyAlignment="1">
      <alignment horizontal="center"/>
    </xf>
    <xf numFmtId="10" fontId="38" fillId="0" borderId="25" xfId="2" applyNumberFormat="1" applyFont="1" applyBorder="1" applyAlignment="1">
      <alignment horizontal="center" vertical="center"/>
    </xf>
    <xf numFmtId="10" fontId="34" fillId="0" borderId="24" xfId="2" applyNumberFormat="1" applyFont="1" applyFill="1" applyBorder="1" applyAlignment="1">
      <alignment horizontal="center"/>
    </xf>
    <xf numFmtId="10" fontId="34" fillId="0" borderId="26" xfId="2" applyNumberFormat="1" applyFont="1" applyFill="1" applyBorder="1" applyAlignment="1">
      <alignment horizontal="center"/>
    </xf>
    <xf numFmtId="10" fontId="38" fillId="0" borderId="0" xfId="2" applyNumberFormat="1" applyFont="1" applyAlignment="1">
      <alignment horizontal="right" vertical="center"/>
    </xf>
    <xf numFmtId="43" fontId="38" fillId="0" borderId="0" xfId="1" applyFont="1" applyAlignment="1">
      <alignment horizontal="right" vertical="center"/>
    </xf>
    <xf numFmtId="43" fontId="38" fillId="0" borderId="0" xfId="1" applyFont="1" applyFill="1" applyAlignment="1">
      <alignment horizontal="right" vertical="center"/>
    </xf>
    <xf numFmtId="10" fontId="34" fillId="0" borderId="0" xfId="2" applyNumberFormat="1" applyFont="1" applyFill="1" applyAlignment="1">
      <alignment horizontal="right"/>
    </xf>
    <xf numFmtId="43" fontId="34" fillId="0" borderId="0" xfId="1" applyFont="1" applyFill="1" applyAlignment="1">
      <alignment horizontal="right"/>
    </xf>
    <xf numFmtId="43" fontId="34" fillId="0" borderId="0" xfId="1" applyFont="1" applyFill="1"/>
    <xf numFmtId="0" fontId="34" fillId="0" borderId="0" xfId="0" applyFont="1" applyAlignment="1">
      <alignment horizontal="center" vertical="center"/>
    </xf>
    <xf numFmtId="0" fontId="22" fillId="0" borderId="24" xfId="0" applyFont="1" applyBorder="1" applyAlignment="1">
      <alignment horizontal="center"/>
    </xf>
    <xf numFmtId="0" fontId="22" fillId="0" borderId="26" xfId="0" applyFont="1" applyBorder="1" applyAlignment="1">
      <alignment horizontal="center"/>
    </xf>
    <xf numFmtId="44" fontId="38" fillId="0" borderId="0" xfId="3" applyFont="1" applyAlignment="1">
      <alignment horizontal="center"/>
    </xf>
    <xf numFmtId="165" fontId="21" fillId="0" borderId="0" xfId="0" applyNumberFormat="1" applyFont="1" applyAlignment="1">
      <alignment horizontal="center"/>
    </xf>
    <xf numFmtId="0" fontId="29" fillId="0" borderId="0" xfId="0" applyFont="1"/>
    <xf numFmtId="0" fontId="33" fillId="0" borderId="0" xfId="0" applyFont="1"/>
    <xf numFmtId="0" fontId="21" fillId="0" borderId="0" xfId="0" applyFont="1" applyAlignment="1">
      <alignment horizontal="right" vertical="center"/>
    </xf>
    <xf numFmtId="0" fontId="0" fillId="0" borderId="33" xfId="0" applyBorder="1"/>
    <xf numFmtId="0" fontId="19" fillId="0" borderId="31" xfId="0" applyFont="1" applyBorder="1"/>
    <xf numFmtId="0" fontId="24" fillId="0" borderId="33" xfId="0" applyFont="1" applyBorder="1" applyAlignment="1">
      <alignment horizontal="right"/>
    </xf>
    <xf numFmtId="0" fontId="23" fillId="0" borderId="31" xfId="0" applyFont="1" applyBorder="1"/>
    <xf numFmtId="0" fontId="23" fillId="0" borderId="33" xfId="0" applyFont="1" applyBorder="1" applyAlignment="1">
      <alignment horizontal="right"/>
    </xf>
    <xf numFmtId="0" fontId="23" fillId="0" borderId="33" xfId="0" applyFont="1" applyBorder="1"/>
    <xf numFmtId="0" fontId="19" fillId="0" borderId="33" xfId="0" applyFont="1" applyBorder="1"/>
    <xf numFmtId="0" fontId="34" fillId="0" borderId="7" xfId="0" applyFont="1" applyBorder="1" applyAlignment="1">
      <alignment horizontal="center" vertical="center"/>
    </xf>
    <xf numFmtId="10" fontId="34" fillId="0" borderId="0" xfId="2" applyNumberFormat="1" applyFont="1" applyBorder="1" applyAlignment="1">
      <alignment horizontal="center" vertical="center"/>
    </xf>
    <xf numFmtId="10" fontId="34" fillId="0" borderId="12" xfId="2" applyNumberFormat="1" applyFont="1" applyBorder="1" applyAlignment="1">
      <alignment horizontal="center" vertical="center"/>
    </xf>
    <xf numFmtId="0" fontId="37" fillId="0" borderId="7" xfId="0" applyFont="1" applyBorder="1"/>
    <xf numFmtId="0" fontId="37" fillId="0" borderId="12" xfId="0" applyFont="1" applyBorder="1"/>
    <xf numFmtId="0" fontId="24" fillId="0" borderId="15" xfId="0" applyFont="1" applyBorder="1" applyAlignment="1">
      <alignment horizontal="center" vertical="center"/>
    </xf>
    <xf numFmtId="0" fontId="53" fillId="0" borderId="0" xfId="0" applyFont="1"/>
    <xf numFmtId="0" fontId="24" fillId="0" borderId="15" xfId="0" applyFont="1" applyBorder="1" applyAlignment="1">
      <alignment horizontal="right"/>
    </xf>
    <xf numFmtId="2" fontId="34" fillId="0" borderId="15" xfId="0" applyNumberFormat="1" applyFont="1" applyBorder="1" applyAlignment="1">
      <alignment horizontal="center"/>
    </xf>
    <xf numFmtId="43" fontId="34" fillId="0" borderId="0" xfId="1" applyFont="1" applyBorder="1" applyAlignment="1">
      <alignment horizontal="center" vertical="center"/>
    </xf>
    <xf numFmtId="43" fontId="34" fillId="0" borderId="0" xfId="1" applyFont="1" applyBorder="1" applyAlignment="1">
      <alignment vertical="center"/>
    </xf>
    <xf numFmtId="10" fontId="34" fillId="0" borderId="0" xfId="2" applyNumberFormat="1" applyFont="1" applyBorder="1" applyAlignment="1">
      <alignment vertical="center"/>
    </xf>
    <xf numFmtId="10" fontId="0" fillId="0" borderId="0" xfId="2" applyNumberFormat="1" applyFont="1"/>
    <xf numFmtId="10" fontId="34" fillId="0" borderId="0" xfId="2" applyNumberFormat="1" applyFont="1" applyFill="1" applyBorder="1" applyAlignment="1">
      <alignment horizontal="center" vertical="center"/>
    </xf>
    <xf numFmtId="0" fontId="34" fillId="0" borderId="29" xfId="0" applyFont="1" applyBorder="1"/>
    <xf numFmtId="0" fontId="34" fillId="0" borderId="20" xfId="0" applyFont="1" applyBorder="1"/>
    <xf numFmtId="0" fontId="34" fillId="0" borderId="22" xfId="0" applyFont="1" applyBorder="1"/>
    <xf numFmtId="0" fontId="19" fillId="0" borderId="23" xfId="0" applyFont="1" applyBorder="1"/>
    <xf numFmtId="10" fontId="28" fillId="0" borderId="3" xfId="2" applyNumberFormat="1" applyFont="1" applyBorder="1" applyAlignment="1">
      <alignment horizontal="center" vertical="center"/>
    </xf>
    <xf numFmtId="10" fontId="23" fillId="0" borderId="0" xfId="2" applyNumberFormat="1" applyFont="1" applyAlignment="1">
      <alignment horizontal="center"/>
    </xf>
    <xf numFmtId="0" fontId="54" fillId="0" borderId="0" xfId="0" applyFont="1"/>
    <xf numFmtId="0" fontId="31" fillId="0" borderId="0" xfId="0" applyFont="1"/>
    <xf numFmtId="164" fontId="21" fillId="0" borderId="0" xfId="1" applyNumberFormat="1" applyFont="1" applyFill="1" applyAlignment="1">
      <alignment horizontal="center"/>
    </xf>
    <xf numFmtId="164" fontId="21" fillId="0" borderId="0" xfId="1" applyNumberFormat="1" applyFont="1" applyFill="1" applyAlignment="1"/>
    <xf numFmtId="10" fontId="38" fillId="0" borderId="26" xfId="2" applyNumberFormat="1" applyFont="1" applyBorder="1" applyAlignment="1">
      <alignment horizontal="center" vertical="center"/>
    </xf>
    <xf numFmtId="0" fontId="21" fillId="0" borderId="0" xfId="0" applyFont="1" applyAlignment="1">
      <alignment horizontal="center" vertical="center"/>
    </xf>
    <xf numFmtId="10" fontId="28" fillId="0" borderId="0" xfId="2" applyNumberFormat="1" applyFont="1" applyBorder="1" applyAlignment="1">
      <alignment horizontal="center" vertical="center"/>
    </xf>
    <xf numFmtId="0" fontId="28" fillId="0" borderId="8" xfId="0" applyFont="1" applyBorder="1" applyAlignment="1">
      <alignment horizontal="right" vertical="center"/>
    </xf>
    <xf numFmtId="0" fontId="30" fillId="0" borderId="16" xfId="0" applyFont="1" applyBorder="1" applyAlignment="1">
      <alignment horizontal="center"/>
    </xf>
    <xf numFmtId="0" fontId="21" fillId="0" borderId="2" xfId="0" quotePrefix="1" applyFont="1" applyBorder="1" applyAlignment="1">
      <alignment horizontal="center"/>
    </xf>
    <xf numFmtId="0" fontId="6" fillId="0" borderId="0" xfId="0" applyFont="1"/>
    <xf numFmtId="0" fontId="55" fillId="0" borderId="0" xfId="0" applyFont="1" applyAlignment="1">
      <alignment horizontal="center"/>
    </xf>
    <xf numFmtId="0" fontId="37" fillId="0" borderId="0" xfId="0" applyFont="1" applyAlignment="1">
      <alignment horizontal="left"/>
    </xf>
    <xf numFmtId="0" fontId="52" fillId="0" borderId="0" xfId="0" applyFont="1" applyAlignment="1">
      <alignment horizontal="left"/>
    </xf>
    <xf numFmtId="0" fontId="56" fillId="0" borderId="0" xfId="0" applyFont="1"/>
    <xf numFmtId="0" fontId="37" fillId="0" borderId="0" xfId="0" applyFont="1" applyAlignment="1">
      <alignment horizontal="right"/>
    </xf>
    <xf numFmtId="0" fontId="37" fillId="0" borderId="2" xfId="0" applyFont="1" applyBorder="1" applyAlignment="1">
      <alignment horizontal="center"/>
    </xf>
    <xf numFmtId="0" fontId="52" fillId="0" borderId="0" xfId="0" applyFont="1"/>
    <xf numFmtId="10" fontId="28" fillId="0" borderId="9" xfId="2" applyNumberFormat="1" applyFont="1" applyFill="1" applyBorder="1" applyAlignment="1">
      <alignment horizontal="center" vertical="center"/>
    </xf>
    <xf numFmtId="167" fontId="38" fillId="0" borderId="15" xfId="1" applyNumberFormat="1" applyFont="1" applyFill="1" applyBorder="1"/>
    <xf numFmtId="15" fontId="34" fillId="0" borderId="23" xfId="0" applyNumberFormat="1" applyFont="1" applyBorder="1" applyAlignment="1">
      <alignment horizontal="center"/>
    </xf>
    <xf numFmtId="15" fontId="34" fillId="0" borderId="11" xfId="0" applyNumberFormat="1" applyFont="1" applyBorder="1" applyAlignment="1">
      <alignment horizontal="center"/>
    </xf>
    <xf numFmtId="15" fontId="34" fillId="0" borderId="12" xfId="0" applyNumberFormat="1" applyFont="1" applyBorder="1" applyAlignment="1">
      <alignment horizontal="center"/>
    </xf>
    <xf numFmtId="0" fontId="34" fillId="0" borderId="12" xfId="0" applyFont="1" applyBorder="1" applyAlignment="1">
      <alignment horizontal="center"/>
    </xf>
    <xf numFmtId="0" fontId="51" fillId="0" borderId="0" xfId="0" applyFont="1" applyAlignment="1">
      <alignment horizontal="center" vertical="center"/>
    </xf>
    <xf numFmtId="0" fontId="51" fillId="0" borderId="1" xfId="0" applyFont="1" applyBorder="1" applyAlignment="1">
      <alignment horizontal="center" vertical="center"/>
    </xf>
    <xf numFmtId="0" fontId="0" fillId="0" borderId="1" xfId="0" applyBorder="1"/>
    <xf numFmtId="0" fontId="34" fillId="0" borderId="1" xfId="0" applyFont="1" applyBorder="1" applyAlignment="1">
      <alignment horizontal="center"/>
    </xf>
    <xf numFmtId="10" fontId="38" fillId="0" borderId="1" xfId="2" applyNumberFormat="1" applyFont="1" applyFill="1" applyBorder="1" applyAlignment="1">
      <alignment horizontal="center"/>
    </xf>
    <xf numFmtId="43" fontId="38" fillId="0" borderId="1" xfId="1" applyFont="1" applyFill="1" applyBorder="1" applyAlignment="1">
      <alignment horizontal="center"/>
    </xf>
    <xf numFmtId="43" fontId="38" fillId="0" borderId="0" xfId="1" applyFont="1" applyAlignment="1">
      <alignment horizontal="center"/>
    </xf>
    <xf numFmtId="43" fontId="38" fillId="0" borderId="0" xfId="1" applyFont="1" applyFill="1" applyAlignment="1">
      <alignment horizontal="center"/>
    </xf>
    <xf numFmtId="0" fontId="51" fillId="0" borderId="0" xfId="0" applyFont="1" applyAlignment="1">
      <alignment horizontal="right"/>
    </xf>
    <xf numFmtId="43" fontId="51" fillId="0" borderId="0" xfId="0" applyNumberFormat="1" applyFont="1"/>
    <xf numFmtId="2" fontId="51" fillId="0" borderId="0" xfId="0" applyNumberFormat="1" applyFont="1"/>
    <xf numFmtId="0" fontId="34" fillId="0" borderId="5" xfId="0" applyFont="1" applyBorder="1" applyAlignment="1">
      <alignment horizontal="center"/>
    </xf>
    <xf numFmtId="0" fontId="34" fillId="0" borderId="23" xfId="0" applyFont="1" applyBorder="1" applyAlignment="1">
      <alignment horizontal="center"/>
    </xf>
    <xf numFmtId="0" fontId="34" fillId="0" borderId="6" xfId="0" applyFont="1" applyBorder="1" applyAlignment="1">
      <alignment horizontal="center"/>
    </xf>
    <xf numFmtId="164" fontId="38" fillId="0" borderId="9" xfId="1" applyNumberFormat="1" applyFont="1" applyFill="1" applyBorder="1" applyAlignment="1">
      <alignment horizontal="center"/>
    </xf>
    <xf numFmtId="164" fontId="38" fillId="0" borderId="12" xfId="1" applyNumberFormat="1" applyFont="1" applyFill="1" applyBorder="1" applyAlignment="1">
      <alignment horizontal="center"/>
    </xf>
    <xf numFmtId="0" fontId="22" fillId="0" borderId="0" xfId="0" applyFont="1" applyAlignment="1">
      <alignment horizontal="center"/>
    </xf>
    <xf numFmtId="10" fontId="38" fillId="0" borderId="0" xfId="2" applyNumberFormat="1" applyFont="1" applyFill="1" applyBorder="1" applyAlignment="1">
      <alignment horizontal="center"/>
    </xf>
    <xf numFmtId="10" fontId="38" fillId="0" borderId="0" xfId="2" applyNumberFormat="1" applyFont="1" applyBorder="1" applyAlignment="1">
      <alignment horizontal="center" vertical="center"/>
    </xf>
    <xf numFmtId="10" fontId="28" fillId="0" borderId="3" xfId="2" applyNumberFormat="1" applyFont="1" applyFill="1" applyBorder="1" applyAlignment="1">
      <alignment horizontal="center" vertical="center"/>
    </xf>
    <xf numFmtId="0" fontId="24" fillId="0" borderId="18" xfId="0" applyFont="1" applyBorder="1" applyAlignment="1">
      <alignment horizontal="center" vertical="center"/>
    </xf>
    <xf numFmtId="0" fontId="28" fillId="0" borderId="31" xfId="0" applyFont="1" applyBorder="1"/>
    <xf numFmtId="0" fontId="19" fillId="0" borderId="32" xfId="0" applyFont="1" applyBorder="1"/>
    <xf numFmtId="0" fontId="34" fillId="0" borderId="31" xfId="0" applyFont="1" applyBorder="1"/>
    <xf numFmtId="0" fontId="34" fillId="0" borderId="33" xfId="0" applyFont="1" applyBorder="1"/>
    <xf numFmtId="15" fontId="34" fillId="0" borderId="6" xfId="0" applyNumberFormat="1" applyFont="1" applyBorder="1" applyAlignment="1">
      <alignment horizontal="center"/>
    </xf>
    <xf numFmtId="15" fontId="34" fillId="0" borderId="23" xfId="0" quotePrefix="1" applyNumberFormat="1" applyFont="1" applyBorder="1" applyAlignment="1">
      <alignment horizontal="center"/>
    </xf>
    <xf numFmtId="15" fontId="34" fillId="0" borderId="0" xfId="0" applyNumberFormat="1" applyFont="1" applyAlignment="1">
      <alignment horizontal="center"/>
    </xf>
    <xf numFmtId="0" fontId="59" fillId="0" borderId="0" xfId="0" applyFont="1"/>
    <xf numFmtId="0" fontId="34" fillId="0" borderId="11" xfId="0" applyFont="1" applyBorder="1" applyAlignment="1">
      <alignment horizontal="center"/>
    </xf>
    <xf numFmtId="0" fontId="35" fillId="0" borderId="34" xfId="0" applyFont="1" applyBorder="1" applyAlignment="1">
      <alignment horizontal="center"/>
    </xf>
    <xf numFmtId="10" fontId="36" fillId="0" borderId="0" xfId="2" applyNumberFormat="1" applyFont="1" applyFill="1" applyBorder="1"/>
    <xf numFmtId="0" fontId="28" fillId="0" borderId="27" xfId="0" applyFont="1" applyBorder="1" applyAlignment="1">
      <alignment horizontal="center"/>
    </xf>
    <xf numFmtId="0" fontId="37" fillId="2" borderId="25" xfId="0" applyFont="1" applyFill="1" applyBorder="1" applyAlignment="1">
      <alignment horizontal="center"/>
    </xf>
    <xf numFmtId="0" fontId="19" fillId="2" borderId="25" xfId="0" applyFont="1" applyFill="1" applyBorder="1" applyAlignment="1">
      <alignment horizontal="center"/>
    </xf>
    <xf numFmtId="0" fontId="37" fillId="2" borderId="26" xfId="0" applyFont="1" applyFill="1" applyBorder="1" applyAlignment="1">
      <alignment horizontal="center"/>
    </xf>
    <xf numFmtId="0" fontId="19" fillId="2" borderId="26" xfId="0" applyFont="1" applyFill="1" applyBorder="1" applyAlignment="1">
      <alignment horizontal="center"/>
    </xf>
    <xf numFmtId="43" fontId="24" fillId="0" borderId="0" xfId="1" applyFont="1" applyFill="1" applyBorder="1" applyAlignment="1">
      <alignment horizontal="center" vertical="center"/>
    </xf>
    <xf numFmtId="0" fontId="19" fillId="2" borderId="28" xfId="0" applyFont="1" applyFill="1" applyBorder="1" applyAlignment="1">
      <alignment horizontal="center"/>
    </xf>
    <xf numFmtId="0" fontId="19" fillId="2" borderId="29" xfId="0" applyFont="1" applyFill="1" applyBorder="1" applyAlignment="1">
      <alignment horizontal="center"/>
    </xf>
    <xf numFmtId="0" fontId="19" fillId="2" borderId="20" xfId="0" applyFont="1" applyFill="1" applyBorder="1" applyAlignment="1">
      <alignment horizontal="center"/>
    </xf>
    <xf numFmtId="0" fontId="19" fillId="2" borderId="22" xfId="0" applyFont="1" applyFill="1" applyBorder="1" applyAlignment="1">
      <alignment horizontal="center"/>
    </xf>
    <xf numFmtId="0" fontId="37" fillId="2" borderId="24" xfId="0" applyFont="1" applyFill="1" applyBorder="1" applyAlignment="1">
      <alignment horizontal="center"/>
    </xf>
    <xf numFmtId="1" fontId="22" fillId="0" borderId="0" xfId="0" applyNumberFormat="1" applyFont="1" applyAlignment="1">
      <alignment horizontal="center"/>
    </xf>
    <xf numFmtId="164" fontId="22" fillId="0" borderId="0" xfId="1" applyNumberFormat="1" applyFont="1" applyFill="1" applyAlignment="1">
      <alignment horizontal="center"/>
    </xf>
    <xf numFmtId="164" fontId="22" fillId="0" borderId="1" xfId="1" applyNumberFormat="1" applyFont="1" applyFill="1" applyBorder="1" applyAlignment="1">
      <alignment horizontal="center"/>
    </xf>
    <xf numFmtId="0" fontId="40" fillId="0" borderId="13" xfId="0" applyFont="1" applyBorder="1" applyAlignment="1">
      <alignment horizontal="center"/>
    </xf>
    <xf numFmtId="0" fontId="40" fillId="0" borderId="3" xfId="0" applyFont="1" applyBorder="1" applyAlignment="1">
      <alignment horizontal="center"/>
    </xf>
    <xf numFmtId="0" fontId="35" fillId="0" borderId="35" xfId="0" applyFont="1" applyBorder="1" applyAlignment="1">
      <alignment horizontal="center"/>
    </xf>
    <xf numFmtId="0" fontId="35" fillId="0" borderId="16" xfId="0" applyFont="1" applyBorder="1" applyAlignment="1">
      <alignment horizontal="center"/>
    </xf>
    <xf numFmtId="0" fontId="0" fillId="0" borderId="8" xfId="0" applyBorder="1"/>
    <xf numFmtId="0" fontId="0" fillId="0" borderId="13" xfId="0" applyBorder="1"/>
    <xf numFmtId="0" fontId="34" fillId="0" borderId="15" xfId="0" applyFont="1" applyBorder="1" applyAlignment="1">
      <alignment horizontal="right"/>
    </xf>
    <xf numFmtId="0" fontId="34" fillId="0" borderId="8" xfId="0" applyFont="1" applyBorder="1"/>
    <xf numFmtId="164" fontId="38" fillId="0" borderId="3" xfId="1" applyNumberFormat="1" applyFont="1" applyFill="1" applyBorder="1" applyAlignment="1">
      <alignment horizontal="center"/>
    </xf>
    <xf numFmtId="165" fontId="22" fillId="0" borderId="0" xfId="3" applyNumberFormat="1" applyFont="1" applyFill="1" applyAlignment="1">
      <alignment horizontal="right"/>
    </xf>
    <xf numFmtId="2" fontId="15" fillId="0" borderId="4" xfId="0" applyNumberFormat="1" applyFont="1" applyBorder="1" applyAlignment="1">
      <alignment horizontal="center"/>
    </xf>
    <xf numFmtId="0" fontId="35" fillId="0" borderId="36" xfId="0" applyFont="1" applyBorder="1" applyAlignment="1">
      <alignment horizontal="center"/>
    </xf>
    <xf numFmtId="164" fontId="21" fillId="0" borderId="0" xfId="0" applyNumberFormat="1" applyFont="1" applyAlignment="1">
      <alignment horizontal="right"/>
    </xf>
    <xf numFmtId="10" fontId="24" fillId="0" borderId="31" xfId="2" applyNumberFormat="1" applyFont="1" applyFill="1" applyBorder="1" applyAlignment="1">
      <alignment horizontal="right"/>
    </xf>
    <xf numFmtId="10" fontId="24" fillId="0" borderId="33" xfId="0" applyNumberFormat="1" applyFont="1" applyBorder="1"/>
    <xf numFmtId="0" fontId="0" fillId="0" borderId="6" xfId="0" applyBorder="1"/>
    <xf numFmtId="10" fontId="38" fillId="0" borderId="0" xfId="2" applyNumberFormat="1" applyFont="1" applyFill="1" applyBorder="1" applyAlignment="1">
      <alignment horizontal="right"/>
    </xf>
    <xf numFmtId="10" fontId="22" fillId="0" borderId="0" xfId="2" applyNumberFormat="1" applyFont="1" applyFill="1" applyAlignment="1">
      <alignment horizontal="center" vertical="center"/>
    </xf>
    <xf numFmtId="10" fontId="22" fillId="0" borderId="1" xfId="2" applyNumberFormat="1" applyFont="1" applyFill="1" applyBorder="1" applyAlignment="1">
      <alignment horizontal="center" vertical="center"/>
    </xf>
    <xf numFmtId="10" fontId="21" fillId="0" borderId="0" xfId="2" applyNumberFormat="1" applyFont="1" applyFill="1" applyAlignment="1">
      <alignment horizontal="right" vertical="center"/>
    </xf>
    <xf numFmtId="10" fontId="21" fillId="0" borderId="0" xfId="2" applyNumberFormat="1" applyFont="1" applyFill="1" applyBorder="1" applyAlignment="1">
      <alignment horizontal="right" vertical="center"/>
    </xf>
    <xf numFmtId="44" fontId="22" fillId="0" borderId="0" xfId="3" applyFont="1" applyFill="1" applyAlignment="1">
      <alignment horizontal="center"/>
    </xf>
    <xf numFmtId="0" fontId="19" fillId="0" borderId="22" xfId="0" applyFont="1" applyBorder="1"/>
    <xf numFmtId="0" fontId="0" fillId="0" borderId="32" xfId="0" applyBorder="1"/>
    <xf numFmtId="10" fontId="22" fillId="0" borderId="0" xfId="2" applyNumberFormat="1" applyFont="1" applyAlignment="1">
      <alignment horizontal="right"/>
    </xf>
    <xf numFmtId="164" fontId="22" fillId="0" borderId="0" xfId="1" applyNumberFormat="1" applyFont="1" applyFill="1" applyAlignment="1"/>
    <xf numFmtId="164" fontId="22" fillId="0" borderId="1" xfId="1" applyNumberFormat="1" applyFont="1" applyFill="1" applyBorder="1" applyAlignment="1"/>
    <xf numFmtId="43" fontId="22" fillId="0" borderId="1" xfId="1" applyFont="1" applyFill="1" applyBorder="1" applyAlignment="1">
      <alignment horizontal="right" vertical="center"/>
    </xf>
    <xf numFmtId="43" fontId="38" fillId="0" borderId="1" xfId="1" applyFont="1" applyBorder="1" applyAlignment="1">
      <alignment horizontal="right" vertical="center"/>
    </xf>
    <xf numFmtId="43" fontId="38" fillId="0" borderId="1" xfId="1" applyFont="1" applyFill="1" applyBorder="1" applyAlignment="1">
      <alignment horizontal="right" vertical="center"/>
    </xf>
    <xf numFmtId="0" fontId="21" fillId="0" borderId="1" xfId="0" applyFont="1" applyBorder="1" applyAlignment="1">
      <alignment horizontal="right"/>
    </xf>
    <xf numFmtId="10" fontId="22" fillId="0" borderId="1" xfId="2" applyNumberFormat="1" applyFont="1" applyBorder="1" applyAlignment="1">
      <alignment horizontal="right" vertical="center"/>
    </xf>
    <xf numFmtId="0" fontId="34" fillId="0" borderId="1" xfId="0" applyFont="1" applyBorder="1" applyAlignment="1">
      <alignment horizontal="right"/>
    </xf>
    <xf numFmtId="0" fontId="28" fillId="0" borderId="8" xfId="0" applyFont="1" applyBorder="1" applyAlignment="1">
      <alignment horizontal="center" vertical="center"/>
    </xf>
    <xf numFmtId="0" fontId="19" fillId="0" borderId="0" xfId="0" applyFont="1" applyAlignment="1">
      <alignment horizontal="right"/>
    </xf>
    <xf numFmtId="164" fontId="19" fillId="0" borderId="0" xfId="1" applyNumberFormat="1" applyFont="1"/>
    <xf numFmtId="164" fontId="51" fillId="0" borderId="0" xfId="0" applyNumberFormat="1" applyFont="1"/>
    <xf numFmtId="0" fontId="62" fillId="0" borderId="0" xfId="0" applyFont="1"/>
    <xf numFmtId="0" fontId="63" fillId="0" borderId="0" xfId="0" applyFont="1"/>
    <xf numFmtId="0" fontId="34" fillId="0" borderId="3" xfId="0" applyFont="1" applyBorder="1" applyAlignment="1">
      <alignment horizontal="right"/>
    </xf>
    <xf numFmtId="164" fontId="38" fillId="0" borderId="13" xfId="1" applyNumberFormat="1" applyFont="1" applyFill="1" applyBorder="1" applyAlignment="1">
      <alignment horizontal="center"/>
    </xf>
    <xf numFmtId="10" fontId="22" fillId="0" borderId="4" xfId="2" applyNumberFormat="1" applyFont="1" applyFill="1" applyBorder="1" applyAlignment="1">
      <alignment horizontal="right"/>
    </xf>
    <xf numFmtId="10" fontId="22" fillId="0" borderId="4" xfId="2" applyNumberFormat="1" applyFont="1" applyBorder="1" applyAlignment="1">
      <alignment horizontal="right"/>
    </xf>
    <xf numFmtId="10" fontId="22" fillId="0" borderId="4" xfId="2" applyNumberFormat="1" applyFont="1" applyFill="1" applyBorder="1" applyAlignment="1">
      <alignment horizontal="center"/>
    </xf>
    <xf numFmtId="10" fontId="28" fillId="0" borderId="2" xfId="2" applyNumberFormat="1" applyFont="1" applyBorder="1" applyAlignment="1">
      <alignment horizontal="center" vertical="center"/>
    </xf>
    <xf numFmtId="0" fontId="19" fillId="0" borderId="20" xfId="0" applyFont="1" applyBorder="1"/>
    <xf numFmtId="10" fontId="23" fillId="0" borderId="0" xfId="2" applyNumberFormat="1" applyFont="1" applyFill="1" applyAlignment="1">
      <alignment horizontal="center"/>
    </xf>
    <xf numFmtId="10" fontId="34" fillId="0" borderId="25" xfId="2" applyNumberFormat="1" applyFont="1" applyFill="1" applyBorder="1" applyAlignment="1">
      <alignment horizontal="center"/>
    </xf>
    <xf numFmtId="0" fontId="64" fillId="0" borderId="0" xfId="0" applyFont="1"/>
    <xf numFmtId="168" fontId="34" fillId="0" borderId="26" xfId="2" applyNumberFormat="1" applyFont="1" applyFill="1" applyBorder="1" applyAlignment="1">
      <alignment horizontal="center"/>
    </xf>
    <xf numFmtId="10" fontId="46" fillId="0" borderId="15" xfId="2" applyNumberFormat="1" applyFont="1" applyFill="1" applyBorder="1" applyAlignment="1">
      <alignment horizontal="center"/>
    </xf>
    <xf numFmtId="164" fontId="38" fillId="0" borderId="2" xfId="1" applyNumberFormat="1" applyFont="1" applyFill="1" applyBorder="1"/>
    <xf numFmtId="3" fontId="38" fillId="0" borderId="2" xfId="0" applyNumberFormat="1" applyFont="1" applyBorder="1"/>
    <xf numFmtId="10" fontId="38" fillId="0" borderId="0" xfId="2" applyNumberFormat="1" applyFont="1" applyFill="1" applyAlignment="1">
      <alignment horizontal="right"/>
    </xf>
    <xf numFmtId="0" fontId="34" fillId="0" borderId="4" xfId="0" applyFont="1" applyBorder="1" applyAlignment="1">
      <alignment horizontal="center"/>
    </xf>
    <xf numFmtId="2" fontId="38" fillId="0" borderId="37" xfId="0" applyNumberFormat="1" applyFont="1" applyBorder="1" applyAlignment="1">
      <alignment horizontal="center"/>
    </xf>
    <xf numFmtId="165" fontId="22" fillId="0" borderId="0" xfId="3" applyNumberFormat="1" applyFont="1" applyFill="1" applyAlignment="1">
      <alignment horizontal="center"/>
    </xf>
    <xf numFmtId="164" fontId="53" fillId="0" borderId="0" xfId="1" applyNumberFormat="1" applyFont="1"/>
    <xf numFmtId="0" fontId="27" fillId="0" borderId="0" xfId="0" applyFont="1" applyAlignment="1">
      <alignment horizontal="center" vertical="center"/>
    </xf>
    <xf numFmtId="0" fontId="27" fillId="0" borderId="0" xfId="0" applyFont="1" applyAlignment="1">
      <alignment horizontal="center"/>
    </xf>
    <xf numFmtId="17" fontId="19" fillId="0" borderId="0" xfId="0" applyNumberFormat="1" applyFont="1"/>
    <xf numFmtId="166" fontId="22" fillId="0" borderId="1" xfId="1" applyNumberFormat="1" applyFont="1" applyFill="1" applyBorder="1" applyAlignment="1">
      <alignment horizontal="center" vertical="center"/>
    </xf>
    <xf numFmtId="166" fontId="22" fillId="0" borderId="0" xfId="1" applyNumberFormat="1" applyFont="1" applyFill="1" applyAlignment="1">
      <alignment horizontal="center" vertical="center"/>
    </xf>
    <xf numFmtId="164" fontId="45" fillId="0" borderId="0" xfId="1" applyNumberFormat="1" applyFont="1" applyFill="1" applyBorder="1"/>
    <xf numFmtId="10" fontId="34" fillId="0" borderId="1" xfId="2" applyNumberFormat="1" applyFont="1" applyFill="1" applyBorder="1"/>
    <xf numFmtId="3" fontId="38" fillId="0" borderId="9" xfId="0" applyNumberFormat="1" applyFont="1" applyBorder="1"/>
    <xf numFmtId="3" fontId="38" fillId="0" borderId="3" xfId="0" applyNumberFormat="1" applyFont="1" applyBorder="1"/>
    <xf numFmtId="10" fontId="22" fillId="0" borderId="0" xfId="2" applyNumberFormat="1" applyFont="1" applyFill="1" applyAlignment="1">
      <alignment horizontal="right" vertical="center"/>
    </xf>
    <xf numFmtId="10" fontId="22" fillId="0" borderId="1" xfId="2" applyNumberFormat="1" applyFont="1" applyFill="1" applyBorder="1" applyAlignment="1">
      <alignment horizontal="right" vertical="center"/>
    </xf>
    <xf numFmtId="2" fontId="22" fillId="0" borderId="0" xfId="0" applyNumberFormat="1" applyFont="1" applyAlignment="1">
      <alignment horizontal="right" vertical="center"/>
    </xf>
    <xf numFmtId="2" fontId="22" fillId="0" borderId="1" xfId="0" applyNumberFormat="1" applyFont="1" applyBorder="1" applyAlignment="1">
      <alignment horizontal="right" vertical="center"/>
    </xf>
    <xf numFmtId="43" fontId="38" fillId="0" borderId="15" xfId="1" applyFont="1" applyFill="1" applyBorder="1"/>
    <xf numFmtId="2" fontId="36" fillId="0" borderId="17" xfId="0" applyNumberFormat="1" applyFont="1" applyBorder="1"/>
    <xf numFmtId="10" fontId="36" fillId="0" borderId="27" xfId="2" applyNumberFormat="1" applyFont="1" applyFill="1" applyBorder="1"/>
    <xf numFmtId="43" fontId="36" fillId="0" borderId="27" xfId="1" applyFont="1" applyFill="1" applyBorder="1"/>
    <xf numFmtId="0" fontId="36" fillId="0" borderId="27" xfId="0" applyFont="1" applyBorder="1"/>
    <xf numFmtId="2" fontId="36" fillId="0" borderId="27" xfId="0" applyNumberFormat="1" applyFont="1" applyBorder="1"/>
    <xf numFmtId="10" fontId="27" fillId="0" borderId="0" xfId="2" applyNumberFormat="1" applyFont="1" applyFill="1" applyAlignment="1">
      <alignment horizontal="center"/>
    </xf>
    <xf numFmtId="168" fontId="66" fillId="0" borderId="25" xfId="0" applyNumberFormat="1" applyFont="1" applyBorder="1" applyAlignment="1">
      <alignment horizontal="center" vertical="center"/>
    </xf>
    <xf numFmtId="10" fontId="67" fillId="0" borderId="9" xfId="2" applyNumberFormat="1" applyFont="1" applyFill="1" applyBorder="1" applyAlignment="1">
      <alignment horizontal="center" vertical="center"/>
    </xf>
    <xf numFmtId="10" fontId="67" fillId="0" borderId="0" xfId="2" applyNumberFormat="1" applyFont="1" applyFill="1" applyBorder="1" applyAlignment="1">
      <alignment horizontal="center" vertical="center"/>
    </xf>
    <xf numFmtId="2" fontId="38" fillId="0" borderId="3" xfId="0" applyNumberFormat="1" applyFont="1" applyBorder="1" applyAlignment="1">
      <alignment horizontal="center"/>
    </xf>
    <xf numFmtId="2" fontId="38" fillId="0" borderId="2" xfId="0" applyNumberFormat="1" applyFont="1" applyBorder="1" applyAlignment="1">
      <alignment horizontal="center"/>
    </xf>
    <xf numFmtId="2" fontId="22" fillId="0" borderId="0" xfId="0" applyNumberFormat="1" applyFont="1" applyAlignment="1">
      <alignment horizontal="right"/>
    </xf>
    <xf numFmtId="0" fontId="19" fillId="0" borderId="4" xfId="0" applyFont="1" applyBorder="1" applyAlignment="1">
      <alignment horizontal="right"/>
    </xf>
    <xf numFmtId="0" fontId="38" fillId="0" borderId="17" xfId="0" applyFont="1" applyBorder="1"/>
    <xf numFmtId="10" fontId="27" fillId="0" borderId="0" xfId="2" applyNumberFormat="1" applyFont="1" applyFill="1" applyAlignment="1">
      <alignment horizontal="right"/>
    </xf>
    <xf numFmtId="0" fontId="28" fillId="0" borderId="3" xfId="0" applyFont="1" applyBorder="1" applyAlignment="1">
      <alignment horizontal="center"/>
    </xf>
    <xf numFmtId="0" fontId="34" fillId="3" borderId="38" xfId="0" applyFont="1" applyFill="1" applyBorder="1"/>
    <xf numFmtId="10" fontId="38" fillId="3" borderId="38" xfId="2" applyNumberFormat="1" applyFont="1" applyFill="1" applyBorder="1" applyAlignment="1">
      <alignment horizontal="center"/>
    </xf>
    <xf numFmtId="0" fontId="19" fillId="0" borderId="19" xfId="0" applyFont="1" applyBorder="1"/>
    <xf numFmtId="0" fontId="34" fillId="3" borderId="19" xfId="0" applyFont="1" applyFill="1" applyBorder="1"/>
    <xf numFmtId="10" fontId="38" fillId="3" borderId="19" xfId="2" applyNumberFormat="1" applyFont="1" applyFill="1" applyBorder="1" applyAlignment="1">
      <alignment horizontal="center"/>
    </xf>
    <xf numFmtId="0" fontId="38" fillId="2" borderId="21" xfId="0" applyFont="1" applyFill="1" applyBorder="1"/>
    <xf numFmtId="2" fontId="38" fillId="0" borderId="0" xfId="0" applyNumberFormat="1" applyFont="1" applyAlignment="1">
      <alignment horizontal="right"/>
    </xf>
    <xf numFmtId="2" fontId="27" fillId="0" borderId="0" xfId="0" applyNumberFormat="1" applyFont="1" applyAlignment="1">
      <alignment horizontal="right"/>
    </xf>
    <xf numFmtId="10" fontId="21" fillId="0" borderId="0" xfId="0" applyNumberFormat="1" applyFont="1" applyAlignment="1">
      <alignment horizontal="right"/>
    </xf>
    <xf numFmtId="10" fontId="27" fillId="0" borderId="0" xfId="0" applyNumberFormat="1" applyFont="1" applyAlignment="1">
      <alignment horizontal="right"/>
    </xf>
    <xf numFmtId="2" fontId="22" fillId="0" borderId="4" xfId="0" applyNumberFormat="1" applyFont="1" applyBorder="1" applyAlignment="1">
      <alignment horizontal="right"/>
    </xf>
    <xf numFmtId="10" fontId="21" fillId="0" borderId="4" xfId="0" applyNumberFormat="1" applyFont="1" applyBorder="1" applyAlignment="1">
      <alignment horizontal="right"/>
    </xf>
    <xf numFmtId="1" fontId="22" fillId="0" borderId="0" xfId="0" applyNumberFormat="1" applyFont="1" applyAlignment="1">
      <alignment horizontal="right"/>
    </xf>
    <xf numFmtId="0" fontId="36" fillId="0" borderId="15" xfId="0" applyFont="1" applyBorder="1" applyAlignment="1">
      <alignment horizontal="center"/>
    </xf>
    <xf numFmtId="0" fontId="19" fillId="0" borderId="8" xfId="0" applyFont="1" applyBorder="1"/>
    <xf numFmtId="0" fontId="19" fillId="0" borderId="13" xfId="0" applyFont="1" applyBorder="1"/>
    <xf numFmtId="10" fontId="38" fillId="2" borderId="19" xfId="2" applyNumberFormat="1" applyFont="1" applyFill="1" applyBorder="1" applyAlignment="1">
      <alignment horizontal="center"/>
    </xf>
    <xf numFmtId="0" fontId="34" fillId="3" borderId="25" xfId="0" applyFont="1" applyFill="1" applyBorder="1"/>
    <xf numFmtId="0" fontId="38" fillId="3" borderId="25" xfId="0" applyFont="1" applyFill="1" applyBorder="1"/>
    <xf numFmtId="0" fontId="38" fillId="2" borderId="25" xfId="0" applyFont="1" applyFill="1" applyBorder="1"/>
    <xf numFmtId="0" fontId="37" fillId="2" borderId="0" xfId="0" applyFont="1" applyFill="1" applyAlignment="1">
      <alignment horizontal="center"/>
    </xf>
    <xf numFmtId="0" fontId="19" fillId="2" borderId="39" xfId="0" applyFont="1" applyFill="1" applyBorder="1" applyAlignment="1">
      <alignment horizontal="center"/>
    </xf>
    <xf numFmtId="0" fontId="37" fillId="2" borderId="1" xfId="0" applyFont="1" applyFill="1" applyBorder="1" applyAlignment="1">
      <alignment horizontal="center"/>
    </xf>
    <xf numFmtId="0" fontId="19" fillId="2" borderId="40" xfId="0" applyFont="1" applyFill="1" applyBorder="1" applyAlignment="1">
      <alignment horizontal="center"/>
    </xf>
    <xf numFmtId="0" fontId="19" fillId="2" borderId="41" xfId="0" applyFont="1" applyFill="1" applyBorder="1" applyAlignment="1">
      <alignment horizontal="center"/>
    </xf>
    <xf numFmtId="10" fontId="24" fillId="0" borderId="15" xfId="2" applyNumberFormat="1" applyFont="1" applyFill="1" applyBorder="1" applyAlignment="1">
      <alignment horizontal="center"/>
    </xf>
    <xf numFmtId="2" fontId="24" fillId="0" borderId="15" xfId="0" applyNumberFormat="1" applyFont="1" applyBorder="1" applyAlignment="1">
      <alignment horizontal="center"/>
    </xf>
    <xf numFmtId="2" fontId="24" fillId="0" borderId="15" xfId="0" applyNumberFormat="1" applyFont="1" applyBorder="1" applyAlignment="1">
      <alignment horizontal="center" vertical="center"/>
    </xf>
    <xf numFmtId="10" fontId="24" fillId="0" borderId="15" xfId="2" applyNumberFormat="1" applyFont="1" applyFill="1" applyBorder="1" applyAlignment="1">
      <alignment horizontal="center" vertical="center"/>
    </xf>
    <xf numFmtId="10" fontId="23" fillId="0" borderId="15" xfId="2" applyNumberFormat="1" applyFont="1" applyFill="1" applyBorder="1"/>
    <xf numFmtId="10" fontId="23" fillId="0" borderId="15" xfId="2" applyNumberFormat="1" applyFont="1" applyFill="1" applyBorder="1" applyAlignment="1">
      <alignment horizontal="center"/>
    </xf>
    <xf numFmtId="43" fontId="24" fillId="0" borderId="15" xfId="1" applyFont="1" applyFill="1" applyBorder="1" applyAlignment="1">
      <alignment horizontal="center" vertical="center"/>
    </xf>
    <xf numFmtId="10" fontId="38" fillId="0" borderId="15" xfId="2" applyNumberFormat="1" applyFont="1" applyFill="1" applyBorder="1"/>
    <xf numFmtId="10" fontId="69" fillId="0" borderId="0" xfId="2" applyNumberFormat="1" applyFont="1" applyFill="1" applyAlignment="1">
      <alignment horizontal="center"/>
    </xf>
    <xf numFmtId="10" fontId="28" fillId="0" borderId="0" xfId="2" applyNumberFormat="1" applyFont="1" applyAlignment="1">
      <alignment horizontal="left"/>
    </xf>
    <xf numFmtId="0" fontId="21" fillId="0" borderId="0" xfId="0" applyFont="1" applyAlignment="1">
      <alignment horizontal="left"/>
    </xf>
    <xf numFmtId="168" fontId="34" fillId="0" borderId="24" xfId="2" applyNumberFormat="1" applyFont="1" applyFill="1" applyBorder="1" applyAlignment="1">
      <alignment horizontal="center"/>
    </xf>
    <xf numFmtId="169" fontId="28" fillId="0" borderId="15" xfId="2" applyNumberFormat="1" applyFont="1" applyFill="1" applyBorder="1" applyAlignment="1">
      <alignment horizontal="center"/>
    </xf>
    <xf numFmtId="10" fontId="42" fillId="0" borderId="15" xfId="2" applyNumberFormat="1" applyFont="1" applyFill="1" applyBorder="1" applyAlignment="1">
      <alignment horizontal="center"/>
    </xf>
    <xf numFmtId="10" fontId="38" fillId="2" borderId="21" xfId="2" applyNumberFormat="1" applyFont="1" applyFill="1" applyBorder="1" applyAlignment="1">
      <alignment horizontal="center"/>
    </xf>
    <xf numFmtId="10" fontId="38" fillId="0" borderId="17" xfId="2" applyNumberFormat="1" applyFont="1" applyFill="1" applyBorder="1" applyAlignment="1">
      <alignment horizontal="center"/>
    </xf>
    <xf numFmtId="0" fontId="0" fillId="0" borderId="19" xfId="0" applyBorder="1"/>
    <xf numFmtId="0" fontId="68" fillId="0" borderId="19" xfId="0" applyFont="1" applyBorder="1"/>
    <xf numFmtId="165" fontId="22" fillId="4" borderId="0" xfId="3" applyNumberFormat="1" applyFont="1" applyFill="1" applyAlignment="1">
      <alignment horizontal="right"/>
    </xf>
    <xf numFmtId="165" fontId="21" fillId="4" borderId="0" xfId="3" applyNumberFormat="1" applyFont="1" applyFill="1"/>
    <xf numFmtId="10" fontId="69" fillId="0" borderId="0" xfId="2" applyNumberFormat="1" applyFont="1" applyAlignment="1">
      <alignment horizontal="center"/>
    </xf>
    <xf numFmtId="0" fontId="46" fillId="0" borderId="0" xfId="0" applyFont="1"/>
    <xf numFmtId="0" fontId="22" fillId="0" borderId="28" xfId="0" applyFont="1" applyBorder="1" applyAlignment="1">
      <alignment horizontal="right"/>
    </xf>
    <xf numFmtId="0" fontId="22" fillId="0" borderId="29" xfId="0" applyFont="1" applyBorder="1" applyAlignment="1">
      <alignment horizontal="left"/>
    </xf>
    <xf numFmtId="0" fontId="22" fillId="0" borderId="19" xfId="0" applyFont="1" applyBorder="1" applyAlignment="1">
      <alignment horizontal="right"/>
    </xf>
    <xf numFmtId="0" fontId="22" fillId="0" borderId="20" xfId="0" applyFont="1" applyBorder="1" applyAlignment="1">
      <alignment horizontal="left"/>
    </xf>
    <xf numFmtId="0" fontId="22" fillId="0" borderId="21" xfId="0" applyFont="1" applyBorder="1" applyAlignment="1">
      <alignment horizontal="right"/>
    </xf>
    <xf numFmtId="0" fontId="22" fillId="0" borderId="22" xfId="0" applyFont="1" applyBorder="1" applyAlignment="1">
      <alignment horizontal="left"/>
    </xf>
    <xf numFmtId="10" fontId="28" fillId="0" borderId="15" xfId="2" applyNumberFormat="1" applyFont="1" applyFill="1" applyBorder="1" applyAlignment="1">
      <alignment horizontal="center"/>
    </xf>
    <xf numFmtId="0" fontId="47" fillId="0" borderId="0" xfId="6" applyFont="1"/>
    <xf numFmtId="0" fontId="70" fillId="0" borderId="29" xfId="0" applyFont="1" applyBorder="1" applyAlignment="1">
      <alignment horizontal="left"/>
    </xf>
    <xf numFmtId="0" fontId="70" fillId="0" borderId="20" xfId="0" applyFont="1" applyBorder="1" applyAlignment="1">
      <alignment horizontal="left"/>
    </xf>
    <xf numFmtId="0" fontId="70" fillId="0" borderId="22" xfId="0" applyFont="1" applyBorder="1" applyAlignment="1">
      <alignment horizontal="left"/>
    </xf>
    <xf numFmtId="0" fontId="47" fillId="0" borderId="0" xfId="6" applyFont="1" applyFill="1" applyAlignment="1" applyProtection="1"/>
    <xf numFmtId="0" fontId="71" fillId="0" borderId="0" xfId="0" applyFont="1" applyAlignment="1">
      <alignment horizontal="left"/>
    </xf>
    <xf numFmtId="0" fontId="45" fillId="0" borderId="7" xfId="0" applyFont="1" applyBorder="1" applyAlignment="1">
      <alignment horizontal="center" vertical="center"/>
    </xf>
    <xf numFmtId="10" fontId="45" fillId="0" borderId="0" xfId="2" applyNumberFormat="1" applyFont="1" applyFill="1" applyBorder="1" applyAlignment="1">
      <alignment horizontal="center" vertical="center"/>
    </xf>
    <xf numFmtId="0" fontId="38" fillId="0" borderId="8" xfId="0" applyFont="1" applyBorder="1"/>
    <xf numFmtId="0" fontId="37" fillId="0" borderId="23" xfId="0" applyFont="1" applyBorder="1"/>
    <xf numFmtId="15" fontId="34" fillId="0" borderId="9" xfId="0" quotePrefix="1" applyNumberFormat="1" applyFont="1" applyBorder="1" applyAlignment="1">
      <alignment horizontal="center"/>
    </xf>
    <xf numFmtId="0" fontId="37" fillId="0" borderId="9" xfId="0" applyFont="1" applyBorder="1"/>
    <xf numFmtId="165" fontId="38" fillId="0" borderId="9" xfId="3" applyNumberFormat="1" applyFont="1" applyFill="1" applyBorder="1"/>
    <xf numFmtId="165" fontId="38" fillId="0" borderId="3" xfId="3" applyNumberFormat="1" applyFont="1" applyFill="1" applyBorder="1"/>
    <xf numFmtId="164" fontId="38" fillId="0" borderId="9" xfId="1" applyNumberFormat="1" applyFont="1" applyFill="1" applyBorder="1"/>
    <xf numFmtId="10" fontId="38" fillId="0" borderId="9" xfId="2" applyNumberFormat="1" applyFont="1" applyFill="1" applyBorder="1"/>
    <xf numFmtId="10" fontId="38" fillId="0" borderId="3" xfId="2" applyNumberFormat="1" applyFont="1" applyFill="1" applyBorder="1"/>
    <xf numFmtId="0" fontId="72" fillId="0" borderId="27" xfId="0" applyFont="1" applyBorder="1" applyAlignment="1">
      <alignment horizontal="center"/>
    </xf>
    <xf numFmtId="0" fontId="72" fillId="0" borderId="18" xfId="0" applyFont="1" applyBorder="1" applyAlignment="1">
      <alignment horizontal="center"/>
    </xf>
    <xf numFmtId="164" fontId="72" fillId="0" borderId="22" xfId="1" applyNumberFormat="1" applyFont="1" applyFill="1" applyBorder="1"/>
    <xf numFmtId="164" fontId="72" fillId="0" borderId="26" xfId="1" applyNumberFormat="1" applyFont="1" applyFill="1" applyBorder="1"/>
    <xf numFmtId="0" fontId="72" fillId="0" borderId="27" xfId="0" applyFont="1" applyBorder="1"/>
    <xf numFmtId="0" fontId="73" fillId="0" borderId="25" xfId="0" applyFont="1" applyBorder="1"/>
    <xf numFmtId="3" fontId="72" fillId="0" borderId="20" xfId="0" applyNumberFormat="1" applyFont="1" applyBorder="1" applyAlignment="1">
      <alignment horizontal="right"/>
    </xf>
    <xf numFmtId="164" fontId="72" fillId="0" borderId="20" xfId="1" applyNumberFormat="1" applyFont="1" applyFill="1" applyBorder="1" applyAlignment="1">
      <alignment horizontal="right"/>
    </xf>
    <xf numFmtId="0" fontId="74" fillId="0" borderId="25" xfId="0" applyFont="1" applyBorder="1"/>
    <xf numFmtId="164" fontId="72" fillId="0" borderId="20" xfId="1" applyNumberFormat="1" applyFont="1" applyFill="1" applyBorder="1"/>
    <xf numFmtId="0" fontId="73" fillId="0" borderId="26" xfId="0" applyFont="1" applyBorder="1"/>
    <xf numFmtId="3" fontId="72" fillId="0" borderId="25" xfId="0" applyNumberFormat="1" applyFont="1" applyBorder="1" applyAlignment="1">
      <alignment horizontal="right"/>
    </xf>
    <xf numFmtId="164" fontId="72" fillId="0" borderId="25" xfId="1" applyNumberFormat="1" applyFont="1" applyFill="1" applyBorder="1"/>
    <xf numFmtId="164" fontId="38" fillId="0" borderId="3" xfId="1" applyNumberFormat="1" applyFont="1" applyFill="1" applyBorder="1"/>
    <xf numFmtId="0" fontId="28" fillId="2" borderId="24" xfId="0" applyFont="1" applyFill="1" applyBorder="1" applyAlignment="1">
      <alignment horizontal="center"/>
    </xf>
    <xf numFmtId="10" fontId="22" fillId="2" borderId="23" xfId="2" applyNumberFormat="1" applyFont="1" applyFill="1" applyBorder="1" applyAlignment="1">
      <alignment horizontal="center"/>
    </xf>
    <xf numFmtId="10" fontId="22" fillId="2" borderId="9" xfId="2" applyNumberFormat="1" applyFont="1" applyFill="1" applyBorder="1" applyAlignment="1">
      <alignment horizontal="center"/>
    </xf>
    <xf numFmtId="10" fontId="22" fillId="2" borderId="3" xfId="2" applyNumberFormat="1" applyFont="1" applyFill="1" applyBorder="1" applyAlignment="1">
      <alignment horizontal="center"/>
    </xf>
    <xf numFmtId="10" fontId="22" fillId="2" borderId="3" xfId="1" applyNumberFormat="1" applyFont="1" applyFill="1" applyBorder="1" applyAlignment="1">
      <alignment horizontal="center"/>
    </xf>
    <xf numFmtId="10" fontId="22" fillId="2" borderId="23" xfId="1" applyNumberFormat="1" applyFont="1" applyFill="1" applyBorder="1" applyAlignment="1">
      <alignment horizontal="center"/>
    </xf>
    <xf numFmtId="10" fontId="22" fillId="2" borderId="9" xfId="1" applyNumberFormat="1" applyFont="1" applyFill="1" applyBorder="1" applyAlignment="1">
      <alignment horizontal="center"/>
    </xf>
    <xf numFmtId="0" fontId="37" fillId="2" borderId="28" xfId="0" applyFont="1" applyFill="1" applyBorder="1" applyAlignment="1">
      <alignment horizontal="center"/>
    </xf>
    <xf numFmtId="0" fontId="61" fillId="2" borderId="23" xfId="0" applyFont="1" applyFill="1" applyBorder="1"/>
    <xf numFmtId="0" fontId="37" fillId="2" borderId="19" xfId="0" applyFont="1" applyFill="1" applyBorder="1" applyAlignment="1">
      <alignment horizontal="center"/>
    </xf>
    <xf numFmtId="0" fontId="61" fillId="2" borderId="9" xfId="0" applyFont="1" applyFill="1" applyBorder="1"/>
    <xf numFmtId="0" fontId="37" fillId="2" borderId="21" xfId="0" applyFont="1" applyFill="1" applyBorder="1" applyAlignment="1">
      <alignment horizontal="center"/>
    </xf>
    <xf numFmtId="0" fontId="61" fillId="2" borderId="3" xfId="0" applyFont="1" applyFill="1" applyBorder="1"/>
    <xf numFmtId="0" fontId="61" fillId="2" borderId="15" xfId="0" applyFont="1" applyFill="1" applyBorder="1"/>
    <xf numFmtId="10" fontId="22" fillId="0" borderId="0" xfId="1" applyNumberFormat="1" applyFont="1" applyFill="1" applyAlignment="1">
      <alignment horizontal="center"/>
    </xf>
    <xf numFmtId="10" fontId="22" fillId="0" borderId="1" xfId="1" applyNumberFormat="1" applyFont="1" applyFill="1" applyBorder="1" applyAlignment="1"/>
    <xf numFmtId="0" fontId="65" fillId="2" borderId="23" xfId="0" applyFont="1" applyFill="1" applyBorder="1" applyAlignment="1">
      <alignment horizontal="center" vertical="center" wrapText="1"/>
    </xf>
    <xf numFmtId="0" fontId="13" fillId="0" borderId="0" xfId="0" applyFont="1" applyAlignment="1">
      <alignment horizontal="center"/>
    </xf>
    <xf numFmtId="0" fontId="14"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0" fillId="0" borderId="0" xfId="0" applyAlignment="1">
      <alignment horizontal="center"/>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20" fillId="0" borderId="0" xfId="0" applyFont="1" applyAlignment="1">
      <alignment horizontal="left" vertical="top" wrapText="1"/>
    </xf>
  </cellXfs>
  <cellStyles count="7">
    <cellStyle name="Comma" xfId="1" builtinId="3"/>
    <cellStyle name="Comma0 - Style5" xfId="4" xr:uid="{1397E544-7A5D-4627-82CA-446E9A855C6D}"/>
    <cellStyle name="Currency" xfId="3" builtinId="4"/>
    <cellStyle name="Hyperlink" xfId="6" builtinId="8"/>
    <cellStyle name="Normal" xfId="0" builtinId="0"/>
    <cellStyle name="Percen - Style2" xfId="5" xr:uid="{A055BC95-278A-4F04-A738-FFE257F1BA8F}"/>
    <cellStyle name="Percent" xfId="2" builtinId="5"/>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447674</xdr:colOff>
      <xdr:row>33</xdr:row>
      <xdr:rowOff>53975</xdr:rowOff>
    </xdr:from>
    <xdr:to>
      <xdr:col>6</xdr:col>
      <xdr:colOff>177799</xdr:colOff>
      <xdr:row>35</xdr:row>
      <xdr:rowOff>149225</xdr:rowOff>
    </xdr:to>
    <xdr:pic>
      <xdr:nvPicPr>
        <xdr:cNvPr id="3" name="Picture 2" descr="Horse.bmp">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2124074" y="7235825"/>
          <a:ext cx="1781175"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11</xdr:col>
      <xdr:colOff>323850</xdr:colOff>
      <xdr:row>45</xdr:row>
      <xdr:rowOff>93576</xdr:rowOff>
    </xdr:to>
    <xdr:pic>
      <xdr:nvPicPr>
        <xdr:cNvPr id="2" name="Picture 1">
          <a:extLst>
            <a:ext uri="{FF2B5EF4-FFF2-40B4-BE49-F238E27FC236}">
              <a16:creationId xmlns:a16="http://schemas.microsoft.com/office/drawing/2014/main" id="{386AC9C4-AB50-3107-4D17-6183EAE4969F}"/>
            </a:ext>
          </a:extLst>
        </xdr:cNvPr>
        <xdr:cNvPicPr>
          <a:picLocks noChangeAspect="1"/>
        </xdr:cNvPicPr>
      </xdr:nvPicPr>
      <xdr:blipFill>
        <a:blip xmlns:r="http://schemas.openxmlformats.org/officeDocument/2006/relationships" r:embed="rId1"/>
        <a:stretch>
          <a:fillRect/>
        </a:stretch>
      </xdr:blipFill>
      <xdr:spPr>
        <a:xfrm>
          <a:off x="609600" y="381000"/>
          <a:ext cx="6419850" cy="828507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philadelphiafed.org/research-and-data/real-time-center/livingston-survey" TargetMode="External"/><Relationship Id="rId13" Type="http://schemas.openxmlformats.org/officeDocument/2006/relationships/hyperlink" Target="https://www.federalreserve.gov/monetarypolicy/files/fomcprojtabl20231213.pdf" TargetMode="External"/><Relationship Id="rId3" Type="http://schemas.openxmlformats.org/officeDocument/2006/relationships/hyperlink" Target="http://www.worldbank.org/en/publication/global-economic-prospects" TargetMode="External"/><Relationship Id="rId7" Type="http://schemas.openxmlformats.org/officeDocument/2006/relationships/hyperlink" Target="https://www.philadelphiafed.org/surveys-and-data/real-time-data-research/survey-of-professional-forecasters" TargetMode="External"/><Relationship Id="rId12" Type="http://schemas.openxmlformats.org/officeDocument/2006/relationships/hyperlink" Target="https://www.federalreserve.gov/monetarypolicy/files/fomcprojtabl20231213.pdf" TargetMode="External"/><Relationship Id="rId2" Type="http://schemas.openxmlformats.org/officeDocument/2006/relationships/hyperlink" Target="http://www.federalreserve.gov/" TargetMode="External"/><Relationship Id="rId16" Type="http://schemas.openxmlformats.org/officeDocument/2006/relationships/printerSettings" Target="../printerSettings/printerSettings14.bin"/><Relationship Id="rId1" Type="http://schemas.openxmlformats.org/officeDocument/2006/relationships/hyperlink" Target="http://pages.stern.nyu.edu/~adamodar/New_Home_Page/valquestions/stablegrowthrate.htm" TargetMode="External"/><Relationship Id="rId6" Type="http://schemas.openxmlformats.org/officeDocument/2006/relationships/hyperlink" Target="https://www.cbo.gov/about/products/budget-economic-data" TargetMode="External"/><Relationship Id="rId11" Type="http://schemas.openxmlformats.org/officeDocument/2006/relationships/hyperlink" Target="https://www.cbo.gov/system/files/2021-02/56970-Outlook.p" TargetMode="External"/><Relationship Id="rId5" Type="http://schemas.openxmlformats.org/officeDocument/2006/relationships/hyperlink" Target="https://www.philadelphiafed.org/research-and-data/real-time-center/livingston-survey" TargetMode="External"/><Relationship Id="rId15" Type="http://schemas.openxmlformats.org/officeDocument/2006/relationships/hyperlink" Target="https://www.cbo.gov/publication/59933" TargetMode="External"/><Relationship Id="rId10" Type="http://schemas.openxmlformats.org/officeDocument/2006/relationships/hyperlink" Target="https://www.federalreserve.gov/datadownload/Preview.aspx?pi=400&amp;rel=H15&amp;preview=%20H15/H15/RIFLGFCY05_N.WF" TargetMode="External"/><Relationship Id="rId4" Type="http://schemas.openxmlformats.org/officeDocument/2006/relationships/hyperlink" Target="https://www.cbo.gov/publication/59933" TargetMode="External"/><Relationship Id="rId9" Type="http://schemas.openxmlformats.org/officeDocument/2006/relationships/hyperlink" Target="http://www.federalreserve.gov/Releases/H15/Current/" TargetMode="External"/><Relationship Id="rId14" Type="http://schemas.openxmlformats.org/officeDocument/2006/relationships/hyperlink" Target="https://www.philadelphiafed.org/-/media/frbp/assets/surveys-and-data/survey-of-professional-forecasters/2024/spfq124.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pages.stern.nyu.edu/~adamodar/New_Home_Page/datacurrent.html" TargetMode="External"/><Relationship Id="rId2" Type="http://schemas.openxmlformats.org/officeDocument/2006/relationships/hyperlink" Target="https://www.bvresources.com/products/faqs/cost-of-capital-professional" TargetMode="External"/><Relationship Id="rId1" Type="http://schemas.openxmlformats.org/officeDocument/2006/relationships/hyperlink" Target="https://simplywall.st/stocks/us/transportation" TargetMode="External"/><Relationship Id="rId6" Type="http://schemas.openxmlformats.org/officeDocument/2006/relationships/printerSettings" Target="../printerSettings/printerSettings16.bin"/><Relationship Id="rId5" Type="http://schemas.openxmlformats.org/officeDocument/2006/relationships/hyperlink" Target="https://papers.ssrn.com/sol3/papers.cfm?abstract_id=4407839" TargetMode="External"/><Relationship Id="rId4" Type="http://schemas.openxmlformats.org/officeDocument/2006/relationships/hyperlink" Target="https://www.richmondfed.org/research/national_economy/cfo_survey"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M37"/>
  <sheetViews>
    <sheetView view="pageBreakPreview" zoomScale="60" zoomScaleNormal="100" workbookViewId="0">
      <selection activeCell="A10" sqref="A10"/>
    </sheetView>
  </sheetViews>
  <sheetFormatPr defaultRowHeight="15"/>
  <cols>
    <col min="5" max="5" width="12.28515625" customWidth="1"/>
    <col min="9" max="9" width="16.42578125" customWidth="1"/>
  </cols>
  <sheetData>
    <row r="1" spans="1:13" ht="18.75">
      <c r="A1" s="479" t="s">
        <v>0</v>
      </c>
      <c r="B1" s="480"/>
      <c r="C1" s="480"/>
      <c r="D1" s="480"/>
      <c r="E1" s="480"/>
      <c r="F1" s="480"/>
      <c r="G1" s="480"/>
      <c r="H1" s="480"/>
      <c r="I1" s="480"/>
    </row>
    <row r="5" spans="1:13" ht="27">
      <c r="E5" s="481" t="s">
        <v>0</v>
      </c>
      <c r="F5" s="482"/>
      <c r="G5" s="482"/>
      <c r="H5" s="482"/>
      <c r="I5" s="482"/>
      <c r="J5" s="482"/>
      <c r="K5" s="482"/>
      <c r="L5" s="482"/>
      <c r="M5" s="482"/>
    </row>
    <row r="7" spans="1:13" ht="27">
      <c r="A7" s="483" t="s">
        <v>30</v>
      </c>
      <c r="B7" s="484"/>
      <c r="C7" s="484"/>
      <c r="D7" s="484"/>
      <c r="E7" s="484"/>
      <c r="F7" s="484"/>
      <c r="G7" s="484"/>
      <c r="H7" s="484"/>
      <c r="I7" s="484"/>
    </row>
    <row r="8" spans="1:13" ht="27">
      <c r="A8" s="6"/>
      <c r="B8" s="7"/>
      <c r="C8" s="7"/>
      <c r="D8" s="7"/>
      <c r="E8" s="481" t="s">
        <v>0</v>
      </c>
      <c r="F8" s="482"/>
      <c r="G8" s="482"/>
      <c r="H8" s="482"/>
      <c r="I8" s="482"/>
      <c r="J8" s="482"/>
      <c r="K8" s="482"/>
      <c r="L8" s="482"/>
      <c r="M8" s="482"/>
    </row>
    <row r="9" spans="1:13" ht="27">
      <c r="A9" s="481" t="s">
        <v>450</v>
      </c>
      <c r="B9" s="482"/>
      <c r="C9" s="482"/>
      <c r="D9" s="482"/>
      <c r="E9" s="482"/>
      <c r="F9" s="482"/>
      <c r="G9" s="482"/>
      <c r="H9" s="482"/>
      <c r="I9" s="482"/>
    </row>
    <row r="15" spans="1:13">
      <c r="A15" s="476" t="s">
        <v>0</v>
      </c>
      <c r="B15" s="477"/>
      <c r="C15" s="477"/>
      <c r="D15" s="477"/>
      <c r="E15" s="477"/>
      <c r="F15" s="477"/>
      <c r="G15" s="477"/>
      <c r="H15" s="477"/>
      <c r="I15" s="477"/>
    </row>
    <row r="16" spans="1:13" ht="33.75">
      <c r="A16" s="474" t="str">
        <f>+'S&amp;D'!A12</f>
        <v>Air Freight Carriers</v>
      </c>
      <c r="B16" s="475"/>
      <c r="C16" s="475"/>
      <c r="D16" s="475"/>
      <c r="E16" s="475"/>
      <c r="F16" s="475"/>
      <c r="G16" s="475"/>
      <c r="H16" s="475"/>
      <c r="I16" s="475"/>
    </row>
    <row r="17" spans="1:9">
      <c r="A17" s="476" t="s">
        <v>0</v>
      </c>
      <c r="B17" s="477"/>
      <c r="C17" s="477"/>
      <c r="D17" s="477"/>
      <c r="E17" s="477"/>
      <c r="F17" s="477"/>
      <c r="G17" s="477"/>
      <c r="H17" s="477"/>
      <c r="I17" s="477"/>
    </row>
    <row r="18" spans="1:9">
      <c r="A18" s="8"/>
      <c r="B18" s="9"/>
      <c r="C18" s="9"/>
      <c r="D18" s="9"/>
      <c r="E18" s="9"/>
      <c r="F18" s="9"/>
      <c r="G18" s="9"/>
      <c r="H18" s="9"/>
      <c r="I18" s="9"/>
    </row>
    <row r="19" spans="1:9">
      <c r="A19" s="8"/>
      <c r="B19" s="9"/>
      <c r="C19" s="9"/>
      <c r="D19" s="9"/>
      <c r="E19" s="9"/>
      <c r="F19" s="9"/>
      <c r="G19" s="9"/>
      <c r="H19" s="9"/>
      <c r="I19" s="9"/>
    </row>
    <row r="20" spans="1:9">
      <c r="A20" s="8"/>
      <c r="B20" s="9"/>
      <c r="C20" s="9"/>
      <c r="D20" s="9"/>
      <c r="E20" s="9"/>
      <c r="F20" s="9"/>
      <c r="G20" s="9"/>
      <c r="H20" s="9"/>
      <c r="I20" s="9"/>
    </row>
    <row r="21" spans="1:9">
      <c r="A21" s="8"/>
      <c r="B21" s="9"/>
      <c r="C21" s="9"/>
      <c r="D21" s="9"/>
      <c r="E21" s="9"/>
      <c r="F21" s="9"/>
      <c r="G21" s="9"/>
      <c r="H21" s="9"/>
      <c r="I21" s="9"/>
    </row>
    <row r="22" spans="1:9">
      <c r="A22" s="8"/>
      <c r="B22" s="9"/>
      <c r="C22" s="9"/>
      <c r="D22" s="9"/>
      <c r="E22" s="9"/>
      <c r="F22" s="9"/>
      <c r="G22" s="9"/>
      <c r="H22" s="9"/>
      <c r="I22" s="9"/>
    </row>
    <row r="23" spans="1:9">
      <c r="A23" s="8"/>
      <c r="B23" s="9"/>
      <c r="C23" s="9"/>
      <c r="D23" s="9"/>
      <c r="E23" s="9"/>
      <c r="F23" s="9"/>
      <c r="G23" s="9"/>
      <c r="H23" s="9"/>
      <c r="I23" s="9"/>
    </row>
    <row r="24" spans="1:9">
      <c r="A24" s="8"/>
      <c r="B24" s="9"/>
      <c r="C24" s="9"/>
      <c r="D24" s="9"/>
      <c r="E24" s="9"/>
      <c r="F24" s="9"/>
      <c r="G24" s="9"/>
      <c r="H24" s="9"/>
      <c r="I24" s="9"/>
    </row>
    <row r="25" spans="1:9">
      <c r="A25" s="8"/>
      <c r="B25" s="9"/>
      <c r="C25" s="9"/>
      <c r="D25" s="9"/>
      <c r="E25" s="9"/>
      <c r="F25" s="9"/>
      <c r="G25" s="9"/>
      <c r="H25" s="9"/>
      <c r="I25" s="9"/>
    </row>
    <row r="26" spans="1:9">
      <c r="A26" s="8"/>
      <c r="B26" s="9"/>
      <c r="C26" s="9"/>
      <c r="D26" s="9"/>
      <c r="E26" s="9"/>
      <c r="F26" s="9"/>
      <c r="G26" s="9"/>
      <c r="H26" s="9"/>
      <c r="I26" s="9"/>
    </row>
    <row r="27" spans="1:9">
      <c r="A27" s="8"/>
      <c r="B27" s="9"/>
      <c r="C27" s="9"/>
      <c r="D27" s="9"/>
      <c r="E27" s="9"/>
      <c r="F27" s="9"/>
      <c r="G27" s="9"/>
      <c r="H27" s="9"/>
      <c r="I27" s="9"/>
    </row>
    <row r="28" spans="1:9">
      <c r="A28" s="8"/>
      <c r="B28" s="9"/>
      <c r="C28" s="9"/>
      <c r="D28" s="9"/>
      <c r="E28" s="9"/>
      <c r="F28" s="9"/>
      <c r="G28" s="9"/>
      <c r="H28" s="9"/>
      <c r="I28" s="9"/>
    </row>
    <row r="29" spans="1:9">
      <c r="A29" s="476" t="s">
        <v>0</v>
      </c>
      <c r="B29" s="477"/>
      <c r="C29" s="477"/>
      <c r="D29" s="477"/>
      <c r="E29" s="477"/>
      <c r="F29" s="477"/>
      <c r="G29" s="477"/>
      <c r="H29" s="477"/>
      <c r="I29" s="477"/>
    </row>
    <row r="34" spans="1:9">
      <c r="A34" s="478"/>
      <c r="B34" s="478"/>
      <c r="C34" s="478"/>
      <c r="D34" s="478"/>
      <c r="E34" s="478"/>
      <c r="F34" s="478"/>
      <c r="G34" s="478"/>
      <c r="H34" s="478"/>
      <c r="I34" s="478"/>
    </row>
    <row r="35" spans="1:9">
      <c r="A35" s="478"/>
      <c r="B35" s="478"/>
      <c r="C35" s="478"/>
      <c r="D35" s="478"/>
      <c r="E35" s="478"/>
      <c r="F35" s="478"/>
      <c r="G35" s="478"/>
      <c r="H35" s="478"/>
      <c r="I35" s="478"/>
    </row>
    <row r="36" spans="1:9">
      <c r="A36" s="478"/>
      <c r="B36" s="478"/>
      <c r="C36" s="478"/>
      <c r="D36" s="478"/>
      <c r="E36" s="478"/>
      <c r="F36" s="478"/>
      <c r="G36" s="478"/>
      <c r="H36" s="478"/>
      <c r="I36" s="478"/>
    </row>
    <row r="37" spans="1:9">
      <c r="A37" s="478"/>
      <c r="B37" s="478"/>
      <c r="C37" s="478"/>
      <c r="D37" s="478"/>
      <c r="E37" s="478"/>
      <c r="F37" s="478"/>
      <c r="G37" s="478"/>
      <c r="H37" s="478"/>
      <c r="I37" s="478"/>
    </row>
  </sheetData>
  <mergeCells count="10">
    <mergeCell ref="A16:I16"/>
    <mergeCell ref="A17:I17"/>
    <mergeCell ref="A29:I29"/>
    <mergeCell ref="A34:I37"/>
    <mergeCell ref="A1:I1"/>
    <mergeCell ref="E5:M5"/>
    <mergeCell ref="A7:I7"/>
    <mergeCell ref="E8:M8"/>
    <mergeCell ref="A9:I9"/>
    <mergeCell ref="A15:I15"/>
  </mergeCells>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7977D-79F8-4597-B6CD-EDBA2BDD7D4C}">
  <sheetPr codeName="Sheet10">
    <tabColor rgb="FF92D050"/>
  </sheetPr>
  <dimension ref="A1:L35"/>
  <sheetViews>
    <sheetView view="pageBreakPreview" zoomScale="70" zoomScaleNormal="80" zoomScaleSheetLayoutView="70" workbookViewId="0">
      <selection activeCell="J30" sqref="J30"/>
    </sheetView>
  </sheetViews>
  <sheetFormatPr defaultRowHeight="15"/>
  <cols>
    <col min="1" max="1" width="48.28515625" customWidth="1"/>
    <col min="2" max="2" width="10.85546875" bestFit="1" customWidth="1"/>
    <col min="3" max="3" width="23" customWidth="1"/>
    <col min="4" max="4" width="21.7109375" customWidth="1"/>
    <col min="5" max="5" width="24.140625" customWidth="1"/>
    <col min="6" max="6" width="22.28515625" customWidth="1"/>
    <col min="7" max="7" width="23.85546875" customWidth="1"/>
    <col min="8" max="8" width="22.7109375" customWidth="1"/>
    <col min="9" max="9" width="15" customWidth="1"/>
    <col min="10" max="10" width="14.140625" bestFit="1" customWidth="1"/>
    <col min="12" max="12" width="14.85546875" bestFit="1" customWidth="1"/>
  </cols>
  <sheetData>
    <row r="1" spans="1:11" ht="26.25">
      <c r="A1" s="21" t="s">
        <v>1</v>
      </c>
      <c r="B1" s="10"/>
      <c r="C1" s="10"/>
      <c r="D1" s="10"/>
      <c r="E1" s="10"/>
      <c r="F1" s="10"/>
      <c r="G1" s="10"/>
      <c r="H1" s="10"/>
      <c r="I1" s="10"/>
      <c r="J1" s="10"/>
      <c r="K1" s="10"/>
    </row>
    <row r="2" spans="1:11" ht="17.25">
      <c r="A2" s="22" t="s">
        <v>9</v>
      </c>
      <c r="B2" s="10"/>
      <c r="C2" s="10"/>
      <c r="D2" s="10"/>
      <c r="E2" s="10"/>
      <c r="F2" s="10"/>
      <c r="G2" s="10"/>
      <c r="H2" s="10"/>
      <c r="I2" s="10"/>
      <c r="J2" s="10"/>
      <c r="K2" s="10"/>
    </row>
    <row r="3" spans="1:11" ht="16.5">
      <c r="A3" s="23" t="s">
        <v>451</v>
      </c>
      <c r="B3" s="10"/>
      <c r="C3" s="10"/>
      <c r="D3" s="10"/>
      <c r="E3" s="10"/>
      <c r="F3" s="10"/>
      <c r="G3" s="10"/>
      <c r="H3" s="10"/>
      <c r="I3" s="10"/>
      <c r="J3" s="10"/>
      <c r="K3" s="10"/>
    </row>
    <row r="4" spans="1:11" ht="16.5">
      <c r="A4" s="23"/>
      <c r="B4" s="10"/>
      <c r="C4" s="10"/>
      <c r="D4" s="10"/>
      <c r="E4" s="10"/>
      <c r="F4" s="10"/>
      <c r="G4" s="10"/>
      <c r="H4" s="10"/>
      <c r="I4" s="10"/>
      <c r="J4" s="10"/>
      <c r="K4" s="10"/>
    </row>
    <row r="5" spans="1:11" ht="17.25" thickBot="1">
      <c r="A5" s="10"/>
      <c r="B5" s="10"/>
      <c r="C5" s="10"/>
      <c r="D5" s="10"/>
      <c r="E5" s="10"/>
      <c r="F5" s="24" t="s">
        <v>0</v>
      </c>
      <c r="G5" s="24"/>
      <c r="H5" s="10"/>
      <c r="I5" s="10"/>
      <c r="J5" s="10"/>
      <c r="K5" s="10"/>
    </row>
    <row r="6" spans="1:11" ht="21" thickBot="1">
      <c r="A6" s="259" t="str">
        <f>+'S&amp;D'!A12</f>
        <v>Air Freight Carriers</v>
      </c>
      <c r="B6" s="193"/>
      <c r="C6" s="46"/>
      <c r="D6" s="26"/>
      <c r="E6" s="26"/>
      <c r="F6" s="26"/>
      <c r="G6" s="10"/>
      <c r="H6" s="10"/>
      <c r="I6" s="10"/>
      <c r="J6" s="10"/>
      <c r="K6" s="10"/>
    </row>
    <row r="7" spans="1:11" ht="26.25">
      <c r="A7" s="28"/>
      <c r="B7" s="10"/>
      <c r="C7" s="10"/>
      <c r="D7" s="10"/>
      <c r="E7" s="29" t="s">
        <v>191</v>
      </c>
      <c r="F7" s="10"/>
      <c r="G7" s="10"/>
      <c r="H7" s="10"/>
      <c r="I7" s="10"/>
      <c r="J7" s="10"/>
      <c r="K7" s="10"/>
    </row>
    <row r="8" spans="1:11" ht="17.25" thickBot="1">
      <c r="A8" s="38" t="s">
        <v>0</v>
      </c>
      <c r="B8" s="38" t="s">
        <v>0</v>
      </c>
      <c r="C8" s="38" t="s">
        <v>0</v>
      </c>
      <c r="D8" s="31" t="s">
        <v>0</v>
      </c>
      <c r="E8" s="30" t="s">
        <v>452</v>
      </c>
      <c r="F8" s="31" t="s">
        <v>0</v>
      </c>
      <c r="G8" s="38"/>
      <c r="H8" s="38" t="s">
        <v>0</v>
      </c>
      <c r="I8" s="38" t="s">
        <v>0</v>
      </c>
      <c r="J8" s="10"/>
      <c r="K8" s="10"/>
    </row>
    <row r="9" spans="1:11" ht="16.5">
      <c r="A9" s="38"/>
      <c r="B9" s="38"/>
      <c r="H9" s="38"/>
      <c r="I9" s="38"/>
      <c r="J9" s="10"/>
      <c r="K9" s="10"/>
    </row>
    <row r="10" spans="1:11" ht="16.5">
      <c r="A10" s="38"/>
      <c r="B10" s="38"/>
      <c r="C10" t="s">
        <v>0</v>
      </c>
      <c r="D10" t="s">
        <v>0</v>
      </c>
      <c r="E10" s="11" t="s">
        <v>0</v>
      </c>
      <c r="H10" s="38"/>
      <c r="I10" s="38"/>
      <c r="J10" s="10"/>
      <c r="K10" s="10"/>
    </row>
    <row r="11" spans="1:11" ht="16.5">
      <c r="A11" s="38"/>
      <c r="B11" s="38"/>
      <c r="E11" t="s">
        <v>0</v>
      </c>
      <c r="G11" t="s">
        <v>0</v>
      </c>
      <c r="H11" s="38"/>
      <c r="I11" s="38"/>
      <c r="J11" s="10"/>
      <c r="K11" s="10"/>
    </row>
    <row r="12" spans="1:11" ht="17.25" thickBot="1">
      <c r="A12" s="31"/>
      <c r="B12" s="31"/>
      <c r="C12" s="146"/>
      <c r="D12" s="146"/>
      <c r="E12" s="146"/>
      <c r="F12" s="146"/>
      <c r="G12" s="146"/>
      <c r="H12" s="31"/>
      <c r="I12" s="31"/>
      <c r="J12" s="26"/>
      <c r="K12" s="10"/>
    </row>
    <row r="13" spans="1:11" ht="11.25" customHeight="1" thickBot="1">
      <c r="A13" s="31" t="s">
        <v>24</v>
      </c>
      <c r="B13" s="31" t="s">
        <v>88</v>
      </c>
      <c r="C13" s="31" t="s">
        <v>89</v>
      </c>
      <c r="D13" s="39" t="s">
        <v>90</v>
      </c>
      <c r="E13" s="31" t="s">
        <v>91</v>
      </c>
      <c r="F13" s="31" t="s">
        <v>92</v>
      </c>
      <c r="G13" s="31" t="s">
        <v>93</v>
      </c>
      <c r="H13" s="31" t="s">
        <v>94</v>
      </c>
      <c r="I13" s="31" t="s">
        <v>95</v>
      </c>
      <c r="J13" s="31" t="s">
        <v>96</v>
      </c>
      <c r="K13" s="10"/>
    </row>
    <row r="14" spans="1:11" ht="16.5">
      <c r="A14" s="32" t="s">
        <v>0</v>
      </c>
      <c r="B14" s="32" t="s">
        <v>3</v>
      </c>
      <c r="C14" s="32" t="s">
        <v>83</v>
      </c>
      <c r="D14" s="32" t="s">
        <v>116</v>
      </c>
      <c r="E14" s="32" t="s">
        <v>117</v>
      </c>
      <c r="F14" s="32" t="s">
        <v>116</v>
      </c>
      <c r="G14" s="32" t="s">
        <v>117</v>
      </c>
      <c r="H14" s="32" t="s">
        <v>19</v>
      </c>
      <c r="I14" s="32" t="s">
        <v>118</v>
      </c>
      <c r="J14" s="32" t="s">
        <v>130</v>
      </c>
      <c r="K14" s="10"/>
    </row>
    <row r="15" spans="1:11" ht="17.25" thickBot="1">
      <c r="A15" s="34" t="s">
        <v>2</v>
      </c>
      <c r="B15" s="34" t="s">
        <v>4</v>
      </c>
      <c r="C15" s="34" t="s">
        <v>115</v>
      </c>
      <c r="D15" s="34" t="s">
        <v>82</v>
      </c>
      <c r="E15" s="34" t="s">
        <v>82</v>
      </c>
      <c r="F15" s="34" t="s">
        <v>83</v>
      </c>
      <c r="G15" s="34" t="s">
        <v>83</v>
      </c>
      <c r="H15" s="34" t="s">
        <v>116</v>
      </c>
      <c r="I15" s="34" t="s">
        <v>119</v>
      </c>
      <c r="J15" s="34" t="s">
        <v>129</v>
      </c>
      <c r="K15" s="10"/>
    </row>
    <row r="16" spans="1:11" ht="16.5">
      <c r="A16" s="40" t="s">
        <v>7</v>
      </c>
      <c r="B16" s="40" t="s">
        <v>7</v>
      </c>
      <c r="C16" s="40" t="s">
        <v>132</v>
      </c>
      <c r="D16" s="40" t="s">
        <v>132</v>
      </c>
      <c r="E16" s="40" t="s">
        <v>132</v>
      </c>
      <c r="F16" s="40" t="s">
        <v>132</v>
      </c>
      <c r="G16" s="40" t="s">
        <v>132</v>
      </c>
      <c r="H16" s="40" t="s">
        <v>121</v>
      </c>
      <c r="I16" s="40" t="s">
        <v>120</v>
      </c>
      <c r="J16" s="40" t="s">
        <v>98</v>
      </c>
      <c r="K16" s="10"/>
    </row>
    <row r="17" spans="1:12" ht="16.5">
      <c r="A17" s="32"/>
      <c r="B17" s="32"/>
      <c r="C17" s="32"/>
      <c r="D17" s="32"/>
      <c r="E17" s="32"/>
      <c r="F17" s="32"/>
      <c r="G17" s="32"/>
      <c r="H17" s="32"/>
      <c r="I17" s="32"/>
      <c r="J17" s="32"/>
      <c r="K17" s="10"/>
    </row>
    <row r="18" spans="1:12" ht="16.5">
      <c r="A18" s="10"/>
      <c r="B18" s="10"/>
      <c r="C18" s="10"/>
      <c r="D18" s="10"/>
      <c r="E18" s="10"/>
      <c r="F18" s="10"/>
      <c r="G18" s="10"/>
      <c r="H18" s="10"/>
      <c r="I18" s="10"/>
      <c r="J18" s="10"/>
      <c r="K18" s="10"/>
    </row>
    <row r="19" spans="1:12" ht="17.25">
      <c r="A19" s="60" t="str">
        <f>+'S&amp;D'!A22</f>
        <v>Air Transport Services Group</v>
      </c>
      <c r="B19" s="86" t="str">
        <f>+'S&amp;D'!B22</f>
        <v>ATSG</v>
      </c>
      <c r="C19" s="340">
        <v>72704000</v>
      </c>
      <c r="D19" s="415">
        <v>1762300000</v>
      </c>
      <c r="E19" s="130">
        <f>1464285000+639000</f>
        <v>1464924000</v>
      </c>
      <c r="F19" s="130">
        <f>+'S&amp;D'!H34</f>
        <v>1704176859.3078027</v>
      </c>
      <c r="G19" s="130">
        <f>+'S&amp;D'!J22</f>
        <v>1762282000</v>
      </c>
      <c r="H19" s="183">
        <f>(D19+F19)/2</f>
        <v>1733238429.6539013</v>
      </c>
      <c r="I19" s="63">
        <f>C19/H19</f>
        <v>4.1946912067093833E-2</v>
      </c>
      <c r="J19" s="43">
        <f>F19/G19</f>
        <v>0.96702846610690152</v>
      </c>
      <c r="K19" s="10"/>
    </row>
    <row r="20" spans="1:12" ht="17.25">
      <c r="A20" s="60" t="str">
        <f>+'S&amp;D'!A23</f>
        <v xml:space="preserve">FedEx Corp </v>
      </c>
      <c r="B20" s="86" t="str">
        <f>+'S&amp;D'!B23</f>
        <v>FDX</v>
      </c>
      <c r="C20" s="340">
        <f>91000000+97000000+122000000+105000000</f>
        <v>415000000</v>
      </c>
      <c r="D20" s="293">
        <v>17575675127</v>
      </c>
      <c r="E20" s="340">
        <v>20248000000</v>
      </c>
      <c r="F20" s="340">
        <f>+'S&amp;D'!H35</f>
        <v>17817852791.878174</v>
      </c>
      <c r="G20" s="340">
        <f>+'S&amp;D'!J23</f>
        <v>20527000000</v>
      </c>
      <c r="H20" s="183">
        <f t="shared" ref="H20:H21" si="0">(D20+F20)/2</f>
        <v>17696763959.439087</v>
      </c>
      <c r="I20" s="63">
        <f t="shared" ref="I20:I21" si="1">C20/H20</f>
        <v>2.3450615092746808E-2</v>
      </c>
      <c r="J20" s="43">
        <f t="shared" ref="J20:J21" si="2">F20/G20</f>
        <v>0.86802030456852797</v>
      </c>
      <c r="K20" s="10"/>
      <c r="L20" t="s">
        <v>0</v>
      </c>
    </row>
    <row r="21" spans="1:12" ht="17.25">
      <c r="A21" s="60" t="str">
        <f>+'S&amp;D'!A24</f>
        <v xml:space="preserve">United Parcel Service </v>
      </c>
      <c r="B21" s="86" t="str">
        <f>+'S&amp;D'!B24</f>
        <v>UPS</v>
      </c>
      <c r="C21" s="340">
        <v>785000000</v>
      </c>
      <c r="D21" s="293">
        <v>18200000000</v>
      </c>
      <c r="E21" s="130">
        <v>19662000000</v>
      </c>
      <c r="F21" s="130">
        <f>+'S&amp;D'!H36</f>
        <v>20608524056.555794</v>
      </c>
      <c r="G21" s="130">
        <f>+'S&amp;D'!J24</f>
        <v>22264000000</v>
      </c>
      <c r="H21" s="183">
        <f t="shared" si="0"/>
        <v>19404262028.277897</v>
      </c>
      <c r="I21" s="63">
        <f t="shared" si="1"/>
        <v>4.0455029872098036E-2</v>
      </c>
      <c r="J21" s="43">
        <f t="shared" si="2"/>
        <v>0.92564337300376365</v>
      </c>
      <c r="K21" s="10"/>
    </row>
    <row r="22" spans="1:12" ht="17.25" thickBot="1">
      <c r="A22" s="10"/>
      <c r="B22" s="10"/>
      <c r="C22" s="44"/>
      <c r="D22" s="44"/>
      <c r="E22" s="44"/>
      <c r="F22" s="44"/>
      <c r="G22" s="44" t="s">
        <v>44</v>
      </c>
      <c r="H22" s="44"/>
      <c r="I22" s="44" t="s">
        <v>44</v>
      </c>
      <c r="J22" s="44"/>
      <c r="K22" s="10"/>
    </row>
    <row r="23" spans="1:12" ht="17.25" thickTop="1">
      <c r="A23" s="10"/>
      <c r="B23" s="10"/>
      <c r="C23" s="45" t="s">
        <v>0</v>
      </c>
      <c r="D23" s="45" t="s">
        <v>0</v>
      </c>
      <c r="E23" s="32" t="s">
        <v>0</v>
      </c>
      <c r="F23" s="32"/>
      <c r="G23" s="45" t="s">
        <v>0</v>
      </c>
      <c r="H23" s="12" t="s">
        <v>45</v>
      </c>
      <c r="I23" s="301">
        <f>MAX(I19:I21)</f>
        <v>4.1946912067093833E-2</v>
      </c>
      <c r="J23" s="346">
        <f>MAX(J19:J21)</f>
        <v>0.96702846610690152</v>
      </c>
      <c r="K23" s="10"/>
    </row>
    <row r="24" spans="1:12" ht="16.5">
      <c r="A24" s="184" t="s">
        <v>71</v>
      </c>
      <c r="B24" s="10"/>
      <c r="C24" s="45"/>
      <c r="D24" s="45" t="s">
        <v>0</v>
      </c>
      <c r="F24" s="32"/>
      <c r="G24" s="32" t="s">
        <v>0</v>
      </c>
      <c r="H24" s="314" t="s">
        <v>46</v>
      </c>
      <c r="I24" s="302">
        <f>MIN(I19:I21)</f>
        <v>2.3450615092746808E-2</v>
      </c>
      <c r="J24" s="345">
        <f>MIN(J19:J21)</f>
        <v>0.86802030456852797</v>
      </c>
      <c r="K24" s="10"/>
    </row>
    <row r="25" spans="1:12" ht="16.5">
      <c r="A25" s="185" t="s">
        <v>267</v>
      </c>
      <c r="B25" s="10"/>
      <c r="C25" s="10"/>
      <c r="D25" s="10"/>
      <c r="E25" s="10"/>
      <c r="F25" s="10"/>
      <c r="G25" s="10"/>
      <c r="H25" s="12" t="s">
        <v>18</v>
      </c>
      <c r="I25" s="53">
        <f>MEDIAN(I19:I21)</f>
        <v>4.0455029872098036E-2</v>
      </c>
      <c r="J25" s="46">
        <f>MEDIAN(J19:J21)</f>
        <v>0.92564337300376365</v>
      </c>
      <c r="K25" s="10"/>
    </row>
    <row r="26" spans="1:12" ht="16.5">
      <c r="A26" s="185" t="s">
        <v>236</v>
      </c>
      <c r="B26" s="10"/>
      <c r="C26" s="10"/>
      <c r="D26" s="10"/>
      <c r="E26" s="10"/>
      <c r="F26" s="10"/>
      <c r="G26" s="10"/>
      <c r="H26" s="12" t="s">
        <v>412</v>
      </c>
      <c r="I26" s="53">
        <f>AVERAGE(I19:I21)</f>
        <v>3.5284185677312889E-2</v>
      </c>
      <c r="J26" s="46">
        <f>AVERAGE(J19:J21)</f>
        <v>0.92023071455973104</v>
      </c>
      <c r="K26" s="10"/>
    </row>
    <row r="27" spans="1:12" ht="16.5">
      <c r="A27" s="185"/>
      <c r="B27" s="10"/>
      <c r="C27" s="10"/>
      <c r="D27" s="10"/>
      <c r="E27" s="10"/>
      <c r="F27" s="10"/>
      <c r="G27" s="10"/>
      <c r="H27" s="12" t="s">
        <v>413</v>
      </c>
      <c r="I27" s="53">
        <f>HARMEAN(I19:I21)</f>
        <v>3.2894279874510754E-2</v>
      </c>
      <c r="J27" s="46">
        <f>HARMEAN(J19:J21)</f>
        <v>0.91842202788189298</v>
      </c>
      <c r="K27" s="10"/>
    </row>
    <row r="28" spans="1:12" ht="17.25" thickBot="1">
      <c r="A28" s="10"/>
      <c r="B28" s="10"/>
      <c r="C28" s="10"/>
      <c r="D28" s="200" t="s">
        <v>0</v>
      </c>
      <c r="E28" s="200" t="s">
        <v>0</v>
      </c>
      <c r="F28" s="341" t="s">
        <v>0</v>
      </c>
      <c r="G28" s="200" t="s">
        <v>0</v>
      </c>
      <c r="H28" s="10"/>
      <c r="I28" s="10"/>
      <c r="J28" s="11"/>
      <c r="K28" s="10"/>
    </row>
    <row r="29" spans="1:12" ht="27" thickBot="1">
      <c r="A29" s="10"/>
      <c r="B29" s="10"/>
      <c r="C29" t="s">
        <v>0</v>
      </c>
      <c r="D29" t="s">
        <v>0</v>
      </c>
      <c r="F29" s="10"/>
      <c r="G29" s="188"/>
      <c r="H29" s="189" t="s">
        <v>243</v>
      </c>
      <c r="I29" s="397">
        <v>3.5299999999999998E-2</v>
      </c>
      <c r="J29" s="409">
        <v>9.2020000000000001E-3</v>
      </c>
      <c r="K29" s="10"/>
    </row>
    <row r="30" spans="1:12" ht="16.5">
      <c r="A30" s="10"/>
      <c r="B30" s="10"/>
      <c r="F30" s="10"/>
      <c r="G30" s="10"/>
      <c r="H30" s="10"/>
      <c r="I30" s="10"/>
      <c r="J30" s="10"/>
      <c r="K30" s="10"/>
    </row>
    <row r="31" spans="1:12" ht="16.5">
      <c r="A31" s="10"/>
      <c r="B31" s="10"/>
      <c r="C31" s="10"/>
      <c r="D31" s="10"/>
      <c r="E31" s="10"/>
      <c r="F31" s="10"/>
      <c r="G31" s="10"/>
      <c r="H31" s="10"/>
      <c r="I31" s="10"/>
      <c r="J31" s="10"/>
      <c r="K31" s="10"/>
    </row>
    <row r="35" spans="1:3" ht="16.5">
      <c r="A35" s="319" t="s">
        <v>0</v>
      </c>
      <c r="B35" s="344" t="s">
        <v>0</v>
      </c>
      <c r="C35" s="10"/>
    </row>
  </sheetData>
  <pageMargins left="0.25" right="0.25" top="0.75" bottom="0.75" header="0.3" footer="0.3"/>
  <pageSetup scale="56"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rgb="FF92D050"/>
  </sheetPr>
  <dimension ref="A1:M54"/>
  <sheetViews>
    <sheetView view="pageBreakPreview" topLeftCell="A26" zoomScale="60" zoomScaleNormal="80" workbookViewId="0">
      <selection activeCell="K31" sqref="K31"/>
    </sheetView>
  </sheetViews>
  <sheetFormatPr defaultRowHeight="15"/>
  <cols>
    <col min="1" max="1" width="39.7109375" customWidth="1"/>
    <col min="2" max="2" width="13.42578125" customWidth="1"/>
    <col min="3" max="3" width="19.140625" bestFit="1" customWidth="1"/>
    <col min="4" max="4" width="20.7109375" customWidth="1"/>
    <col min="5" max="5" width="21.85546875" customWidth="1"/>
    <col min="6" max="6" width="16.140625" customWidth="1"/>
    <col min="7" max="7" width="12.140625" customWidth="1"/>
    <col min="8" max="8" width="18.5703125" customWidth="1"/>
    <col min="9" max="9" width="19.28515625" customWidth="1"/>
    <col min="10" max="11" width="20.5703125" customWidth="1"/>
    <col min="12" max="12" width="26.5703125" customWidth="1"/>
    <col min="13" max="13" width="19.140625" customWidth="1"/>
  </cols>
  <sheetData>
    <row r="1" spans="1:13" ht="26.25">
      <c r="A1" s="21" t="s">
        <v>1</v>
      </c>
      <c r="B1" s="10"/>
      <c r="C1" s="10"/>
      <c r="D1" s="10"/>
      <c r="E1" s="10"/>
      <c r="F1" s="10"/>
      <c r="G1" s="10"/>
      <c r="H1" s="10"/>
      <c r="I1" s="10"/>
      <c r="J1" s="10"/>
      <c r="K1" s="10"/>
      <c r="L1" s="10"/>
      <c r="M1" s="10"/>
    </row>
    <row r="2" spans="1:13" ht="17.25">
      <c r="A2" s="22" t="s">
        <v>9</v>
      </c>
      <c r="B2" s="10"/>
      <c r="C2" s="10"/>
      <c r="D2" s="10"/>
      <c r="E2" s="10"/>
      <c r="F2" s="10"/>
      <c r="G2" s="10"/>
      <c r="H2" s="10"/>
      <c r="I2" s="10"/>
      <c r="J2" s="10"/>
      <c r="K2" s="10"/>
      <c r="L2" s="10"/>
      <c r="M2" s="10"/>
    </row>
    <row r="3" spans="1:13" ht="16.5">
      <c r="A3" s="23" t="s">
        <v>451</v>
      </c>
      <c r="B3" s="10"/>
      <c r="C3" s="10"/>
      <c r="D3" s="10"/>
      <c r="E3" s="10"/>
      <c r="F3" s="10"/>
      <c r="G3" s="10"/>
      <c r="H3" s="10"/>
      <c r="I3" s="10"/>
      <c r="J3" s="10"/>
      <c r="K3" s="10"/>
      <c r="L3" s="10"/>
      <c r="M3" s="10"/>
    </row>
    <row r="4" spans="1:13" ht="16.5">
      <c r="A4" s="23"/>
      <c r="B4" s="10"/>
      <c r="C4" s="10"/>
      <c r="D4" s="10"/>
      <c r="E4" s="10"/>
      <c r="F4" s="10"/>
      <c r="G4" s="10"/>
      <c r="H4" s="10"/>
      <c r="I4" s="10"/>
      <c r="J4" s="10"/>
      <c r="K4" s="10"/>
      <c r="L4" s="10"/>
      <c r="M4" s="10"/>
    </row>
    <row r="5" spans="1:13" ht="17.25" thickBot="1">
      <c r="A5" s="10"/>
      <c r="B5" s="10"/>
      <c r="C5" s="10"/>
      <c r="D5" s="10"/>
      <c r="E5" s="10"/>
      <c r="F5" s="10"/>
      <c r="G5" s="24"/>
      <c r="H5" s="24"/>
      <c r="I5" s="10"/>
      <c r="J5" s="10"/>
      <c r="K5" s="10"/>
      <c r="L5" s="10"/>
      <c r="M5" s="10"/>
    </row>
    <row r="6" spans="1:13" ht="21" thickBot="1">
      <c r="A6" s="259" t="str">
        <f>+'S&amp;D'!A12</f>
        <v>Air Freight Carriers</v>
      </c>
      <c r="B6" s="193"/>
      <c r="C6" s="10"/>
      <c r="D6" s="26"/>
      <c r="E6" s="26"/>
      <c r="F6" s="27" t="s">
        <v>0</v>
      </c>
      <c r="G6" s="10"/>
      <c r="H6" s="10"/>
      <c r="I6" s="10"/>
      <c r="J6" s="10"/>
      <c r="K6" s="10"/>
      <c r="L6" s="10"/>
      <c r="M6" s="10"/>
    </row>
    <row r="7" spans="1:13" ht="26.25">
      <c r="A7" s="28"/>
      <c r="B7" s="10"/>
      <c r="C7" s="10"/>
      <c r="D7" s="10"/>
      <c r="E7" s="29" t="s">
        <v>128</v>
      </c>
      <c r="F7" s="10"/>
      <c r="G7" s="10"/>
      <c r="H7" s="10"/>
      <c r="I7" s="10"/>
      <c r="J7" s="10"/>
      <c r="K7" s="10"/>
      <c r="L7" s="10"/>
      <c r="M7" s="10"/>
    </row>
    <row r="8" spans="1:13" ht="21" thickBot="1">
      <c r="A8" s="28"/>
      <c r="B8" s="10"/>
      <c r="C8" s="10"/>
      <c r="D8" s="26"/>
      <c r="E8" s="30" t="s">
        <v>452</v>
      </c>
      <c r="F8" s="26"/>
      <c r="G8" s="10"/>
      <c r="H8" s="10"/>
      <c r="I8" s="10"/>
      <c r="J8" s="10"/>
      <c r="K8" s="10"/>
      <c r="L8" s="10"/>
      <c r="M8" s="10"/>
    </row>
    <row r="9" spans="1:13" ht="17.25" thickBot="1">
      <c r="A9" s="31" t="s">
        <v>0</v>
      </c>
      <c r="B9" s="31" t="s">
        <v>0</v>
      </c>
      <c r="C9" s="31" t="s">
        <v>0</v>
      </c>
      <c r="D9" s="31" t="s">
        <v>0</v>
      </c>
      <c r="E9" s="31" t="s">
        <v>0</v>
      </c>
      <c r="F9" s="31" t="s">
        <v>0</v>
      </c>
      <c r="G9" s="31"/>
      <c r="H9" s="31"/>
      <c r="I9" s="31" t="s">
        <v>0</v>
      </c>
      <c r="J9" s="26"/>
      <c r="L9" s="10"/>
      <c r="M9" s="10"/>
    </row>
    <row r="10" spans="1:13" ht="16.5">
      <c r="A10" s="32" t="s">
        <v>0</v>
      </c>
      <c r="B10" s="32" t="s">
        <v>3</v>
      </c>
      <c r="C10" s="32" t="s">
        <v>5</v>
      </c>
      <c r="D10" s="32" t="s">
        <v>21</v>
      </c>
      <c r="E10" s="32" t="s">
        <v>20</v>
      </c>
      <c r="F10" s="32" t="s">
        <v>50</v>
      </c>
      <c r="G10" s="32" t="s">
        <v>131</v>
      </c>
      <c r="H10" s="32" t="s">
        <v>47</v>
      </c>
      <c r="I10" s="32" t="s">
        <v>131</v>
      </c>
      <c r="J10" s="32" t="s">
        <v>47</v>
      </c>
      <c r="L10" s="10"/>
      <c r="M10" s="10"/>
    </row>
    <row r="11" spans="1:13" ht="17.25" thickBot="1">
      <c r="A11" s="34" t="s">
        <v>2</v>
      </c>
      <c r="B11" s="34" t="s">
        <v>4</v>
      </c>
      <c r="C11" s="34" t="s">
        <v>6</v>
      </c>
      <c r="D11" s="34" t="s">
        <v>23</v>
      </c>
      <c r="E11" s="34" t="s">
        <v>22</v>
      </c>
      <c r="F11" s="34" t="s">
        <v>48</v>
      </c>
      <c r="G11" s="34" t="s">
        <v>48</v>
      </c>
      <c r="H11" s="34" t="s">
        <v>48</v>
      </c>
      <c r="I11" s="34" t="s">
        <v>48</v>
      </c>
      <c r="J11" s="34" t="s">
        <v>49</v>
      </c>
      <c r="L11" s="10"/>
      <c r="M11" s="10"/>
    </row>
    <row r="12" spans="1:13" ht="16.5">
      <c r="A12" s="36" t="s">
        <v>7</v>
      </c>
      <c r="B12" s="36" t="s">
        <v>7</v>
      </c>
      <c r="C12" s="36" t="s">
        <v>7</v>
      </c>
      <c r="D12" s="36" t="s">
        <v>7</v>
      </c>
      <c r="E12" s="36" t="s">
        <v>7</v>
      </c>
      <c r="F12" s="36" t="s">
        <v>0</v>
      </c>
      <c r="G12" s="36" t="s">
        <v>0</v>
      </c>
      <c r="H12" s="36" t="s">
        <v>0</v>
      </c>
      <c r="I12" s="36" t="s">
        <v>0</v>
      </c>
      <c r="J12" s="36" t="s">
        <v>0</v>
      </c>
      <c r="L12" s="10"/>
      <c r="M12" s="10"/>
    </row>
    <row r="13" spans="1:13" ht="16.5">
      <c r="A13" s="32"/>
      <c r="B13" s="32"/>
      <c r="C13" s="32"/>
      <c r="D13" s="32"/>
      <c r="E13" s="32"/>
      <c r="F13" s="32"/>
      <c r="G13" s="32"/>
      <c r="H13" s="32"/>
      <c r="I13" s="32"/>
      <c r="J13" s="32"/>
      <c r="L13" s="10"/>
      <c r="M13" s="10"/>
    </row>
    <row r="14" spans="1:13" ht="16.5">
      <c r="A14" s="10"/>
      <c r="B14" s="10"/>
      <c r="C14" s="10"/>
      <c r="D14" s="10"/>
      <c r="E14" s="10"/>
      <c r="F14" s="10"/>
      <c r="G14" s="10"/>
      <c r="H14" s="10"/>
      <c r="I14" s="10"/>
      <c r="J14" s="10"/>
      <c r="L14" s="10"/>
      <c r="M14" s="10"/>
    </row>
    <row r="15" spans="1:13" ht="17.25">
      <c r="A15" s="60" t="str">
        <f>+'S&amp;D'!A22</f>
        <v>Air Transport Services Group</v>
      </c>
      <c r="B15" s="86" t="str">
        <f>+'S&amp;D'!B22</f>
        <v>ATSG</v>
      </c>
      <c r="C15" s="32" t="str">
        <f>+'S&amp;D'!C22</f>
        <v>Air Trans</v>
      </c>
      <c r="D15" s="51">
        <f>+'Beta for CAPM'!D18</f>
        <v>0.24</v>
      </c>
      <c r="E15" s="32" t="str">
        <f>+'Beta for CAPM'!G18</f>
        <v>B+</v>
      </c>
      <c r="F15" s="343" t="s">
        <v>329</v>
      </c>
      <c r="G15" s="281">
        <v>13</v>
      </c>
      <c r="H15" s="59" t="s">
        <v>56</v>
      </c>
      <c r="I15" s="384">
        <v>13</v>
      </c>
      <c r="J15" s="63">
        <v>6.8500000000000005E-2</v>
      </c>
      <c r="L15" s="10"/>
      <c r="M15" s="10"/>
    </row>
    <row r="16" spans="1:13" ht="17.25">
      <c r="A16" s="60" t="str">
        <f>+'S&amp;D'!A23</f>
        <v xml:space="preserve">FedEx Corp </v>
      </c>
      <c r="B16" s="86" t="str">
        <f>+'S&amp;D'!B23</f>
        <v>FDX</v>
      </c>
      <c r="C16" s="32" t="str">
        <f>+'S&amp;D'!C23</f>
        <v>Air Trans</v>
      </c>
      <c r="D16" s="51">
        <f>+'Beta for CAPM'!D19</f>
        <v>0.25</v>
      </c>
      <c r="E16" s="32" t="str">
        <f>+'Beta for CAPM'!G19</f>
        <v>A+</v>
      </c>
      <c r="F16" s="32" t="s">
        <v>491</v>
      </c>
      <c r="G16" s="384">
        <v>11</v>
      </c>
      <c r="H16" s="59" t="s">
        <v>492</v>
      </c>
      <c r="I16" s="384">
        <v>14</v>
      </c>
      <c r="J16" s="63">
        <v>6.8500000000000005E-2</v>
      </c>
      <c r="K16" t="s">
        <v>0</v>
      </c>
      <c r="L16" s="10" t="s">
        <v>0</v>
      </c>
      <c r="M16" s="10"/>
    </row>
    <row r="17" spans="1:13" ht="17.25">
      <c r="A17" s="60" t="str">
        <f>+'S&amp;D'!A24</f>
        <v xml:space="preserve">United Parcel Service </v>
      </c>
      <c r="B17" s="86" t="str">
        <f>+'S&amp;D'!B24</f>
        <v>UPS</v>
      </c>
      <c r="C17" s="32" t="str">
        <f>+'S&amp;D'!C24</f>
        <v>Air Trans</v>
      </c>
      <c r="D17" s="51">
        <f>+'Beta for CAPM'!D20</f>
        <v>0.23499999999999999</v>
      </c>
      <c r="E17" s="32" t="str">
        <f>+'Beta for CAPM'!G20</f>
        <v>A+</v>
      </c>
      <c r="F17" s="32" t="s">
        <v>24</v>
      </c>
      <c r="G17" s="384">
        <v>8</v>
      </c>
      <c r="H17" s="59" t="s">
        <v>141</v>
      </c>
      <c r="I17" s="384">
        <v>8</v>
      </c>
      <c r="J17" s="63">
        <v>5.2499999999999998E-2</v>
      </c>
      <c r="K17" t="s">
        <v>0</v>
      </c>
      <c r="L17" s="10"/>
      <c r="M17" s="10"/>
    </row>
    <row r="18" spans="1:13" ht="17.25" thickBot="1">
      <c r="A18" s="10"/>
      <c r="B18" s="10"/>
      <c r="C18" s="41"/>
      <c r="D18" s="44"/>
      <c r="E18" s="44"/>
      <c r="F18" s="44"/>
      <c r="G18" s="44"/>
      <c r="H18" s="44" t="s">
        <v>44</v>
      </c>
      <c r="I18" s="44"/>
      <c r="J18" s="44"/>
      <c r="L18" s="10"/>
      <c r="M18" s="10"/>
    </row>
    <row r="19" spans="1:13" ht="17.25" thickTop="1">
      <c r="A19" s="10"/>
      <c r="B19" s="10"/>
      <c r="E19" s="12" t="s">
        <v>45</v>
      </c>
      <c r="G19" s="282">
        <f>MAX(G15:G17)</f>
        <v>13</v>
      </c>
      <c r="H19" s="301"/>
      <c r="I19" s="309">
        <f t="shared" ref="I19:J19" si="0">MAX(I15:I17)</f>
        <v>14</v>
      </c>
      <c r="J19" s="301">
        <f t="shared" si="0"/>
        <v>6.8500000000000005E-2</v>
      </c>
      <c r="L19" s="10"/>
      <c r="M19" s="10"/>
    </row>
    <row r="20" spans="1:13" ht="16.5">
      <c r="A20" s="10"/>
      <c r="B20" s="10"/>
      <c r="E20" s="314" t="s">
        <v>46</v>
      </c>
      <c r="F20" s="240"/>
      <c r="G20" s="283">
        <f>MIN(G15:G17)</f>
        <v>8</v>
      </c>
      <c r="H20" s="302"/>
      <c r="I20" s="310">
        <f t="shared" ref="I20:J20" si="1">MIN(I15:I17)</f>
        <v>8</v>
      </c>
      <c r="J20" s="302">
        <f t="shared" si="1"/>
        <v>5.2499999999999998E-2</v>
      </c>
      <c r="L20" s="10"/>
      <c r="M20" s="10"/>
    </row>
    <row r="21" spans="1:13" ht="16.5">
      <c r="A21" s="10"/>
      <c r="B21" s="10"/>
      <c r="E21" s="12" t="s">
        <v>18</v>
      </c>
      <c r="G21" s="216">
        <f>MEDIAN(G15:G17)</f>
        <v>11</v>
      </c>
      <c r="H21" s="53" t="s">
        <v>0</v>
      </c>
      <c r="I21" s="217">
        <f>MEDIAN(I15:I17)</f>
        <v>13</v>
      </c>
      <c r="J21" s="53">
        <f>MEDIAN(J15:J17)</f>
        <v>6.8500000000000005E-2</v>
      </c>
      <c r="L21" s="10"/>
      <c r="M21" s="10"/>
    </row>
    <row r="22" spans="1:13" ht="16.5">
      <c r="A22" s="10"/>
      <c r="B22" s="10"/>
      <c r="D22" s="12" t="s">
        <v>0</v>
      </c>
      <c r="E22" s="12" t="s">
        <v>412</v>
      </c>
      <c r="G22" s="217">
        <f>AVERAGE(G15:G17)</f>
        <v>10.666666666666666</v>
      </c>
      <c r="H22" s="53" t="s">
        <v>0</v>
      </c>
      <c r="I22" s="217">
        <f>AVERAGE(I15:I17)</f>
        <v>11.666666666666666</v>
      </c>
      <c r="J22" s="53">
        <f>AVERAGE(J15:J17)</f>
        <v>6.3166666666666663E-2</v>
      </c>
      <c r="L22" s="10"/>
      <c r="M22" s="10"/>
    </row>
    <row r="23" spans="1:13" ht="16.5">
      <c r="A23" s="10"/>
      <c r="B23" s="10"/>
      <c r="D23" s="54" t="s">
        <v>0</v>
      </c>
      <c r="E23" s="12" t="s">
        <v>0</v>
      </c>
      <c r="G23" s="217" t="s">
        <v>0</v>
      </c>
      <c r="H23" s="53" t="s">
        <v>0</v>
      </c>
      <c r="I23" s="217" t="s">
        <v>0</v>
      </c>
      <c r="J23" s="53" t="s">
        <v>0</v>
      </c>
      <c r="L23" s="10"/>
      <c r="M23" s="10"/>
    </row>
    <row r="24" spans="1:13" ht="17.25" thickBot="1">
      <c r="A24" s="10"/>
      <c r="B24" s="10"/>
      <c r="C24" s="10"/>
      <c r="D24" s="10"/>
      <c r="E24" s="12"/>
      <c r="F24" s="54"/>
      <c r="H24" s="10"/>
      <c r="I24" s="10"/>
      <c r="J24" s="10"/>
      <c r="K24" s="10"/>
      <c r="L24" s="10"/>
      <c r="M24" s="10"/>
    </row>
    <row r="25" spans="1:13" ht="27" thickBot="1">
      <c r="A25" s="10"/>
      <c r="B25" s="10"/>
      <c r="C25" s="10"/>
      <c r="D25" s="10"/>
      <c r="E25" s="10"/>
      <c r="F25" s="188"/>
      <c r="G25" s="307"/>
      <c r="H25" s="189" t="s">
        <v>243</v>
      </c>
      <c r="I25" s="385">
        <v>12</v>
      </c>
      <c r="J25" s="397">
        <v>6.3200000000000006E-2</v>
      </c>
      <c r="K25" s="10"/>
      <c r="L25" s="10"/>
      <c r="M25" s="10"/>
    </row>
    <row r="26" spans="1:13" ht="16.5">
      <c r="A26" s="10"/>
      <c r="B26" s="10"/>
      <c r="C26" s="10"/>
      <c r="D26" s="10"/>
      <c r="E26" s="10"/>
      <c r="F26" s="10"/>
      <c r="G26" s="10"/>
      <c r="H26" s="10"/>
      <c r="I26" s="10"/>
      <c r="J26" s="10"/>
      <c r="K26" s="10"/>
      <c r="L26" s="10"/>
      <c r="M26" s="10"/>
    </row>
    <row r="27" spans="1:13" ht="16.5">
      <c r="A27" s="10"/>
      <c r="B27" s="10"/>
      <c r="C27" s="10"/>
      <c r="D27" s="10"/>
      <c r="E27" s="10"/>
      <c r="F27" s="10"/>
      <c r="G27" s="10"/>
      <c r="H27" s="10"/>
      <c r="I27" s="10"/>
      <c r="J27" s="10"/>
      <c r="K27" s="10"/>
      <c r="L27" s="10"/>
      <c r="M27" s="10"/>
    </row>
    <row r="28" spans="1:13" ht="21" thickBot="1">
      <c r="A28" s="270" t="s">
        <v>145</v>
      </c>
      <c r="B28" s="10"/>
      <c r="G28" s="10"/>
      <c r="H28" s="10"/>
      <c r="I28" s="10"/>
      <c r="J28" s="10"/>
      <c r="K28" s="10"/>
      <c r="L28" s="10"/>
      <c r="M28" s="10"/>
    </row>
    <row r="29" spans="1:13" ht="24.75" thickBot="1">
      <c r="A29" s="457" t="s">
        <v>386</v>
      </c>
      <c r="B29" s="457" t="s">
        <v>337</v>
      </c>
      <c r="C29" s="457" t="s">
        <v>415</v>
      </c>
      <c r="D29" s="473" t="s">
        <v>499</v>
      </c>
      <c r="E29" s="473" t="s">
        <v>500</v>
      </c>
      <c r="F29" s="10"/>
      <c r="G29" s="10"/>
      <c r="H29" s="10"/>
      <c r="I29" s="10"/>
      <c r="M29" s="10"/>
    </row>
    <row r="30" spans="1:13" ht="17.25">
      <c r="A30" s="276" t="s">
        <v>349</v>
      </c>
      <c r="B30" s="280">
        <v>1</v>
      </c>
      <c r="C30" s="277" t="s">
        <v>348</v>
      </c>
      <c r="D30" s="458" t="s">
        <v>0</v>
      </c>
      <c r="E30" s="458" t="s">
        <v>0</v>
      </c>
      <c r="F30" s="10"/>
      <c r="G30" s="10"/>
      <c r="H30" s="10"/>
      <c r="I30" s="10"/>
      <c r="M30" s="10"/>
    </row>
    <row r="31" spans="1:13" ht="17.25">
      <c r="A31" s="55" t="s">
        <v>350</v>
      </c>
      <c r="B31" s="271">
        <v>2</v>
      </c>
      <c r="C31" s="278" t="s">
        <v>322</v>
      </c>
      <c r="D31" s="459">
        <v>4.7399999999999998E-2</v>
      </c>
      <c r="E31" s="459">
        <v>4.7399999999999998E-2</v>
      </c>
      <c r="F31" s="10" t="s">
        <v>197</v>
      </c>
      <c r="H31" s="10"/>
      <c r="I31" s="10"/>
      <c r="M31" s="10"/>
    </row>
    <row r="32" spans="1:13" ht="18" thickBot="1">
      <c r="A32" s="56" t="s">
        <v>351</v>
      </c>
      <c r="B32" s="273">
        <v>3</v>
      </c>
      <c r="C32" s="279" t="s">
        <v>347</v>
      </c>
      <c r="D32" s="460"/>
      <c r="E32" s="460"/>
      <c r="F32" s="10"/>
      <c r="H32" s="10"/>
      <c r="I32" s="10"/>
      <c r="M32" s="10"/>
    </row>
    <row r="33" spans="1:13" ht="17.25">
      <c r="A33" s="55" t="s">
        <v>144</v>
      </c>
      <c r="B33" s="271">
        <v>4</v>
      </c>
      <c r="C33" s="272" t="s">
        <v>321</v>
      </c>
      <c r="D33" s="459"/>
      <c r="E33" s="459"/>
      <c r="F33" s="10"/>
      <c r="H33" s="10"/>
      <c r="I33" s="10"/>
      <c r="M33" s="10"/>
    </row>
    <row r="34" spans="1:13" ht="17.25">
      <c r="A34" s="55" t="s">
        <v>143</v>
      </c>
      <c r="B34" s="271">
        <v>5</v>
      </c>
      <c r="C34" s="272" t="s">
        <v>323</v>
      </c>
      <c r="D34" s="459">
        <v>5.0500000000000003E-2</v>
      </c>
      <c r="E34" s="459">
        <v>5.2699999999999997E-2</v>
      </c>
      <c r="F34" s="10" t="s">
        <v>324</v>
      </c>
      <c r="H34" s="10"/>
      <c r="I34" s="10"/>
      <c r="M34" s="10"/>
    </row>
    <row r="35" spans="1:13" ht="18" thickBot="1">
      <c r="A35" s="56" t="s">
        <v>142</v>
      </c>
      <c r="B35" s="273">
        <v>6</v>
      </c>
      <c r="C35" s="274" t="s">
        <v>325</v>
      </c>
      <c r="D35" s="461" t="s">
        <v>0</v>
      </c>
      <c r="E35" s="461" t="s">
        <v>0</v>
      </c>
      <c r="F35" s="10"/>
      <c r="H35" s="10"/>
      <c r="I35" s="10"/>
      <c r="M35" s="10"/>
    </row>
    <row r="36" spans="1:13" ht="17.25">
      <c r="A36" s="55" t="s">
        <v>55</v>
      </c>
      <c r="B36" s="271">
        <v>7</v>
      </c>
      <c r="C36" s="272" t="s">
        <v>43</v>
      </c>
      <c r="D36" s="462" t="s">
        <v>0</v>
      </c>
      <c r="E36" s="462" t="s">
        <v>0</v>
      </c>
      <c r="H36" s="10"/>
      <c r="I36" s="10"/>
      <c r="M36" s="10"/>
    </row>
    <row r="37" spans="1:13" ht="17.25">
      <c r="A37" s="55" t="s">
        <v>141</v>
      </c>
      <c r="B37" s="271">
        <v>8</v>
      </c>
      <c r="C37" s="272" t="s">
        <v>24</v>
      </c>
      <c r="D37" s="463">
        <v>5.2499999999999998E-2</v>
      </c>
      <c r="E37" s="463">
        <v>5.4199999999999998E-2</v>
      </c>
      <c r="F37" s="10" t="s">
        <v>198</v>
      </c>
      <c r="H37" s="10"/>
      <c r="I37" s="10"/>
      <c r="M37" s="10"/>
    </row>
    <row r="38" spans="1:13" ht="18" thickBot="1">
      <c r="A38" s="56" t="s">
        <v>57</v>
      </c>
      <c r="B38" s="273">
        <v>9</v>
      </c>
      <c r="C38" s="274" t="s">
        <v>59</v>
      </c>
      <c r="D38" s="461"/>
      <c r="E38" s="461"/>
      <c r="F38" s="10"/>
      <c r="H38" s="10"/>
      <c r="I38" s="10"/>
      <c r="M38" s="10"/>
    </row>
    <row r="39" spans="1:13" ht="17.25">
      <c r="A39" s="55" t="s">
        <v>52</v>
      </c>
      <c r="B39" s="271">
        <v>10</v>
      </c>
      <c r="C39" s="272" t="s">
        <v>326</v>
      </c>
      <c r="D39" s="463"/>
      <c r="E39" s="463"/>
      <c r="H39" s="10"/>
      <c r="I39" s="10"/>
      <c r="J39" s="10"/>
      <c r="K39" s="10"/>
      <c r="L39" s="10"/>
      <c r="M39" s="10"/>
    </row>
    <row r="40" spans="1:13" ht="17.25">
      <c r="A40" s="55" t="s">
        <v>53</v>
      </c>
      <c r="B40" s="271">
        <v>11</v>
      </c>
      <c r="C40" s="272" t="s">
        <v>327</v>
      </c>
      <c r="D40" s="463">
        <v>5.6399999999999999E-2</v>
      </c>
      <c r="E40" s="463">
        <v>5.6800000000000003E-2</v>
      </c>
      <c r="F40" s="10" t="s">
        <v>201</v>
      </c>
      <c r="H40" s="10"/>
      <c r="I40" s="10"/>
      <c r="J40" s="10"/>
      <c r="K40" s="10"/>
      <c r="L40" s="10"/>
      <c r="M40" s="10"/>
    </row>
    <row r="41" spans="1:13" ht="18" thickBot="1">
      <c r="A41" s="56" t="s">
        <v>58</v>
      </c>
      <c r="B41" s="273">
        <v>12</v>
      </c>
      <c r="C41" s="274" t="s">
        <v>328</v>
      </c>
      <c r="D41" s="463" t="s">
        <v>0</v>
      </c>
      <c r="E41" s="463" t="s">
        <v>0</v>
      </c>
      <c r="F41" s="10"/>
      <c r="H41" s="10"/>
      <c r="I41" s="10"/>
      <c r="J41" s="10"/>
      <c r="K41" s="10"/>
      <c r="L41" s="10"/>
      <c r="M41" s="10"/>
    </row>
    <row r="42" spans="1:13" ht="17.25">
      <c r="A42" s="55" t="s">
        <v>56</v>
      </c>
      <c r="B42" s="271">
        <v>13</v>
      </c>
      <c r="C42" s="272" t="s">
        <v>329</v>
      </c>
      <c r="D42" s="462" t="s">
        <v>0</v>
      </c>
      <c r="E42" s="462" t="s">
        <v>0</v>
      </c>
      <c r="H42" s="10"/>
      <c r="I42" s="10"/>
      <c r="J42" s="10"/>
      <c r="K42" s="10"/>
      <c r="L42" s="10"/>
      <c r="M42" s="10"/>
    </row>
    <row r="43" spans="1:13" ht="17.25">
      <c r="A43" s="55" t="s">
        <v>140</v>
      </c>
      <c r="B43" s="271">
        <v>14</v>
      </c>
      <c r="C43" s="272" t="s">
        <v>330</v>
      </c>
      <c r="D43" s="459">
        <v>6.8500000000000005E-2</v>
      </c>
      <c r="E43" s="459">
        <v>6.9000000000000006E-2</v>
      </c>
      <c r="F43" s="10" t="s">
        <v>200</v>
      </c>
      <c r="H43" s="10"/>
      <c r="I43" s="10"/>
      <c r="J43" s="10"/>
      <c r="K43" s="10"/>
      <c r="L43" s="10"/>
      <c r="M43" s="10"/>
    </row>
    <row r="44" spans="1:13" ht="18" thickBot="1">
      <c r="A44" s="56" t="s">
        <v>139</v>
      </c>
      <c r="B44" s="273">
        <v>15</v>
      </c>
      <c r="C44" s="274" t="s">
        <v>331</v>
      </c>
      <c r="D44" s="460" t="s">
        <v>0</v>
      </c>
      <c r="E44" s="460" t="s">
        <v>0</v>
      </c>
      <c r="F44" s="10"/>
      <c r="H44" s="10"/>
      <c r="I44" s="10"/>
      <c r="J44" s="10"/>
      <c r="K44" s="10"/>
      <c r="L44" s="10"/>
      <c r="M44" s="10"/>
    </row>
    <row r="45" spans="1:13" ht="17.25">
      <c r="A45" s="55" t="s">
        <v>138</v>
      </c>
      <c r="B45" s="271">
        <v>16</v>
      </c>
      <c r="C45" s="272" t="s">
        <v>25</v>
      </c>
      <c r="D45" s="462"/>
      <c r="E45" s="462"/>
      <c r="H45" s="10"/>
      <c r="I45" s="10"/>
      <c r="J45" s="10"/>
      <c r="K45" s="10"/>
      <c r="L45" s="10"/>
      <c r="M45" s="10"/>
    </row>
    <row r="46" spans="1:13" ht="17.25">
      <c r="A46" s="55" t="s">
        <v>137</v>
      </c>
      <c r="B46" s="271">
        <v>17</v>
      </c>
      <c r="C46" s="272" t="s">
        <v>88</v>
      </c>
      <c r="D46" s="463">
        <v>7.46E-2</v>
      </c>
      <c r="E46" s="463">
        <v>7.6499999999999999E-2</v>
      </c>
      <c r="F46" s="10" t="s">
        <v>199</v>
      </c>
      <c r="H46" s="10"/>
      <c r="I46" s="10"/>
      <c r="J46" s="10"/>
      <c r="K46" s="10"/>
      <c r="L46" s="10"/>
      <c r="M46" s="10"/>
    </row>
    <row r="47" spans="1:13" ht="18" thickBot="1">
      <c r="A47" s="56" t="s">
        <v>136</v>
      </c>
      <c r="B47" s="273">
        <v>18</v>
      </c>
      <c r="C47" s="274" t="s">
        <v>332</v>
      </c>
      <c r="D47" s="460"/>
      <c r="E47" s="460"/>
      <c r="F47" s="10"/>
      <c r="H47" s="10"/>
      <c r="I47" s="10"/>
      <c r="J47" s="10"/>
      <c r="K47" s="10"/>
      <c r="L47" s="10"/>
      <c r="M47" s="10"/>
    </row>
    <row r="48" spans="1:13" ht="17.25">
      <c r="A48" s="55" t="s">
        <v>135</v>
      </c>
      <c r="B48" s="271">
        <v>19</v>
      </c>
      <c r="C48" s="272" t="s">
        <v>333</v>
      </c>
      <c r="D48" s="463"/>
      <c r="E48" s="463"/>
      <c r="H48" s="10"/>
      <c r="I48" s="10"/>
      <c r="J48" s="10"/>
      <c r="K48" s="10"/>
      <c r="L48" s="10"/>
      <c r="M48" s="10"/>
    </row>
    <row r="49" spans="1:13" ht="17.25">
      <c r="A49" s="55" t="s">
        <v>134</v>
      </c>
      <c r="B49" s="271">
        <v>20</v>
      </c>
      <c r="C49" s="272" t="s">
        <v>334</v>
      </c>
      <c r="D49" s="463">
        <v>8.0699999999999994E-2</v>
      </c>
      <c r="E49" s="463">
        <v>8.2799999999999999E-2</v>
      </c>
      <c r="F49" s="10" t="s">
        <v>196</v>
      </c>
      <c r="H49" s="10"/>
      <c r="I49" s="10"/>
      <c r="J49" s="10"/>
      <c r="K49" s="10"/>
      <c r="L49" s="10"/>
      <c r="M49" s="10"/>
    </row>
    <row r="50" spans="1:13" ht="18" thickBot="1">
      <c r="A50" s="56" t="s">
        <v>133</v>
      </c>
      <c r="B50" s="273">
        <v>21</v>
      </c>
      <c r="C50" s="393" t="s">
        <v>335</v>
      </c>
      <c r="D50" s="461"/>
      <c r="E50" s="461"/>
      <c r="F50" s="10"/>
      <c r="H50" s="10"/>
      <c r="I50" s="10"/>
      <c r="J50" s="10"/>
      <c r="K50" s="10"/>
      <c r="L50" s="10"/>
      <c r="M50" s="10"/>
    </row>
    <row r="51" spans="1:13" ht="17.25">
      <c r="A51" s="392" t="s">
        <v>342</v>
      </c>
      <c r="B51" s="464">
        <v>22</v>
      </c>
      <c r="C51" s="395" t="s">
        <v>345</v>
      </c>
      <c r="D51" s="465"/>
      <c r="E51" s="465"/>
      <c r="H51" s="10"/>
      <c r="I51" s="10"/>
      <c r="J51" s="10"/>
      <c r="K51" s="10"/>
      <c r="L51" s="10"/>
      <c r="M51" s="10"/>
    </row>
    <row r="52" spans="1:13" ht="17.25">
      <c r="A52" s="392" t="s">
        <v>343</v>
      </c>
      <c r="B52" s="466">
        <v>23</v>
      </c>
      <c r="C52" s="396" t="s">
        <v>336</v>
      </c>
      <c r="D52" s="467"/>
      <c r="E52" s="467"/>
      <c r="F52" s="10" t="s">
        <v>194</v>
      </c>
      <c r="H52" s="10"/>
      <c r="I52" s="10"/>
      <c r="J52" s="10"/>
      <c r="K52" s="10"/>
      <c r="L52" s="10"/>
      <c r="M52" s="10"/>
    </row>
    <row r="53" spans="1:13" ht="18" thickBot="1">
      <c r="A53" s="394" t="s">
        <v>344</v>
      </c>
      <c r="B53" s="468">
        <v>24</v>
      </c>
      <c r="C53" s="393" t="s">
        <v>346</v>
      </c>
      <c r="D53" s="469"/>
      <c r="E53" s="469"/>
      <c r="F53" s="10"/>
      <c r="H53" s="10"/>
      <c r="I53" s="10"/>
      <c r="J53" s="10"/>
      <c r="K53" s="10"/>
      <c r="L53" s="10"/>
      <c r="M53" s="10"/>
    </row>
    <row r="54" spans="1:13" ht="18" thickBot="1">
      <c r="A54" s="56" t="s">
        <v>268</v>
      </c>
      <c r="B54" s="273">
        <v>25</v>
      </c>
      <c r="C54" s="56" t="s">
        <v>89</v>
      </c>
      <c r="D54" s="470"/>
      <c r="E54" s="470"/>
      <c r="F54" s="10" t="s">
        <v>195</v>
      </c>
      <c r="H54" s="10"/>
      <c r="I54" s="10"/>
      <c r="J54" s="10"/>
      <c r="K54" s="10"/>
      <c r="L54" s="10"/>
    </row>
  </sheetData>
  <pageMargins left="0.25" right="0.25" top="0.75" bottom="0.75" header="0.3" footer="0.3"/>
  <pageSetup scale="47"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rgb="FF92D050"/>
  </sheetPr>
  <dimension ref="A1:N34"/>
  <sheetViews>
    <sheetView view="pageBreakPreview" zoomScale="60" zoomScaleNormal="80" workbookViewId="0">
      <selection activeCell="N26" sqref="N26"/>
    </sheetView>
  </sheetViews>
  <sheetFormatPr defaultRowHeight="15"/>
  <cols>
    <col min="1" max="1" width="48.85546875" customWidth="1"/>
    <col min="2" max="2" width="13.140625" customWidth="1"/>
    <col min="3" max="3" width="19.85546875" customWidth="1"/>
    <col min="4" max="4" width="24.7109375" customWidth="1"/>
    <col min="5" max="5" width="22.7109375" customWidth="1"/>
    <col min="6" max="7" width="21.28515625" customWidth="1"/>
    <col min="8" max="8" width="12.42578125" customWidth="1"/>
    <col min="9" max="9" width="18.42578125" customWidth="1"/>
    <col min="10" max="10" width="21.28515625" customWidth="1"/>
    <col min="11" max="11" width="2.28515625" customWidth="1"/>
    <col min="12" max="12" width="22.7109375" customWidth="1"/>
    <col min="13" max="13" width="17.28515625" customWidth="1"/>
  </cols>
  <sheetData>
    <row r="1" spans="1:14" ht="26.25">
      <c r="A1" s="21" t="s">
        <v>1</v>
      </c>
      <c r="B1" s="10"/>
      <c r="C1" s="10"/>
      <c r="D1" s="10"/>
      <c r="E1" s="10"/>
      <c r="F1" s="10"/>
      <c r="G1" s="10"/>
      <c r="H1" s="10"/>
      <c r="I1" s="10"/>
      <c r="J1" s="10"/>
      <c r="K1" s="10"/>
      <c r="L1" s="10"/>
      <c r="M1" s="10"/>
      <c r="N1" s="10"/>
    </row>
    <row r="2" spans="1:14" ht="17.25">
      <c r="A2" s="60" t="s">
        <v>9</v>
      </c>
      <c r="B2" s="10"/>
      <c r="C2" s="10"/>
      <c r="D2" s="10"/>
      <c r="E2" s="10"/>
      <c r="F2" s="10"/>
      <c r="G2" s="10"/>
      <c r="H2" s="10"/>
      <c r="I2" s="10"/>
      <c r="J2" s="10"/>
      <c r="K2" s="10"/>
      <c r="L2" s="10"/>
      <c r="M2" s="10"/>
      <c r="N2" s="10"/>
    </row>
    <row r="3" spans="1:14" ht="16.5">
      <c r="A3" s="23" t="s">
        <v>451</v>
      </c>
      <c r="B3" s="10"/>
      <c r="C3" s="10"/>
      <c r="D3" s="10"/>
      <c r="E3" s="10"/>
      <c r="F3" s="10"/>
      <c r="G3" s="10"/>
      <c r="H3" s="10"/>
      <c r="I3" s="10"/>
      <c r="J3" s="10"/>
      <c r="K3" s="10"/>
      <c r="L3" s="10"/>
      <c r="M3" s="10"/>
      <c r="N3" s="10"/>
    </row>
    <row r="4" spans="1:14" ht="16.5">
      <c r="A4" s="10"/>
      <c r="B4" s="10"/>
      <c r="C4" s="10"/>
      <c r="D4" s="24" t="s">
        <v>0</v>
      </c>
      <c r="E4" s="10"/>
      <c r="F4" s="10"/>
      <c r="G4" s="10"/>
      <c r="H4" s="10"/>
      <c r="I4" s="10"/>
      <c r="J4" s="10"/>
      <c r="K4" s="10"/>
      <c r="L4" s="10"/>
      <c r="M4" s="10"/>
      <c r="N4" s="10"/>
    </row>
    <row r="5" spans="1:14" ht="18" thickBot="1">
      <c r="A5" s="60"/>
      <c r="B5" s="10"/>
      <c r="C5" s="10"/>
      <c r="D5" s="10"/>
      <c r="E5" s="10"/>
      <c r="F5" s="10"/>
      <c r="G5" s="10"/>
      <c r="H5" s="10"/>
      <c r="I5" s="10"/>
      <c r="J5" s="10"/>
      <c r="K5" s="10"/>
      <c r="L5" s="10"/>
      <c r="M5" s="10"/>
      <c r="N5" s="10"/>
    </row>
    <row r="6" spans="1:14" ht="18" thickBot="1">
      <c r="A6" s="261" t="str">
        <f>+'S&amp;D'!A12</f>
        <v>Air Freight Carriers</v>
      </c>
      <c r="B6" s="193"/>
      <c r="C6" s="10"/>
      <c r="D6" s="10"/>
      <c r="E6" s="10"/>
      <c r="F6" s="10"/>
      <c r="G6" s="10"/>
      <c r="H6" s="10"/>
      <c r="I6" s="10"/>
      <c r="J6" s="10"/>
      <c r="K6" s="10"/>
      <c r="L6" s="10"/>
      <c r="M6" s="10"/>
      <c r="N6" s="10"/>
    </row>
    <row r="7" spans="1:14" ht="17.25">
      <c r="A7" s="60"/>
      <c r="B7" s="10"/>
      <c r="C7" s="10"/>
      <c r="D7" s="10"/>
      <c r="E7" s="10"/>
      <c r="F7" s="10"/>
      <c r="G7" s="10"/>
      <c r="H7" s="10"/>
      <c r="I7" s="10"/>
      <c r="J7" s="10"/>
      <c r="K7" s="10"/>
      <c r="L7" s="10"/>
      <c r="M7" s="10"/>
      <c r="N7" s="10"/>
    </row>
    <row r="8" spans="1:14" ht="18" thickBot="1">
      <c r="A8" s="60"/>
      <c r="B8" s="10"/>
      <c r="C8" s="26"/>
      <c r="D8" s="26"/>
      <c r="E8" s="26"/>
      <c r="F8" s="10"/>
      <c r="G8" s="10"/>
      <c r="H8" s="26"/>
      <c r="I8" s="26"/>
      <c r="J8" s="26"/>
      <c r="K8" s="26"/>
      <c r="L8" s="26"/>
      <c r="M8" s="26"/>
      <c r="N8" s="10"/>
    </row>
    <row r="9" spans="1:14" ht="26.25">
      <c r="B9" s="10"/>
      <c r="C9" s="10"/>
      <c r="D9" s="29" t="s">
        <v>309</v>
      </c>
      <c r="E9" s="10"/>
      <c r="F9" s="10"/>
      <c r="G9" s="10"/>
      <c r="H9" s="10"/>
      <c r="I9" s="10"/>
      <c r="J9" s="10"/>
      <c r="K9" s="66" t="s">
        <v>310</v>
      </c>
      <c r="L9" s="10"/>
      <c r="M9" s="10"/>
      <c r="N9" s="10"/>
    </row>
    <row r="10" spans="1:14" ht="21" thickBot="1">
      <c r="A10" s="28"/>
      <c r="B10" s="10"/>
      <c r="C10" s="26"/>
      <c r="D10" s="30" t="s">
        <v>452</v>
      </c>
      <c r="E10" s="26"/>
      <c r="F10" s="10"/>
      <c r="G10" s="10"/>
      <c r="H10" s="26"/>
      <c r="I10" s="26"/>
      <c r="J10" s="26"/>
      <c r="K10" s="30" t="s">
        <v>452</v>
      </c>
      <c r="L10" s="26"/>
      <c r="M10" s="26"/>
      <c r="N10" s="10"/>
    </row>
    <row r="11" spans="1:14" ht="17.25" thickBot="1">
      <c r="A11" s="31" t="s">
        <v>0</v>
      </c>
      <c r="B11" s="31" t="s">
        <v>0</v>
      </c>
      <c r="C11" s="31" t="s">
        <v>0</v>
      </c>
      <c r="D11" s="31" t="s">
        <v>0</v>
      </c>
      <c r="E11" s="31" t="s">
        <v>0</v>
      </c>
      <c r="F11" s="31" t="s">
        <v>0</v>
      </c>
      <c r="G11" s="38"/>
      <c r="H11" s="26"/>
      <c r="I11" s="31" t="s">
        <v>0</v>
      </c>
      <c r="J11" s="26"/>
      <c r="K11" s="26"/>
      <c r="L11" s="26"/>
      <c r="M11" s="26"/>
      <c r="N11" s="10"/>
    </row>
    <row r="12" spans="1:14" ht="16.5">
      <c r="A12" s="32" t="s">
        <v>0</v>
      </c>
      <c r="B12" s="32" t="s">
        <v>3</v>
      </c>
      <c r="C12" s="32" t="s">
        <v>352</v>
      </c>
      <c r="D12" s="32" t="s">
        <v>109</v>
      </c>
      <c r="E12" s="32" t="s">
        <v>109</v>
      </c>
      <c r="F12" s="32" t="s">
        <v>26</v>
      </c>
      <c r="G12" s="32"/>
      <c r="H12" s="32" t="s">
        <v>3</v>
      </c>
      <c r="I12" s="32" t="s">
        <v>352</v>
      </c>
      <c r="J12" s="32" t="s">
        <v>109</v>
      </c>
      <c r="K12" s="32"/>
      <c r="L12" s="32" t="s">
        <v>109</v>
      </c>
      <c r="M12" s="32" t="s">
        <v>26</v>
      </c>
      <c r="N12" s="10"/>
    </row>
    <row r="13" spans="1:14" ht="17.25" thickBot="1">
      <c r="A13" s="34" t="s">
        <v>2</v>
      </c>
      <c r="B13" s="34" t="s">
        <v>4</v>
      </c>
      <c r="C13" s="34" t="s">
        <v>27</v>
      </c>
      <c r="D13" s="34" t="s">
        <v>168</v>
      </c>
      <c r="E13" s="34" t="s">
        <v>28</v>
      </c>
      <c r="F13" s="34" t="s">
        <v>29</v>
      </c>
      <c r="G13" s="32"/>
      <c r="H13" s="34" t="s">
        <v>4</v>
      </c>
      <c r="I13" s="34" t="s">
        <v>27</v>
      </c>
      <c r="J13" s="34" t="s">
        <v>168</v>
      </c>
      <c r="K13" s="34"/>
      <c r="L13" s="34" t="s">
        <v>28</v>
      </c>
      <c r="M13" s="34" t="s">
        <v>29</v>
      </c>
      <c r="N13" s="10"/>
    </row>
    <row r="14" spans="1:14" ht="16.5">
      <c r="A14" s="36" t="s">
        <v>0</v>
      </c>
      <c r="B14" s="36" t="s">
        <v>0</v>
      </c>
      <c r="C14" s="37" t="s">
        <v>112</v>
      </c>
      <c r="D14" s="36" t="s">
        <v>113</v>
      </c>
      <c r="E14" s="36" t="s">
        <v>0</v>
      </c>
      <c r="F14" s="36" t="s">
        <v>0</v>
      </c>
      <c r="G14" s="38"/>
      <c r="H14" s="36" t="s">
        <v>0</v>
      </c>
      <c r="I14" s="37" t="s">
        <v>112</v>
      </c>
      <c r="J14" s="36" t="s">
        <v>114</v>
      </c>
      <c r="K14" s="36"/>
      <c r="L14" s="36" t="s">
        <v>0</v>
      </c>
      <c r="M14" s="36" t="s">
        <v>0</v>
      </c>
      <c r="N14" s="10"/>
    </row>
    <row r="15" spans="1:14" ht="16.5">
      <c r="A15" s="32"/>
      <c r="B15" s="32"/>
      <c r="C15" s="32"/>
      <c r="D15" s="32"/>
      <c r="E15" s="32"/>
      <c r="F15" s="32"/>
      <c r="G15" s="32"/>
      <c r="H15" s="32"/>
      <c r="I15" s="32"/>
      <c r="J15" s="32"/>
      <c r="K15" s="32"/>
      <c r="L15" s="32"/>
      <c r="M15" s="32"/>
      <c r="N15" s="10"/>
    </row>
    <row r="16" spans="1:14" ht="16.5">
      <c r="A16" s="10"/>
      <c r="B16" s="10"/>
      <c r="C16" s="10"/>
      <c r="D16" s="10"/>
      <c r="E16" s="10"/>
      <c r="F16" s="10"/>
      <c r="G16" s="10"/>
      <c r="H16" s="10"/>
      <c r="I16" s="10"/>
      <c r="J16" s="10"/>
      <c r="K16" s="10"/>
      <c r="L16" s="10"/>
      <c r="M16" s="10"/>
      <c r="N16" s="10"/>
    </row>
    <row r="17" spans="1:14" ht="17.25">
      <c r="A17" s="60" t="str">
        <f>+'S&amp;D'!A22</f>
        <v>Air Transport Services Group</v>
      </c>
      <c r="B17" s="86" t="str">
        <f>+'S&amp;D'!B22</f>
        <v>ATSG</v>
      </c>
      <c r="C17" s="57">
        <f>+'S&amp;D'!G22</f>
        <v>17.61</v>
      </c>
      <c r="D17" s="367">
        <v>8.4</v>
      </c>
      <c r="E17" s="68">
        <f>C17/D17</f>
        <v>2.0964285714285711</v>
      </c>
      <c r="F17" s="54">
        <f t="shared" ref="F17" si="0">1/E17</f>
        <v>0.47700170357751287</v>
      </c>
      <c r="G17" s="54"/>
      <c r="H17" s="86" t="str">
        <f>+B17</f>
        <v>ATSG</v>
      </c>
      <c r="I17" s="57">
        <f>+C17</f>
        <v>17.61</v>
      </c>
      <c r="J17" s="367">
        <v>9.85</v>
      </c>
      <c r="K17" s="367"/>
      <c r="L17" s="68">
        <f>I17/J17</f>
        <v>1.7878172588832488</v>
      </c>
      <c r="M17" s="54">
        <f t="shared" ref="M17" si="1">1/L17</f>
        <v>0.55934128336172628</v>
      </c>
      <c r="N17" s="10"/>
    </row>
    <row r="18" spans="1:14" ht="17.25">
      <c r="A18" s="60" t="str">
        <f>+'S&amp;D'!A23</f>
        <v xml:space="preserve">FedEx Corp </v>
      </c>
      <c r="B18" s="86" t="str">
        <f>+'S&amp;D'!B23</f>
        <v>FDX</v>
      </c>
      <c r="C18" s="57">
        <f>+'S&amp;D'!G23</f>
        <v>252.97</v>
      </c>
      <c r="D18" s="367">
        <v>35.299999999999997</v>
      </c>
      <c r="E18" s="68">
        <f t="shared" ref="E18:E19" si="2">C18/D18</f>
        <v>7.1662889518413602</v>
      </c>
      <c r="F18" s="54">
        <f t="shared" ref="F18:F19" si="3">1/E18</f>
        <v>0.13954223821006442</v>
      </c>
      <c r="G18" s="54"/>
      <c r="H18" s="86" t="str">
        <f t="shared" ref="H18:H19" si="4">+B18</f>
        <v>FDX</v>
      </c>
      <c r="I18" s="57">
        <f t="shared" ref="I18:I19" si="5">+C18</f>
        <v>252.97</v>
      </c>
      <c r="J18" s="367">
        <v>40.200000000000003</v>
      </c>
      <c r="K18" s="367"/>
      <c r="L18" s="68">
        <f t="shared" ref="L18:L19" si="6">I18/J18</f>
        <v>6.2927860696517408</v>
      </c>
      <c r="M18" s="54">
        <f t="shared" ref="M18:M19" si="7">1/L18</f>
        <v>0.15891212396726886</v>
      </c>
      <c r="N18" s="10"/>
    </row>
    <row r="19" spans="1:14" ht="17.25">
      <c r="A19" s="60" t="str">
        <f>+'S&amp;D'!A24</f>
        <v xml:space="preserve">United Parcel Service </v>
      </c>
      <c r="B19" s="86" t="str">
        <f>+'S&amp;D'!B24</f>
        <v>UPS</v>
      </c>
      <c r="C19" s="57">
        <f>+'S&amp;D'!G24</f>
        <v>157.22999999999999</v>
      </c>
      <c r="D19" s="367">
        <v>12.65</v>
      </c>
      <c r="E19" s="68">
        <f t="shared" si="2"/>
        <v>12.429249011857706</v>
      </c>
      <c r="F19" s="54">
        <f t="shared" si="3"/>
        <v>8.0455383832601923E-2</v>
      </c>
      <c r="G19" s="54"/>
      <c r="H19" s="86" t="str">
        <f t="shared" si="4"/>
        <v>UPS</v>
      </c>
      <c r="I19" s="57">
        <f t="shared" si="5"/>
        <v>157.22999999999999</v>
      </c>
      <c r="J19" s="367">
        <v>14.35</v>
      </c>
      <c r="K19" s="367"/>
      <c r="L19" s="68">
        <f t="shared" si="6"/>
        <v>10.956794425087107</v>
      </c>
      <c r="M19" s="54">
        <f t="shared" si="7"/>
        <v>9.1267569802200604E-2</v>
      </c>
      <c r="N19" s="10"/>
    </row>
    <row r="20" spans="1:14" ht="17.25" thickBot="1">
      <c r="A20" s="10"/>
      <c r="B20" s="67"/>
      <c r="C20" s="67"/>
      <c r="D20" s="67"/>
      <c r="E20" s="67"/>
      <c r="F20" s="67"/>
      <c r="G20" s="10"/>
      <c r="H20" s="67"/>
      <c r="I20" s="67"/>
      <c r="J20" s="294" t="s">
        <v>0</v>
      </c>
      <c r="K20" s="67"/>
      <c r="L20" s="67"/>
      <c r="M20" s="67"/>
      <c r="N20" s="10"/>
    </row>
    <row r="21" spans="1:14" ht="17.25" thickTop="1">
      <c r="A21" s="10"/>
      <c r="C21" s="12" t="s">
        <v>45</v>
      </c>
      <c r="D21" s="353">
        <f>MAX(D17:D19)</f>
        <v>35.299999999999997</v>
      </c>
      <c r="E21" s="353">
        <f t="shared" ref="E21:F21" si="8">MAX(E17:E19)</f>
        <v>12.429249011857706</v>
      </c>
      <c r="F21" s="351">
        <f t="shared" si="8"/>
        <v>0.47700170357751287</v>
      </c>
      <c r="I21" s="12" t="s">
        <v>45</v>
      </c>
      <c r="J21" s="353">
        <f t="shared" ref="J21:M21" si="9">MAX(J17:J19)</f>
        <v>40.200000000000003</v>
      </c>
      <c r="K21" s="353"/>
      <c r="L21" s="353">
        <f t="shared" si="9"/>
        <v>10.956794425087107</v>
      </c>
      <c r="M21" s="351">
        <f t="shared" si="9"/>
        <v>0.55934128336172628</v>
      </c>
      <c r="N21" s="10"/>
    </row>
    <row r="22" spans="1:14" ht="16.5">
      <c r="A22" s="10"/>
      <c r="C22" s="314" t="s">
        <v>46</v>
      </c>
      <c r="D22" s="354">
        <f>MIN(D17:D19)</f>
        <v>8.4</v>
      </c>
      <c r="E22" s="354">
        <f t="shared" ref="E22:F22" si="10">MIN(E17:E19)</f>
        <v>2.0964285714285711</v>
      </c>
      <c r="F22" s="352">
        <f t="shared" si="10"/>
        <v>8.0455383832601923E-2</v>
      </c>
      <c r="I22" s="314" t="s">
        <v>46</v>
      </c>
      <c r="J22" s="354">
        <f t="shared" ref="J22:M22" si="11">MIN(J17:J19)</f>
        <v>9.85</v>
      </c>
      <c r="K22" s="354"/>
      <c r="L22" s="354">
        <f t="shared" si="11"/>
        <v>1.7878172588832488</v>
      </c>
      <c r="M22" s="352">
        <f t="shared" si="11"/>
        <v>9.1267569802200604E-2</v>
      </c>
      <c r="N22" s="10"/>
    </row>
    <row r="23" spans="1:14" ht="16.5">
      <c r="A23" s="10"/>
      <c r="C23" s="12" t="s">
        <v>18</v>
      </c>
      <c r="D23" s="68">
        <f>MEDIAN(D17:D19)</f>
        <v>12.65</v>
      </c>
      <c r="E23" s="19">
        <f>MEDIAN(E17:E19)</f>
        <v>7.1662889518413602</v>
      </c>
      <c r="F23" s="54">
        <f>MEDIAN(F17:F19)</f>
        <v>0.13954223821006442</v>
      </c>
      <c r="G23" s="54"/>
      <c r="I23" s="12" t="s">
        <v>18</v>
      </c>
      <c r="J23" s="68">
        <f>MEDIAN(J17:J19)</f>
        <v>14.35</v>
      </c>
      <c r="K23" s="68"/>
      <c r="L23" s="19">
        <f>MEDIAN(L17:L19)</f>
        <v>6.2927860696517408</v>
      </c>
      <c r="M23" s="54">
        <f>MEDIAN(M17:M19)</f>
        <v>0.15891212396726886</v>
      </c>
      <c r="N23" s="10"/>
    </row>
    <row r="24" spans="1:14" ht="16.5">
      <c r="A24" s="10"/>
      <c r="C24" s="12" t="s">
        <v>412</v>
      </c>
      <c r="D24" s="15">
        <f>AVERAGE(D17:D19)</f>
        <v>18.783333333333331</v>
      </c>
      <c r="E24" s="19">
        <f>AVERAGE(E17:E19)</f>
        <v>7.2306555117092124</v>
      </c>
      <c r="F24" s="69">
        <f>AVERAGE(F17:F19)</f>
        <v>0.23233310854005973</v>
      </c>
      <c r="G24" s="69"/>
      <c r="I24" s="12" t="s">
        <v>412</v>
      </c>
      <c r="J24" s="15">
        <f>AVERAGE(J17:J19)</f>
        <v>21.466666666666669</v>
      </c>
      <c r="K24" s="15"/>
      <c r="L24" s="19">
        <f>AVERAGE(L17:L19)</f>
        <v>6.3457992512073647</v>
      </c>
      <c r="M24" s="69">
        <f>AVERAGE(M17:M19)</f>
        <v>0.26984032571039857</v>
      </c>
      <c r="N24" s="10"/>
    </row>
    <row r="25" spans="1:14" ht="16.5">
      <c r="A25" s="10"/>
      <c r="B25" s="10"/>
      <c r="C25" s="10"/>
      <c r="D25" s="10"/>
      <c r="E25" s="10"/>
      <c r="F25" s="10"/>
      <c r="G25" s="10"/>
      <c r="H25" s="10"/>
      <c r="I25" s="10"/>
      <c r="J25" s="10"/>
      <c r="K25" s="10"/>
      <c r="L25" s="10"/>
      <c r="M25" s="10"/>
      <c r="N25" s="10"/>
    </row>
    <row r="26" spans="1:14" ht="26.25">
      <c r="A26" s="10"/>
      <c r="B26" s="10"/>
      <c r="C26" s="10"/>
      <c r="D26" s="73" t="s">
        <v>73</v>
      </c>
      <c r="E26" s="356">
        <v>7.23</v>
      </c>
      <c r="F26" s="357">
        <v>0.23230000000000001</v>
      </c>
      <c r="G26" s="269"/>
      <c r="H26" s="10"/>
      <c r="I26" s="10"/>
      <c r="J26" s="73" t="s">
        <v>73</v>
      </c>
      <c r="K26" s="47"/>
      <c r="L26" s="358">
        <v>6.35</v>
      </c>
      <c r="M26" s="357">
        <v>0.26979999999999998</v>
      </c>
      <c r="N26" s="10"/>
    </row>
    <row r="27" spans="1:14" ht="30" customHeight="1" thickBot="1">
      <c r="A27" s="10"/>
      <c r="B27" s="10"/>
      <c r="C27" s="10"/>
      <c r="D27" s="10"/>
      <c r="E27" s="10"/>
      <c r="G27" s="70"/>
      <c r="H27" s="10"/>
      <c r="I27" s="10"/>
      <c r="J27" s="10"/>
      <c r="K27" s="10"/>
      <c r="L27" s="10"/>
      <c r="M27" s="10"/>
      <c r="N27" s="10"/>
    </row>
    <row r="28" spans="1:14" ht="27" thickBot="1">
      <c r="A28" s="71" t="s">
        <v>0</v>
      </c>
      <c r="B28" s="10"/>
      <c r="C28" s="10"/>
      <c r="D28" s="10"/>
      <c r="E28" s="21" t="s">
        <v>123</v>
      </c>
      <c r="F28" s="21"/>
      <c r="G28" s="398">
        <f>(+E26+L26)/2</f>
        <v>6.79</v>
      </c>
      <c r="H28" s="397">
        <f>(+F26+M26)/2</f>
        <v>0.25105</v>
      </c>
      <c r="K28" s="10"/>
      <c r="N28" s="10"/>
    </row>
    <row r="29" spans="1:14" ht="16.5">
      <c r="A29" s="71" t="s">
        <v>0</v>
      </c>
      <c r="B29" s="10"/>
      <c r="C29" s="10"/>
      <c r="D29" s="10"/>
      <c r="E29" s="10"/>
      <c r="F29" s="10"/>
      <c r="G29" s="10"/>
      <c r="H29" s="10"/>
      <c r="I29" s="10"/>
      <c r="J29" s="10"/>
      <c r="K29" s="10"/>
      <c r="L29" s="10"/>
      <c r="M29" s="10"/>
      <c r="N29" s="10"/>
    </row>
    <row r="30" spans="1:14" ht="16.5">
      <c r="A30" s="10"/>
      <c r="B30" s="10"/>
      <c r="C30" s="10"/>
      <c r="D30" s="10"/>
      <c r="E30" s="10"/>
      <c r="F30" s="10"/>
      <c r="G30" s="10"/>
      <c r="H30" s="10"/>
      <c r="I30" s="10"/>
      <c r="J30" s="10"/>
      <c r="K30" s="10"/>
      <c r="L30" s="10"/>
      <c r="M30" s="10"/>
      <c r="N30" s="10"/>
    </row>
    <row r="31" spans="1:14" ht="16.5">
      <c r="A31" s="10"/>
      <c r="B31" s="10"/>
      <c r="C31" s="10"/>
      <c r="D31" s="10"/>
      <c r="E31" s="10"/>
      <c r="F31" s="10"/>
      <c r="G31" s="10"/>
      <c r="H31" s="10"/>
      <c r="I31" s="10"/>
      <c r="J31" s="10"/>
      <c r="K31" s="10"/>
      <c r="L31" s="10"/>
      <c r="M31" s="10"/>
      <c r="N31" s="10"/>
    </row>
    <row r="32" spans="1:14" ht="17.25">
      <c r="A32" s="102" t="s">
        <v>358</v>
      </c>
    </row>
    <row r="33" spans="1:1" ht="17.25">
      <c r="A33" s="102" t="s">
        <v>359</v>
      </c>
    </row>
    <row r="34" spans="1:1" ht="17.25">
      <c r="A34" s="102" t="s">
        <v>360</v>
      </c>
    </row>
  </sheetData>
  <pageMargins left="0.25" right="0.25" top="0.75" bottom="0.75" header="0.3" footer="0.3"/>
  <pageSetup scale="4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EAAB1-5671-4283-A0D0-11DDA5DBBF04}">
  <sheetPr codeName="Sheet13">
    <tabColor rgb="FF92D050"/>
  </sheetPr>
  <dimension ref="A1:O51"/>
  <sheetViews>
    <sheetView view="pageBreakPreview" topLeftCell="A15" zoomScale="60" zoomScaleNormal="80" workbookViewId="0">
      <selection activeCell="F52" sqref="F52"/>
    </sheetView>
  </sheetViews>
  <sheetFormatPr defaultRowHeight="15"/>
  <cols>
    <col min="1" max="1" width="53.85546875" customWidth="1"/>
    <col min="2" max="2" width="8" customWidth="1"/>
    <col min="3" max="3" width="12.28515625" bestFit="1" customWidth="1"/>
    <col min="4" max="4" width="20.140625" customWidth="1"/>
    <col min="5" max="5" width="18.85546875" customWidth="1"/>
    <col min="6" max="6" width="19" customWidth="1"/>
    <col min="7" max="7" width="16.42578125" customWidth="1"/>
    <col min="8" max="10" width="19.28515625" customWidth="1"/>
    <col min="11" max="12" width="21.5703125" customWidth="1"/>
    <col min="13" max="13" width="18.28515625" customWidth="1"/>
  </cols>
  <sheetData>
    <row r="1" spans="1:15" ht="26.25">
      <c r="A1" s="21" t="s">
        <v>1</v>
      </c>
      <c r="B1" s="21"/>
      <c r="C1" s="10"/>
      <c r="D1" s="10"/>
      <c r="E1" s="10"/>
      <c r="F1" s="10"/>
      <c r="G1" s="10"/>
      <c r="H1" s="10"/>
      <c r="I1" s="10"/>
      <c r="J1" s="10"/>
      <c r="K1" s="10"/>
      <c r="L1" s="10"/>
      <c r="M1" s="10"/>
      <c r="N1" s="10"/>
      <c r="O1" s="10"/>
    </row>
    <row r="2" spans="1:15" ht="17.25">
      <c r="A2" s="60" t="s">
        <v>9</v>
      </c>
      <c r="B2" s="60"/>
      <c r="C2" s="10"/>
      <c r="D2" s="10"/>
      <c r="E2" s="10"/>
      <c r="F2" s="10"/>
      <c r="G2" s="10"/>
      <c r="H2" s="10"/>
      <c r="I2" s="10"/>
      <c r="J2" s="10"/>
      <c r="K2" s="10"/>
      <c r="L2" s="10"/>
      <c r="M2" s="10"/>
      <c r="N2" s="10"/>
      <c r="O2" s="10"/>
    </row>
    <row r="3" spans="1:15" ht="16.5">
      <c r="A3" s="23" t="s">
        <v>451</v>
      </c>
      <c r="B3" s="41"/>
      <c r="C3" s="10"/>
      <c r="D3" s="10"/>
      <c r="E3" s="10"/>
      <c r="F3" s="10"/>
      <c r="G3" s="10"/>
      <c r="H3" s="10"/>
      <c r="I3" s="10"/>
      <c r="J3" s="10"/>
      <c r="K3" s="10"/>
      <c r="L3" s="10"/>
      <c r="M3" s="10"/>
      <c r="N3" s="10"/>
      <c r="O3" s="10"/>
    </row>
    <row r="4" spans="1:15" ht="16.5">
      <c r="A4" s="10"/>
      <c r="B4" s="10"/>
      <c r="C4" s="10"/>
      <c r="D4" s="10"/>
      <c r="E4" s="24" t="s">
        <v>0</v>
      </c>
      <c r="F4" s="10"/>
      <c r="G4" s="10"/>
      <c r="H4" s="10"/>
      <c r="I4" s="10"/>
      <c r="J4" s="10"/>
      <c r="K4" s="10"/>
      <c r="L4" s="10"/>
      <c r="M4" s="10"/>
      <c r="N4" s="10"/>
      <c r="O4" s="10"/>
    </row>
    <row r="5" spans="1:15" ht="18" thickBot="1">
      <c r="A5" s="60"/>
      <c r="B5" s="60"/>
      <c r="C5" s="10"/>
      <c r="D5" s="10"/>
      <c r="E5" s="10"/>
      <c r="F5" s="10"/>
      <c r="G5" s="10"/>
      <c r="H5" s="10"/>
      <c r="I5" s="10"/>
      <c r="J5" s="10"/>
      <c r="K5" s="10"/>
      <c r="L5" s="10"/>
      <c r="M5" s="10"/>
      <c r="N5" s="10"/>
      <c r="O5" s="10"/>
    </row>
    <row r="6" spans="1:15" ht="21" thickBot="1">
      <c r="A6" s="259" t="str">
        <f>+'S&amp;D'!A12</f>
        <v>Air Freight Carriers</v>
      </c>
      <c r="B6" s="262"/>
      <c r="C6" s="10"/>
      <c r="D6" s="10"/>
      <c r="E6" s="10"/>
      <c r="F6" s="10"/>
      <c r="G6" s="10"/>
      <c r="H6" s="10"/>
      <c r="I6" s="10"/>
      <c r="J6" s="10"/>
      <c r="K6" s="10"/>
      <c r="L6" s="10"/>
      <c r="M6" s="10"/>
      <c r="N6" s="10"/>
      <c r="O6" s="10"/>
    </row>
    <row r="7" spans="1:15" ht="18" thickBot="1">
      <c r="A7" s="60"/>
      <c r="B7" s="60"/>
      <c r="C7" s="26"/>
      <c r="D7" s="26"/>
      <c r="E7" s="26"/>
      <c r="F7" s="26"/>
      <c r="G7" s="26"/>
      <c r="H7" s="10"/>
      <c r="I7" s="26"/>
      <c r="J7" s="26"/>
      <c r="K7" s="26"/>
      <c r="L7" s="26"/>
      <c r="M7" s="26"/>
      <c r="N7" s="10"/>
      <c r="O7" s="10"/>
    </row>
    <row r="8" spans="1:15" ht="26.25">
      <c r="B8" s="28"/>
      <c r="C8" s="10"/>
      <c r="D8" s="10"/>
      <c r="E8" s="29" t="s">
        <v>234</v>
      </c>
      <c r="F8" s="10"/>
      <c r="G8" s="10"/>
      <c r="H8" s="10"/>
      <c r="I8" s="10"/>
      <c r="J8" s="10"/>
      <c r="K8" s="29" t="s">
        <v>235</v>
      </c>
      <c r="L8" s="10"/>
      <c r="M8" s="10"/>
      <c r="N8" s="10"/>
      <c r="O8" s="10"/>
    </row>
    <row r="9" spans="1:15" ht="21" thickBot="1">
      <c r="A9" s="28"/>
      <c r="B9" s="28"/>
      <c r="C9" s="26"/>
      <c r="D9" s="26"/>
      <c r="E9" s="34" t="s">
        <v>452</v>
      </c>
      <c r="F9" s="26"/>
      <c r="G9" s="26"/>
      <c r="H9" s="10"/>
      <c r="I9" s="26"/>
      <c r="J9" s="26"/>
      <c r="K9" s="34" t="s">
        <v>452</v>
      </c>
      <c r="L9" s="26"/>
      <c r="M9" s="26"/>
      <c r="N9" s="10"/>
      <c r="O9" s="10"/>
    </row>
    <row r="10" spans="1:15" ht="17.25" thickBot="1">
      <c r="A10" s="31" t="s">
        <v>0</v>
      </c>
      <c r="B10" s="31"/>
      <c r="C10" s="31" t="s">
        <v>0</v>
      </c>
      <c r="D10" s="31" t="s">
        <v>0</v>
      </c>
      <c r="E10" s="31" t="s">
        <v>0</v>
      </c>
      <c r="F10" s="31" t="s">
        <v>0</v>
      </c>
      <c r="G10" s="31" t="s">
        <v>0</v>
      </c>
      <c r="H10" s="10"/>
      <c r="I10" s="26"/>
      <c r="J10" s="26"/>
      <c r="K10" s="26"/>
      <c r="L10" s="26"/>
      <c r="M10" s="26"/>
      <c r="N10" s="10"/>
      <c r="O10" s="10"/>
    </row>
    <row r="11" spans="1:15" ht="16.5">
      <c r="A11" s="32" t="s">
        <v>0</v>
      </c>
      <c r="B11" s="32"/>
      <c r="C11" s="32" t="s">
        <v>3</v>
      </c>
      <c r="D11" s="32" t="s">
        <v>352</v>
      </c>
      <c r="E11" s="32" t="s">
        <v>354</v>
      </c>
      <c r="F11" s="32" t="s">
        <v>110</v>
      </c>
      <c r="G11" s="32" t="s">
        <v>26</v>
      </c>
      <c r="H11" s="10"/>
      <c r="I11" s="32" t="s">
        <v>3</v>
      </c>
      <c r="J11" s="32" t="s">
        <v>352</v>
      </c>
      <c r="K11" s="32" t="s">
        <v>354</v>
      </c>
      <c r="L11" s="32" t="s">
        <v>110</v>
      </c>
      <c r="M11" s="32" t="s">
        <v>26</v>
      </c>
      <c r="N11" s="10"/>
      <c r="O11" s="10"/>
    </row>
    <row r="12" spans="1:15" ht="17.25" thickBot="1">
      <c r="A12" s="34" t="s">
        <v>2</v>
      </c>
      <c r="B12" s="34"/>
      <c r="C12" s="34" t="s">
        <v>4</v>
      </c>
      <c r="D12" s="34" t="s">
        <v>27</v>
      </c>
      <c r="E12" s="34" t="s">
        <v>168</v>
      </c>
      <c r="F12" s="34" t="s">
        <v>28</v>
      </c>
      <c r="G12" s="34" t="s">
        <v>29</v>
      </c>
      <c r="H12" s="10"/>
      <c r="I12" s="34" t="s">
        <v>4</v>
      </c>
      <c r="J12" s="34" t="s">
        <v>27</v>
      </c>
      <c r="K12" s="34" t="s">
        <v>168</v>
      </c>
      <c r="L12" s="34" t="s">
        <v>28</v>
      </c>
      <c r="M12" s="34" t="s">
        <v>29</v>
      </c>
      <c r="N12" s="10"/>
      <c r="O12" s="10"/>
    </row>
    <row r="13" spans="1:15" ht="16.5">
      <c r="A13" s="36" t="s">
        <v>0</v>
      </c>
      <c r="B13" s="36"/>
      <c r="C13" s="36" t="s">
        <v>0</v>
      </c>
      <c r="D13" s="37" t="s">
        <v>112</v>
      </c>
      <c r="E13" s="72" t="s">
        <v>113</v>
      </c>
      <c r="F13" s="36" t="s">
        <v>0</v>
      </c>
      <c r="G13" s="36" t="s">
        <v>0</v>
      </c>
      <c r="H13" s="10"/>
      <c r="I13" s="36" t="s">
        <v>0</v>
      </c>
      <c r="J13" s="37" t="s">
        <v>112</v>
      </c>
      <c r="K13" s="72" t="s">
        <v>111</v>
      </c>
      <c r="L13" s="36" t="s">
        <v>0</v>
      </c>
      <c r="M13" s="36" t="s">
        <v>0</v>
      </c>
      <c r="N13" s="10"/>
      <c r="O13" s="10"/>
    </row>
    <row r="14" spans="1:15" ht="16.5">
      <c r="A14" s="32"/>
      <c r="B14" s="32"/>
      <c r="C14" s="32"/>
      <c r="D14" s="32"/>
      <c r="E14" s="32"/>
      <c r="F14" s="32"/>
      <c r="G14" s="32"/>
      <c r="H14" s="10"/>
      <c r="I14" s="32"/>
      <c r="J14" s="32"/>
      <c r="K14" s="32"/>
      <c r="L14" s="32"/>
      <c r="M14" s="32"/>
      <c r="N14" s="10"/>
      <c r="O14" s="10"/>
    </row>
    <row r="15" spans="1:15" ht="16.5">
      <c r="A15" s="10"/>
      <c r="B15" s="10"/>
      <c r="C15" s="10"/>
      <c r="D15" s="10"/>
      <c r="E15" s="10"/>
      <c r="F15" s="10"/>
      <c r="G15" s="10"/>
      <c r="H15" s="10"/>
      <c r="I15" s="10"/>
      <c r="J15" s="10"/>
      <c r="K15" s="10"/>
      <c r="L15" s="10"/>
      <c r="M15" s="10"/>
      <c r="N15" s="10"/>
      <c r="O15" s="10"/>
    </row>
    <row r="16" spans="1:15" ht="17.25">
      <c r="A16" s="60" t="str">
        <f>+'S&amp;D'!A22</f>
        <v>Air Transport Services Group</v>
      </c>
      <c r="B16" s="60"/>
      <c r="C16" s="86" t="str">
        <f>+'S&amp;D'!B22</f>
        <v>ATSG</v>
      </c>
      <c r="D16" s="57">
        <f>'S&amp;D'!G22</f>
        <v>17.61</v>
      </c>
      <c r="E16" s="367">
        <v>1.6</v>
      </c>
      <c r="F16" s="68">
        <f>D16/E16</f>
        <v>11.00625</v>
      </c>
      <c r="G16" s="54">
        <f t="shared" ref="G16" si="0">1/F16</f>
        <v>9.0857467348097673E-2</v>
      </c>
      <c r="H16" s="10"/>
      <c r="I16" s="32" t="str">
        <f>+C16</f>
        <v>ATSG</v>
      </c>
      <c r="J16" s="57">
        <f>+D16</f>
        <v>17.61</v>
      </c>
      <c r="K16" s="367">
        <v>1.8</v>
      </c>
      <c r="L16" s="68">
        <f>J16/K16</f>
        <v>9.7833333333333332</v>
      </c>
      <c r="M16" s="54">
        <f t="shared" ref="M16" si="1">1/L16</f>
        <v>0.10221465076660988</v>
      </c>
      <c r="N16" s="10"/>
      <c r="O16" s="10"/>
    </row>
    <row r="17" spans="1:15" ht="17.25">
      <c r="A17" s="60" t="str">
        <f>+'S&amp;D'!A23</f>
        <v xml:space="preserve">FedEx Corp </v>
      </c>
      <c r="B17" s="60"/>
      <c r="C17" s="86" t="str">
        <f>+'S&amp;D'!B23</f>
        <v>FDX</v>
      </c>
      <c r="D17" s="57">
        <f>'S&amp;D'!G23</f>
        <v>252.97</v>
      </c>
      <c r="E17" s="367">
        <v>17.649999999999999</v>
      </c>
      <c r="F17" s="68">
        <f t="shared" ref="F17:F18" si="2">D17/E17</f>
        <v>14.33257790368272</v>
      </c>
      <c r="G17" s="54">
        <f t="shared" ref="G17:G18" si="3">1/F17</f>
        <v>6.9771119105032212E-2</v>
      </c>
      <c r="H17" s="10"/>
      <c r="I17" s="32" t="str">
        <f t="shared" ref="I17:I18" si="4">+C17</f>
        <v>FDX</v>
      </c>
      <c r="J17" s="57">
        <f t="shared" ref="J17:J18" si="5">+D17</f>
        <v>252.97</v>
      </c>
      <c r="K17" s="367">
        <v>22</v>
      </c>
      <c r="L17" s="68">
        <f t="shared" ref="L17:L18" si="6">J17/K17</f>
        <v>11.498636363636363</v>
      </c>
      <c r="M17" s="54">
        <f t="shared" ref="M17:M18" si="7">1/L17</f>
        <v>8.6966834011938179E-2</v>
      </c>
      <c r="N17" s="10"/>
      <c r="O17" s="10"/>
    </row>
    <row r="18" spans="1:15" ht="17.25">
      <c r="A18" s="60" t="str">
        <f>+'S&amp;D'!A24</f>
        <v xml:space="preserve">United Parcel Service </v>
      </c>
      <c r="B18" s="60"/>
      <c r="C18" s="86" t="str">
        <f>+'S&amp;D'!B24</f>
        <v>UPS</v>
      </c>
      <c r="D18" s="57">
        <f>'S&amp;D'!G24</f>
        <v>157.22999999999999</v>
      </c>
      <c r="E18" s="367">
        <v>8.4</v>
      </c>
      <c r="F18" s="68">
        <f t="shared" si="2"/>
        <v>18.717857142857142</v>
      </c>
      <c r="G18" s="54">
        <f t="shared" si="3"/>
        <v>5.3424918908605235E-2</v>
      </c>
      <c r="H18" s="10"/>
      <c r="I18" s="32" t="str">
        <f t="shared" si="4"/>
        <v>UPS</v>
      </c>
      <c r="J18" s="57">
        <f t="shared" si="5"/>
        <v>157.22999999999999</v>
      </c>
      <c r="K18" s="367">
        <v>9.8000000000000007</v>
      </c>
      <c r="L18" s="68">
        <f t="shared" si="6"/>
        <v>16.043877551020405</v>
      </c>
      <c r="M18" s="54">
        <f t="shared" si="7"/>
        <v>6.2329072060039445E-2</v>
      </c>
      <c r="N18" s="10"/>
      <c r="O18" s="10"/>
    </row>
    <row r="19" spans="1:15" ht="18" thickBot="1">
      <c r="A19" s="10"/>
      <c r="B19" s="10"/>
      <c r="C19" s="67"/>
      <c r="D19" s="67"/>
      <c r="E19" s="67"/>
      <c r="F19" s="67"/>
      <c r="G19" s="67"/>
      <c r="H19" s="10"/>
      <c r="I19" s="67"/>
      <c r="J19" s="62" t="s">
        <v>0</v>
      </c>
      <c r="K19" s="67"/>
      <c r="L19" s="67"/>
      <c r="M19" s="67"/>
      <c r="N19" s="10"/>
      <c r="O19" s="10"/>
    </row>
    <row r="20" spans="1:15" ht="17.25" thickTop="1">
      <c r="A20" s="10"/>
      <c r="B20" s="10"/>
      <c r="D20" s="12" t="s">
        <v>45</v>
      </c>
      <c r="E20" s="353">
        <f>MAX(E16:E18)</f>
        <v>17.649999999999999</v>
      </c>
      <c r="F20" s="353">
        <f t="shared" ref="F20:G20" si="8">MAX(F16:F18)</f>
        <v>18.717857142857142</v>
      </c>
      <c r="G20" s="351">
        <f t="shared" si="8"/>
        <v>9.0857467348097673E-2</v>
      </c>
      <c r="H20" s="10"/>
      <c r="J20" s="12" t="s">
        <v>45</v>
      </c>
      <c r="K20" s="353">
        <f t="shared" ref="K20:M20" si="9">MAX(K16:K18)</f>
        <v>22</v>
      </c>
      <c r="L20" s="353">
        <f t="shared" si="9"/>
        <v>16.043877551020405</v>
      </c>
      <c r="M20" s="351">
        <f t="shared" si="9"/>
        <v>0.10221465076660988</v>
      </c>
      <c r="N20" s="10"/>
      <c r="O20" s="10"/>
    </row>
    <row r="21" spans="1:15" ht="16.5">
      <c r="A21" s="10"/>
      <c r="B21" s="10"/>
      <c r="D21" s="314" t="s">
        <v>46</v>
      </c>
      <c r="E21" s="354">
        <f>MIN(E16:E18)</f>
        <v>1.6</v>
      </c>
      <c r="F21" s="354">
        <f t="shared" ref="F21:G21" si="10">MIN(F16:F18)</f>
        <v>11.00625</v>
      </c>
      <c r="G21" s="352">
        <f t="shared" si="10"/>
        <v>5.3424918908605235E-2</v>
      </c>
      <c r="H21" s="10"/>
      <c r="J21" s="314" t="s">
        <v>46</v>
      </c>
      <c r="K21" s="354">
        <f t="shared" ref="K21:M21" si="11">MIN(K16:K18)</f>
        <v>1.8</v>
      </c>
      <c r="L21" s="354">
        <f t="shared" si="11"/>
        <v>9.7833333333333332</v>
      </c>
      <c r="M21" s="352">
        <f t="shared" si="11"/>
        <v>6.2329072060039445E-2</v>
      </c>
      <c r="N21" s="10"/>
      <c r="O21" s="10"/>
    </row>
    <row r="22" spans="1:15" ht="16.5">
      <c r="A22" s="10"/>
      <c r="B22" s="10"/>
      <c r="D22" s="12" t="s">
        <v>18</v>
      </c>
      <c r="E22" s="68">
        <f>MEDIAN(E16:E18)</f>
        <v>8.4</v>
      </c>
      <c r="F22" s="19">
        <f>MEDIAN(F16:F18)</f>
        <v>14.33257790368272</v>
      </c>
      <c r="G22" s="54">
        <f>MEDIAN(G16:G18)</f>
        <v>6.9771119105032212E-2</v>
      </c>
      <c r="H22" s="10"/>
      <c r="J22" s="12" t="s">
        <v>18</v>
      </c>
      <c r="K22" s="68">
        <f>MEDIAN(K16:K18)</f>
        <v>9.8000000000000007</v>
      </c>
      <c r="L22" s="19">
        <f>MEDIAN(L16:L18)</f>
        <v>11.498636363636363</v>
      </c>
      <c r="M22" s="54">
        <f>MEDIAN(M16:M18)</f>
        <v>8.6966834011938179E-2</v>
      </c>
      <c r="N22" s="10"/>
      <c r="O22" s="10"/>
    </row>
    <row r="23" spans="1:15" ht="16.5">
      <c r="A23" s="10"/>
      <c r="B23" s="10"/>
      <c r="D23" s="12" t="s">
        <v>412</v>
      </c>
      <c r="E23" s="15">
        <f>AVERAGE(E16:E18)</f>
        <v>9.2166666666666668</v>
      </c>
      <c r="F23" s="19">
        <f>AVERAGE(F16:F18)</f>
        <v>14.685561682179953</v>
      </c>
      <c r="G23" s="69">
        <f>AVERAGE(G16:G18)</f>
        <v>7.1351168453911706E-2</v>
      </c>
      <c r="H23" s="10"/>
      <c r="J23" s="12" t="s">
        <v>412</v>
      </c>
      <c r="K23" s="15">
        <f>AVERAGE(K16:K18)</f>
        <v>11.200000000000001</v>
      </c>
      <c r="L23" s="19">
        <f>AVERAGE(L16:L18)</f>
        <v>12.441949082663365</v>
      </c>
      <c r="M23" s="69">
        <f>AVERAGE(M16:M18)</f>
        <v>8.3836852279529181E-2</v>
      </c>
      <c r="N23" s="10"/>
      <c r="O23" s="10"/>
    </row>
    <row r="24" spans="1:15" ht="16.5">
      <c r="A24" s="10"/>
      <c r="B24" s="10"/>
      <c r="C24" s="10"/>
      <c r="D24" s="10"/>
      <c r="E24" s="10"/>
      <c r="F24" s="10"/>
      <c r="G24" s="10"/>
      <c r="H24" s="10"/>
      <c r="I24" s="10"/>
      <c r="J24" s="10"/>
      <c r="K24" s="10"/>
      <c r="L24" s="10"/>
      <c r="M24" s="10"/>
      <c r="N24" s="10"/>
      <c r="O24" s="10"/>
    </row>
    <row r="25" spans="1:15" ht="26.25">
      <c r="A25" s="10"/>
      <c r="B25" s="10"/>
      <c r="C25" s="10"/>
      <c r="D25" s="10"/>
      <c r="E25" s="73" t="s">
        <v>73</v>
      </c>
      <c r="F25" s="359">
        <v>14.69</v>
      </c>
      <c r="G25" s="357">
        <v>7.1400000000000005E-2</v>
      </c>
      <c r="H25" s="10"/>
      <c r="I25" s="10"/>
      <c r="J25" s="10"/>
      <c r="K25" s="73" t="s">
        <v>73</v>
      </c>
      <c r="L25" s="360">
        <v>12.44</v>
      </c>
      <c r="M25" s="357">
        <v>8.3799999999999999E-2</v>
      </c>
      <c r="N25" s="10"/>
      <c r="O25" s="10"/>
    </row>
    <row r="26" spans="1:15" ht="16.5">
      <c r="A26" s="10"/>
      <c r="B26" s="10"/>
      <c r="C26" s="10"/>
      <c r="D26" s="10"/>
      <c r="E26" s="10"/>
      <c r="F26" s="10"/>
      <c r="K26" s="10"/>
      <c r="L26" s="10"/>
      <c r="M26" s="10"/>
      <c r="N26" s="10"/>
      <c r="O26" s="10"/>
    </row>
    <row r="27" spans="1:15" ht="30" customHeight="1">
      <c r="A27" s="10"/>
      <c r="B27" s="10"/>
      <c r="C27" s="10"/>
      <c r="D27" s="10"/>
      <c r="E27" s="10"/>
      <c r="F27" s="10"/>
      <c r="K27" s="10"/>
      <c r="L27" s="10"/>
      <c r="M27" s="10"/>
      <c r="N27" s="10"/>
      <c r="O27" s="10"/>
    </row>
    <row r="28" spans="1:15" ht="17.25" thickBot="1">
      <c r="A28" s="10"/>
      <c r="B28" s="10"/>
      <c r="C28" s="10"/>
      <c r="D28" s="10"/>
      <c r="E28" s="10"/>
      <c r="F28" s="10"/>
      <c r="K28" s="10"/>
      <c r="L28" s="10"/>
      <c r="M28" s="10"/>
      <c r="N28" s="10"/>
      <c r="O28" s="10"/>
    </row>
    <row r="29" spans="1:15" ht="30.75" customHeight="1" thickBot="1">
      <c r="A29" s="71" t="s">
        <v>0</v>
      </c>
      <c r="B29" s="71"/>
      <c r="C29" s="10"/>
      <c r="D29" s="10"/>
      <c r="E29" s="10"/>
      <c r="G29" s="21" t="s">
        <v>123</v>
      </c>
      <c r="H29" s="10"/>
      <c r="I29" s="399">
        <f>(+F25+L25)/2</f>
        <v>13.565</v>
      </c>
      <c r="J29" s="400">
        <f>(+G25+M25)/2</f>
        <v>7.7600000000000002E-2</v>
      </c>
      <c r="N29" s="10"/>
      <c r="O29" s="10"/>
    </row>
    <row r="30" spans="1:15" ht="16.5">
      <c r="A30" s="71" t="s">
        <v>0</v>
      </c>
      <c r="B30" s="71"/>
      <c r="C30" s="10"/>
      <c r="D30" s="10"/>
      <c r="E30" s="10"/>
      <c r="F30" s="10"/>
      <c r="G30" s="10"/>
      <c r="H30" s="10"/>
      <c r="I30" s="10"/>
      <c r="J30" s="10"/>
      <c r="K30" s="10"/>
      <c r="L30" s="10"/>
      <c r="M30" s="10"/>
      <c r="N30" s="10"/>
      <c r="O30" s="10"/>
    </row>
    <row r="31" spans="1:15" ht="16.5">
      <c r="A31" s="10"/>
      <c r="B31" s="10"/>
      <c r="C31" s="10"/>
      <c r="D31" s="10"/>
      <c r="E31" s="10"/>
      <c r="F31" s="10"/>
      <c r="G31" s="10"/>
      <c r="H31" s="10"/>
      <c r="I31" s="10"/>
      <c r="J31" s="10"/>
      <c r="K31" s="10"/>
      <c r="L31" s="10"/>
      <c r="M31" s="10"/>
      <c r="N31" s="10"/>
      <c r="O31" s="10"/>
    </row>
    <row r="32" spans="1:15" ht="16.5">
      <c r="A32" s="10"/>
      <c r="B32" s="10"/>
      <c r="C32" s="10"/>
      <c r="D32" s="10"/>
      <c r="E32" s="10"/>
      <c r="F32" s="10"/>
      <c r="G32" s="10"/>
      <c r="H32" s="10"/>
      <c r="I32" s="10"/>
      <c r="J32" s="10"/>
      <c r="K32" s="10"/>
      <c r="L32" s="10"/>
      <c r="M32" s="10"/>
      <c r="N32" s="10"/>
      <c r="O32" s="10"/>
    </row>
    <row r="33" spans="1:7" ht="15.75" thickBot="1">
      <c r="B33" s="146"/>
      <c r="C33" s="146"/>
      <c r="D33" s="146"/>
      <c r="E33" s="146"/>
      <c r="F33" s="146"/>
      <c r="G33" s="146"/>
    </row>
    <row r="34" spans="1:7" ht="26.25">
      <c r="C34" s="10"/>
      <c r="D34" s="10"/>
      <c r="E34" s="29" t="s">
        <v>241</v>
      </c>
      <c r="F34" s="10"/>
      <c r="G34" s="10"/>
    </row>
    <row r="35" spans="1:7" ht="21" thickBot="1">
      <c r="A35" s="28"/>
      <c r="B35" s="146"/>
      <c r="C35" s="26"/>
      <c r="D35" s="26"/>
      <c r="E35" s="34" t="s">
        <v>452</v>
      </c>
      <c r="F35" s="26"/>
      <c r="G35" s="26"/>
    </row>
    <row r="36" spans="1:7" ht="15.75" thickBot="1">
      <c r="A36" s="31" t="s">
        <v>0</v>
      </c>
      <c r="B36" s="146"/>
      <c r="C36" s="31" t="s">
        <v>0</v>
      </c>
      <c r="D36" s="31" t="s">
        <v>0</v>
      </c>
      <c r="E36" s="31" t="s">
        <v>0</v>
      </c>
      <c r="F36" s="31" t="s">
        <v>0</v>
      </c>
      <c r="G36" s="31" t="s">
        <v>0</v>
      </c>
    </row>
    <row r="37" spans="1:7" ht="16.5">
      <c r="A37" s="32" t="s">
        <v>0</v>
      </c>
      <c r="C37" s="32" t="s">
        <v>3</v>
      </c>
      <c r="D37" s="32" t="s">
        <v>352</v>
      </c>
      <c r="E37" s="32" t="s">
        <v>354</v>
      </c>
      <c r="F37" s="32" t="s">
        <v>110</v>
      </c>
      <c r="G37" s="32" t="s">
        <v>26</v>
      </c>
    </row>
    <row r="38" spans="1:7" ht="17.25" thickBot="1">
      <c r="A38" s="34" t="s">
        <v>2</v>
      </c>
      <c r="B38" s="146"/>
      <c r="C38" s="34" t="s">
        <v>4</v>
      </c>
      <c r="D38" s="34" t="s">
        <v>27</v>
      </c>
      <c r="E38" s="34" t="s">
        <v>168</v>
      </c>
      <c r="F38" s="34" t="s">
        <v>28</v>
      </c>
      <c r="G38" s="34" t="s">
        <v>29</v>
      </c>
    </row>
    <row r="39" spans="1:7">
      <c r="A39" s="36" t="s">
        <v>0</v>
      </c>
      <c r="C39" s="36" t="s">
        <v>0</v>
      </c>
      <c r="D39" s="37" t="s">
        <v>112</v>
      </c>
      <c r="E39" s="72" t="s">
        <v>242</v>
      </c>
      <c r="F39" s="36" t="s">
        <v>0</v>
      </c>
      <c r="G39" s="36" t="s">
        <v>0</v>
      </c>
    </row>
    <row r="40" spans="1:7" ht="16.5">
      <c r="A40" s="32"/>
      <c r="C40" s="32"/>
      <c r="D40" s="32"/>
      <c r="E40" s="32"/>
      <c r="F40" s="32"/>
      <c r="G40" s="32"/>
    </row>
    <row r="41" spans="1:7" ht="16.5">
      <c r="A41" s="10"/>
      <c r="C41" s="10"/>
      <c r="D41" s="10"/>
      <c r="E41" s="10"/>
      <c r="F41" s="10"/>
      <c r="G41" s="10"/>
    </row>
    <row r="42" spans="1:7" ht="17.25">
      <c r="A42" s="60" t="str">
        <f>+'S&amp;D'!A22</f>
        <v>Air Transport Services Group</v>
      </c>
      <c r="C42" s="86" t="str">
        <f>+'S&amp;D'!B22</f>
        <v>ATSG</v>
      </c>
      <c r="D42" s="57">
        <f>'S&amp;D'!G22</f>
        <v>17.61</v>
      </c>
      <c r="E42" s="367">
        <v>2.5</v>
      </c>
      <c r="F42" s="68">
        <f t="shared" ref="F42:F44" si="12">D42/E42</f>
        <v>7.0439999999999996</v>
      </c>
      <c r="G42" s="54">
        <f t="shared" ref="G42:G44" si="13">1/F42</f>
        <v>0.14196479273140261</v>
      </c>
    </row>
    <row r="43" spans="1:7" ht="17.25">
      <c r="A43" s="60" t="str">
        <f>+'S&amp;D'!A23</f>
        <v xml:space="preserve">FedEx Corp </v>
      </c>
      <c r="C43" s="86" t="str">
        <f>+'S&amp;D'!B23</f>
        <v>FDX</v>
      </c>
      <c r="D43" s="57">
        <f>'S&amp;D'!G23</f>
        <v>252.97</v>
      </c>
      <c r="E43" s="367">
        <v>25</v>
      </c>
      <c r="F43" s="68">
        <f t="shared" si="12"/>
        <v>10.1188</v>
      </c>
      <c r="G43" s="54">
        <f t="shared" si="13"/>
        <v>9.8825947740838832E-2</v>
      </c>
    </row>
    <row r="44" spans="1:7" ht="17.25">
      <c r="A44" s="60" t="str">
        <f>+'S&amp;D'!A24</f>
        <v xml:space="preserve">United Parcel Service </v>
      </c>
      <c r="C44" s="86" t="str">
        <f>+'S&amp;D'!B24</f>
        <v>UPS</v>
      </c>
      <c r="D44" s="57">
        <f>'S&amp;D'!G24</f>
        <v>157.22999999999999</v>
      </c>
      <c r="E44" s="367">
        <v>14</v>
      </c>
      <c r="F44" s="68">
        <f t="shared" si="12"/>
        <v>11.230714285714285</v>
      </c>
      <c r="G44" s="54">
        <f t="shared" si="13"/>
        <v>8.9041531514342048E-2</v>
      </c>
    </row>
    <row r="45" spans="1:7" ht="17.25" thickBot="1">
      <c r="A45" s="10"/>
      <c r="D45" s="67"/>
      <c r="E45" s="67"/>
      <c r="F45" s="67"/>
      <c r="G45" s="67"/>
    </row>
    <row r="46" spans="1:7" ht="17.25" thickTop="1">
      <c r="A46" s="10"/>
      <c r="D46" s="12" t="s">
        <v>45</v>
      </c>
      <c r="E46" s="353">
        <f t="shared" ref="E46:G46" si="14">MAX(E42:E44)</f>
        <v>25</v>
      </c>
      <c r="F46" s="353">
        <f t="shared" si="14"/>
        <v>11.230714285714285</v>
      </c>
      <c r="G46" s="351">
        <f t="shared" si="14"/>
        <v>0.14196479273140261</v>
      </c>
    </row>
    <row r="47" spans="1:7" ht="16.5">
      <c r="A47" s="10"/>
      <c r="D47" s="12" t="s">
        <v>46</v>
      </c>
      <c r="E47" s="354">
        <f t="shared" ref="E47:G47" si="15">MIN(E42:E44)</f>
        <v>2.5</v>
      </c>
      <c r="F47" s="354">
        <f t="shared" si="15"/>
        <v>7.0439999999999996</v>
      </c>
      <c r="G47" s="352">
        <f t="shared" si="15"/>
        <v>8.9041531514342048E-2</v>
      </c>
    </row>
    <row r="48" spans="1:7" ht="16.5">
      <c r="A48" s="10"/>
      <c r="D48" s="12" t="s">
        <v>18</v>
      </c>
      <c r="E48" s="68">
        <f>MEDIAN(E42:E44)</f>
        <v>14</v>
      </c>
      <c r="F48" s="19">
        <f>MEDIAN(F42:F44)</f>
        <v>10.1188</v>
      </c>
      <c r="G48" s="54">
        <f>MEDIAN(G42:G44)</f>
        <v>9.8825947740838832E-2</v>
      </c>
    </row>
    <row r="49" spans="1:7" ht="16.5">
      <c r="A49" s="10"/>
      <c r="D49" s="12" t="s">
        <v>412</v>
      </c>
      <c r="E49" s="15">
        <f>AVERAGE(E42:E44)</f>
        <v>13.833333333333334</v>
      </c>
      <c r="F49" s="19">
        <f>AVERAGE(F42:F44)</f>
        <v>9.4645047619047613</v>
      </c>
      <c r="G49" s="69">
        <f>AVERAGE(G42:G44)</f>
        <v>0.1099440906621945</v>
      </c>
    </row>
    <row r="50" spans="1:7" ht="16.5">
      <c r="A50" s="10"/>
      <c r="C50" s="10"/>
      <c r="D50" s="10"/>
      <c r="E50" s="10"/>
      <c r="F50" s="10"/>
      <c r="G50" s="10"/>
    </row>
    <row r="51" spans="1:7" ht="26.25">
      <c r="A51" s="10"/>
      <c r="C51" s="10"/>
      <c r="D51" s="10"/>
      <c r="E51" s="73" t="s">
        <v>73</v>
      </c>
      <c r="F51" s="360">
        <v>9.4600000000000009</v>
      </c>
      <c r="G51" s="357">
        <v>0.1099</v>
      </c>
    </row>
  </sheetData>
  <pageMargins left="0.25" right="0.25" top="0.75" bottom="0.75" header="0.3" footer="0.3"/>
  <pageSetup scale="3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AA241-0A64-46CC-9E60-C6F323522AA0}">
  <sheetPr codeName="Sheet14">
    <tabColor rgb="FFFF0000"/>
  </sheetPr>
  <dimension ref="A1:K153"/>
  <sheetViews>
    <sheetView view="pageBreakPreview" topLeftCell="A40" zoomScale="60" zoomScaleNormal="80" workbookViewId="0">
      <selection activeCell="B24" sqref="B24"/>
    </sheetView>
  </sheetViews>
  <sheetFormatPr defaultRowHeight="15"/>
  <cols>
    <col min="1" max="1" width="62.42578125" customWidth="1"/>
    <col min="2" max="2" width="25.7109375" customWidth="1"/>
    <col min="3" max="3" width="30.28515625" customWidth="1"/>
    <col min="4" max="5" width="30.5703125" customWidth="1"/>
    <col min="6" max="6" width="28.140625" customWidth="1"/>
    <col min="7" max="7" width="32.7109375" customWidth="1"/>
    <col min="8" max="8" width="37.7109375" customWidth="1"/>
    <col min="9" max="9" width="49.7109375" customWidth="1"/>
    <col min="10" max="10" width="13.85546875" customWidth="1"/>
    <col min="11" max="12" width="14.140625" bestFit="1" customWidth="1"/>
  </cols>
  <sheetData>
    <row r="1" spans="1:11" ht="26.25">
      <c r="A1" s="21" t="s">
        <v>1</v>
      </c>
      <c r="C1" s="21"/>
      <c r="D1" s="21"/>
      <c r="E1" s="10"/>
      <c r="F1" s="10"/>
      <c r="G1" s="10"/>
      <c r="H1" s="10"/>
      <c r="I1" s="10"/>
      <c r="J1" s="10"/>
      <c r="K1" s="10"/>
    </row>
    <row r="2" spans="1:11" ht="17.25">
      <c r="A2" s="22" t="s">
        <v>9</v>
      </c>
      <c r="C2" s="22"/>
      <c r="D2" s="22"/>
      <c r="E2" s="10"/>
      <c r="F2" s="10"/>
      <c r="G2" s="10"/>
      <c r="H2" s="10"/>
      <c r="I2" s="10"/>
      <c r="J2" s="10"/>
      <c r="K2" s="10"/>
    </row>
    <row r="3" spans="1:11" ht="16.5">
      <c r="A3" s="23" t="s">
        <v>451</v>
      </c>
      <c r="C3" s="23"/>
      <c r="D3" s="23"/>
      <c r="E3" s="10"/>
      <c r="F3" s="10"/>
      <c r="G3" s="10"/>
      <c r="H3" s="10"/>
      <c r="I3" s="10"/>
      <c r="J3" s="10"/>
      <c r="K3" s="10"/>
    </row>
    <row r="4" spans="1:11" ht="16.5">
      <c r="B4" s="23"/>
      <c r="C4" s="23"/>
      <c r="D4" s="23"/>
      <c r="E4" s="10"/>
      <c r="F4" s="10"/>
      <c r="G4" s="10"/>
      <c r="H4" s="10"/>
      <c r="I4" s="10"/>
      <c r="J4" s="10"/>
      <c r="K4" s="10"/>
    </row>
    <row r="5" spans="1:11" ht="16.5">
      <c r="B5" s="10"/>
      <c r="C5" s="10"/>
      <c r="D5" s="10"/>
      <c r="E5" s="10"/>
      <c r="F5" s="10"/>
      <c r="G5" s="10"/>
      <c r="H5" s="10"/>
      <c r="I5" s="24" t="s">
        <v>0</v>
      </c>
      <c r="J5" s="24"/>
      <c r="K5" s="10"/>
    </row>
    <row r="6" spans="1:11" ht="17.25" thickBot="1">
      <c r="B6" s="10"/>
      <c r="C6" s="10"/>
      <c r="D6" s="26"/>
      <c r="E6" s="26"/>
      <c r="F6" s="146"/>
      <c r="H6" s="10"/>
      <c r="I6" s="10"/>
      <c r="J6" s="10"/>
      <c r="K6" s="10"/>
    </row>
    <row r="7" spans="1:11" ht="27" thickBot="1">
      <c r="A7" s="25" t="str">
        <f>+'S&amp;D'!A12</f>
        <v>Air Freight Carriers</v>
      </c>
      <c r="C7" s="28"/>
      <c r="D7" s="28"/>
      <c r="E7" s="29" t="s">
        <v>254</v>
      </c>
      <c r="H7" s="10"/>
      <c r="I7" s="10"/>
      <c r="J7" s="10"/>
      <c r="K7" s="10"/>
    </row>
    <row r="8" spans="1:11" ht="21" thickBot="1">
      <c r="B8" s="28"/>
      <c r="C8" s="28"/>
      <c r="D8" s="147"/>
      <c r="E8" s="34" t="s">
        <v>452</v>
      </c>
      <c r="F8" s="146"/>
      <c r="H8" s="10"/>
      <c r="I8" s="10"/>
      <c r="J8" s="10"/>
      <c r="K8" s="10"/>
    </row>
    <row r="9" spans="1:11" ht="20.25">
      <c r="B9" s="28"/>
      <c r="C9" s="28"/>
      <c r="D9" s="28"/>
      <c r="E9" s="32"/>
      <c r="H9" s="10"/>
      <c r="I9" s="10"/>
      <c r="J9" s="10"/>
      <c r="K9" s="10"/>
    </row>
    <row r="10" spans="1:11" ht="21" thickBot="1">
      <c r="A10" s="147"/>
      <c r="B10" s="28"/>
      <c r="I10" s="10"/>
      <c r="J10" s="10"/>
      <c r="K10" s="10"/>
    </row>
    <row r="11" spans="1:11" ht="22.5" customHeight="1" thickBot="1">
      <c r="A11" s="159" t="s">
        <v>249</v>
      </c>
      <c r="B11" s="28"/>
      <c r="I11" s="10"/>
      <c r="J11" s="10"/>
      <c r="K11" s="10"/>
    </row>
    <row r="12" spans="1:11" ht="26.25" customHeight="1" thickBot="1">
      <c r="A12" s="158" t="s">
        <v>0</v>
      </c>
      <c r="B12" s="10"/>
      <c r="C12" s="10"/>
      <c r="D12" s="10"/>
      <c r="E12" s="10"/>
      <c r="F12" s="10"/>
      <c r="G12" s="10"/>
      <c r="H12" s="10"/>
      <c r="I12" s="10"/>
      <c r="J12" s="10"/>
      <c r="K12" s="10"/>
    </row>
    <row r="13" spans="1:11" ht="66.75" customHeight="1" thickBot="1">
      <c r="A13" s="221" t="s">
        <v>270</v>
      </c>
      <c r="B13" s="153" t="s">
        <v>314</v>
      </c>
      <c r="C13" s="153" t="s">
        <v>280</v>
      </c>
      <c r="D13" s="153" t="s">
        <v>279</v>
      </c>
      <c r="I13" s="10"/>
      <c r="J13" s="10"/>
      <c r="K13" s="10"/>
    </row>
    <row r="14" spans="1:11" ht="16.5">
      <c r="A14" s="148"/>
      <c r="B14" s="211"/>
      <c r="C14" s="211"/>
      <c r="D14" s="211"/>
      <c r="I14" s="10"/>
      <c r="J14" s="10"/>
      <c r="K14" s="10"/>
    </row>
    <row r="15" spans="1:11" ht="20.25">
      <c r="A15" s="157" t="str">
        <f>+A7</f>
        <v>Air Freight Carriers</v>
      </c>
      <c r="B15" s="363">
        <v>0</v>
      </c>
      <c r="C15" s="232">
        <f>+'Dividends '!K22</f>
        <v>6.5503286882747036E-2</v>
      </c>
      <c r="D15" s="232">
        <f>+Earnings!K21</f>
        <v>0.11572158347028512</v>
      </c>
      <c r="I15" s="10"/>
      <c r="J15" s="10"/>
      <c r="K15" s="10"/>
    </row>
    <row r="16" spans="1:11" ht="21" thickBot="1">
      <c r="A16" s="150" t="s">
        <v>0</v>
      </c>
      <c r="B16" s="212" t="s">
        <v>0</v>
      </c>
      <c r="C16" s="257">
        <f>+'Dividends '!K23</f>
        <v>6.5503286882747036E-2</v>
      </c>
      <c r="D16" s="257">
        <f>+Earnings!K22</f>
        <v>9.5167158375213765E-2</v>
      </c>
      <c r="I16" s="10"/>
      <c r="J16" s="10"/>
      <c r="K16" s="10"/>
    </row>
    <row r="17" spans="1:11" ht="20.25">
      <c r="A17" s="219"/>
      <c r="B17" s="220"/>
      <c r="I17" s="10"/>
      <c r="J17" s="10"/>
      <c r="K17" s="10"/>
    </row>
    <row r="18" spans="1:11" ht="16.5">
      <c r="A18" s="10"/>
      <c r="B18" s="10"/>
      <c r="C18" s="10"/>
      <c r="D18" s="10"/>
      <c r="E18" s="10"/>
      <c r="F18" s="10"/>
      <c r="G18" s="10"/>
      <c r="H18" s="10"/>
      <c r="I18" s="10"/>
      <c r="J18" s="10"/>
      <c r="K18" s="10"/>
    </row>
    <row r="19" spans="1:11" ht="17.25" thickBot="1">
      <c r="A19" s="10"/>
      <c r="B19" s="10"/>
      <c r="C19" s="10"/>
      <c r="D19" s="10"/>
      <c r="E19" s="10"/>
      <c r="F19" s="10"/>
      <c r="G19" s="10"/>
      <c r="H19" s="10"/>
      <c r="I19" s="10"/>
      <c r="J19" s="10"/>
      <c r="K19" s="10"/>
    </row>
    <row r="20" spans="1:11" ht="21" thickBot="1">
      <c r="A20" s="159" t="s">
        <v>269</v>
      </c>
      <c r="B20" s="28"/>
      <c r="I20" s="10"/>
      <c r="J20" s="10"/>
      <c r="K20" s="10"/>
    </row>
    <row r="21" spans="1:11" ht="18" thickBot="1">
      <c r="A21" s="158" t="s">
        <v>0</v>
      </c>
      <c r="B21" s="10"/>
      <c r="C21" s="10"/>
      <c r="D21" s="10"/>
      <c r="E21" s="10"/>
      <c r="F21" s="10"/>
      <c r="G21" s="10"/>
      <c r="H21" s="10"/>
      <c r="I21" s="10"/>
      <c r="J21" s="10"/>
      <c r="K21" s="10"/>
    </row>
    <row r="22" spans="1:11" ht="64.5" customHeight="1" thickBot="1">
      <c r="A22" s="221" t="s">
        <v>271</v>
      </c>
      <c r="B22" s="153" t="s">
        <v>313</v>
      </c>
      <c r="C22" s="152" t="s">
        <v>228</v>
      </c>
      <c r="D22" s="153" t="s">
        <v>229</v>
      </c>
      <c r="E22" s="153" t="s">
        <v>230</v>
      </c>
      <c r="F22" s="153" t="s">
        <v>314</v>
      </c>
      <c r="G22" s="258" t="s">
        <v>18</v>
      </c>
      <c r="H22" s="258" t="s">
        <v>19</v>
      </c>
      <c r="I22" s="10"/>
      <c r="J22" s="10"/>
      <c r="K22" s="10"/>
    </row>
    <row r="23" spans="1:11" ht="16.5">
      <c r="A23" s="148"/>
      <c r="B23" s="211"/>
      <c r="C23" s="108"/>
      <c r="D23" s="211"/>
      <c r="E23" s="108"/>
      <c r="F23" s="211"/>
      <c r="G23" s="329"/>
      <c r="H23" s="161"/>
      <c r="I23" s="10"/>
      <c r="J23" s="10"/>
      <c r="K23" s="10"/>
    </row>
    <row r="24" spans="1:11" ht="20.25">
      <c r="A24" s="157" t="str">
        <f>+A7</f>
        <v>Air Freight Carriers</v>
      </c>
      <c r="B24" s="363">
        <v>0</v>
      </c>
      <c r="C24" s="364">
        <v>0</v>
      </c>
      <c r="D24" s="363">
        <v>0</v>
      </c>
      <c r="E24" s="364">
        <v>0</v>
      </c>
      <c r="F24" s="363">
        <v>0</v>
      </c>
      <c r="G24" s="362">
        <f>MEDIAN(B24:F24)</f>
        <v>0</v>
      </c>
      <c r="H24" s="362">
        <f t="shared" ref="H24" si="0">AVERAGE(B24:F24)</f>
        <v>0</v>
      </c>
      <c r="I24" s="10"/>
      <c r="J24" s="10"/>
      <c r="K24" s="10"/>
    </row>
    <row r="25" spans="1:11" ht="21" thickBot="1">
      <c r="A25" s="317" t="s">
        <v>0</v>
      </c>
      <c r="B25" s="212" t="s">
        <v>0</v>
      </c>
      <c r="C25" s="328" t="s">
        <v>0</v>
      </c>
      <c r="D25" s="212" t="s">
        <v>0</v>
      </c>
      <c r="E25" s="328" t="s">
        <v>0</v>
      </c>
      <c r="F25" s="212" t="s">
        <v>0</v>
      </c>
      <c r="G25" s="306"/>
      <c r="H25" s="160"/>
      <c r="I25" s="10"/>
      <c r="J25" s="10"/>
      <c r="K25" s="10"/>
    </row>
    <row r="26" spans="1:11" ht="16.5">
      <c r="A26" s="10"/>
      <c r="B26" s="10"/>
      <c r="C26" s="10"/>
      <c r="D26" s="10"/>
      <c r="E26" s="10"/>
      <c r="F26" s="10"/>
      <c r="G26" s="10"/>
      <c r="H26" s="10"/>
      <c r="I26" s="10"/>
      <c r="J26" s="10"/>
      <c r="K26" s="10"/>
    </row>
    <row r="27" spans="1:11" ht="16.5">
      <c r="A27" s="10"/>
      <c r="B27" s="10"/>
      <c r="C27" s="10"/>
      <c r="D27" s="10"/>
      <c r="E27" s="10"/>
      <c r="F27" s="10"/>
      <c r="G27" s="10"/>
      <c r="H27" s="10"/>
      <c r="I27" s="10"/>
      <c r="J27" s="10"/>
      <c r="K27" s="10"/>
    </row>
    <row r="28" spans="1:11" ht="16.5">
      <c r="A28" s="10"/>
      <c r="B28" s="10" t="s">
        <v>0</v>
      </c>
      <c r="C28" s="10"/>
      <c r="D28" s="10"/>
      <c r="E28" s="10"/>
      <c r="F28" s="10"/>
      <c r="G28" s="10"/>
      <c r="H28" s="10"/>
      <c r="I28" s="10"/>
      <c r="J28" s="10"/>
      <c r="K28" s="10"/>
    </row>
    <row r="29" spans="1:11" ht="17.25" thickBot="1">
      <c r="A29" s="10"/>
      <c r="B29" s="10"/>
      <c r="C29" s="10"/>
      <c r="D29" s="10"/>
      <c r="E29" s="10"/>
      <c r="F29" s="10"/>
      <c r="G29" s="10"/>
      <c r="H29" s="10"/>
      <c r="I29" s="10"/>
      <c r="J29" s="10"/>
      <c r="K29" s="10"/>
    </row>
    <row r="30" spans="1:11" ht="21" thickBot="1">
      <c r="A30" s="159" t="s">
        <v>251</v>
      </c>
      <c r="B30" s="10"/>
      <c r="C30" s="10"/>
      <c r="D30" s="10"/>
      <c r="E30" s="10"/>
      <c r="F30" s="10"/>
      <c r="G30" s="10"/>
      <c r="H30" s="10"/>
      <c r="I30" s="10"/>
      <c r="J30" s="10"/>
      <c r="K30" s="10"/>
    </row>
    <row r="31" spans="1:11" ht="16.5">
      <c r="A31" s="10"/>
      <c r="B31" s="10"/>
      <c r="C31" s="10"/>
      <c r="D31" s="10"/>
      <c r="E31" s="10"/>
      <c r="F31" s="10"/>
      <c r="G31" s="10"/>
      <c r="H31" s="10"/>
      <c r="I31" s="10"/>
      <c r="J31" s="10"/>
      <c r="K31" s="10"/>
    </row>
    <row r="32" spans="1:11" ht="16.5">
      <c r="A32" s="10"/>
      <c r="B32" s="10"/>
      <c r="C32" s="10"/>
      <c r="D32" s="10"/>
      <c r="E32" s="10"/>
      <c r="F32" s="10"/>
      <c r="G32" s="10"/>
      <c r="H32" s="10"/>
      <c r="I32" s="10"/>
      <c r="J32" s="10"/>
      <c r="K32" s="10"/>
    </row>
    <row r="33" spans="1:11" ht="26.25">
      <c r="A33" s="405">
        <v>1.84E-2</v>
      </c>
      <c r="B33" s="28" t="s">
        <v>454</v>
      </c>
      <c r="C33" s="10"/>
      <c r="E33" s="200" t="s">
        <v>0</v>
      </c>
      <c r="F33" s="10"/>
      <c r="G33" s="10"/>
      <c r="H33" s="10"/>
      <c r="I33" s="10"/>
      <c r="J33" s="10"/>
      <c r="K33" s="10"/>
    </row>
    <row r="34" spans="1:11" ht="26.25">
      <c r="A34" s="214"/>
      <c r="B34" s="10" t="s">
        <v>455</v>
      </c>
      <c r="C34" s="10"/>
      <c r="D34" s="10"/>
      <c r="E34" s="10"/>
      <c r="F34" s="10"/>
      <c r="G34" s="10"/>
      <c r="H34" s="10"/>
      <c r="I34" s="10"/>
      <c r="J34" s="10"/>
      <c r="K34" s="10"/>
    </row>
    <row r="35" spans="1:11" ht="26.25">
      <c r="A35" s="214"/>
      <c r="B35" s="426" t="s">
        <v>294</v>
      </c>
      <c r="C35" s="10"/>
      <c r="D35" s="10"/>
      <c r="E35" s="10"/>
      <c r="F35" s="10"/>
      <c r="G35" s="10"/>
      <c r="H35" s="10"/>
      <c r="I35" s="10"/>
      <c r="J35" s="10"/>
      <c r="K35" s="10"/>
    </row>
    <row r="36" spans="1:11" ht="26.25">
      <c r="A36" s="330">
        <v>1.7999999999999999E-2</v>
      </c>
      <c r="B36" s="28" t="s">
        <v>252</v>
      </c>
      <c r="C36" s="10"/>
      <c r="D36" s="10"/>
      <c r="E36" s="10"/>
      <c r="F36" s="10"/>
      <c r="G36" s="10"/>
      <c r="H36" s="10"/>
      <c r="I36" s="10"/>
      <c r="J36" s="10"/>
      <c r="K36" s="10"/>
    </row>
    <row r="37" spans="1:11" ht="26.25">
      <c r="A37" s="213"/>
      <c r="B37" s="215" t="s">
        <v>456</v>
      </c>
      <c r="C37" s="10"/>
      <c r="D37" s="10"/>
      <c r="E37" s="10"/>
      <c r="F37" s="10"/>
      <c r="G37" s="10"/>
      <c r="H37" s="10"/>
      <c r="I37" s="10"/>
      <c r="J37" s="10"/>
      <c r="K37" s="10"/>
    </row>
    <row r="38" spans="1:11" ht="26.25">
      <c r="A38" s="213"/>
      <c r="B38" s="426" t="s">
        <v>457</v>
      </c>
      <c r="C38" s="10"/>
      <c r="D38" s="10"/>
      <c r="E38" s="10"/>
      <c r="F38" s="10"/>
      <c r="G38" s="10"/>
      <c r="H38" s="10"/>
      <c r="I38" s="10"/>
      <c r="J38" s="10"/>
      <c r="K38" s="10"/>
    </row>
    <row r="39" spans="1:11" ht="26.25">
      <c r="A39" s="330" t="s">
        <v>458</v>
      </c>
      <c r="B39" s="28" t="s">
        <v>253</v>
      </c>
      <c r="C39" s="10"/>
      <c r="D39" s="10"/>
      <c r="E39" s="10"/>
      <c r="F39" s="10"/>
      <c r="G39" s="10"/>
      <c r="H39" s="10"/>
      <c r="I39" s="10"/>
      <c r="J39" s="10"/>
      <c r="K39" s="10"/>
    </row>
    <row r="40" spans="1:11" ht="26.25">
      <c r="A40" s="213"/>
      <c r="B40" s="123" t="s">
        <v>459</v>
      </c>
      <c r="C40" s="10"/>
      <c r="D40" s="10"/>
      <c r="E40" s="10"/>
      <c r="F40" s="10"/>
      <c r="G40" s="10"/>
      <c r="H40" s="10"/>
      <c r="I40" s="10"/>
      <c r="J40" s="10"/>
      <c r="K40" s="10"/>
    </row>
    <row r="41" spans="1:11" ht="26.25">
      <c r="A41" s="213"/>
      <c r="B41" s="426" t="s">
        <v>312</v>
      </c>
      <c r="C41" s="10"/>
      <c r="D41" s="10"/>
      <c r="E41" s="10"/>
      <c r="F41" s="10"/>
      <c r="G41" s="10"/>
      <c r="H41" s="10"/>
      <c r="I41" s="10"/>
      <c r="J41" s="10"/>
      <c r="K41" s="10"/>
    </row>
    <row r="42" spans="1:11" ht="26.25">
      <c r="A42" s="405">
        <v>1.9E-2</v>
      </c>
      <c r="B42" s="28" t="s">
        <v>444</v>
      </c>
      <c r="C42" s="10"/>
      <c r="D42" s="10"/>
      <c r="E42" s="10"/>
      <c r="F42" s="10"/>
      <c r="G42" s="10"/>
      <c r="H42" s="10"/>
      <c r="I42" s="10"/>
      <c r="J42" s="10"/>
      <c r="K42" s="10"/>
    </row>
    <row r="43" spans="1:11" ht="26.25">
      <c r="A43" s="213"/>
      <c r="B43" s="10" t="s">
        <v>445</v>
      </c>
      <c r="C43" s="10"/>
      <c r="D43" s="10"/>
      <c r="E43" s="10"/>
      <c r="F43" s="10"/>
      <c r="G43" s="10"/>
      <c r="H43" s="10"/>
      <c r="I43" s="10"/>
      <c r="J43" s="10"/>
      <c r="K43" s="10"/>
    </row>
    <row r="44" spans="1:11" ht="26.25">
      <c r="A44" s="213"/>
      <c r="B44" s="426" t="s">
        <v>311</v>
      </c>
      <c r="C44" s="10"/>
      <c r="D44" s="10"/>
      <c r="E44" s="10"/>
      <c r="F44" s="10"/>
      <c r="G44" s="10"/>
      <c r="H44" s="10"/>
      <c r="I44" s="10"/>
      <c r="J44" s="10"/>
      <c r="K44" s="10"/>
    </row>
    <row r="45" spans="1:11" ht="26.25">
      <c r="A45" s="330"/>
      <c r="B45" s="28"/>
      <c r="C45" s="10"/>
      <c r="D45" s="10"/>
      <c r="E45" s="10"/>
      <c r="F45" s="10"/>
      <c r="G45" s="10"/>
      <c r="H45" s="10"/>
      <c r="I45" s="10"/>
      <c r="J45" s="10"/>
      <c r="K45" s="10"/>
    </row>
    <row r="46" spans="1:11" ht="26.25">
      <c r="A46" s="417" t="s">
        <v>460</v>
      </c>
      <c r="B46" s="418" t="s">
        <v>461</v>
      </c>
      <c r="C46" s="10"/>
      <c r="D46" s="10"/>
      <c r="E46" s="10"/>
      <c r="F46" s="10"/>
      <c r="G46" s="10"/>
      <c r="H46" s="10"/>
      <c r="I46" s="10"/>
      <c r="J46" s="10"/>
      <c r="K46" s="10"/>
    </row>
    <row r="47" spans="1:11" ht="26.25">
      <c r="A47" s="417" t="s">
        <v>462</v>
      </c>
      <c r="B47" s="426" t="s">
        <v>463</v>
      </c>
      <c r="C47" s="10"/>
      <c r="D47" s="10"/>
      <c r="E47" s="10"/>
      <c r="F47" s="10"/>
      <c r="G47" s="10"/>
      <c r="H47" s="10"/>
      <c r="I47" s="10"/>
      <c r="J47" s="10"/>
      <c r="K47" s="10"/>
    </row>
    <row r="48" spans="1:11" ht="26.25">
      <c r="A48" s="213" t="s">
        <v>0</v>
      </c>
      <c r="C48" s="10"/>
      <c r="D48" s="10"/>
      <c r="E48" s="10"/>
      <c r="F48" s="10"/>
      <c r="G48" s="10"/>
      <c r="H48" s="10"/>
      <c r="I48" s="10"/>
      <c r="J48" s="10"/>
      <c r="K48" s="10"/>
    </row>
    <row r="49" spans="1:11" ht="20.25">
      <c r="A49" s="406" t="s">
        <v>264</v>
      </c>
      <c r="C49" s="10"/>
      <c r="D49" s="10"/>
      <c r="E49" s="10"/>
      <c r="F49" s="10"/>
      <c r="G49" s="10"/>
      <c r="H49" s="10"/>
      <c r="I49" s="10"/>
      <c r="J49" s="10"/>
      <c r="K49" s="10"/>
    </row>
    <row r="50" spans="1:11" ht="20.25">
      <c r="A50" s="28" t="s">
        <v>265</v>
      </c>
      <c r="B50" s="10"/>
      <c r="C50" s="10"/>
      <c r="D50" s="10"/>
      <c r="E50" s="10"/>
      <c r="H50" s="10"/>
      <c r="I50" s="10"/>
      <c r="J50" s="10"/>
      <c r="K50" s="10"/>
    </row>
    <row r="51" spans="1:11" ht="16.5">
      <c r="A51" s="426" t="s">
        <v>266</v>
      </c>
      <c r="B51" s="10"/>
      <c r="C51" s="10"/>
      <c r="D51" s="10"/>
      <c r="E51" s="10"/>
      <c r="F51" s="10"/>
      <c r="G51" s="10"/>
      <c r="H51" s="10"/>
      <c r="I51" s="10"/>
      <c r="J51" s="10"/>
      <c r="K51" s="10"/>
    </row>
    <row r="52" spans="1:11" ht="16.5">
      <c r="A52" s="144"/>
      <c r="B52" s="10"/>
      <c r="C52" s="10"/>
      <c r="D52" s="10"/>
      <c r="E52" s="10"/>
      <c r="F52" s="10"/>
      <c r="G52" s="10" t="s">
        <v>0</v>
      </c>
      <c r="H52" s="10" t="s">
        <v>0</v>
      </c>
      <c r="I52" s="10"/>
      <c r="J52" s="10"/>
      <c r="K52" s="10"/>
    </row>
    <row r="53" spans="1:11" ht="16.5">
      <c r="A53" s="10"/>
      <c r="B53" s="10"/>
      <c r="C53" s="10"/>
      <c r="D53" s="10"/>
      <c r="E53" s="10"/>
      <c r="F53" s="10"/>
      <c r="G53" s="10" t="s">
        <v>0</v>
      </c>
      <c r="H53" s="10"/>
      <c r="I53" s="10"/>
      <c r="J53" s="10"/>
      <c r="K53" s="10"/>
    </row>
    <row r="54" spans="1:11" ht="17.25" thickBot="1">
      <c r="A54" s="10"/>
      <c r="B54" s="10"/>
      <c r="C54" s="10"/>
      <c r="D54" s="10"/>
      <c r="E54" s="10"/>
      <c r="F54" s="10"/>
      <c r="G54" s="10" t="s">
        <v>0</v>
      </c>
      <c r="H54" s="10"/>
      <c r="I54" s="10"/>
      <c r="J54" s="10"/>
      <c r="K54" s="10"/>
    </row>
    <row r="55" spans="1:11" ht="21" thickBot="1">
      <c r="A55" s="159" t="s">
        <v>250</v>
      </c>
      <c r="B55" s="41" t="s">
        <v>382</v>
      </c>
      <c r="C55" s="10"/>
      <c r="D55" s="10"/>
      <c r="E55" s="10"/>
      <c r="F55" s="10"/>
      <c r="G55" s="10"/>
      <c r="H55" s="10"/>
      <c r="I55" s="427" t="s">
        <v>490</v>
      </c>
      <c r="J55" s="10"/>
      <c r="K55" s="10"/>
    </row>
    <row r="56" spans="1:11" ht="16.5">
      <c r="A56" s="10"/>
      <c r="B56" s="10"/>
      <c r="C56" s="10"/>
      <c r="D56" s="10"/>
      <c r="E56" s="10"/>
      <c r="F56" s="10"/>
      <c r="G56" s="419" t="s">
        <v>464</v>
      </c>
      <c r="H56" s="420" t="s">
        <v>465</v>
      </c>
      <c r="I56" s="428">
        <v>1.76</v>
      </c>
      <c r="J56" s="10"/>
      <c r="K56" s="10"/>
    </row>
    <row r="57" spans="1:11" ht="26.25">
      <c r="A57" s="330">
        <v>2.2100000000000002E-2</v>
      </c>
      <c r="B57" s="28" t="s">
        <v>383</v>
      </c>
      <c r="C57" s="10"/>
      <c r="E57" s="10"/>
      <c r="G57" s="421" t="s">
        <v>466</v>
      </c>
      <c r="H57" s="422" t="s">
        <v>467</v>
      </c>
      <c r="I57" s="428">
        <v>1.74</v>
      </c>
      <c r="J57" s="10"/>
      <c r="K57" s="10"/>
    </row>
    <row r="58" spans="1:11" ht="26.25">
      <c r="A58" s="330">
        <v>2.41E-2</v>
      </c>
      <c r="B58" s="28" t="s">
        <v>384</v>
      </c>
      <c r="C58" s="10"/>
      <c r="E58" s="10"/>
      <c r="G58" s="421" t="s">
        <v>468</v>
      </c>
      <c r="H58" s="422" t="s">
        <v>469</v>
      </c>
      <c r="I58" s="428">
        <v>1.84</v>
      </c>
      <c r="J58" s="10"/>
      <c r="K58" s="10"/>
    </row>
    <row r="59" spans="1:11" ht="26.25">
      <c r="A59" s="330">
        <v>2.1700000000000001E-2</v>
      </c>
      <c r="B59" s="28" t="s">
        <v>385</v>
      </c>
      <c r="C59" s="10"/>
      <c r="D59" s="10"/>
      <c r="E59" s="10"/>
      <c r="G59" s="423" t="s">
        <v>470</v>
      </c>
      <c r="H59" s="424" t="s">
        <v>471</v>
      </c>
      <c r="I59" s="429">
        <v>1.91</v>
      </c>
      <c r="J59" s="10"/>
      <c r="K59" s="10"/>
    </row>
    <row r="60" spans="1:11" ht="15" customHeight="1">
      <c r="A60" s="330"/>
      <c r="B60" s="28"/>
      <c r="C60" s="10"/>
      <c r="D60" s="10"/>
      <c r="E60" s="10"/>
      <c r="G60" s="12"/>
      <c r="H60" s="407"/>
      <c r="I60" s="10"/>
      <c r="J60" s="10"/>
      <c r="K60" s="10"/>
    </row>
    <row r="61" spans="1:11" ht="20.25">
      <c r="A61" s="332" t="s">
        <v>446</v>
      </c>
      <c r="B61" s="28"/>
      <c r="C61" s="10"/>
      <c r="D61" s="10"/>
      <c r="E61" s="10"/>
      <c r="F61" s="318"/>
      <c r="G61" s="82"/>
      <c r="H61" s="10"/>
      <c r="I61" s="10"/>
      <c r="J61" s="10"/>
      <c r="K61" s="10"/>
    </row>
    <row r="62" spans="1:11" ht="26.25">
      <c r="A62" s="330"/>
      <c r="B62" s="28"/>
      <c r="C62" s="10"/>
      <c r="D62" s="10"/>
      <c r="E62" s="10"/>
      <c r="F62" s="318"/>
      <c r="G62" s="82"/>
      <c r="H62" s="10"/>
      <c r="I62" s="10"/>
      <c r="J62" s="10"/>
      <c r="K62" s="10"/>
    </row>
    <row r="63" spans="1:11" ht="26.25">
      <c r="A63" s="330">
        <v>2.3E-2</v>
      </c>
      <c r="B63" s="28" t="s">
        <v>487</v>
      </c>
      <c r="C63" s="10"/>
      <c r="D63" s="10"/>
      <c r="E63" s="10"/>
      <c r="F63" s="10"/>
      <c r="G63" s="10"/>
      <c r="H63" s="10"/>
      <c r="I63" s="10"/>
      <c r="J63" s="10"/>
      <c r="K63" s="10"/>
    </row>
    <row r="64" spans="1:11" ht="26.25">
      <c r="A64" s="330">
        <v>2.2599999999999999E-2</v>
      </c>
      <c r="B64" s="28" t="s">
        <v>488</v>
      </c>
      <c r="C64" s="10"/>
      <c r="D64" s="10"/>
      <c r="E64" s="10"/>
      <c r="F64" s="10"/>
      <c r="G64" s="10"/>
      <c r="H64" s="10"/>
      <c r="I64" s="10"/>
      <c r="J64" s="10"/>
      <c r="K64" s="10"/>
    </row>
    <row r="65" spans="1:11" ht="26.25">
      <c r="A65" s="330">
        <v>2.24E-2</v>
      </c>
      <c r="B65" s="28" t="s">
        <v>258</v>
      </c>
      <c r="C65" s="10"/>
      <c r="D65" s="10"/>
      <c r="E65" s="10"/>
      <c r="F65" s="10"/>
      <c r="G65" s="10"/>
      <c r="H65" s="10"/>
      <c r="I65" s="10"/>
      <c r="J65" s="10"/>
      <c r="K65" s="10"/>
    </row>
    <row r="66" spans="1:11" ht="26.25">
      <c r="A66" s="330">
        <v>2.1999999999999999E-2</v>
      </c>
      <c r="B66" s="28" t="s">
        <v>489</v>
      </c>
      <c r="C66" s="10"/>
      <c r="D66" s="10"/>
      <c r="E66" s="10"/>
      <c r="F66" s="10"/>
      <c r="G66" s="10"/>
      <c r="H66" s="10"/>
      <c r="I66" s="10"/>
      <c r="J66" s="10"/>
      <c r="K66" s="10"/>
    </row>
    <row r="67" spans="1:11" ht="27" customHeight="1">
      <c r="A67" s="330">
        <v>0.02</v>
      </c>
      <c r="B67" s="28" t="s">
        <v>256</v>
      </c>
      <c r="C67" s="10"/>
      <c r="D67" s="10"/>
      <c r="E67" s="10"/>
      <c r="F67" s="10"/>
      <c r="G67" s="10"/>
      <c r="H67" s="10"/>
      <c r="I67" s="10"/>
      <c r="J67" s="10"/>
      <c r="K67" s="10"/>
    </row>
    <row r="68" spans="1:11" ht="16.5">
      <c r="B68" s="10" t="s">
        <v>0</v>
      </c>
      <c r="C68" s="10"/>
      <c r="D68" s="10"/>
      <c r="E68" s="10"/>
      <c r="F68" s="10"/>
      <c r="G68" s="10"/>
      <c r="H68" s="10"/>
      <c r="I68" s="10"/>
      <c r="J68" s="10"/>
      <c r="K68" s="10"/>
    </row>
    <row r="69" spans="1:11" ht="16.5">
      <c r="A69" s="10"/>
      <c r="B69" s="10"/>
      <c r="C69" s="10"/>
      <c r="D69" s="10"/>
      <c r="E69" s="10"/>
      <c r="F69" s="10"/>
      <c r="G69" s="10"/>
      <c r="H69" s="10"/>
      <c r="I69" s="10"/>
      <c r="J69" s="10"/>
      <c r="K69" s="10"/>
    </row>
    <row r="70" spans="1:11" ht="17.25" thickBot="1">
      <c r="B70" s="10"/>
      <c r="C70" s="10"/>
      <c r="D70" s="26"/>
      <c r="E70" s="26"/>
      <c r="F70" s="26"/>
      <c r="G70" s="10"/>
      <c r="H70" s="10"/>
      <c r="I70" s="10"/>
      <c r="J70" s="10"/>
      <c r="K70" s="10"/>
    </row>
    <row r="71" spans="1:11" ht="26.25">
      <c r="B71" s="28"/>
      <c r="C71" s="28"/>
      <c r="D71" s="10"/>
      <c r="E71" s="29" t="s">
        <v>212</v>
      </c>
      <c r="F71" s="10"/>
      <c r="G71" s="10"/>
      <c r="H71" s="10"/>
      <c r="I71" s="10"/>
      <c r="J71" s="10"/>
      <c r="K71" s="10"/>
    </row>
    <row r="72" spans="1:11" ht="21" thickBot="1">
      <c r="A72" s="146"/>
      <c r="B72" s="28"/>
      <c r="C72" s="28"/>
      <c r="D72" s="26"/>
      <c r="E72" s="34" t="s">
        <v>452</v>
      </c>
      <c r="F72" s="26"/>
      <c r="G72" s="10"/>
      <c r="H72" s="10"/>
      <c r="I72" s="10"/>
      <c r="J72" s="10"/>
      <c r="K72" s="10"/>
    </row>
    <row r="73" spans="1:11" ht="21" thickBot="1">
      <c r="A73" s="145" t="s">
        <v>213</v>
      </c>
      <c r="B73" s="28"/>
      <c r="C73" s="28"/>
      <c r="D73" s="32"/>
      <c r="E73" s="143"/>
      <c r="F73" s="10"/>
      <c r="G73" s="10"/>
      <c r="H73" s="10"/>
      <c r="I73" s="10"/>
    </row>
    <row r="74" spans="1:11" ht="16.5">
      <c r="A74" s="36" t="s">
        <v>0</v>
      </c>
      <c r="B74" s="36"/>
      <c r="C74" s="36"/>
      <c r="D74" s="38" t="s">
        <v>0</v>
      </c>
      <c r="E74" s="38" t="s">
        <v>0</v>
      </c>
      <c r="F74" s="38" t="s">
        <v>0</v>
      </c>
      <c r="G74" s="38"/>
      <c r="H74" s="10"/>
      <c r="I74" s="10"/>
    </row>
    <row r="75" spans="1:11" ht="16.5">
      <c r="A75" s="32" t="s">
        <v>0</v>
      </c>
      <c r="B75" s="32"/>
      <c r="C75" s="32"/>
      <c r="D75" s="180" t="s">
        <v>77</v>
      </c>
      <c r="E75" s="180" t="s">
        <v>255</v>
      </c>
      <c r="F75" s="180" t="s">
        <v>126</v>
      </c>
      <c r="G75" s="254"/>
      <c r="H75" s="10"/>
      <c r="I75" s="10"/>
    </row>
    <row r="76" spans="1:11" ht="16.5">
      <c r="A76" s="120" t="s">
        <v>124</v>
      </c>
      <c r="B76" s="120"/>
      <c r="C76" s="120"/>
      <c r="D76" s="181" t="s">
        <v>79</v>
      </c>
      <c r="E76" s="181" t="s">
        <v>125</v>
      </c>
      <c r="F76" s="181" t="s">
        <v>127</v>
      </c>
      <c r="G76" s="254"/>
      <c r="H76" s="10"/>
      <c r="I76" s="10"/>
    </row>
    <row r="79" spans="1:11" ht="17.25">
      <c r="A79" s="162" t="s">
        <v>259</v>
      </c>
      <c r="B79" s="163"/>
      <c r="C79" s="208"/>
      <c r="D79" s="171">
        <f>+A57</f>
        <v>2.2100000000000002E-2</v>
      </c>
      <c r="E79" s="171">
        <v>1.7399999999999999E-2</v>
      </c>
      <c r="F79" s="164">
        <f t="shared" ref="F79:F86" si="1">+D79+E79</f>
        <v>3.95E-2</v>
      </c>
      <c r="G79" s="255"/>
      <c r="H79" s="10"/>
      <c r="I79" s="10"/>
    </row>
    <row r="80" spans="1:11" ht="17.25">
      <c r="A80" s="165" t="s">
        <v>260</v>
      </c>
      <c r="B80" s="60"/>
      <c r="C80" s="209"/>
      <c r="D80" s="331">
        <f>+A58</f>
        <v>2.41E-2</v>
      </c>
      <c r="E80" s="331">
        <v>1.84E-2</v>
      </c>
      <c r="F80" s="166">
        <f t="shared" si="1"/>
        <v>4.2499999999999996E-2</v>
      </c>
      <c r="G80" s="255"/>
      <c r="H80" s="10"/>
      <c r="I80" s="10"/>
    </row>
    <row r="81" spans="1:9" ht="17.25">
      <c r="A81" s="167" t="s">
        <v>261</v>
      </c>
      <c r="B81" s="168"/>
      <c r="C81" s="210"/>
      <c r="D81" s="172">
        <f>+A59</f>
        <v>2.1700000000000001E-2</v>
      </c>
      <c r="E81" s="172">
        <v>1.9099999999999999E-2</v>
      </c>
      <c r="F81" s="169">
        <f t="shared" si="1"/>
        <v>4.0800000000000003E-2</v>
      </c>
      <c r="G81" s="255"/>
      <c r="H81" s="10"/>
      <c r="I81" s="10"/>
    </row>
    <row r="82" spans="1:9" ht="17.25">
      <c r="A82" s="165" t="s">
        <v>262</v>
      </c>
      <c r="B82" s="60"/>
      <c r="C82" s="209"/>
      <c r="D82" s="331">
        <f t="shared" ref="D82:D84" si="2">+A63</f>
        <v>2.3E-2</v>
      </c>
      <c r="E82" s="331">
        <v>0.02</v>
      </c>
      <c r="F82" s="166">
        <f t="shared" si="1"/>
        <v>4.2999999999999997E-2</v>
      </c>
      <c r="G82" s="255"/>
      <c r="H82" s="10"/>
      <c r="I82" s="10"/>
    </row>
    <row r="83" spans="1:9" ht="17.25">
      <c r="A83" s="165" t="s">
        <v>263</v>
      </c>
      <c r="B83" s="60"/>
      <c r="C83" s="209"/>
      <c r="D83" s="331">
        <f t="shared" si="2"/>
        <v>2.2599999999999999E-2</v>
      </c>
      <c r="E83" s="331">
        <v>1.9E-2</v>
      </c>
      <c r="F83" s="166">
        <f t="shared" si="1"/>
        <v>4.1599999999999998E-2</v>
      </c>
      <c r="G83" s="255"/>
      <c r="H83" s="10"/>
      <c r="I83" s="10"/>
    </row>
    <row r="84" spans="1:9" ht="17.25">
      <c r="A84" s="165" t="s">
        <v>447</v>
      </c>
      <c r="B84" s="60"/>
      <c r="C84" s="209"/>
      <c r="D84" s="331">
        <f t="shared" si="2"/>
        <v>2.24E-2</v>
      </c>
      <c r="E84" s="331">
        <v>0.02</v>
      </c>
      <c r="F84" s="166">
        <f t="shared" si="1"/>
        <v>4.24E-2</v>
      </c>
      <c r="G84" s="255"/>
      <c r="H84" s="10"/>
      <c r="I84" s="10"/>
    </row>
    <row r="85" spans="1:9" ht="17.25">
      <c r="A85" s="165" t="s">
        <v>448</v>
      </c>
      <c r="B85" s="60"/>
      <c r="C85" s="209"/>
      <c r="D85" s="331">
        <f>+A66</f>
        <v>2.1999999999999999E-2</v>
      </c>
      <c r="E85" s="331">
        <v>1.9E-2</v>
      </c>
      <c r="F85" s="166">
        <f t="shared" si="1"/>
        <v>4.0999999999999995E-2</v>
      </c>
      <c r="G85" s="255"/>
      <c r="H85" s="10"/>
      <c r="I85" s="10"/>
    </row>
    <row r="86" spans="1:9" ht="17.25">
      <c r="A86" s="167" t="s">
        <v>257</v>
      </c>
      <c r="B86" s="168"/>
      <c r="C86" s="210"/>
      <c r="D86" s="172">
        <f>+A67</f>
        <v>0.02</v>
      </c>
      <c r="E86" s="172">
        <v>1.7999999999999999E-2</v>
      </c>
      <c r="F86" s="169">
        <f t="shared" si="1"/>
        <v>3.7999999999999999E-2</v>
      </c>
      <c r="G86" s="255"/>
      <c r="H86" s="10"/>
      <c r="I86" s="10"/>
    </row>
    <row r="87" spans="1:9" ht="17.25">
      <c r="A87" s="102"/>
      <c r="B87" s="114"/>
      <c r="C87" s="114" t="s">
        <v>45</v>
      </c>
      <c r="D87" s="170">
        <v>2.5499999999999998E-2</v>
      </c>
      <c r="E87" s="170">
        <f t="shared" ref="E87" si="3">MAX(E79:E86)</f>
        <v>0.02</v>
      </c>
      <c r="F87" s="170">
        <v>4.5199999999999997E-2</v>
      </c>
      <c r="G87" s="256"/>
      <c r="H87" s="10"/>
      <c r="I87" s="10"/>
    </row>
    <row r="88" spans="1:9" ht="17.25">
      <c r="A88" s="102"/>
      <c r="B88" s="114"/>
      <c r="C88" s="114" t="s">
        <v>46</v>
      </c>
      <c r="D88" s="170">
        <v>0.02</v>
      </c>
      <c r="E88" s="170">
        <f t="shared" ref="E88" si="4">MIN(E79:E86)</f>
        <v>1.7399999999999999E-2</v>
      </c>
      <c r="F88" s="218">
        <v>3.6999999999999998E-2</v>
      </c>
      <c r="G88" s="256"/>
      <c r="H88" s="10"/>
      <c r="I88" s="10"/>
    </row>
    <row r="89" spans="1:9" ht="17.25">
      <c r="A89" s="102"/>
      <c r="B89" s="114"/>
      <c r="C89" s="114" t="s">
        <v>18</v>
      </c>
      <c r="D89" s="408">
        <f>MEDIAN(D79:D86)</f>
        <v>2.2249999999999999E-2</v>
      </c>
      <c r="E89" s="408">
        <f>MEDIAN(E79:E86)</f>
        <v>1.9E-2</v>
      </c>
      <c r="F89" s="166">
        <f t="shared" ref="F89:F90" si="5">+D89+E89</f>
        <v>4.1249999999999995E-2</v>
      </c>
      <c r="G89" s="255"/>
      <c r="H89" s="10"/>
      <c r="I89" s="10"/>
    </row>
    <row r="90" spans="1:9" ht="17.25">
      <c r="A90" s="102"/>
      <c r="B90" s="114"/>
      <c r="C90" s="114" t="s">
        <v>19</v>
      </c>
      <c r="D90" s="333">
        <f>AVERAGE(D79:D86)</f>
        <v>2.2237499999999997E-2</v>
      </c>
      <c r="E90" s="333">
        <f>AVERAGE(E79:E86)</f>
        <v>1.8862499999999997E-2</v>
      </c>
      <c r="F90" s="169">
        <f t="shared" si="5"/>
        <v>4.1099999999999998E-2</v>
      </c>
      <c r="G90" s="255"/>
      <c r="H90" s="10"/>
      <c r="I90" s="10"/>
    </row>
    <row r="91" spans="1:9" ht="18.75" customHeight="1">
      <c r="A91" s="10"/>
      <c r="B91" s="12"/>
    </row>
    <row r="92" spans="1:9" ht="17.25" thickBot="1">
      <c r="A92" s="10"/>
      <c r="B92" s="12"/>
    </row>
    <row r="93" spans="1:9" ht="27" thickBot="1">
      <c r="A93" s="10"/>
      <c r="B93" s="121"/>
      <c r="C93" s="47" t="s">
        <v>214</v>
      </c>
      <c r="D93" s="425">
        <v>2.2200000000000001E-2</v>
      </c>
      <c r="E93" s="425">
        <v>1.89E-2</v>
      </c>
      <c r="F93" s="334">
        <f>+D93+E93</f>
        <v>4.1099999999999998E-2</v>
      </c>
    </row>
    <row r="94" spans="1:9" ht="16.5">
      <c r="A94" s="10"/>
      <c r="B94" s="10"/>
      <c r="C94" s="10"/>
      <c r="D94" s="10"/>
      <c r="E94" s="10"/>
      <c r="F94" s="10"/>
      <c r="G94" s="10"/>
      <c r="I94" s="10"/>
    </row>
    <row r="95" spans="1:9" ht="16.5" customHeight="1">
      <c r="A95" s="10"/>
      <c r="B95" s="10"/>
      <c r="C95" s="10"/>
      <c r="D95" s="10"/>
      <c r="E95" s="10"/>
      <c r="F95" s="10"/>
      <c r="G95" s="10"/>
      <c r="I95" s="10" t="s">
        <v>0</v>
      </c>
    </row>
    <row r="96" spans="1:9" ht="16.5">
      <c r="A96" s="10"/>
      <c r="B96" s="10"/>
      <c r="C96" s="10"/>
      <c r="D96" s="10"/>
      <c r="E96" s="10"/>
      <c r="F96" s="10"/>
      <c r="G96" s="10"/>
      <c r="H96" s="10"/>
      <c r="I96" s="10"/>
    </row>
    <row r="97" spans="1:9" ht="16.5">
      <c r="A97" s="122" t="s">
        <v>147</v>
      </c>
      <c r="B97" s="123"/>
      <c r="C97" s="123"/>
      <c r="D97" s="123"/>
      <c r="E97" s="124"/>
      <c r="F97" s="123"/>
      <c r="G97" s="123"/>
      <c r="H97" s="123"/>
      <c r="I97" s="10"/>
    </row>
    <row r="98" spans="1:9" ht="16.5" customHeight="1">
      <c r="A98" s="485" t="s">
        <v>472</v>
      </c>
      <c r="B98" s="485"/>
      <c r="C98" s="485"/>
      <c r="D98" s="485"/>
      <c r="E98" s="485"/>
      <c r="F98" s="485"/>
      <c r="G98" s="485"/>
      <c r="H98" s="485"/>
      <c r="I98" s="10"/>
    </row>
    <row r="99" spans="1:9" ht="16.5">
      <c r="A99" s="426" t="s">
        <v>379</v>
      </c>
      <c r="B99" s="123"/>
      <c r="C99" s="426" t="s">
        <v>0</v>
      </c>
      <c r="D99" s="123"/>
      <c r="E99" s="124"/>
      <c r="F99" s="123"/>
      <c r="G99" s="123"/>
      <c r="H99" s="123"/>
      <c r="I99" s="10"/>
    </row>
    <row r="100" spans="1:9" ht="16.5">
      <c r="A100" s="122"/>
      <c r="B100" s="123"/>
      <c r="C100" s="123"/>
      <c r="D100" s="123"/>
      <c r="E100" s="124"/>
      <c r="F100" s="123"/>
      <c r="G100" s="123"/>
      <c r="H100" s="123"/>
      <c r="I100" s="10"/>
    </row>
    <row r="101" spans="1:9" ht="16.5" customHeight="1">
      <c r="A101" s="485" t="s">
        <v>473</v>
      </c>
      <c r="B101" s="485"/>
      <c r="C101" s="485"/>
      <c r="D101" s="485"/>
      <c r="E101" s="485"/>
      <c r="F101" s="485"/>
      <c r="G101" s="485"/>
      <c r="H101" s="485"/>
      <c r="I101" s="10"/>
    </row>
    <row r="102" spans="1:9" ht="16.5">
      <c r="A102" s="125" t="s">
        <v>148</v>
      </c>
      <c r="B102" s="126"/>
      <c r="C102" s="126" t="s">
        <v>0</v>
      </c>
      <c r="D102" s="126"/>
      <c r="E102" s="126"/>
      <c r="F102" s="126"/>
      <c r="G102" s="126"/>
      <c r="H102" s="123"/>
      <c r="I102" s="10"/>
    </row>
    <row r="103" spans="1:9" ht="16.5">
      <c r="A103" s="125"/>
      <c r="B103" s="126"/>
      <c r="C103" s="126"/>
      <c r="D103" s="126"/>
      <c r="E103" s="126"/>
      <c r="F103" s="126"/>
      <c r="G103" s="126"/>
      <c r="H103" s="123"/>
      <c r="I103" s="10"/>
    </row>
    <row r="104" spans="1:9" ht="16.5" customHeight="1">
      <c r="A104" s="485" t="s">
        <v>474</v>
      </c>
      <c r="B104" s="485"/>
      <c r="C104" s="485"/>
      <c r="D104" s="485"/>
      <c r="E104" s="485"/>
      <c r="F104" s="485"/>
      <c r="G104" s="485"/>
      <c r="H104" s="485"/>
      <c r="I104" s="10"/>
    </row>
    <row r="105" spans="1:9" ht="18.600000000000001" customHeight="1">
      <c r="A105" s="125" t="s">
        <v>148</v>
      </c>
      <c r="B105" s="126"/>
      <c r="C105" s="126" t="s">
        <v>0</v>
      </c>
      <c r="D105" s="126"/>
      <c r="E105" s="126"/>
      <c r="F105" s="126"/>
      <c r="G105" s="126"/>
      <c r="H105" s="123"/>
      <c r="I105" s="10"/>
    </row>
    <row r="106" spans="1:9" ht="16.5">
      <c r="A106" s="125"/>
      <c r="B106" s="126"/>
      <c r="C106" s="126"/>
      <c r="D106" s="126"/>
      <c r="E106" s="126"/>
      <c r="F106" s="126"/>
      <c r="G106" s="126"/>
      <c r="H106" s="123"/>
      <c r="I106" s="10"/>
    </row>
    <row r="107" spans="1:9" ht="16.5" customHeight="1">
      <c r="A107" s="485" t="s">
        <v>475</v>
      </c>
      <c r="B107" s="485"/>
      <c r="C107" s="485"/>
      <c r="D107" s="485"/>
      <c r="E107" s="485"/>
      <c r="F107" s="485"/>
      <c r="G107" s="485"/>
      <c r="H107" s="485"/>
      <c r="I107" s="10"/>
    </row>
    <row r="108" spans="1:9" ht="16.5">
      <c r="A108" s="430" t="s">
        <v>149</v>
      </c>
      <c r="B108" s="126"/>
      <c r="C108" s="126"/>
      <c r="D108" s="10"/>
      <c r="E108" s="126"/>
      <c r="F108" s="126"/>
      <c r="G108" s="126"/>
      <c r="H108" s="123"/>
      <c r="I108" s="10"/>
    </row>
    <row r="109" spans="1:9" ht="16.5">
      <c r="A109" s="426" t="s">
        <v>476</v>
      </c>
      <c r="B109" s="126"/>
      <c r="C109" s="126"/>
      <c r="D109" s="126"/>
      <c r="E109" s="126"/>
      <c r="F109" s="126"/>
      <c r="G109" s="126"/>
      <c r="H109" s="123"/>
      <c r="I109" s="10"/>
    </row>
    <row r="110" spans="1:9" ht="16.5">
      <c r="A110" s="426"/>
      <c r="B110" s="126"/>
      <c r="C110" s="126"/>
      <c r="D110" s="126"/>
      <c r="E110" s="126"/>
      <c r="F110" s="126"/>
      <c r="G110" s="126"/>
      <c r="H110" s="123"/>
      <c r="I110" s="10"/>
    </row>
    <row r="111" spans="1:9" ht="20.45" customHeight="1">
      <c r="A111" s="127" t="s">
        <v>477</v>
      </c>
      <c r="B111" s="127"/>
      <c r="C111" s="127"/>
      <c r="D111" s="127"/>
      <c r="E111" s="127"/>
      <c r="F111" s="127"/>
      <c r="G111" s="127"/>
      <c r="H111" s="123"/>
      <c r="I111" s="10"/>
    </row>
    <row r="112" spans="1:9" ht="16.5">
      <c r="A112" s="430" t="s">
        <v>150</v>
      </c>
      <c r="B112" s="126"/>
      <c r="C112" s="10"/>
      <c r="D112" s="126"/>
      <c r="E112" s="10"/>
      <c r="F112" s="126"/>
      <c r="G112" s="126"/>
      <c r="H112" s="123"/>
      <c r="I112" s="10"/>
    </row>
    <row r="113" spans="1:9" ht="16.5">
      <c r="A113" s="426" t="s">
        <v>449</v>
      </c>
      <c r="B113" s="126"/>
      <c r="C113" s="426"/>
      <c r="D113" s="126"/>
      <c r="E113" s="10"/>
      <c r="F113" s="126"/>
      <c r="G113" s="126"/>
      <c r="H113" s="123"/>
      <c r="I113" s="10"/>
    </row>
    <row r="114" spans="1:9" ht="16.5">
      <c r="A114" s="431" t="s">
        <v>478</v>
      </c>
      <c r="B114" s="426" t="s">
        <v>463</v>
      </c>
      <c r="C114" s="128"/>
      <c r="D114" s="128"/>
      <c r="E114" s="128"/>
      <c r="F114" s="128"/>
      <c r="G114" s="128"/>
      <c r="H114" s="129"/>
    </row>
    <row r="115" spans="1:9" ht="16.5">
      <c r="A115" s="10"/>
      <c r="B115" s="426"/>
      <c r="C115" s="128"/>
      <c r="D115" s="128"/>
      <c r="E115" s="128"/>
      <c r="F115" s="128"/>
      <c r="G115" s="128"/>
      <c r="H115" s="129"/>
    </row>
    <row r="116" spans="1:9" ht="20.100000000000001" customHeight="1">
      <c r="A116" s="127" t="s">
        <v>479</v>
      </c>
      <c r="B116" s="10"/>
      <c r="C116" s="10"/>
      <c r="D116" s="10"/>
      <c r="E116" s="10"/>
      <c r="F116" s="10"/>
      <c r="G116" s="10"/>
      <c r="H116" s="10"/>
    </row>
    <row r="117" spans="1:9" ht="16.5">
      <c r="A117" s="426" t="s">
        <v>457</v>
      </c>
      <c r="B117" s="10"/>
      <c r="C117" s="426" t="s">
        <v>0</v>
      </c>
      <c r="D117" s="10"/>
      <c r="E117" s="10"/>
      <c r="F117" s="10"/>
      <c r="G117" s="10"/>
      <c r="H117" s="10"/>
    </row>
    <row r="123" spans="1:9">
      <c r="A123" t="s">
        <v>0</v>
      </c>
    </row>
    <row r="127" spans="1:9">
      <c r="A127" t="s">
        <v>0</v>
      </c>
    </row>
    <row r="130" spans="1:1" ht="17.25" customHeight="1"/>
    <row r="131" spans="1:1" ht="17.25" customHeight="1"/>
    <row r="132" spans="1:1" ht="17.25" customHeight="1"/>
    <row r="133" spans="1:1" ht="17.25" customHeight="1"/>
    <row r="134" spans="1:1" ht="17.25" customHeight="1"/>
    <row r="135" spans="1:1" ht="17.25" customHeight="1"/>
    <row r="136" spans="1:1" ht="17.25" customHeight="1"/>
    <row r="137" spans="1:1" ht="17.25" customHeight="1"/>
    <row r="138" spans="1:1" ht="17.25" customHeight="1"/>
    <row r="139" spans="1:1" ht="17.25" customHeight="1"/>
    <row r="140" spans="1:1" ht="17.25" customHeight="1"/>
    <row r="141" spans="1:1" ht="17.25" customHeight="1"/>
    <row r="142" spans="1:1" ht="17.25" customHeight="1"/>
    <row r="143" spans="1:1" ht="17.25" customHeight="1"/>
    <row r="144" spans="1:1" ht="17.25" customHeight="1">
      <c r="A144" t="s">
        <v>0</v>
      </c>
    </row>
    <row r="145" ht="17.25" customHeight="1"/>
    <row r="146" ht="17.25" customHeight="1"/>
    <row r="147" ht="17.25" customHeight="1"/>
    <row r="148" ht="17.25" customHeight="1"/>
    <row r="149" ht="17.25" customHeight="1"/>
    <row r="150" ht="17.25" customHeight="1"/>
    <row r="151" ht="17.25" customHeight="1"/>
    <row r="152" ht="17.25" customHeight="1"/>
    <row r="153" ht="17.25" customHeight="1"/>
  </sheetData>
  <mergeCells count="4">
    <mergeCell ref="A98:H98"/>
    <mergeCell ref="A101:H101"/>
    <mergeCell ref="A104:H104"/>
    <mergeCell ref="A107:H107"/>
  </mergeCells>
  <hyperlinks>
    <hyperlink ref="A51" r:id="rId1" xr:uid="{B543F609-CB43-4BB0-A8E3-EBA000305D89}"/>
    <hyperlink ref="B35" r:id="rId2" xr:uid="{D937770E-4039-4E4C-B4B1-0E8DD2F5689C}"/>
    <hyperlink ref="B41" r:id="rId3" xr:uid="{5B508029-6817-4236-9835-FD89ACDCD006}"/>
    <hyperlink ref="B47" r:id="rId4" xr:uid="{C8486C5F-DA16-4A3F-B84E-B20AD1F0E266}"/>
    <hyperlink ref="A102" r:id="rId5" xr:uid="{44947652-B9D5-4F86-88EB-6D9B4D3746E2}"/>
    <hyperlink ref="A112" r:id="rId6" location="4" xr:uid="{A80043FF-69D5-4979-B228-6C50AEC5B21A}"/>
    <hyperlink ref="A108" r:id="rId7" xr:uid="{0C9B0E8C-BAF8-4FAE-9EB8-A953565ECE2E}"/>
    <hyperlink ref="A105" r:id="rId8" xr:uid="{F42D8A98-6C7D-44D0-BB80-F5EE93789BD3}"/>
    <hyperlink ref="A99" r:id="rId9" xr:uid="{3C3FF041-E36E-430B-B2D8-7AEBD0FAA2B2}"/>
    <hyperlink ref="C99" r:id="rId10" display="https://www.federalreserve.gov/datadownload/Preview.aspx?pi=400&amp;rel=H15&amp;preview=%20H15/H15/RIFLGFCY05_N.WF" xr:uid="{0F42F1AA-411D-4A73-A070-0BDF9CD929C6}"/>
    <hyperlink ref="A113" r:id="rId11" xr:uid="{0E0D2757-07F3-436F-A424-1F0126D2FD99}"/>
    <hyperlink ref="C117" r:id="rId12" display="https://www.federalreserve.gov/monetarypolicy/files/fomcprojtabl20231213.pdf" xr:uid="{ACB9E093-5E34-42E3-B8D0-31680FF7D197}"/>
    <hyperlink ref="A117" r:id="rId13" xr:uid="{7E176752-315F-4BBA-A5D6-BA7B6CCCE4CA}"/>
    <hyperlink ref="A109" r:id="rId14" display="https://www.philadelphiafed.org/-/media/frbp/assets/surveys-and-data/survey-of-professional-forecasters/2024/spfq124.pdf" xr:uid="{7AECF397-29C4-4F62-962C-B6BDB94A5C7A}"/>
    <hyperlink ref="B114" r:id="rId15" xr:uid="{9C56F530-884B-4517-BAD1-E6A385C7F662}"/>
  </hyperlinks>
  <pageMargins left="0.25" right="0.25" top="0.75" bottom="0.75" header="0.3" footer="0.3"/>
  <pageSetup scale="28" fitToWidth="0" orientation="portrait" r:id="rId1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8A84D-13B0-4820-9B18-52C274638BE2}">
  <sheetPr codeName="Sheet15">
    <tabColor rgb="FF92D050"/>
    <pageSetUpPr fitToPage="1"/>
  </sheetPr>
  <dimension ref="A1:I104"/>
  <sheetViews>
    <sheetView view="pageBreakPreview" topLeftCell="A14" zoomScale="70" zoomScaleNormal="80" zoomScaleSheetLayoutView="70" workbookViewId="0">
      <selection activeCell="D52" sqref="D52"/>
    </sheetView>
  </sheetViews>
  <sheetFormatPr defaultRowHeight="15"/>
  <cols>
    <col min="1" max="1" width="45.7109375" customWidth="1"/>
    <col min="2" max="2" width="17.42578125" customWidth="1"/>
    <col min="3" max="3" width="72.140625" customWidth="1"/>
    <col min="4" max="4" width="34.5703125" customWidth="1"/>
    <col min="5" max="5" width="21.7109375" customWidth="1"/>
    <col min="6" max="6" width="19.7109375" customWidth="1"/>
    <col min="7" max="7" width="24.85546875" customWidth="1"/>
    <col min="8" max="8" width="18" customWidth="1"/>
    <col min="9" max="9" width="20.85546875" customWidth="1"/>
    <col min="10" max="10" width="19" customWidth="1"/>
    <col min="11" max="11" width="17.28515625" customWidth="1"/>
    <col min="12" max="12" width="24.140625" customWidth="1"/>
  </cols>
  <sheetData>
    <row r="1" spans="1:9" ht="26.25">
      <c r="A1" s="21" t="s">
        <v>1</v>
      </c>
      <c r="B1" s="10"/>
      <c r="C1" s="10"/>
      <c r="D1" s="10"/>
      <c r="E1" s="10"/>
      <c r="F1" s="10"/>
      <c r="G1" s="10"/>
      <c r="H1" s="10"/>
      <c r="I1" s="10"/>
    </row>
    <row r="2" spans="1:9" ht="17.25">
      <c r="A2" s="60" t="s">
        <v>9</v>
      </c>
      <c r="B2" s="10"/>
      <c r="C2" s="10"/>
      <c r="D2" s="10"/>
      <c r="E2" s="10"/>
      <c r="F2" s="10"/>
      <c r="G2" s="10"/>
      <c r="H2" s="10"/>
      <c r="I2" s="10"/>
    </row>
    <row r="3" spans="1:9" ht="16.5">
      <c r="A3" s="41" t="s">
        <v>451</v>
      </c>
      <c r="B3" s="10"/>
      <c r="C3" s="10"/>
      <c r="D3" s="10"/>
      <c r="E3" s="10"/>
      <c r="F3" s="10"/>
      <c r="G3" s="10"/>
      <c r="H3" s="10"/>
      <c r="I3" s="10"/>
    </row>
    <row r="4" spans="1:9" ht="16.5">
      <c r="A4" s="10"/>
      <c r="B4" s="10"/>
      <c r="C4" s="10"/>
      <c r="D4" s="10"/>
      <c r="E4" s="10"/>
      <c r="F4" s="10"/>
      <c r="G4" s="10"/>
      <c r="H4" s="10"/>
      <c r="I4" s="10"/>
    </row>
    <row r="5" spans="1:9" ht="18" thickBot="1">
      <c r="A5" s="60"/>
      <c r="B5" s="10"/>
      <c r="C5" s="10"/>
      <c r="D5" s="10"/>
      <c r="E5" s="10"/>
      <c r="F5" s="10"/>
      <c r="G5" s="10"/>
      <c r="H5" s="10"/>
      <c r="I5" s="10"/>
    </row>
    <row r="6" spans="1:9" ht="21" thickBot="1">
      <c r="A6" s="259" t="str">
        <f>+'S&amp;D'!A12</f>
        <v>Air Freight Carriers</v>
      </c>
      <c r="B6" s="193"/>
      <c r="C6" s="10"/>
      <c r="D6" s="10"/>
      <c r="E6" s="10"/>
      <c r="F6" s="10"/>
      <c r="G6" s="10"/>
      <c r="H6" s="10"/>
      <c r="I6" s="10"/>
    </row>
    <row r="7" spans="1:9" ht="32.25" customHeight="1" thickBot="1">
      <c r="A7" s="60"/>
      <c r="B7" s="10"/>
      <c r="C7" s="26"/>
      <c r="E7" s="10"/>
      <c r="F7" s="10"/>
      <c r="G7" s="10"/>
      <c r="H7" s="10"/>
      <c r="I7" s="10"/>
    </row>
    <row r="8" spans="1:9" ht="26.25">
      <c r="B8" s="10"/>
      <c r="C8" s="29" t="s">
        <v>157</v>
      </c>
      <c r="E8" s="10"/>
      <c r="F8" s="10"/>
      <c r="G8" s="10"/>
      <c r="H8" s="10"/>
      <c r="I8" s="10"/>
    </row>
    <row r="9" spans="1:9" ht="21" thickBot="1">
      <c r="A9" s="28"/>
      <c r="B9" s="10"/>
      <c r="C9" s="30" t="s">
        <v>452</v>
      </c>
      <c r="E9" s="10"/>
      <c r="F9" s="10"/>
      <c r="G9" s="10"/>
      <c r="H9" s="10"/>
      <c r="I9" s="10"/>
    </row>
    <row r="10" spans="1:9" ht="20.25">
      <c r="A10" s="28"/>
      <c r="B10" s="10"/>
      <c r="C10" s="10"/>
      <c r="D10" s="10"/>
      <c r="E10" s="10"/>
      <c r="F10" s="10"/>
      <c r="G10" s="10"/>
      <c r="H10" s="10"/>
      <c r="I10" s="10"/>
    </row>
    <row r="11" spans="1:9" ht="25.5" customHeight="1" thickBot="1">
      <c r="A11" s="10"/>
      <c r="B11" s="10"/>
      <c r="C11" s="10"/>
      <c r="D11" s="10"/>
      <c r="E11" s="10"/>
      <c r="F11" s="10"/>
      <c r="G11" s="10"/>
      <c r="H11" s="10"/>
      <c r="I11" s="10"/>
    </row>
    <row r="12" spans="1:9" ht="16.5">
      <c r="A12" s="10"/>
      <c r="B12" s="10"/>
      <c r="C12" s="75" t="s">
        <v>0</v>
      </c>
      <c r="D12" s="75" t="s">
        <v>190</v>
      </c>
      <c r="E12" s="10"/>
      <c r="F12" s="10"/>
      <c r="G12" s="10"/>
      <c r="H12" s="10"/>
      <c r="I12" s="10"/>
    </row>
    <row r="13" spans="1:9" ht="21" thickBot="1">
      <c r="A13" s="10"/>
      <c r="B13" s="10"/>
      <c r="C13" s="371" t="s">
        <v>156</v>
      </c>
      <c r="D13" s="77" t="s">
        <v>281</v>
      </c>
      <c r="E13" s="10"/>
      <c r="F13" s="10"/>
      <c r="G13" s="10"/>
      <c r="H13" s="10"/>
      <c r="I13" s="10"/>
    </row>
    <row r="14" spans="1:9" ht="17.25">
      <c r="A14" s="10"/>
      <c r="B14" s="10"/>
      <c r="C14" s="372" t="s">
        <v>408</v>
      </c>
      <c r="D14" s="373">
        <f>+CAPM!F16</f>
        <v>6.7290000000000003E-2</v>
      </c>
      <c r="E14" s="374"/>
      <c r="F14" s="10"/>
      <c r="G14" s="10"/>
      <c r="H14" s="10"/>
      <c r="I14" s="10"/>
    </row>
    <row r="15" spans="1:9" ht="17.25">
      <c r="A15" s="10"/>
      <c r="B15" s="10"/>
      <c r="C15" s="375" t="s">
        <v>409</v>
      </c>
      <c r="D15" s="376">
        <f>+CAPM!F17</f>
        <v>6.8819999999999992E-2</v>
      </c>
      <c r="E15" s="374"/>
      <c r="F15" s="10"/>
      <c r="G15" s="10"/>
      <c r="H15" s="10"/>
      <c r="I15" s="10"/>
    </row>
    <row r="16" spans="1:9" ht="17.25">
      <c r="A16" s="10"/>
      <c r="B16" s="10"/>
      <c r="C16" s="375" t="s">
        <v>434</v>
      </c>
      <c r="D16" s="376">
        <f>+CAPM!F19</f>
        <v>8.249999999999999E-2</v>
      </c>
      <c r="E16" s="374"/>
      <c r="F16" s="10"/>
      <c r="G16" s="10"/>
      <c r="H16" s="10"/>
      <c r="I16" s="10"/>
    </row>
    <row r="17" spans="1:9" ht="17.25">
      <c r="A17" s="10"/>
      <c r="B17" s="10"/>
      <c r="C17" s="375" t="s">
        <v>442</v>
      </c>
      <c r="D17" s="376">
        <f>+CAPM!F20</f>
        <v>9.5729999999999996E-2</v>
      </c>
      <c r="E17" s="374"/>
      <c r="F17" s="10"/>
      <c r="G17" s="10"/>
      <c r="H17" s="10"/>
      <c r="I17" s="10"/>
    </row>
    <row r="18" spans="1:9" ht="17.25">
      <c r="A18" s="10"/>
      <c r="B18" s="10"/>
      <c r="C18" s="375" t="s">
        <v>435</v>
      </c>
      <c r="D18" s="376">
        <f>+CAPM!F21</f>
        <v>8.097E-2</v>
      </c>
      <c r="E18" s="374"/>
      <c r="F18" s="10"/>
      <c r="G18" s="10"/>
      <c r="H18" s="10"/>
      <c r="I18" s="10"/>
    </row>
    <row r="19" spans="1:9" ht="17.25">
      <c r="A19" s="10"/>
      <c r="B19" s="10"/>
      <c r="C19" s="375" t="s">
        <v>436</v>
      </c>
      <c r="D19" s="376">
        <f>+CAPM!F22</f>
        <v>7.9710000000000003E-2</v>
      </c>
      <c r="E19" s="374"/>
      <c r="F19" s="10"/>
      <c r="G19" s="10"/>
      <c r="H19" s="10"/>
      <c r="I19" s="10"/>
    </row>
    <row r="20" spans="1:9" ht="17.25">
      <c r="A20" s="10"/>
      <c r="B20" s="10"/>
      <c r="C20" s="375" t="s">
        <v>158</v>
      </c>
      <c r="D20" s="376">
        <f>+CAPM!F24</f>
        <v>8.5559999999999997E-2</v>
      </c>
      <c r="E20" s="374"/>
      <c r="F20" s="10"/>
      <c r="G20" s="10"/>
      <c r="H20" s="10"/>
      <c r="I20" s="10"/>
    </row>
    <row r="21" spans="1:9" ht="17.25">
      <c r="A21" s="10"/>
      <c r="B21" s="10"/>
      <c r="C21" s="389" t="s">
        <v>159</v>
      </c>
      <c r="D21" s="376">
        <f>+CAPM!F26</f>
        <v>9.240000000000001E-2</v>
      </c>
      <c r="E21" s="374"/>
      <c r="F21" s="10"/>
      <c r="G21" s="10"/>
      <c r="H21" s="10"/>
      <c r="I21" s="10"/>
    </row>
    <row r="22" spans="1:9" ht="17.25">
      <c r="A22" s="10"/>
      <c r="B22" s="10"/>
      <c r="C22" s="389" t="s">
        <v>160</v>
      </c>
      <c r="D22" s="376">
        <f>+CAPM!F28</f>
        <v>9.9150000000000002E-2</v>
      </c>
      <c r="E22" s="413"/>
      <c r="G22" s="10"/>
      <c r="H22" s="10"/>
      <c r="I22" s="10"/>
    </row>
    <row r="23" spans="1:9" ht="17.25">
      <c r="A23" s="10"/>
      <c r="B23" s="10"/>
      <c r="C23" s="389" t="s">
        <v>161</v>
      </c>
      <c r="D23" s="376">
        <f>+CAPM!F29</f>
        <v>8.7809999999999999E-2</v>
      </c>
      <c r="E23" s="413"/>
      <c r="G23" s="10"/>
      <c r="H23" s="10"/>
      <c r="I23" s="10"/>
    </row>
    <row r="24" spans="1:9" ht="17.25">
      <c r="A24" s="10"/>
      <c r="B24" s="10"/>
      <c r="C24" s="390" t="s">
        <v>431</v>
      </c>
      <c r="D24" s="376">
        <f>+CAPM!F31</f>
        <v>0.10563</v>
      </c>
      <c r="E24" s="413"/>
      <c r="G24" s="10"/>
      <c r="H24" s="10"/>
      <c r="I24" s="10"/>
    </row>
    <row r="25" spans="1:9" ht="17.25">
      <c r="A25" s="10"/>
      <c r="B25" s="10"/>
      <c r="C25" s="390" t="s">
        <v>430</v>
      </c>
      <c r="D25" s="376">
        <f>+CAPM!F32</f>
        <v>9.708E-2</v>
      </c>
      <c r="E25" s="413"/>
      <c r="G25" s="10"/>
      <c r="H25" s="10"/>
      <c r="I25" s="10"/>
    </row>
    <row r="26" spans="1:9" ht="17.25">
      <c r="A26" s="10"/>
      <c r="B26" s="10"/>
      <c r="C26" s="390" t="s">
        <v>428</v>
      </c>
      <c r="D26" s="376">
        <f>+CAPM!F33</f>
        <v>9.06E-2</v>
      </c>
      <c r="E26" s="413"/>
      <c r="G26" s="10"/>
      <c r="H26" s="10"/>
      <c r="I26" s="10"/>
    </row>
    <row r="27" spans="1:9" ht="17.25">
      <c r="A27" s="10"/>
      <c r="B27" s="10"/>
      <c r="C27" s="389" t="s">
        <v>410</v>
      </c>
      <c r="D27" s="376">
        <f>+CAPM!G42</f>
        <v>6.8017499999999995E-2</v>
      </c>
      <c r="E27" s="413"/>
      <c r="G27" s="10"/>
      <c r="H27" s="10"/>
      <c r="I27" s="10"/>
    </row>
    <row r="28" spans="1:9" ht="17.25">
      <c r="A28" s="10"/>
      <c r="B28" s="10"/>
      <c r="C28" s="389" t="s">
        <v>411</v>
      </c>
      <c r="D28" s="376">
        <f>+CAPM!G43</f>
        <v>6.9589999999999999E-2</v>
      </c>
      <c r="E28" s="413"/>
      <c r="G28" s="10"/>
      <c r="H28" s="10"/>
      <c r="I28" s="10"/>
    </row>
    <row r="29" spans="1:9" ht="17.25">
      <c r="A29" s="10"/>
      <c r="B29" s="10"/>
      <c r="C29" s="375" t="s">
        <v>437</v>
      </c>
      <c r="D29" s="376">
        <f>+CAPM!G45</f>
        <v>8.3650000000000002E-2</v>
      </c>
      <c r="E29" s="413"/>
      <c r="G29" s="10"/>
      <c r="H29" s="10"/>
      <c r="I29" s="10"/>
    </row>
    <row r="30" spans="1:9" ht="17.25">
      <c r="A30" s="10"/>
      <c r="B30" s="10"/>
      <c r="C30" s="375" t="s">
        <v>443</v>
      </c>
      <c r="D30" s="376">
        <f>+CAPM!G46</f>
        <v>9.7247499999999987E-2</v>
      </c>
      <c r="E30" s="413"/>
      <c r="G30" s="10"/>
      <c r="H30" s="10"/>
      <c r="I30" s="10"/>
    </row>
    <row r="31" spans="1:9" ht="17.25">
      <c r="A31" s="10"/>
      <c r="B31" s="10"/>
      <c r="C31" s="375" t="s">
        <v>438</v>
      </c>
      <c r="D31" s="376">
        <f>+CAPM!G47</f>
        <v>8.2077499999999998E-2</v>
      </c>
      <c r="E31" s="413"/>
      <c r="G31" s="10"/>
      <c r="H31" s="10"/>
      <c r="I31" s="10"/>
    </row>
    <row r="32" spans="1:9" ht="17.25">
      <c r="A32" s="10"/>
      <c r="B32" s="10"/>
      <c r="C32" s="375" t="s">
        <v>439</v>
      </c>
      <c r="D32" s="376">
        <f>+CAPM!G48</f>
        <v>8.0782499999999993E-2</v>
      </c>
      <c r="E32" s="413"/>
      <c r="G32" s="10"/>
      <c r="H32" s="10"/>
      <c r="I32" s="10"/>
    </row>
    <row r="33" spans="1:9" ht="17.25">
      <c r="A33" s="10"/>
      <c r="B33" s="10"/>
      <c r="C33" s="389" t="s">
        <v>162</v>
      </c>
      <c r="D33" s="376">
        <f>+CAPM!G50</f>
        <v>8.6794999999999997E-2</v>
      </c>
      <c r="E33" s="413"/>
      <c r="G33" s="10"/>
      <c r="H33" s="10"/>
      <c r="I33" s="10"/>
    </row>
    <row r="34" spans="1:9" ht="17.25">
      <c r="A34" s="10"/>
      <c r="B34" s="10"/>
      <c r="C34" s="389" t="s">
        <v>163</v>
      </c>
      <c r="D34" s="376">
        <f>+CAPM!G52</f>
        <v>9.3824999999999992E-2</v>
      </c>
      <c r="E34" s="413"/>
      <c r="G34" s="10"/>
      <c r="H34" s="10"/>
      <c r="I34" s="10"/>
    </row>
    <row r="35" spans="1:9" ht="17.25">
      <c r="A35" s="10"/>
      <c r="B35" s="10"/>
      <c r="C35" s="390" t="s">
        <v>164</v>
      </c>
      <c r="D35" s="376">
        <f>+CAPM!G54</f>
        <v>0.1007625</v>
      </c>
      <c r="E35" s="413"/>
      <c r="G35" s="10"/>
      <c r="H35" s="10"/>
      <c r="I35" s="10"/>
    </row>
    <row r="36" spans="1:9" ht="17.25">
      <c r="A36" s="10"/>
      <c r="B36" s="10"/>
      <c r="C36" s="389" t="s">
        <v>165</v>
      </c>
      <c r="D36" s="376">
        <f>+CAPM!G55</f>
        <v>8.9107500000000006E-2</v>
      </c>
      <c r="E36" s="413"/>
      <c r="G36" s="10"/>
      <c r="H36" s="10"/>
      <c r="I36" s="10"/>
    </row>
    <row r="37" spans="1:9" ht="16.5" customHeight="1">
      <c r="A37" s="10"/>
      <c r="B37" s="10"/>
      <c r="C37" s="390" t="s">
        <v>432</v>
      </c>
      <c r="D37" s="376">
        <f>+CAPM!G57</f>
        <v>0.1074225</v>
      </c>
      <c r="E37" s="413"/>
      <c r="G37" s="10"/>
      <c r="H37" s="10"/>
      <c r="I37" s="10"/>
    </row>
    <row r="38" spans="1:9" ht="16.5" customHeight="1">
      <c r="A38" s="10"/>
      <c r="B38" s="10"/>
      <c r="C38" s="390" t="s">
        <v>433</v>
      </c>
      <c r="D38" s="376">
        <f>+CAPM!G58</f>
        <v>9.8635E-2</v>
      </c>
      <c r="E38" s="413"/>
      <c r="G38" s="10"/>
      <c r="H38" s="10"/>
      <c r="I38" s="10"/>
    </row>
    <row r="39" spans="1:9" ht="18.75" customHeight="1">
      <c r="A39" s="10"/>
      <c r="B39" s="10"/>
      <c r="C39" s="390" t="s">
        <v>429</v>
      </c>
      <c r="D39" s="376">
        <f>+CAPM!G59</f>
        <v>9.1975000000000001E-2</v>
      </c>
      <c r="E39" s="413"/>
      <c r="G39" s="10"/>
      <c r="H39" s="10"/>
      <c r="I39" s="10"/>
    </row>
    <row r="40" spans="1:9" ht="21.75" customHeight="1">
      <c r="A40" s="10"/>
      <c r="B40" s="10"/>
      <c r="C40" s="391" t="s">
        <v>239</v>
      </c>
      <c r="D40" s="388">
        <f>+'Single Stage Div Growth Model'!I26</f>
        <v>0.14249999999999999</v>
      </c>
      <c r="E40" s="413"/>
      <c r="G40" s="10"/>
      <c r="H40" s="10"/>
      <c r="I40" s="10"/>
    </row>
    <row r="41" spans="1:9" ht="21.75" customHeight="1">
      <c r="A41" s="10"/>
      <c r="B41" s="10"/>
      <c r="C41" s="391" t="s">
        <v>238</v>
      </c>
      <c r="D41" s="388">
        <f>+'Single Stage Div Growth Model'!I28</f>
        <v>6.5000000000000002E-2</v>
      </c>
      <c r="E41" s="413"/>
      <c r="G41" s="10"/>
      <c r="H41" s="10"/>
      <c r="I41" s="10"/>
    </row>
    <row r="42" spans="1:9" ht="21.75" customHeight="1">
      <c r="A42" s="10"/>
      <c r="B42" s="10"/>
      <c r="C42" s="377" t="s">
        <v>240</v>
      </c>
      <c r="D42" s="411">
        <f>+'Two-Stage Div Growth Model'!H30</f>
        <v>7.8600000000000003E-2</v>
      </c>
      <c r="E42" s="413"/>
      <c r="G42" s="78" t="s">
        <v>0</v>
      </c>
      <c r="H42" s="10"/>
      <c r="I42" s="10"/>
    </row>
    <row r="43" spans="1:9" ht="21.75" customHeight="1">
      <c r="A43" s="10"/>
      <c r="B43" s="10"/>
      <c r="C43" s="369" t="s">
        <v>361</v>
      </c>
      <c r="D43" s="412">
        <f>+'Direct NOPAT'!G51</f>
        <v>0.1099</v>
      </c>
      <c r="E43" s="414" t="s">
        <v>0</v>
      </c>
      <c r="F43" s="10"/>
      <c r="G43" s="10"/>
      <c r="H43" s="10"/>
      <c r="I43" s="10"/>
    </row>
    <row r="44" spans="1:9" ht="17.25" thickBot="1">
      <c r="A44" s="10"/>
      <c r="B44" s="10"/>
      <c r="C44" s="10"/>
      <c r="D44" s="67"/>
      <c r="E44" s="10"/>
      <c r="F44" s="10"/>
      <c r="G44" s="10"/>
      <c r="H44" s="10"/>
      <c r="I44" s="10"/>
    </row>
    <row r="45" spans="1:9" ht="17.25" thickTop="1">
      <c r="A45" s="10"/>
      <c r="B45" s="10"/>
      <c r="C45" s="12" t="s">
        <v>45</v>
      </c>
      <c r="D45" s="50">
        <f>MAX(D14:D42)</f>
        <v>0.14249999999999999</v>
      </c>
      <c r="E45" s="143"/>
      <c r="F45" s="10"/>
      <c r="G45" s="10"/>
      <c r="H45" s="10"/>
      <c r="I45" s="10"/>
    </row>
    <row r="46" spans="1:9" ht="16.5">
      <c r="A46" s="10"/>
      <c r="B46" s="10"/>
      <c r="C46" s="12" t="s">
        <v>46</v>
      </c>
      <c r="D46" s="315">
        <f>MIN(D14:D42)</f>
        <v>6.5000000000000002E-2</v>
      </c>
      <c r="E46" s="10"/>
      <c r="F46" s="10"/>
      <c r="G46" s="50"/>
      <c r="H46" s="50"/>
      <c r="I46" s="50"/>
    </row>
    <row r="47" spans="1:9" ht="16.5">
      <c r="A47" s="10"/>
      <c r="B47" s="10"/>
      <c r="C47" s="12" t="s">
        <v>18</v>
      </c>
      <c r="D47" s="78">
        <f>MEDIAN(D14:D42)</f>
        <v>8.7809999999999999E-2</v>
      </c>
      <c r="E47" s="78"/>
      <c r="F47" s="78"/>
      <c r="G47" s="78"/>
      <c r="H47" s="78"/>
      <c r="I47" s="78"/>
    </row>
    <row r="48" spans="1:9" ht="16.5">
      <c r="A48" s="10"/>
      <c r="B48" s="10"/>
      <c r="C48" s="12" t="s">
        <v>412</v>
      </c>
      <c r="D48" s="79">
        <f>AVERAGE(D14:D42)</f>
        <v>8.8594396551724131E-2</v>
      </c>
      <c r="E48" s="79"/>
      <c r="F48" s="79"/>
      <c r="G48" s="79"/>
      <c r="H48" s="79"/>
      <c r="I48" s="79"/>
    </row>
    <row r="49" spans="1:9" ht="16.5">
      <c r="A49" s="10"/>
      <c r="B49" s="10"/>
      <c r="C49" s="12" t="s">
        <v>413</v>
      </c>
      <c r="D49" s="79">
        <f>HARMEAN(D14:D42)</f>
        <v>8.6235781489767002E-2</v>
      </c>
      <c r="E49" s="79"/>
      <c r="F49" s="79"/>
      <c r="G49" s="79"/>
      <c r="H49" s="79"/>
      <c r="I49" s="79"/>
    </row>
    <row r="50" spans="1:9" ht="17.25" thickBot="1">
      <c r="A50" s="10"/>
      <c r="B50" s="10"/>
      <c r="C50" s="10"/>
      <c r="D50" s="10" t="s">
        <v>193</v>
      </c>
      <c r="E50" s="10"/>
      <c r="F50" s="10"/>
      <c r="G50" s="10"/>
      <c r="H50" s="10"/>
      <c r="I50" s="10"/>
    </row>
    <row r="51" spans="1:9" ht="27" thickBot="1">
      <c r="A51" s="10"/>
      <c r="B51" s="10"/>
      <c r="C51" s="201" t="s">
        <v>248</v>
      </c>
      <c r="D51" s="410">
        <v>8.8599999999999998E-2</v>
      </c>
      <c r="E51" s="80"/>
      <c r="F51" s="80"/>
    </row>
    <row r="52" spans="1:9" ht="17.25">
      <c r="A52" s="102" t="s">
        <v>0</v>
      </c>
      <c r="B52" s="10"/>
      <c r="C52" s="10"/>
      <c r="D52" s="10"/>
      <c r="E52" s="10"/>
      <c r="F52" s="10"/>
      <c r="G52" s="10"/>
      <c r="H52" s="10"/>
      <c r="I52" s="10"/>
    </row>
    <row r="53" spans="1:9" ht="17.25">
      <c r="A53" s="102" t="s">
        <v>0</v>
      </c>
      <c r="B53" s="10"/>
      <c r="C53" s="10"/>
      <c r="D53" s="10"/>
      <c r="E53" s="10"/>
      <c r="F53" s="10"/>
      <c r="G53" s="10"/>
      <c r="H53" s="10"/>
      <c r="I53" s="10"/>
    </row>
    <row r="54" spans="1:9" ht="16.5">
      <c r="A54" s="10"/>
      <c r="B54" s="10"/>
      <c r="C54" s="10"/>
      <c r="D54" s="10"/>
      <c r="E54" s="10"/>
      <c r="F54" s="10"/>
      <c r="G54" s="10"/>
      <c r="H54" s="10"/>
      <c r="I54" s="10"/>
    </row>
    <row r="55" spans="1:9" ht="16.5">
      <c r="A55" s="10"/>
      <c r="B55" s="10"/>
      <c r="C55" s="10"/>
      <c r="D55" s="10"/>
      <c r="E55" s="10"/>
      <c r="F55" s="10"/>
      <c r="G55" s="10"/>
      <c r="H55" s="10"/>
      <c r="I55" s="10"/>
    </row>
    <row r="56" spans="1:9" ht="16.5">
      <c r="A56" s="10"/>
      <c r="B56" s="10"/>
      <c r="C56" s="10"/>
      <c r="D56" s="10"/>
      <c r="E56" s="10"/>
      <c r="F56" s="10"/>
      <c r="G56" s="10"/>
      <c r="H56" s="10"/>
      <c r="I56" s="10"/>
    </row>
    <row r="57" spans="1:9" ht="16.5">
      <c r="A57" s="10"/>
      <c r="B57" s="10"/>
      <c r="C57" s="10"/>
      <c r="D57" s="10"/>
      <c r="E57" s="10"/>
      <c r="F57" s="10"/>
      <c r="G57" s="10"/>
      <c r="H57" s="10"/>
      <c r="I57" s="10"/>
    </row>
    <row r="58" spans="1:9" ht="16.5">
      <c r="A58" s="10"/>
      <c r="B58" s="10"/>
      <c r="C58" s="10"/>
      <c r="D58" s="10" t="s">
        <v>0</v>
      </c>
      <c r="E58" s="10"/>
      <c r="F58" s="10"/>
      <c r="G58" s="10"/>
      <c r="H58" s="10"/>
      <c r="I58" s="10"/>
    </row>
    <row r="59" spans="1:9" ht="16.5">
      <c r="A59" s="10"/>
      <c r="B59" s="10"/>
      <c r="C59" s="10"/>
      <c r="D59" s="10" t="s">
        <v>0</v>
      </c>
      <c r="E59" s="10"/>
      <c r="F59" s="10"/>
      <c r="G59" s="10"/>
      <c r="H59" s="10"/>
      <c r="I59" s="10"/>
    </row>
    <row r="60" spans="1:9" ht="16.5">
      <c r="A60" s="10"/>
      <c r="B60" s="10"/>
      <c r="C60" s="10"/>
      <c r="D60" s="10"/>
      <c r="E60" s="10"/>
      <c r="F60" s="10"/>
      <c r="G60" s="10"/>
      <c r="H60" s="10"/>
      <c r="I60" s="10"/>
    </row>
    <row r="61" spans="1:9" ht="16.5">
      <c r="A61" s="10"/>
      <c r="B61" s="10"/>
      <c r="C61" s="10"/>
      <c r="D61" s="10"/>
      <c r="E61" s="10"/>
      <c r="F61" s="10"/>
      <c r="G61" s="10"/>
      <c r="H61" s="10"/>
      <c r="I61" s="10"/>
    </row>
    <row r="62" spans="1:9" ht="16.5">
      <c r="A62" s="10"/>
      <c r="B62" s="10"/>
      <c r="C62" s="10"/>
      <c r="D62" s="10"/>
      <c r="E62" s="10"/>
      <c r="F62" s="10"/>
      <c r="G62" s="10"/>
      <c r="H62" s="10"/>
      <c r="I62" s="10"/>
    </row>
    <row r="63" spans="1:9" ht="16.5">
      <c r="A63" s="10"/>
      <c r="B63" s="10"/>
      <c r="C63" s="10"/>
      <c r="D63" s="10"/>
      <c r="E63" s="10"/>
      <c r="F63" s="10"/>
      <c r="G63" s="10"/>
      <c r="H63" s="10"/>
      <c r="I63" s="10"/>
    </row>
    <row r="64" spans="1:9" ht="16.5">
      <c r="A64" s="10"/>
      <c r="B64" s="10"/>
      <c r="C64" s="10"/>
      <c r="D64" s="10"/>
      <c r="E64" s="10"/>
      <c r="F64" s="10"/>
      <c r="G64" s="10"/>
      <c r="H64" s="10"/>
      <c r="I64" s="10"/>
    </row>
    <row r="65" spans="1:9" ht="16.5">
      <c r="A65" s="10"/>
      <c r="B65" s="10"/>
      <c r="C65" s="10"/>
      <c r="D65" s="10"/>
      <c r="E65" s="10"/>
      <c r="F65" s="10"/>
      <c r="G65" s="10"/>
      <c r="H65" s="10"/>
      <c r="I65" s="10"/>
    </row>
    <row r="66" spans="1:9" ht="16.5">
      <c r="A66" s="10"/>
      <c r="B66" s="10"/>
      <c r="C66" s="10"/>
      <c r="D66" s="10"/>
      <c r="E66" s="10"/>
      <c r="F66" s="10"/>
      <c r="G66" s="10"/>
      <c r="H66" s="10"/>
      <c r="I66" s="10"/>
    </row>
    <row r="67" spans="1:9" ht="16.5">
      <c r="A67" s="10"/>
      <c r="B67" s="10"/>
      <c r="C67" s="10"/>
      <c r="D67" s="10"/>
      <c r="E67" s="10"/>
      <c r="F67" s="10"/>
      <c r="G67" s="10"/>
      <c r="H67" s="10"/>
      <c r="I67" s="10"/>
    </row>
    <row r="68" spans="1:9" ht="16.5">
      <c r="A68" s="10"/>
      <c r="B68" s="10"/>
      <c r="C68" s="10"/>
      <c r="D68" s="10"/>
      <c r="E68" s="10"/>
      <c r="F68" s="10"/>
      <c r="G68" s="10"/>
      <c r="H68" s="10"/>
      <c r="I68" s="10"/>
    </row>
    <row r="69" spans="1:9" ht="16.5">
      <c r="A69" s="10"/>
      <c r="B69" s="10"/>
      <c r="C69" s="10"/>
      <c r="D69" s="10"/>
      <c r="E69" s="10"/>
      <c r="F69" s="10"/>
      <c r="G69" s="10"/>
      <c r="H69" s="10"/>
      <c r="I69" s="10"/>
    </row>
    <row r="70" spans="1:9" ht="16.5">
      <c r="A70" s="10"/>
      <c r="B70" s="10"/>
      <c r="C70" s="10"/>
      <c r="D70" s="10"/>
      <c r="E70" s="10"/>
      <c r="F70" s="10"/>
      <c r="G70" s="10"/>
      <c r="H70" s="10"/>
      <c r="I70" s="10"/>
    </row>
    <row r="71" spans="1:9" ht="16.5">
      <c r="A71" s="10"/>
      <c r="B71" s="10"/>
      <c r="C71" s="10"/>
      <c r="D71" s="10"/>
      <c r="E71" s="10"/>
      <c r="F71" s="10"/>
      <c r="G71" s="10"/>
      <c r="H71" s="10"/>
      <c r="I71" s="10"/>
    </row>
    <row r="72" spans="1:9" ht="16.5">
      <c r="A72" s="10"/>
      <c r="B72" s="10"/>
      <c r="C72" s="10"/>
      <c r="D72" s="10"/>
      <c r="E72" s="10"/>
      <c r="F72" s="10"/>
      <c r="G72" s="10"/>
      <c r="H72" s="10"/>
      <c r="I72" s="10"/>
    </row>
    <row r="73" spans="1:9" ht="16.5">
      <c r="A73" s="10"/>
      <c r="B73" s="10"/>
      <c r="C73" s="10"/>
      <c r="D73" s="10"/>
      <c r="E73" s="10"/>
      <c r="F73" s="10"/>
      <c r="G73" s="10"/>
      <c r="H73" s="10"/>
      <c r="I73" s="10"/>
    </row>
    <row r="74" spans="1:9" ht="16.5">
      <c r="A74" s="10"/>
      <c r="B74" s="10"/>
      <c r="C74" s="10"/>
      <c r="D74" s="10"/>
      <c r="E74" s="10"/>
      <c r="F74" s="10"/>
      <c r="G74" s="10"/>
      <c r="H74" s="10"/>
      <c r="I74" s="10"/>
    </row>
    <row r="75" spans="1:9" ht="16.5">
      <c r="A75" s="10"/>
      <c r="B75" s="10"/>
      <c r="C75" s="10"/>
      <c r="D75" s="10"/>
      <c r="E75" s="10"/>
      <c r="F75" s="10"/>
      <c r="G75" s="10"/>
      <c r="H75" s="10"/>
      <c r="I75" s="10"/>
    </row>
    <row r="76" spans="1:9" ht="16.5">
      <c r="A76" s="10"/>
      <c r="B76" s="10"/>
      <c r="C76" s="10"/>
      <c r="D76" s="10"/>
      <c r="E76" s="10"/>
      <c r="F76" s="10"/>
      <c r="G76" s="10"/>
      <c r="H76" s="10"/>
      <c r="I76" s="10"/>
    </row>
    <row r="77" spans="1:9" ht="16.5">
      <c r="A77" s="10"/>
      <c r="B77" s="10"/>
      <c r="C77" s="10"/>
      <c r="D77" s="10"/>
      <c r="E77" s="10"/>
      <c r="F77" s="10"/>
      <c r="G77" s="10"/>
      <c r="H77" s="10"/>
      <c r="I77" s="10"/>
    </row>
    <row r="78" spans="1:9" ht="16.5">
      <c r="A78" s="10"/>
      <c r="B78" s="10"/>
      <c r="C78" s="10"/>
      <c r="D78" s="10"/>
      <c r="E78" s="10"/>
      <c r="F78" s="10"/>
      <c r="G78" s="10"/>
      <c r="H78" s="10"/>
      <c r="I78" s="10"/>
    </row>
    <row r="79" spans="1:9" ht="16.5">
      <c r="A79" s="10"/>
      <c r="B79" s="10"/>
      <c r="C79" s="10"/>
      <c r="D79" s="10"/>
      <c r="E79" s="10"/>
      <c r="F79" s="10"/>
      <c r="G79" s="10"/>
      <c r="H79" s="10"/>
      <c r="I79" s="10"/>
    </row>
    <row r="80" spans="1:9" ht="16.5">
      <c r="A80" s="10"/>
      <c r="B80" s="10"/>
      <c r="C80" s="10"/>
      <c r="D80" s="10"/>
      <c r="E80" s="10"/>
      <c r="F80" s="10"/>
      <c r="G80" s="10"/>
      <c r="H80" s="10"/>
      <c r="I80" s="10"/>
    </row>
    <row r="81" spans="1:9" ht="16.5">
      <c r="A81" s="10"/>
      <c r="B81" s="10"/>
      <c r="C81" s="10"/>
      <c r="D81" s="10"/>
      <c r="E81" s="10"/>
      <c r="F81" s="10"/>
      <c r="G81" s="10"/>
      <c r="H81" s="10"/>
      <c r="I81" s="10"/>
    </row>
    <row r="82" spans="1:9" ht="16.5">
      <c r="A82" s="10"/>
      <c r="B82" s="10"/>
      <c r="C82" s="10"/>
      <c r="D82" s="10"/>
      <c r="E82" s="10"/>
      <c r="F82" s="10"/>
      <c r="G82" s="10"/>
      <c r="H82" s="10"/>
      <c r="I82" s="10"/>
    </row>
    <row r="83" spans="1:9" ht="16.5">
      <c r="A83" s="10"/>
      <c r="B83" s="10"/>
      <c r="C83" s="10"/>
      <c r="D83" s="10"/>
      <c r="E83" s="10"/>
      <c r="F83" s="10"/>
      <c r="G83" s="10"/>
      <c r="H83" s="10"/>
      <c r="I83" s="10"/>
    </row>
    <row r="84" spans="1:9" ht="16.5">
      <c r="A84" s="10"/>
      <c r="B84" s="10"/>
      <c r="C84" s="10"/>
      <c r="D84" s="10"/>
      <c r="E84" s="10"/>
      <c r="F84" s="10"/>
      <c r="G84" s="10"/>
      <c r="H84" s="10"/>
      <c r="I84" s="10"/>
    </row>
    <row r="85" spans="1:9" ht="16.5">
      <c r="A85" s="10"/>
      <c r="B85" s="10"/>
      <c r="C85" s="10"/>
      <c r="D85" s="10"/>
      <c r="E85" s="10"/>
      <c r="F85" s="10"/>
      <c r="G85" s="10"/>
      <c r="H85" s="10"/>
      <c r="I85" s="10"/>
    </row>
    <row r="86" spans="1:9" ht="16.5">
      <c r="A86" s="10"/>
      <c r="B86" s="10"/>
      <c r="C86" s="10"/>
      <c r="D86" s="10"/>
      <c r="E86" s="10"/>
      <c r="F86" s="10"/>
      <c r="G86" s="10"/>
      <c r="H86" s="10"/>
      <c r="I86" s="10"/>
    </row>
    <row r="87" spans="1:9" ht="16.5">
      <c r="A87" s="10"/>
      <c r="B87" s="10"/>
      <c r="C87" s="10"/>
      <c r="D87" s="10"/>
      <c r="E87" s="10"/>
      <c r="F87" s="10"/>
      <c r="G87" s="10"/>
      <c r="H87" s="10"/>
      <c r="I87" s="10"/>
    </row>
    <row r="88" spans="1:9" ht="16.5">
      <c r="A88" s="10"/>
      <c r="B88" s="10"/>
      <c r="C88" s="10"/>
      <c r="D88" s="10"/>
      <c r="E88" s="10"/>
      <c r="F88" s="10"/>
      <c r="G88" s="10"/>
      <c r="H88" s="10"/>
      <c r="I88" s="10"/>
    </row>
    <row r="89" spans="1:9" ht="16.5">
      <c r="A89" s="10"/>
      <c r="B89" s="10"/>
      <c r="C89" s="10"/>
      <c r="D89" s="10"/>
      <c r="E89" s="10"/>
      <c r="F89" s="10"/>
      <c r="G89" s="10"/>
      <c r="H89" s="10"/>
      <c r="I89" s="10"/>
    </row>
    <row r="90" spans="1:9" ht="16.5">
      <c r="A90" s="10"/>
      <c r="B90" s="10"/>
      <c r="C90" s="10"/>
      <c r="D90" s="10"/>
      <c r="E90" s="10"/>
      <c r="F90" s="10"/>
      <c r="G90" s="10"/>
      <c r="H90" s="10"/>
      <c r="I90" s="10"/>
    </row>
    <row r="91" spans="1:9" ht="16.5">
      <c r="A91" s="10"/>
      <c r="B91" s="10"/>
      <c r="C91" s="10"/>
      <c r="D91" s="10"/>
      <c r="E91" s="10"/>
      <c r="F91" s="10"/>
      <c r="G91" s="10"/>
      <c r="H91" s="10"/>
      <c r="I91" s="10"/>
    </row>
    <row r="92" spans="1:9" ht="16.5">
      <c r="A92" s="10"/>
      <c r="B92" s="10"/>
      <c r="C92" s="10"/>
      <c r="D92" s="10"/>
      <c r="E92" s="10"/>
      <c r="F92" s="10"/>
      <c r="G92" s="10"/>
      <c r="H92" s="10"/>
      <c r="I92" s="10"/>
    </row>
    <row r="93" spans="1:9" ht="16.5">
      <c r="A93" s="10"/>
      <c r="B93" s="10"/>
      <c r="C93" s="10"/>
      <c r="D93" s="10"/>
      <c r="E93" s="10"/>
      <c r="F93" s="10"/>
      <c r="G93" s="10"/>
      <c r="H93" s="10"/>
      <c r="I93" s="10"/>
    </row>
    <row r="94" spans="1:9" ht="16.5">
      <c r="A94" s="10"/>
      <c r="B94" s="10"/>
      <c r="C94" s="10"/>
      <c r="D94" s="10"/>
      <c r="E94" s="10"/>
      <c r="F94" s="10"/>
      <c r="G94" s="10"/>
      <c r="H94" s="10"/>
      <c r="I94" s="10"/>
    </row>
    <row r="95" spans="1:9" ht="16.5">
      <c r="A95" s="10"/>
      <c r="B95" s="10"/>
      <c r="C95" s="10"/>
      <c r="D95" s="10"/>
      <c r="E95" s="10"/>
      <c r="F95" s="10"/>
      <c r="G95" s="10"/>
      <c r="H95" s="10"/>
      <c r="I95" s="10"/>
    </row>
    <row r="96" spans="1:9" ht="16.5">
      <c r="A96" s="10"/>
      <c r="B96" s="10"/>
      <c r="C96" s="10"/>
      <c r="D96" s="10"/>
      <c r="E96" s="10"/>
      <c r="F96" s="10"/>
      <c r="G96" s="10"/>
      <c r="H96" s="10"/>
      <c r="I96" s="10"/>
    </row>
    <row r="97" spans="1:9" ht="16.5">
      <c r="A97" s="10"/>
      <c r="B97" s="10"/>
      <c r="C97" s="10"/>
      <c r="D97" s="10"/>
      <c r="E97" s="10"/>
      <c r="F97" s="10"/>
      <c r="G97" s="10"/>
      <c r="H97" s="10"/>
      <c r="I97" s="10"/>
    </row>
    <row r="98" spans="1:9" ht="16.5">
      <c r="A98" s="10"/>
      <c r="B98" s="10"/>
      <c r="C98" s="10"/>
      <c r="D98" s="10"/>
      <c r="E98" s="10"/>
      <c r="F98" s="10"/>
      <c r="G98" s="10"/>
      <c r="H98" s="10"/>
      <c r="I98" s="10"/>
    </row>
    <row r="99" spans="1:9" ht="16.5">
      <c r="A99" s="10"/>
      <c r="B99" s="10"/>
      <c r="C99" s="10"/>
      <c r="D99" s="10"/>
      <c r="E99" s="10"/>
      <c r="F99" s="10"/>
      <c r="G99" s="10"/>
      <c r="H99" s="10"/>
      <c r="I99" s="10"/>
    </row>
    <row r="100" spans="1:9" ht="16.5">
      <c r="A100" s="10"/>
      <c r="B100" s="10"/>
      <c r="C100" s="10"/>
      <c r="D100" s="10"/>
      <c r="E100" s="10"/>
      <c r="F100" s="10"/>
      <c r="G100" s="10"/>
      <c r="H100" s="10"/>
      <c r="I100" s="10"/>
    </row>
    <row r="101" spans="1:9" ht="16.5">
      <c r="A101" s="10"/>
      <c r="B101" s="10"/>
      <c r="C101" s="10"/>
      <c r="D101" s="10"/>
      <c r="E101" s="10"/>
      <c r="F101" s="10"/>
      <c r="G101" s="10"/>
      <c r="H101" s="10"/>
      <c r="I101" s="10"/>
    </row>
    <row r="102" spans="1:9" ht="16.5">
      <c r="A102" s="10"/>
      <c r="B102" s="10"/>
      <c r="C102" s="10"/>
      <c r="D102" s="10"/>
      <c r="E102" s="10"/>
      <c r="F102" s="10"/>
      <c r="G102" s="10"/>
      <c r="H102" s="10"/>
      <c r="I102" s="10"/>
    </row>
    <row r="103" spans="1:9" ht="16.5">
      <c r="A103" s="10"/>
      <c r="B103" s="10"/>
      <c r="C103" s="10"/>
      <c r="D103" s="10"/>
      <c r="E103" s="10"/>
      <c r="F103" s="10"/>
      <c r="G103" s="10"/>
      <c r="H103" s="10"/>
      <c r="I103" s="10"/>
    </row>
    <row r="104" spans="1:9" ht="16.5">
      <c r="A104" s="10"/>
      <c r="B104" s="10"/>
      <c r="C104" s="10"/>
      <c r="D104" s="10"/>
      <c r="E104" s="10"/>
      <c r="F104" s="10"/>
      <c r="G104" s="10"/>
      <c r="H104" s="10"/>
      <c r="I104" s="10"/>
    </row>
  </sheetData>
  <pageMargins left="0.25" right="0.25" top="0.75" bottom="0.75" header="0.3" footer="0.3"/>
  <pageSetup scale="48"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730FF-5535-41D1-98A4-3D0EAA106D41}">
  <sheetPr codeName="Sheet16">
    <tabColor rgb="FF92D050"/>
    <pageSetUpPr fitToPage="1"/>
  </sheetPr>
  <dimension ref="A1:J84"/>
  <sheetViews>
    <sheetView view="pageBreakPreview" topLeftCell="A23" zoomScale="60" zoomScaleNormal="80" workbookViewId="0">
      <selection activeCell="G67" sqref="G67"/>
    </sheetView>
  </sheetViews>
  <sheetFormatPr defaultRowHeight="15"/>
  <cols>
    <col min="1" max="1" width="74.5703125" customWidth="1"/>
    <col min="2" max="2" width="21.7109375" customWidth="1"/>
    <col min="3" max="3" width="24.5703125" customWidth="1"/>
    <col min="4" max="4" width="29.42578125" customWidth="1"/>
    <col min="5" max="5" width="30.5703125" customWidth="1"/>
    <col min="6" max="6" width="32.140625" customWidth="1"/>
    <col min="7" max="7" width="27" customWidth="1"/>
    <col min="8" max="8" width="13.7109375" customWidth="1"/>
    <col min="9" max="9" width="13.85546875" customWidth="1"/>
    <col min="10" max="11" width="14.140625" bestFit="1" customWidth="1"/>
  </cols>
  <sheetData>
    <row r="1" spans="1:10" ht="26.25">
      <c r="A1" s="21" t="s">
        <v>1</v>
      </c>
      <c r="B1" s="21"/>
      <c r="C1" s="21"/>
      <c r="D1" s="10"/>
      <c r="E1" s="10"/>
      <c r="F1" s="10"/>
      <c r="G1" s="10"/>
      <c r="H1" s="10"/>
      <c r="I1" s="10"/>
      <c r="J1" s="10"/>
    </row>
    <row r="2" spans="1:10" ht="17.25">
      <c r="A2" s="22" t="s">
        <v>9</v>
      </c>
      <c r="B2" s="22"/>
      <c r="C2" s="22"/>
      <c r="D2" s="10"/>
      <c r="E2" s="10"/>
      <c r="F2" s="10"/>
      <c r="G2" s="10"/>
      <c r="H2" s="10"/>
      <c r="I2" s="10"/>
      <c r="J2" s="10"/>
    </row>
    <row r="3" spans="1:10" ht="16.5">
      <c r="A3" s="23" t="s">
        <v>451</v>
      </c>
      <c r="B3" s="23"/>
      <c r="C3" s="23"/>
      <c r="D3" s="10"/>
      <c r="E3" s="10"/>
      <c r="F3" s="10"/>
      <c r="G3" s="10"/>
      <c r="H3" s="10"/>
      <c r="I3" s="10"/>
      <c r="J3" s="10"/>
    </row>
    <row r="4" spans="1:10" ht="16.5">
      <c r="A4" s="23"/>
      <c r="B4" s="23"/>
      <c r="C4" s="23"/>
      <c r="D4" s="10"/>
      <c r="E4" s="10"/>
      <c r="F4" s="10"/>
      <c r="G4" s="10"/>
      <c r="H4" s="10"/>
      <c r="I4" s="10"/>
      <c r="J4" s="10"/>
    </row>
    <row r="5" spans="1:10" ht="17.25" thickBot="1">
      <c r="A5" s="10"/>
      <c r="B5" s="10"/>
      <c r="C5" s="10"/>
      <c r="D5" s="10"/>
      <c r="E5" s="10"/>
      <c r="F5" s="10"/>
      <c r="G5" s="10"/>
      <c r="H5" s="24" t="s">
        <v>0</v>
      </c>
      <c r="I5" s="24"/>
      <c r="J5" s="10"/>
    </row>
    <row r="6" spans="1:10" ht="21" thickBot="1">
      <c r="A6" s="25" t="str">
        <f>+'S&amp;D'!A12</f>
        <v>Air Freight Carriers</v>
      </c>
      <c r="B6" s="10"/>
      <c r="C6" s="10"/>
      <c r="D6" s="26"/>
      <c r="E6" s="26"/>
      <c r="F6" s="26"/>
      <c r="G6" s="10"/>
      <c r="H6" s="10"/>
      <c r="I6" s="10"/>
      <c r="J6" s="10"/>
    </row>
    <row r="7" spans="1:10" ht="26.25">
      <c r="B7" s="28"/>
      <c r="C7" s="28"/>
      <c r="D7" s="10"/>
      <c r="E7" s="29" t="s">
        <v>210</v>
      </c>
      <c r="F7" s="10"/>
      <c r="G7" s="10"/>
      <c r="H7" s="10"/>
      <c r="I7" s="10"/>
      <c r="J7" s="10"/>
    </row>
    <row r="8" spans="1:10" ht="21" thickBot="1">
      <c r="A8" s="28"/>
      <c r="B8" s="28"/>
      <c r="C8" s="28"/>
      <c r="D8" s="26"/>
      <c r="E8" s="34" t="s">
        <v>452</v>
      </c>
      <c r="F8" s="26"/>
      <c r="G8" s="10"/>
      <c r="H8" s="10"/>
      <c r="I8" s="10"/>
      <c r="J8" s="10"/>
    </row>
    <row r="9" spans="1:10" ht="20.25">
      <c r="A9" s="28"/>
      <c r="B9" s="28"/>
      <c r="C9" s="28"/>
      <c r="D9" s="10"/>
      <c r="E9" s="32"/>
      <c r="F9" s="10"/>
      <c r="G9" s="10"/>
      <c r="H9" s="10"/>
      <c r="I9" s="10"/>
      <c r="J9" s="10"/>
    </row>
    <row r="10" spans="1:10" ht="20.25">
      <c r="A10" s="28"/>
      <c r="B10" s="28"/>
      <c r="H10" s="10"/>
      <c r="I10" s="10"/>
      <c r="J10" s="10"/>
    </row>
    <row r="11" spans="1:10" ht="20.25">
      <c r="A11" s="28"/>
      <c r="B11" s="28"/>
      <c r="H11" s="10"/>
      <c r="I11" s="10"/>
      <c r="J11" s="10"/>
    </row>
    <row r="12" spans="1:10" ht="30" customHeight="1" thickBot="1">
      <c r="A12" s="28"/>
      <c r="B12" s="28"/>
      <c r="C12" t="s">
        <v>0</v>
      </c>
      <c r="H12" s="10"/>
      <c r="I12" s="10"/>
      <c r="J12" s="10"/>
    </row>
    <row r="13" spans="1:10" ht="26.25" customHeight="1" thickBot="1">
      <c r="A13" s="155" t="s">
        <v>226</v>
      </c>
      <c r="B13" s="10" t="s">
        <v>0</v>
      </c>
      <c r="C13" s="10"/>
      <c r="D13" s="10"/>
      <c r="E13" s="10"/>
      <c r="F13" s="10"/>
      <c r="G13" s="10"/>
      <c r="H13" s="10"/>
      <c r="I13" s="10"/>
      <c r="J13" s="10"/>
    </row>
    <row r="14" spans="1:10" ht="42" customHeight="1" thickBot="1">
      <c r="A14" s="154" t="s">
        <v>224</v>
      </c>
      <c r="B14" s="153" t="s">
        <v>215</v>
      </c>
      <c r="C14" s="152" t="s">
        <v>227</v>
      </c>
      <c r="D14" s="153" t="s">
        <v>217</v>
      </c>
      <c r="E14" s="153" t="s">
        <v>404</v>
      </c>
      <c r="F14" s="151" t="s">
        <v>216</v>
      </c>
      <c r="G14" s="10"/>
      <c r="H14" s="10"/>
      <c r="I14" s="10"/>
      <c r="J14" s="10"/>
    </row>
    <row r="15" spans="1:10" ht="16.5">
      <c r="A15" s="148"/>
      <c r="B15" s="108"/>
      <c r="C15" s="108"/>
      <c r="D15" s="108"/>
      <c r="E15" s="108"/>
      <c r="F15" s="149"/>
      <c r="G15" s="10"/>
      <c r="H15" s="10"/>
      <c r="I15" s="10"/>
      <c r="J15" s="10"/>
    </row>
    <row r="16" spans="1:10" ht="17.25">
      <c r="A16" s="194" t="s">
        <v>406</v>
      </c>
      <c r="B16" s="207">
        <v>2.9100000000000001E-2</v>
      </c>
      <c r="C16" s="204">
        <f>+'Beta for CAPM'!I27</f>
        <v>0.9</v>
      </c>
      <c r="D16" s="195">
        <f>+B16*C16</f>
        <v>2.6190000000000001E-2</v>
      </c>
      <c r="E16" s="195">
        <f>+'Growth &amp; Inflation Rates'!F93</f>
        <v>4.1099999999999998E-2</v>
      </c>
      <c r="F16" s="196">
        <f>+D16+E16</f>
        <v>6.7290000000000003E-2</v>
      </c>
      <c r="G16" s="10"/>
      <c r="H16" s="10"/>
      <c r="I16" s="10"/>
      <c r="J16" s="10"/>
    </row>
    <row r="17" spans="1:10" ht="17.25">
      <c r="A17" s="194" t="s">
        <v>407</v>
      </c>
      <c r="B17" s="207">
        <v>3.0800000000000001E-2</v>
      </c>
      <c r="C17" s="204">
        <f>+C16</f>
        <v>0.9</v>
      </c>
      <c r="D17" s="195">
        <f>+B17*C17</f>
        <v>2.7720000000000002E-2</v>
      </c>
      <c r="E17" s="195">
        <f>+E16</f>
        <v>4.1099999999999998E-2</v>
      </c>
      <c r="F17" s="196">
        <f>+D17+E17</f>
        <v>6.8819999999999992E-2</v>
      </c>
      <c r="G17" s="10"/>
      <c r="H17" s="10"/>
      <c r="I17" s="10"/>
      <c r="J17" s="10"/>
    </row>
    <row r="18" spans="1:10" ht="17.25">
      <c r="A18" s="197"/>
      <c r="B18" s="102"/>
      <c r="C18" s="102"/>
      <c r="D18" s="102"/>
      <c r="E18" s="102"/>
      <c r="F18" s="198"/>
      <c r="G18" s="10"/>
      <c r="H18" s="10"/>
      <c r="I18" s="10"/>
      <c r="J18" s="10"/>
    </row>
    <row r="19" spans="1:10" ht="17.25">
      <c r="A19" s="194" t="s">
        <v>422</v>
      </c>
      <c r="B19" s="207">
        <v>4.5999999999999999E-2</v>
      </c>
      <c r="C19" s="204">
        <f>+C16</f>
        <v>0.9</v>
      </c>
      <c r="D19" s="195">
        <f>+B19*C19</f>
        <v>4.1399999999999999E-2</v>
      </c>
      <c r="E19" s="195">
        <f>+E16</f>
        <v>4.1099999999999998E-2</v>
      </c>
      <c r="F19" s="196">
        <f>+D19+E19</f>
        <v>8.249999999999999E-2</v>
      </c>
      <c r="G19" s="10"/>
      <c r="H19" s="10"/>
      <c r="I19" s="10"/>
      <c r="J19" s="10"/>
    </row>
    <row r="20" spans="1:10" ht="17.25">
      <c r="A20" s="194" t="s">
        <v>440</v>
      </c>
      <c r="B20" s="207">
        <v>6.0699999999999997E-2</v>
      </c>
      <c r="C20" s="204">
        <f>+C16</f>
        <v>0.9</v>
      </c>
      <c r="D20" s="195">
        <f>+B20*C20</f>
        <v>5.4629999999999998E-2</v>
      </c>
      <c r="E20" s="195">
        <f>+E17</f>
        <v>4.1099999999999998E-2</v>
      </c>
      <c r="F20" s="196">
        <f>+D20+E20</f>
        <v>9.5729999999999996E-2</v>
      </c>
      <c r="G20" s="10"/>
      <c r="H20" s="10"/>
      <c r="I20" s="10"/>
      <c r="J20" s="10"/>
    </row>
    <row r="21" spans="1:10" ht="17.25">
      <c r="A21" s="194" t="s">
        <v>423</v>
      </c>
      <c r="B21" s="207">
        <v>4.4299999999999999E-2</v>
      </c>
      <c r="C21" s="204">
        <f>+C16</f>
        <v>0.9</v>
      </c>
      <c r="D21" s="195">
        <f>+B21*C21</f>
        <v>3.9870000000000003E-2</v>
      </c>
      <c r="E21" s="195">
        <f>+E16</f>
        <v>4.1099999999999998E-2</v>
      </c>
      <c r="F21" s="196">
        <f>+D21+E21</f>
        <v>8.097E-2</v>
      </c>
      <c r="G21" s="10"/>
      <c r="H21" s="10"/>
      <c r="I21" s="10"/>
      <c r="J21" s="10"/>
    </row>
    <row r="22" spans="1:10" ht="17.25">
      <c r="A22" s="194" t="s">
        <v>424</v>
      </c>
      <c r="B22" s="207">
        <v>4.2900000000000001E-2</v>
      </c>
      <c r="C22" s="204">
        <f>+C16</f>
        <v>0.9</v>
      </c>
      <c r="D22" s="195">
        <f>+B22*C22</f>
        <v>3.8609999999999998E-2</v>
      </c>
      <c r="E22" s="195">
        <f>+E16</f>
        <v>4.1099999999999998E-2</v>
      </c>
      <c r="F22" s="196">
        <f>+D22+E22</f>
        <v>7.9710000000000003E-2</v>
      </c>
      <c r="G22" s="10"/>
      <c r="H22" s="10"/>
      <c r="I22" s="10"/>
      <c r="J22" s="10"/>
    </row>
    <row r="23" spans="1:10" ht="17.25">
      <c r="A23" s="194" t="s">
        <v>0</v>
      </c>
      <c r="B23" s="207" t="s">
        <v>0</v>
      </c>
      <c r="C23" s="205" t="s">
        <v>0</v>
      </c>
      <c r="D23" s="195" t="s">
        <v>0</v>
      </c>
      <c r="E23" s="195" t="s">
        <v>0</v>
      </c>
      <c r="F23" s="196" t="s">
        <v>0</v>
      </c>
      <c r="G23" s="10"/>
      <c r="H23" s="10"/>
      <c r="I23" s="10"/>
      <c r="J23" s="10"/>
    </row>
    <row r="24" spans="1:10" ht="17.25">
      <c r="A24" s="194" t="s">
        <v>220</v>
      </c>
      <c r="B24" s="207">
        <v>4.9399999999999999E-2</v>
      </c>
      <c r="C24" s="204">
        <f>+C16</f>
        <v>0.9</v>
      </c>
      <c r="D24" s="195">
        <f>+B24*C24</f>
        <v>4.446E-2</v>
      </c>
      <c r="E24" s="195">
        <f>+E16</f>
        <v>4.1099999999999998E-2</v>
      </c>
      <c r="F24" s="196">
        <f>+D24+E24</f>
        <v>8.5559999999999997E-2</v>
      </c>
      <c r="G24" s="10"/>
      <c r="H24" s="10"/>
      <c r="I24" s="10"/>
      <c r="J24" s="10"/>
    </row>
    <row r="25" spans="1:10" ht="17.25">
      <c r="A25" s="194" t="s">
        <v>0</v>
      </c>
      <c r="B25" s="207" t="s">
        <v>0</v>
      </c>
      <c r="C25" s="205" t="s">
        <v>0</v>
      </c>
      <c r="D25" s="195" t="s">
        <v>0</v>
      </c>
      <c r="E25" s="195" t="s">
        <v>0</v>
      </c>
      <c r="F25" s="196" t="s">
        <v>0</v>
      </c>
      <c r="G25" s="10"/>
      <c r="H25" s="10"/>
      <c r="I25" s="10"/>
      <c r="J25" s="10"/>
    </row>
    <row r="26" spans="1:10" ht="17.25">
      <c r="A26" s="194" t="s">
        <v>441</v>
      </c>
      <c r="B26" s="207">
        <v>5.7000000000000002E-2</v>
      </c>
      <c r="C26" s="204">
        <f>+C16</f>
        <v>0.9</v>
      </c>
      <c r="D26" s="195">
        <f>+B26*C26</f>
        <v>5.1300000000000005E-2</v>
      </c>
      <c r="E26" s="195">
        <f>+E16</f>
        <v>4.1099999999999998E-2</v>
      </c>
      <c r="F26" s="196">
        <f>+D26+E26</f>
        <v>9.240000000000001E-2</v>
      </c>
      <c r="G26" s="10"/>
      <c r="H26" s="10"/>
      <c r="I26" s="10"/>
      <c r="J26" s="10"/>
    </row>
    <row r="27" spans="1:10" ht="17.25">
      <c r="A27" s="194" t="s">
        <v>0</v>
      </c>
      <c r="B27" s="207" t="s">
        <v>0</v>
      </c>
      <c r="C27" s="205" t="s">
        <v>0</v>
      </c>
      <c r="D27" s="195" t="s">
        <v>0</v>
      </c>
      <c r="E27" s="195" t="s">
        <v>0</v>
      </c>
      <c r="F27" s="196" t="s">
        <v>0</v>
      </c>
      <c r="G27" s="10"/>
      <c r="H27" s="10"/>
      <c r="I27" s="10"/>
      <c r="J27" s="10"/>
    </row>
    <row r="28" spans="1:10" ht="17.25">
      <c r="A28" s="194" t="s">
        <v>221</v>
      </c>
      <c r="B28" s="207">
        <v>6.4500000000000002E-2</v>
      </c>
      <c r="C28" s="204">
        <f>+C16</f>
        <v>0.9</v>
      </c>
      <c r="D28" s="195">
        <f>+B28*C28</f>
        <v>5.8050000000000004E-2</v>
      </c>
      <c r="E28" s="195">
        <f>+E16</f>
        <v>4.1099999999999998E-2</v>
      </c>
      <c r="F28" s="196">
        <f>+D28+E28</f>
        <v>9.9150000000000002E-2</v>
      </c>
      <c r="G28" s="10"/>
      <c r="H28" s="10"/>
      <c r="I28" s="10"/>
      <c r="J28" s="10"/>
    </row>
    <row r="29" spans="1:10" ht="17.25">
      <c r="A29" s="194" t="s">
        <v>222</v>
      </c>
      <c r="B29" s="207">
        <v>5.1900000000000002E-2</v>
      </c>
      <c r="C29" s="204">
        <f>+C16</f>
        <v>0.9</v>
      </c>
      <c r="D29" s="195">
        <f>+B29*C29</f>
        <v>4.6710000000000002E-2</v>
      </c>
      <c r="E29" s="195">
        <f>+E16</f>
        <v>4.1099999999999998E-2</v>
      </c>
      <c r="F29" s="196">
        <f>+D29+E29</f>
        <v>8.7809999999999999E-2</v>
      </c>
      <c r="G29" s="10"/>
      <c r="H29" s="10"/>
      <c r="I29" s="10"/>
      <c r="J29" s="10"/>
    </row>
    <row r="30" spans="1:10" ht="17.25">
      <c r="A30" s="194"/>
      <c r="B30" s="207"/>
      <c r="C30" s="204"/>
      <c r="D30" s="195"/>
      <c r="E30" s="195"/>
      <c r="F30" s="196"/>
      <c r="G30" s="10"/>
      <c r="H30" s="10"/>
      <c r="I30" s="10"/>
      <c r="J30" s="10"/>
    </row>
    <row r="31" spans="1:10" ht="17.25">
      <c r="A31" s="194" t="s">
        <v>425</v>
      </c>
      <c r="B31" s="207">
        <v>7.17E-2</v>
      </c>
      <c r="C31" s="204">
        <f>+C16</f>
        <v>0.9</v>
      </c>
      <c r="D31" s="195">
        <f>+B31*C31</f>
        <v>6.4530000000000004E-2</v>
      </c>
      <c r="E31" s="195">
        <f>+E16</f>
        <v>4.1099999999999998E-2</v>
      </c>
      <c r="F31" s="196">
        <f>+D31+E31</f>
        <v>0.10563</v>
      </c>
      <c r="G31" s="10"/>
      <c r="H31" s="10"/>
      <c r="I31" s="10"/>
      <c r="J31" s="10"/>
    </row>
    <row r="32" spans="1:10" ht="17.25">
      <c r="A32" s="194" t="s">
        <v>426</v>
      </c>
      <c r="B32" s="207">
        <v>6.2199999999999998E-2</v>
      </c>
      <c r="C32" s="204">
        <f>+C17</f>
        <v>0.9</v>
      </c>
      <c r="D32" s="195">
        <f>+B32*C32</f>
        <v>5.5980000000000002E-2</v>
      </c>
      <c r="E32" s="195">
        <f>+E17</f>
        <v>4.1099999999999998E-2</v>
      </c>
      <c r="F32" s="196">
        <f>+D32+E32</f>
        <v>9.708E-2</v>
      </c>
      <c r="G32" s="10"/>
      <c r="H32" s="10"/>
      <c r="I32" s="10"/>
      <c r="J32" s="10"/>
    </row>
    <row r="33" spans="1:10" ht="17.25">
      <c r="A33" s="194" t="s">
        <v>427</v>
      </c>
      <c r="B33" s="207">
        <v>5.5E-2</v>
      </c>
      <c r="C33" s="204">
        <f>+C16</f>
        <v>0.9</v>
      </c>
      <c r="D33" s="195">
        <f>+B33*C33</f>
        <v>4.9500000000000002E-2</v>
      </c>
      <c r="E33" s="195">
        <f>+E16</f>
        <v>4.1099999999999998E-2</v>
      </c>
      <c r="F33" s="196">
        <f>+D33+E33</f>
        <v>9.06E-2</v>
      </c>
      <c r="G33" s="10"/>
      <c r="H33" s="10"/>
      <c r="I33" s="10"/>
      <c r="J33" s="10"/>
    </row>
    <row r="34" spans="1:10" ht="17.25">
      <c r="A34" s="194"/>
      <c r="B34" s="207"/>
      <c r="C34" s="204"/>
      <c r="D34" s="195"/>
      <c r="E34" s="195"/>
      <c r="F34" s="196"/>
      <c r="G34" s="10"/>
      <c r="H34" s="10"/>
      <c r="I34" s="10"/>
      <c r="J34" s="10"/>
    </row>
    <row r="35" spans="1:10" ht="17.25">
      <c r="A35" s="432" t="s">
        <v>416</v>
      </c>
      <c r="B35" s="433">
        <v>0</v>
      </c>
      <c r="C35" s="204">
        <f>+C16</f>
        <v>0.9</v>
      </c>
      <c r="D35" s="195">
        <f>+B35*C35</f>
        <v>0</v>
      </c>
      <c r="E35" s="195">
        <v>0</v>
      </c>
      <c r="F35" s="196">
        <f>+D35+E35</f>
        <v>0</v>
      </c>
      <c r="G35" s="10"/>
      <c r="H35" s="10"/>
      <c r="I35" s="10"/>
      <c r="J35" s="10"/>
    </row>
    <row r="36" spans="1:10" ht="17.25" thickBot="1">
      <c r="A36" s="386"/>
      <c r="B36" s="26"/>
      <c r="C36" s="26"/>
      <c r="D36" s="26"/>
      <c r="E36" s="26"/>
      <c r="F36" s="387"/>
      <c r="G36" s="10"/>
      <c r="H36" s="10"/>
      <c r="I36" s="10"/>
      <c r="J36" s="10"/>
    </row>
    <row r="37" spans="1:10" ht="16.5">
      <c r="A37" s="10"/>
      <c r="B37" s="10"/>
      <c r="C37" s="10"/>
      <c r="D37" s="10"/>
      <c r="E37" s="10"/>
      <c r="F37" s="10"/>
      <c r="G37" s="10"/>
      <c r="H37" s="10"/>
      <c r="I37" s="10"/>
      <c r="J37" s="10"/>
    </row>
    <row r="38" spans="1:10" ht="27" customHeight="1" thickBot="1">
      <c r="A38" s="10"/>
      <c r="B38" s="10"/>
      <c r="C38" s="10"/>
      <c r="D38" s="10"/>
      <c r="E38" s="10"/>
      <c r="F38" s="10"/>
      <c r="G38" s="10" t="s">
        <v>0</v>
      </c>
      <c r="H38" s="10"/>
      <c r="I38" s="10"/>
      <c r="J38" s="10"/>
    </row>
    <row r="39" spans="1:10" ht="18" thickBot="1">
      <c r="A39" s="155" t="s">
        <v>225</v>
      </c>
      <c r="B39" s="10"/>
      <c r="C39" s="10"/>
      <c r="D39" s="10"/>
      <c r="E39" s="10"/>
      <c r="F39" s="10"/>
      <c r="G39" s="10"/>
      <c r="H39" s="10"/>
      <c r="I39" s="10"/>
      <c r="J39" s="10"/>
    </row>
    <row r="40" spans="1:10" ht="41.25" thickBot="1">
      <c r="A40" s="154" t="s">
        <v>223</v>
      </c>
      <c r="B40" s="153" t="s">
        <v>215</v>
      </c>
      <c r="C40" s="152" t="s">
        <v>227</v>
      </c>
      <c r="D40" s="153" t="s">
        <v>218</v>
      </c>
      <c r="E40" s="153" t="s">
        <v>219</v>
      </c>
      <c r="F40" s="153" t="s">
        <v>404</v>
      </c>
      <c r="G40" s="151" t="s">
        <v>216</v>
      </c>
      <c r="H40" s="10"/>
      <c r="I40" s="10"/>
      <c r="J40" s="10"/>
    </row>
    <row r="41" spans="1:10" ht="16.5">
      <c r="A41" s="148"/>
      <c r="B41" s="108"/>
      <c r="C41" s="108"/>
      <c r="D41" s="108"/>
      <c r="E41" s="108"/>
      <c r="F41" s="108"/>
      <c r="G41" s="149"/>
      <c r="H41" s="10"/>
      <c r="I41" s="10"/>
      <c r="J41" s="10"/>
    </row>
    <row r="42" spans="1:10" ht="17.25">
      <c r="A42" s="194" t="s">
        <v>406</v>
      </c>
      <c r="B42" s="207">
        <f>+B16</f>
        <v>2.9100000000000001E-2</v>
      </c>
      <c r="C42" s="203">
        <f>+C16</f>
        <v>0.9</v>
      </c>
      <c r="D42" s="195">
        <f>+B42*C42*0.75</f>
        <v>1.96425E-2</v>
      </c>
      <c r="E42" s="207">
        <f>+B42*0.25</f>
        <v>7.2750000000000002E-3</v>
      </c>
      <c r="F42" s="195">
        <f>+E16</f>
        <v>4.1099999999999998E-2</v>
      </c>
      <c r="G42" s="196">
        <f>+D42+E42+F42</f>
        <v>6.8017499999999995E-2</v>
      </c>
      <c r="H42" s="10"/>
      <c r="I42" s="10"/>
      <c r="J42" s="10"/>
    </row>
    <row r="43" spans="1:10" ht="17.25">
      <c r="A43" s="194" t="s">
        <v>407</v>
      </c>
      <c r="B43" s="207">
        <f>+B17</f>
        <v>3.0800000000000001E-2</v>
      </c>
      <c r="C43" s="203">
        <f>+C17</f>
        <v>0.9</v>
      </c>
      <c r="D43" s="195">
        <f>+B43*C43*0.75</f>
        <v>2.0790000000000003E-2</v>
      </c>
      <c r="E43" s="207">
        <f>+B43*0.25</f>
        <v>7.7000000000000002E-3</v>
      </c>
      <c r="F43" s="195">
        <f>+E17</f>
        <v>4.1099999999999998E-2</v>
      </c>
      <c r="G43" s="196">
        <f>+D43+E43+F43</f>
        <v>6.9589999999999999E-2</v>
      </c>
      <c r="H43" s="10"/>
      <c r="I43" s="10"/>
      <c r="J43" s="10"/>
    </row>
    <row r="44" spans="1:10" ht="17.25">
      <c r="A44" s="197"/>
      <c r="B44" s="102"/>
      <c r="C44" s="102"/>
      <c r="D44" s="102"/>
      <c r="E44" s="102"/>
      <c r="F44" s="102"/>
      <c r="G44" s="198"/>
      <c r="H44" s="10"/>
      <c r="I44" s="10"/>
      <c r="J44" s="10"/>
    </row>
    <row r="45" spans="1:10" ht="17.25">
      <c r="A45" s="194" t="str">
        <f t="shared" ref="A45:C46" si="0">+A19</f>
        <v>Damodaran Implied ERP Ex Ante   Trailing 12 mo Cash Yield (3)</v>
      </c>
      <c r="B45" s="207">
        <f t="shared" si="0"/>
        <v>4.5999999999999999E-2</v>
      </c>
      <c r="C45" s="203">
        <f t="shared" si="0"/>
        <v>0.9</v>
      </c>
      <c r="D45" s="195">
        <f>+B45*C45*0.75</f>
        <v>3.1050000000000001E-2</v>
      </c>
      <c r="E45" s="207">
        <f>+B45*0.25</f>
        <v>1.15E-2</v>
      </c>
      <c r="F45" s="195">
        <f>+E19</f>
        <v>4.1099999999999998E-2</v>
      </c>
      <c r="G45" s="196">
        <f>+D45+E45+F45</f>
        <v>8.3650000000000002E-2</v>
      </c>
      <c r="H45" s="10"/>
      <c r="I45" s="10"/>
      <c r="J45" s="10"/>
    </row>
    <row r="46" spans="1:10" ht="17.25">
      <c r="A46" s="194" t="str">
        <f t="shared" si="0"/>
        <v>Damodaran Implied ERP Ex Ante   Avg CF Yield Last 10 Yrs (3)</v>
      </c>
      <c r="B46" s="207">
        <f t="shared" si="0"/>
        <v>6.0699999999999997E-2</v>
      </c>
      <c r="C46" s="203">
        <f t="shared" si="0"/>
        <v>0.9</v>
      </c>
      <c r="D46" s="195">
        <f>+B46*C46*0.75</f>
        <v>4.0972499999999995E-2</v>
      </c>
      <c r="E46" s="207">
        <f>+B46*0.25</f>
        <v>1.5174999999999999E-2</v>
      </c>
      <c r="F46" s="195">
        <f>+E20</f>
        <v>4.1099999999999998E-2</v>
      </c>
      <c r="G46" s="196">
        <f>+D46+E46+F46</f>
        <v>9.7247499999999987E-2</v>
      </c>
      <c r="H46" s="10"/>
      <c r="I46" s="10"/>
      <c r="J46" s="10"/>
    </row>
    <row r="47" spans="1:10" ht="17.25">
      <c r="A47" s="194" t="str">
        <f t="shared" ref="A47:C48" si="1">+A21</f>
        <v>Damodaran Implied ERP Ex Ante   Net Cash Yield (3)</v>
      </c>
      <c r="B47" s="207">
        <f t="shared" si="1"/>
        <v>4.4299999999999999E-2</v>
      </c>
      <c r="C47" s="203">
        <f t="shared" si="1"/>
        <v>0.9</v>
      </c>
      <c r="D47" s="195">
        <f>+B47*C47*0.75</f>
        <v>2.9902500000000002E-2</v>
      </c>
      <c r="E47" s="207">
        <f>+B47*0.25</f>
        <v>1.1075E-2</v>
      </c>
      <c r="F47" s="195">
        <f>+E21</f>
        <v>4.1099999999999998E-2</v>
      </c>
      <c r="G47" s="196">
        <f>+D47+E47+F47</f>
        <v>8.2077499999999998E-2</v>
      </c>
      <c r="H47" s="10"/>
      <c r="I47" s="10"/>
      <c r="J47" s="10"/>
    </row>
    <row r="48" spans="1:10" ht="17.25">
      <c r="A48" s="194" t="str">
        <f t="shared" si="1"/>
        <v>Damodaran Implied ERP Ex Ante   Norm. Earnings &amp; Payout (3)</v>
      </c>
      <c r="B48" s="207">
        <f t="shared" si="1"/>
        <v>4.2900000000000001E-2</v>
      </c>
      <c r="C48" s="203">
        <f t="shared" si="1"/>
        <v>0.9</v>
      </c>
      <c r="D48" s="195">
        <f>+B48*C48*0.75</f>
        <v>2.8957499999999997E-2</v>
      </c>
      <c r="E48" s="207">
        <f>+B48*0.25</f>
        <v>1.0725E-2</v>
      </c>
      <c r="F48" s="195">
        <f>+E22</f>
        <v>4.1099999999999998E-2</v>
      </c>
      <c r="G48" s="196">
        <f>+D48+E48+F48</f>
        <v>8.0782499999999993E-2</v>
      </c>
      <c r="H48" s="10"/>
      <c r="I48" s="10"/>
      <c r="J48" s="10"/>
    </row>
    <row r="49" spans="1:10" ht="17.25">
      <c r="A49" s="194" t="s">
        <v>0</v>
      </c>
      <c r="B49" s="207" t="s">
        <v>0</v>
      </c>
      <c r="C49" s="195" t="s">
        <v>0</v>
      </c>
      <c r="D49" s="195" t="s">
        <v>0</v>
      </c>
      <c r="E49" s="207" t="s">
        <v>0</v>
      </c>
      <c r="F49" s="195" t="s">
        <v>0</v>
      </c>
      <c r="G49" s="196" t="s">
        <v>0</v>
      </c>
      <c r="H49" s="10"/>
      <c r="I49" s="10"/>
      <c r="J49" s="10"/>
    </row>
    <row r="50" spans="1:10" ht="17.25">
      <c r="A50" s="194" t="s">
        <v>220</v>
      </c>
      <c r="B50" s="207">
        <f>+B24</f>
        <v>4.9399999999999999E-2</v>
      </c>
      <c r="C50" s="203">
        <f>+C24</f>
        <v>0.9</v>
      </c>
      <c r="D50" s="195">
        <f>+B50*C50*0.75</f>
        <v>3.3345E-2</v>
      </c>
      <c r="E50" s="207">
        <f>+B50*0.25</f>
        <v>1.235E-2</v>
      </c>
      <c r="F50" s="195">
        <f>+E24</f>
        <v>4.1099999999999998E-2</v>
      </c>
      <c r="G50" s="196">
        <f>+D50+E50+F50</f>
        <v>8.6794999999999997E-2</v>
      </c>
    </row>
    <row r="51" spans="1:10" ht="17.25">
      <c r="A51" s="194" t="s">
        <v>0</v>
      </c>
      <c r="B51" s="207" t="s">
        <v>0</v>
      </c>
      <c r="C51" s="195" t="s">
        <v>0</v>
      </c>
      <c r="D51" s="195" t="s">
        <v>0</v>
      </c>
      <c r="E51" s="207" t="s">
        <v>0</v>
      </c>
      <c r="F51" s="195" t="s">
        <v>0</v>
      </c>
      <c r="G51" s="196" t="s">
        <v>0</v>
      </c>
    </row>
    <row r="52" spans="1:10" ht="17.25">
      <c r="A52" s="194" t="s">
        <v>441</v>
      </c>
      <c r="B52" s="207">
        <f>+B26</f>
        <v>5.7000000000000002E-2</v>
      </c>
      <c r="C52" s="203">
        <f>+C26</f>
        <v>0.9</v>
      </c>
      <c r="D52" s="195">
        <f>+B52*C52*0.75</f>
        <v>3.8475000000000002E-2</v>
      </c>
      <c r="E52" s="207">
        <f>+B52*0.25</f>
        <v>1.4250000000000001E-2</v>
      </c>
      <c r="F52" s="195">
        <f>+E26</f>
        <v>4.1099999999999998E-2</v>
      </c>
      <c r="G52" s="196">
        <f>+D52+E52+F52</f>
        <v>9.3824999999999992E-2</v>
      </c>
    </row>
    <row r="53" spans="1:10" ht="17.25">
      <c r="A53" s="194" t="s">
        <v>0</v>
      </c>
      <c r="B53" s="207" t="s">
        <v>0</v>
      </c>
      <c r="C53" s="195" t="s">
        <v>0</v>
      </c>
      <c r="D53" s="195" t="s">
        <v>0</v>
      </c>
      <c r="E53" s="207" t="s">
        <v>0</v>
      </c>
      <c r="F53" s="195" t="s">
        <v>0</v>
      </c>
      <c r="G53" s="196" t="s">
        <v>0</v>
      </c>
    </row>
    <row r="54" spans="1:10" ht="17.25">
      <c r="A54" s="194" t="s">
        <v>221</v>
      </c>
      <c r="B54" s="207">
        <f>+B28</f>
        <v>6.4500000000000002E-2</v>
      </c>
      <c r="C54" s="203">
        <f>+C28</f>
        <v>0.9</v>
      </c>
      <c r="D54" s="195">
        <f>+B54*C54*0.75</f>
        <v>4.3537500000000007E-2</v>
      </c>
      <c r="E54" s="207">
        <f>+B54*0.25</f>
        <v>1.6125E-2</v>
      </c>
      <c r="F54" s="195">
        <f>+E28</f>
        <v>4.1099999999999998E-2</v>
      </c>
      <c r="G54" s="196">
        <f>+D54+E54+F54</f>
        <v>0.1007625</v>
      </c>
    </row>
    <row r="55" spans="1:10" ht="17.25">
      <c r="A55" s="194" t="s">
        <v>222</v>
      </c>
      <c r="B55" s="207">
        <f>+B29</f>
        <v>5.1900000000000002E-2</v>
      </c>
      <c r="C55" s="203">
        <f>+C29</f>
        <v>0.9</v>
      </c>
      <c r="D55" s="195">
        <f>+B55*C55*0.75</f>
        <v>3.5032500000000001E-2</v>
      </c>
      <c r="E55" s="207">
        <f>+B55*0.25</f>
        <v>1.2975E-2</v>
      </c>
      <c r="F55" s="195">
        <f>+E29</f>
        <v>4.1099999999999998E-2</v>
      </c>
      <c r="G55" s="196">
        <f>+D55+E55+F55</f>
        <v>8.9107500000000006E-2</v>
      </c>
    </row>
    <row r="56" spans="1:10" ht="17.25">
      <c r="A56" s="194"/>
      <c r="B56" s="207"/>
      <c r="C56" s="203"/>
      <c r="D56" s="195"/>
      <c r="E56" s="207"/>
      <c r="F56" s="195"/>
      <c r="G56" s="196"/>
    </row>
    <row r="57" spans="1:10" ht="17.25">
      <c r="A57" s="194" t="str">
        <f t="shared" ref="A57:C58" si="2">+A31</f>
        <v>KROLL Ex Post  - ERP Historical (8)</v>
      </c>
      <c r="B57" s="207">
        <f t="shared" si="2"/>
        <v>7.17E-2</v>
      </c>
      <c r="C57" s="203">
        <f t="shared" si="2"/>
        <v>0.9</v>
      </c>
      <c r="D57" s="195">
        <f>+B57*C57*0.75</f>
        <v>4.8397500000000003E-2</v>
      </c>
      <c r="E57" s="207">
        <f>+B57*0.25</f>
        <v>1.7925E-2</v>
      </c>
      <c r="F57" s="195">
        <f>+E31</f>
        <v>4.1099999999999998E-2</v>
      </c>
      <c r="G57" s="196">
        <f>+D57+E57+F57</f>
        <v>0.1074225</v>
      </c>
    </row>
    <row r="58" spans="1:10" ht="17.25">
      <c r="A58" s="194" t="str">
        <f t="shared" si="2"/>
        <v>KROLL Ex Post - ERP Supply Side (8)</v>
      </c>
      <c r="B58" s="207">
        <f t="shared" si="2"/>
        <v>6.2199999999999998E-2</v>
      </c>
      <c r="C58" s="203">
        <f t="shared" si="2"/>
        <v>0.9</v>
      </c>
      <c r="D58" s="195">
        <f>+B58*C58*0.75</f>
        <v>4.1985000000000001E-2</v>
      </c>
      <c r="E58" s="207">
        <f>+B58*0.25</f>
        <v>1.555E-2</v>
      </c>
      <c r="F58" s="195">
        <f>+E32</f>
        <v>4.1099999999999998E-2</v>
      </c>
      <c r="G58" s="196">
        <f>+D58+E58+F58</f>
        <v>9.8635E-2</v>
      </c>
    </row>
    <row r="59" spans="1:10" ht="17.25">
      <c r="A59" s="194" t="str">
        <f>+A33</f>
        <v>KROLL Ex Ante - ERP Conditional (8)</v>
      </c>
      <c r="B59" s="207">
        <f>+B33</f>
        <v>5.5E-2</v>
      </c>
      <c r="C59" s="203">
        <f>+C29</f>
        <v>0.9</v>
      </c>
      <c r="D59" s="195">
        <f>+B59*C59*0.75</f>
        <v>3.7125000000000005E-2</v>
      </c>
      <c r="E59" s="207">
        <f>+B59*0.25</f>
        <v>1.375E-2</v>
      </c>
      <c r="F59" s="195">
        <f>+E33</f>
        <v>4.1099999999999998E-2</v>
      </c>
      <c r="G59" s="196">
        <f>+D59+E59+F59</f>
        <v>9.1975000000000001E-2</v>
      </c>
    </row>
    <row r="60" spans="1:10" ht="17.25">
      <c r="A60" s="194"/>
      <c r="B60" s="207"/>
      <c r="C60" s="203"/>
      <c r="D60" s="195"/>
      <c r="E60" s="207"/>
      <c r="F60" s="195"/>
      <c r="G60" s="196"/>
    </row>
    <row r="61" spans="1:10" ht="17.25">
      <c r="A61" s="432" t="s">
        <v>416</v>
      </c>
      <c r="B61" s="433">
        <f>+B35</f>
        <v>0</v>
      </c>
      <c r="C61" s="203">
        <f>+C33</f>
        <v>0.9</v>
      </c>
      <c r="D61" s="195">
        <f>+B61*C61*0.75</f>
        <v>0</v>
      </c>
      <c r="E61" s="207">
        <f>+B61*0.25</f>
        <v>0</v>
      </c>
      <c r="F61" s="195">
        <f>+E35</f>
        <v>0</v>
      </c>
      <c r="G61" s="196">
        <f>+D61+E61+F61</f>
        <v>0</v>
      </c>
    </row>
    <row r="62" spans="1:10" ht="15.75" thickBot="1">
      <c r="A62" s="288"/>
      <c r="B62" s="146"/>
      <c r="C62" s="146"/>
      <c r="D62" s="146"/>
      <c r="E62" s="146"/>
      <c r="F62" s="146"/>
      <c r="G62" s="289"/>
    </row>
    <row r="64" spans="1:10" ht="17.25">
      <c r="A64" s="60" t="s">
        <v>71</v>
      </c>
      <c r="E64" s="206" t="s">
        <v>0</v>
      </c>
    </row>
    <row r="65" spans="1:7">
      <c r="A65" s="156" t="s">
        <v>0</v>
      </c>
      <c r="E65" s="206" t="s">
        <v>0</v>
      </c>
    </row>
    <row r="66" spans="1:7" ht="16.5">
      <c r="A66" s="41" t="s">
        <v>417</v>
      </c>
      <c r="B66" s="10"/>
      <c r="C66" s="10"/>
      <c r="D66" s="10"/>
      <c r="E66" s="10"/>
      <c r="F66" s="10"/>
      <c r="G66" s="10"/>
    </row>
    <row r="67" spans="1:7" ht="16.5">
      <c r="A67" s="41" t="s">
        <v>0</v>
      </c>
      <c r="B67" s="10"/>
      <c r="C67" s="10"/>
      <c r="D67" s="10"/>
      <c r="E67" s="10"/>
      <c r="F67" s="10"/>
      <c r="G67" s="10"/>
    </row>
    <row r="68" spans="1:7" ht="16.5">
      <c r="A68" s="41" t="s">
        <v>480</v>
      </c>
      <c r="B68" s="10"/>
      <c r="C68" s="10"/>
      <c r="D68" s="10"/>
      <c r="E68" s="10"/>
      <c r="F68" s="10"/>
      <c r="G68" s="10"/>
    </row>
    <row r="69" spans="1:7" ht="16.5">
      <c r="A69" s="426" t="s">
        <v>418</v>
      </c>
      <c r="C69" s="10"/>
      <c r="D69" s="10"/>
      <c r="E69" s="10"/>
      <c r="F69" s="10"/>
      <c r="G69" s="10"/>
    </row>
    <row r="70" spans="1:7" ht="16.5">
      <c r="A70" s="41" t="s">
        <v>0</v>
      </c>
      <c r="B70" s="10"/>
      <c r="C70" s="10"/>
      <c r="D70" s="10"/>
      <c r="E70" s="10"/>
      <c r="F70" s="10"/>
      <c r="G70" s="10"/>
    </row>
    <row r="71" spans="1:7" ht="16.5">
      <c r="A71" s="41" t="s">
        <v>481</v>
      </c>
      <c r="B71" s="10"/>
      <c r="C71" s="10"/>
      <c r="D71" s="10"/>
      <c r="E71" s="10"/>
      <c r="F71" s="10"/>
      <c r="G71" s="10"/>
    </row>
    <row r="72" spans="1:7" ht="16.5">
      <c r="A72" s="426" t="s">
        <v>419</v>
      </c>
      <c r="B72" s="10"/>
      <c r="C72" s="10"/>
      <c r="D72" s="10"/>
      <c r="E72" s="10"/>
      <c r="F72" s="10"/>
      <c r="G72" s="10"/>
    </row>
    <row r="73" spans="1:7" ht="16.5">
      <c r="A73" s="41"/>
      <c r="B73" s="10"/>
      <c r="C73" s="10"/>
      <c r="D73" s="10"/>
      <c r="E73" s="10"/>
      <c r="F73" s="10"/>
      <c r="G73" s="10"/>
    </row>
    <row r="74" spans="1:7" ht="16.5">
      <c r="A74" s="41" t="s">
        <v>482</v>
      </c>
      <c r="B74" s="10"/>
      <c r="C74" s="10"/>
      <c r="D74" s="10"/>
      <c r="E74" s="10"/>
      <c r="F74" s="10"/>
      <c r="G74" s="10"/>
    </row>
    <row r="75" spans="1:7" ht="16.5">
      <c r="A75" s="426" t="s">
        <v>483</v>
      </c>
      <c r="B75" s="10"/>
      <c r="C75" s="10"/>
      <c r="D75" s="10"/>
      <c r="E75" s="10"/>
      <c r="F75" s="10"/>
      <c r="G75" s="10"/>
    </row>
    <row r="76" spans="1:7" ht="16.5">
      <c r="A76" s="41"/>
      <c r="B76" s="10"/>
      <c r="C76" s="10"/>
      <c r="D76" s="10"/>
      <c r="E76" s="10"/>
      <c r="F76" s="10"/>
      <c r="G76" s="10"/>
    </row>
    <row r="77" spans="1:7" ht="16.5">
      <c r="A77" s="41" t="s">
        <v>484</v>
      </c>
      <c r="B77" s="10"/>
      <c r="C77" s="10"/>
      <c r="D77" s="10"/>
      <c r="E77" s="10"/>
      <c r="F77" s="10"/>
      <c r="G77" s="10"/>
    </row>
    <row r="78" spans="1:7" ht="16.5">
      <c r="A78" s="426" t="s">
        <v>420</v>
      </c>
      <c r="B78" s="10"/>
      <c r="C78" s="10"/>
      <c r="D78" s="10"/>
      <c r="E78" s="10"/>
      <c r="F78" s="10"/>
      <c r="G78" s="10"/>
    </row>
    <row r="79" spans="1:7" ht="16.5">
      <c r="A79" s="41"/>
    </row>
    <row r="80" spans="1:7" ht="16.5">
      <c r="A80" s="41" t="s">
        <v>485</v>
      </c>
    </row>
    <row r="81" spans="1:7" ht="16.5">
      <c r="A81" s="41" t="s">
        <v>0</v>
      </c>
    </row>
    <row r="82" spans="1:7" ht="16.5">
      <c r="A82" s="41" t="s">
        <v>486</v>
      </c>
    </row>
    <row r="83" spans="1:7" ht="16.5">
      <c r="A83" s="426" t="s">
        <v>421</v>
      </c>
    </row>
    <row r="84" spans="1:7" ht="21" thickBot="1">
      <c r="A84" s="147"/>
      <c r="B84" s="147"/>
      <c r="C84" s="147"/>
      <c r="D84" s="26"/>
      <c r="E84" s="34"/>
      <c r="F84" s="26"/>
      <c r="G84" s="146"/>
    </row>
  </sheetData>
  <hyperlinks>
    <hyperlink ref="A83" r:id="rId1" xr:uid="{A1F5A430-3AA1-4F8D-A176-748BD232BCA4}"/>
    <hyperlink ref="A78" r:id="rId2" xr:uid="{EACBF119-3060-4E33-9DF1-24F175B4DEC1}"/>
    <hyperlink ref="A69" r:id="rId3" xr:uid="{DAB3E680-57D7-42F9-9CF0-6C9014D058FE}"/>
    <hyperlink ref="A72" r:id="rId4" xr:uid="{51784C77-F8C7-4D21-8716-B36D8A804801}"/>
    <hyperlink ref="A75" r:id="rId5" xr:uid="{08E19D42-7370-4531-8DFC-FA3B1BBC7874}"/>
  </hyperlinks>
  <pageMargins left="0.25" right="0.25" top="0.75" bottom="0.75" header="0.3" footer="0.3"/>
  <pageSetup scale="40" orientation="portrait"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EEAA8-BBA3-479C-8851-708BD7E9A4CD}">
  <sheetPr codeName="Sheet17">
    <tabColor rgb="FF92D050"/>
  </sheetPr>
  <dimension ref="A1:K41"/>
  <sheetViews>
    <sheetView view="pageBreakPreview" zoomScale="70" zoomScaleNormal="80" zoomScaleSheetLayoutView="70" workbookViewId="0">
      <selection activeCell="I29" sqref="I29"/>
    </sheetView>
  </sheetViews>
  <sheetFormatPr defaultRowHeight="15"/>
  <cols>
    <col min="1" max="1" width="45.140625" customWidth="1"/>
    <col min="2" max="2" width="10.85546875" bestFit="1" customWidth="1"/>
    <col min="3" max="3" width="19.140625" bestFit="1" customWidth="1"/>
    <col min="4" max="4" width="15.28515625" customWidth="1"/>
    <col min="5" max="5" width="27.140625" customWidth="1"/>
    <col min="6" max="6" width="22" customWidth="1"/>
    <col min="7" max="7" width="29.28515625" customWidth="1"/>
    <col min="8" max="8" width="37" customWidth="1"/>
    <col min="9" max="9" width="24.5703125" customWidth="1"/>
    <col min="10" max="10" width="24.140625" customWidth="1"/>
    <col min="12" max="12" width="10.5703125" customWidth="1"/>
  </cols>
  <sheetData>
    <row r="1" spans="1:11" ht="26.25">
      <c r="A1" s="21" t="s">
        <v>1</v>
      </c>
      <c r="B1" s="10"/>
      <c r="C1" s="10"/>
      <c r="D1" s="10"/>
      <c r="E1" s="10"/>
      <c r="F1" s="10"/>
      <c r="G1" s="10"/>
      <c r="H1" s="10"/>
      <c r="I1" s="10"/>
      <c r="J1" s="10"/>
      <c r="K1" s="10"/>
    </row>
    <row r="2" spans="1:11" ht="17.25">
      <c r="A2" s="22" t="s">
        <v>9</v>
      </c>
      <c r="B2" s="10"/>
      <c r="C2" s="10"/>
      <c r="D2" s="10"/>
      <c r="E2" s="10"/>
      <c r="F2" s="10"/>
      <c r="G2" s="10"/>
      <c r="H2" s="10"/>
      <c r="I2" s="10"/>
      <c r="J2" s="10"/>
      <c r="K2" s="10"/>
    </row>
    <row r="3" spans="1:11" ht="16.5">
      <c r="A3" s="23" t="s">
        <v>451</v>
      </c>
      <c r="B3" s="10"/>
      <c r="C3" s="10"/>
      <c r="D3" s="10"/>
      <c r="E3" s="10"/>
      <c r="F3" s="10"/>
      <c r="G3" s="10"/>
      <c r="H3" s="10"/>
      <c r="I3" s="10"/>
      <c r="J3" s="10"/>
      <c r="K3" s="10"/>
    </row>
    <row r="4" spans="1:11" ht="16.5">
      <c r="A4" s="23"/>
      <c r="B4" s="10"/>
      <c r="C4" s="10"/>
      <c r="D4" s="10"/>
      <c r="E4" s="10"/>
      <c r="F4" s="10"/>
      <c r="G4" s="10"/>
      <c r="H4" s="10"/>
      <c r="I4" s="10"/>
      <c r="J4" s="10"/>
      <c r="K4" s="10"/>
    </row>
    <row r="5" spans="1:11" ht="17.25" thickBot="1">
      <c r="A5" s="10"/>
      <c r="B5" s="10"/>
      <c r="C5" s="10"/>
      <c r="D5" s="10"/>
      <c r="E5" s="10"/>
      <c r="F5" s="10" t="s">
        <v>0</v>
      </c>
      <c r="G5" s="10"/>
      <c r="H5" s="24"/>
      <c r="I5" s="10"/>
      <c r="J5" s="10"/>
      <c r="K5" s="10"/>
    </row>
    <row r="6" spans="1:11" ht="18" thickBot="1">
      <c r="A6" s="261" t="str">
        <f>+'S&amp;D'!A12</f>
        <v>Air Freight Carriers</v>
      </c>
      <c r="B6" s="193"/>
      <c r="C6" s="10"/>
      <c r="D6" s="26"/>
      <c r="E6" s="26"/>
      <c r="F6" s="26"/>
      <c r="G6" s="27" t="s">
        <v>0</v>
      </c>
      <c r="H6" s="26"/>
      <c r="I6" s="10"/>
      <c r="J6" s="10"/>
      <c r="K6" s="10"/>
    </row>
    <row r="7" spans="1:11" ht="26.25">
      <c r="A7" s="28"/>
      <c r="B7" s="10"/>
      <c r="C7" s="10"/>
      <c r="D7" s="10"/>
      <c r="E7" s="10"/>
      <c r="F7" s="29" t="s">
        <v>405</v>
      </c>
      <c r="G7" s="10"/>
      <c r="H7" s="10"/>
      <c r="I7" s="10"/>
      <c r="J7" s="10"/>
      <c r="K7" s="10"/>
    </row>
    <row r="8" spans="1:11" ht="21" thickBot="1">
      <c r="A8" s="28"/>
      <c r="B8" s="10"/>
      <c r="C8" s="10"/>
      <c r="D8" s="26"/>
      <c r="E8" s="26"/>
      <c r="F8" s="30" t="s">
        <v>452</v>
      </c>
      <c r="G8" s="26"/>
      <c r="H8" s="26"/>
      <c r="I8" s="10"/>
      <c r="J8" s="10"/>
      <c r="K8" s="10"/>
    </row>
    <row r="9" spans="1:11" ht="17.25" thickBot="1">
      <c r="A9" s="31" t="s">
        <v>0</v>
      </c>
      <c r="B9" s="31" t="s">
        <v>0</v>
      </c>
      <c r="C9" s="31" t="s">
        <v>0</v>
      </c>
      <c r="D9" s="26"/>
      <c r="E9" s="31"/>
      <c r="F9" s="31" t="s">
        <v>0</v>
      </c>
      <c r="G9" s="31"/>
      <c r="H9" s="26"/>
      <c r="I9" s="26"/>
      <c r="J9" s="26"/>
      <c r="K9" s="10"/>
    </row>
    <row r="10" spans="1:11" ht="16.5">
      <c r="A10" s="32" t="s">
        <v>0</v>
      </c>
      <c r="B10" s="32" t="s">
        <v>3</v>
      </c>
      <c r="C10" s="32" t="s">
        <v>5</v>
      </c>
      <c r="D10" s="32" t="s">
        <v>166</v>
      </c>
      <c r="E10" s="32" t="s">
        <v>12</v>
      </c>
      <c r="F10" s="32" t="s">
        <v>177</v>
      </c>
      <c r="G10" s="32" t="s">
        <v>178</v>
      </c>
      <c r="H10" s="32" t="s">
        <v>178</v>
      </c>
      <c r="I10" s="32" t="s">
        <v>174</v>
      </c>
      <c r="J10" s="32" t="s">
        <v>174</v>
      </c>
      <c r="K10" s="10"/>
    </row>
    <row r="11" spans="1:11" ht="16.5">
      <c r="A11" s="32" t="s">
        <v>2</v>
      </c>
      <c r="B11" s="32" t="s">
        <v>4</v>
      </c>
      <c r="C11" s="32" t="s">
        <v>6</v>
      </c>
      <c r="D11" s="32" t="s">
        <v>206</v>
      </c>
      <c r="E11" s="32" t="s">
        <v>14</v>
      </c>
      <c r="F11" s="32" t="s">
        <v>402</v>
      </c>
      <c r="G11" s="32" t="s">
        <v>207</v>
      </c>
      <c r="H11" s="32" t="s">
        <v>208</v>
      </c>
      <c r="I11" s="32" t="s">
        <v>169</v>
      </c>
      <c r="J11" s="32" t="s">
        <v>172</v>
      </c>
      <c r="K11" s="10"/>
    </row>
    <row r="12" spans="1:11" ht="16.5">
      <c r="A12" s="32"/>
      <c r="B12" s="32"/>
      <c r="C12" s="32"/>
      <c r="D12" s="32"/>
      <c r="E12" s="32"/>
      <c r="F12" s="33" t="s">
        <v>0</v>
      </c>
      <c r="G12" s="33" t="s">
        <v>497</v>
      </c>
      <c r="H12" s="33" t="s">
        <v>497</v>
      </c>
      <c r="I12" s="32"/>
      <c r="J12" s="32"/>
      <c r="K12" s="10"/>
    </row>
    <row r="13" spans="1:11" ht="17.25" thickBot="1">
      <c r="A13" s="34" t="s">
        <v>24</v>
      </c>
      <c r="B13" s="35" t="s">
        <v>88</v>
      </c>
      <c r="C13" s="35" t="s">
        <v>89</v>
      </c>
      <c r="D13" s="35" t="s">
        <v>90</v>
      </c>
      <c r="E13" s="35" t="s">
        <v>91</v>
      </c>
      <c r="F13" s="35" t="s">
        <v>92</v>
      </c>
      <c r="G13" s="35" t="s">
        <v>93</v>
      </c>
      <c r="H13" s="35" t="s">
        <v>94</v>
      </c>
      <c r="I13" s="35" t="s">
        <v>175</v>
      </c>
      <c r="J13" s="35" t="s">
        <v>176</v>
      </c>
      <c r="K13" s="10"/>
    </row>
    <row r="14" spans="1:11" ht="16.5">
      <c r="A14" s="36" t="s">
        <v>7</v>
      </c>
      <c r="B14" s="36" t="s">
        <v>7</v>
      </c>
      <c r="C14" s="36" t="s">
        <v>7</v>
      </c>
      <c r="D14" s="37" t="s">
        <v>112</v>
      </c>
      <c r="E14" s="37"/>
      <c r="F14" s="36" t="s">
        <v>0</v>
      </c>
      <c r="G14" s="36" t="s">
        <v>7</v>
      </c>
      <c r="H14" s="36" t="s">
        <v>7</v>
      </c>
      <c r="I14" s="36" t="s">
        <v>15</v>
      </c>
      <c r="J14" s="36" t="s">
        <v>15</v>
      </c>
      <c r="K14" s="10"/>
    </row>
    <row r="15" spans="1:11" ht="16.5">
      <c r="A15" s="32"/>
      <c r="B15" s="32"/>
      <c r="C15" s="32"/>
      <c r="D15" s="32"/>
      <c r="E15" s="32"/>
      <c r="F15" s="32"/>
      <c r="G15" s="32"/>
      <c r="H15" s="10"/>
      <c r="I15" s="10"/>
      <c r="J15" s="10"/>
      <c r="K15" s="10"/>
    </row>
    <row r="16" spans="1:11" ht="16.5">
      <c r="A16" s="10"/>
      <c r="B16" s="10"/>
      <c r="C16" s="10"/>
      <c r="D16" s="10"/>
      <c r="E16" s="10"/>
      <c r="F16" s="10"/>
      <c r="G16" s="10"/>
      <c r="H16" s="10"/>
      <c r="I16" s="10"/>
      <c r="J16" s="10"/>
      <c r="K16" s="10"/>
    </row>
    <row r="17" spans="1:11" ht="17.25">
      <c r="A17" s="60" t="str">
        <f>+'S&amp;D'!A22</f>
        <v>Air Transport Services Group</v>
      </c>
      <c r="B17" s="86" t="str">
        <f>+'S&amp;D'!B22</f>
        <v>ATSG</v>
      </c>
      <c r="C17" s="86" t="str">
        <f>+'S&amp;D'!C22</f>
        <v>Air Trans</v>
      </c>
      <c r="D17" s="57">
        <f>+'S&amp;D'!G22</f>
        <v>17.61</v>
      </c>
      <c r="E17" s="58">
        <f>+'S&amp;D'!D34</f>
        <v>1148893323.21</v>
      </c>
      <c r="F17" s="370" t="str">
        <f>+'Dividends '!H16</f>
        <v>na</v>
      </c>
      <c r="G17" s="370" t="s">
        <v>498</v>
      </c>
      <c r="H17" s="51">
        <v>3.5000000000000003E-2</v>
      </c>
      <c r="I17" s="370" t="s">
        <v>401</v>
      </c>
      <c r="J17" s="52">
        <f>+H17</f>
        <v>3.5000000000000003E-2</v>
      </c>
      <c r="K17" s="10"/>
    </row>
    <row r="18" spans="1:11" ht="17.25">
      <c r="A18" s="60" t="str">
        <f>+'S&amp;D'!A23</f>
        <v xml:space="preserve">FedEx Corp </v>
      </c>
      <c r="B18" s="86" t="str">
        <f>+'S&amp;D'!B23</f>
        <v>FDX</v>
      </c>
      <c r="C18" s="86" t="str">
        <f>+'S&amp;D'!C23</f>
        <v>Air Trans</v>
      </c>
      <c r="D18" s="57">
        <f>+'S&amp;D'!G23</f>
        <v>252.97</v>
      </c>
      <c r="E18" s="58">
        <f>+'S&amp;D'!D35</f>
        <v>63215317867.559998</v>
      </c>
      <c r="F18" s="51">
        <f>+'Dividends '!H17</f>
        <v>2.1544056607502866E-2</v>
      </c>
      <c r="G18" s="51">
        <v>0.14000000000000001</v>
      </c>
      <c r="H18" s="51">
        <v>7.0000000000000007E-2</v>
      </c>
      <c r="I18" s="308">
        <f t="shared" ref="I18:I19" si="0">+F18+G18</f>
        <v>0.16154405660750287</v>
      </c>
      <c r="J18" s="308">
        <f t="shared" ref="J18:J19" si="1">+F18+H18</f>
        <v>9.1544056607502866E-2</v>
      </c>
      <c r="K18" s="10"/>
    </row>
    <row r="19" spans="1:11" ht="18" thickBot="1">
      <c r="A19" s="60" t="str">
        <f>+'S&amp;D'!A24</f>
        <v xml:space="preserve">United Parcel Service </v>
      </c>
      <c r="B19" s="86" t="str">
        <f>+'S&amp;D'!B24</f>
        <v>UPS</v>
      </c>
      <c r="C19" s="86" t="str">
        <f>+'S&amp;D'!C24</f>
        <v>Air Trans</v>
      </c>
      <c r="D19" s="57">
        <f>+'S&amp;D'!G24</f>
        <v>157.22999999999999</v>
      </c>
      <c r="E19" s="58">
        <f>+'S&amp;D'!D36</f>
        <v>134114045399.99998</v>
      </c>
      <c r="F19" s="325">
        <f>+'Dividends '!H18</f>
        <v>4.350314825414997E-2</v>
      </c>
      <c r="G19" s="325">
        <v>0.08</v>
      </c>
      <c r="H19" s="325">
        <v>2.5000000000000001E-2</v>
      </c>
      <c r="I19" s="326">
        <f t="shared" si="0"/>
        <v>0.12350314825414997</v>
      </c>
      <c r="J19" s="326">
        <f t="shared" si="1"/>
        <v>6.8503148254149965E-2</v>
      </c>
      <c r="K19" s="10"/>
    </row>
    <row r="20" spans="1:11" ht="17.25" thickTop="1">
      <c r="A20" s="10"/>
      <c r="B20" s="10"/>
      <c r="C20" s="12" t="s">
        <v>0</v>
      </c>
      <c r="D20" s="13" t="s">
        <v>0</v>
      </c>
      <c r="E20" s="13" t="s">
        <v>45</v>
      </c>
      <c r="F20" s="471">
        <f>MAX(F17:F19)</f>
        <v>4.350314825414997E-2</v>
      </c>
      <c r="G20" s="351">
        <f t="shared" ref="G20:J20" si="2">MAX(G17:G19)</f>
        <v>0.14000000000000001</v>
      </c>
      <c r="H20" s="351">
        <f t="shared" si="2"/>
        <v>7.0000000000000007E-2</v>
      </c>
      <c r="I20" s="351">
        <f t="shared" si="2"/>
        <v>0.16154405660750287</v>
      </c>
      <c r="J20" s="351">
        <f t="shared" si="2"/>
        <v>9.1544056607502866E-2</v>
      </c>
      <c r="K20" s="10"/>
    </row>
    <row r="21" spans="1:11" ht="16.5">
      <c r="A21" s="10"/>
      <c r="B21" s="10"/>
      <c r="C21" s="12"/>
      <c r="D21" s="13"/>
      <c r="E21" s="13" t="s">
        <v>46</v>
      </c>
      <c r="F21" s="472">
        <f>MIN(F17:F19)</f>
        <v>2.1544056607502866E-2</v>
      </c>
      <c r="G21" s="352">
        <f t="shared" ref="G21:J21" si="3">MIN(G17:G19)</f>
        <v>0.08</v>
      </c>
      <c r="H21" s="352">
        <f t="shared" si="3"/>
        <v>2.5000000000000001E-2</v>
      </c>
      <c r="I21" s="352">
        <f t="shared" si="3"/>
        <v>0.12350314825414997</v>
      </c>
      <c r="J21" s="352">
        <f t="shared" si="3"/>
        <v>3.5000000000000003E-2</v>
      </c>
      <c r="K21" s="10"/>
    </row>
    <row r="22" spans="1:11" ht="16.5">
      <c r="A22" s="10"/>
      <c r="B22" s="10"/>
      <c r="D22" s="15" t="s">
        <v>0</v>
      </c>
      <c r="E22" s="12" t="s">
        <v>18</v>
      </c>
      <c r="F22" s="52">
        <f>MEDIAN(F17:F19)</f>
        <v>3.2523602430826415E-2</v>
      </c>
      <c r="G22" s="303">
        <f>MEDIAN(G17:G19)</f>
        <v>0.11000000000000001</v>
      </c>
      <c r="H22" s="303">
        <f>MEDIAN(H17:H19)</f>
        <v>3.5000000000000003E-2</v>
      </c>
      <c r="I22" s="304">
        <f>MEDIAN(I17:I19)</f>
        <v>0.14252360243082643</v>
      </c>
      <c r="J22" s="304">
        <f>MEDIAN(J17:J19)</f>
        <v>6.8503148254149965E-2</v>
      </c>
      <c r="K22" s="10"/>
    </row>
    <row r="23" spans="1:11" ht="16.5">
      <c r="A23" s="10"/>
      <c r="B23" s="10"/>
      <c r="D23" s="19" t="s">
        <v>0</v>
      </c>
      <c r="E23" s="12" t="s">
        <v>412</v>
      </c>
      <c r="F23" s="52">
        <f>AVERAGE(F17:F19)</f>
        <v>3.2523602430826415E-2</v>
      </c>
      <c r="G23" s="52">
        <f>AVERAGE(G17:G19)</f>
        <v>0.11000000000000001</v>
      </c>
      <c r="H23" s="303">
        <f>AVERAGE(H17:H19)</f>
        <v>4.3333333333333335E-2</v>
      </c>
      <c r="I23" s="304">
        <f>AVERAGE(I17:I19)</f>
        <v>0.14252360243082643</v>
      </c>
      <c r="J23" s="304">
        <f>AVERAGE(J17:J19)</f>
        <v>6.5015734953884283E-2</v>
      </c>
      <c r="K23" s="10"/>
    </row>
    <row r="24" spans="1:11" ht="16.5">
      <c r="A24" s="10"/>
      <c r="B24" s="10"/>
      <c r="D24" s="19"/>
      <c r="E24" s="12"/>
      <c r="F24" s="16"/>
      <c r="G24" s="16"/>
      <c r="H24" s="17"/>
      <c r="I24" s="18"/>
      <c r="J24" s="18"/>
      <c r="K24" s="10"/>
    </row>
    <row r="25" spans="1:11" ht="17.25" thickBot="1">
      <c r="A25" s="10"/>
      <c r="B25" s="10"/>
      <c r="C25" s="10"/>
      <c r="D25" s="10"/>
      <c r="E25" s="10"/>
      <c r="F25" s="10"/>
      <c r="G25" s="10"/>
      <c r="H25" s="10"/>
      <c r="I25" s="10"/>
      <c r="J25" s="10"/>
      <c r="K25" s="10"/>
    </row>
    <row r="26" spans="1:11" ht="27" thickBot="1">
      <c r="A26" s="10"/>
      <c r="B26" s="10"/>
      <c r="C26" s="10"/>
      <c r="D26" s="10"/>
      <c r="E26" s="10"/>
      <c r="F26" s="10"/>
      <c r="G26" s="190" t="s">
        <v>180</v>
      </c>
      <c r="H26" s="192"/>
      <c r="I26" s="401">
        <v>0.14249999999999999</v>
      </c>
      <c r="J26" s="10"/>
      <c r="K26" s="10"/>
    </row>
    <row r="27" spans="1:11" ht="20.25" customHeight="1" thickBot="1">
      <c r="A27" s="10"/>
      <c r="B27" s="10"/>
      <c r="C27" s="10"/>
      <c r="D27" s="10"/>
      <c r="E27" s="10"/>
      <c r="F27" s="10"/>
      <c r="G27" s="10"/>
      <c r="H27" s="10"/>
      <c r="I27" s="10"/>
      <c r="J27" s="10"/>
      <c r="K27" s="10"/>
    </row>
    <row r="28" spans="1:11" ht="27" thickBot="1">
      <c r="A28" s="10"/>
      <c r="B28" s="10"/>
      <c r="C28" s="10"/>
      <c r="D28" s="10"/>
      <c r="E28" s="10"/>
      <c r="F28" s="10"/>
      <c r="G28" s="190" t="s">
        <v>179</v>
      </c>
      <c r="H28" s="193"/>
      <c r="I28" s="401">
        <v>6.5000000000000002E-2</v>
      </c>
      <c r="J28" s="10"/>
      <c r="K28" s="10"/>
    </row>
    <row r="29" spans="1:11" ht="16.5">
      <c r="A29" s="10"/>
      <c r="B29" s="10"/>
      <c r="C29" s="10"/>
      <c r="D29" s="10"/>
      <c r="E29" s="10"/>
      <c r="F29" s="10"/>
      <c r="G29" s="10"/>
      <c r="H29" s="10"/>
      <c r="I29" s="10"/>
      <c r="J29" s="10"/>
    </row>
    <row r="30" spans="1:11" ht="26.25">
      <c r="A30" s="21" t="s">
        <v>365</v>
      </c>
      <c r="B30" s="10"/>
      <c r="C30" s="21" t="s">
        <v>364</v>
      </c>
      <c r="D30" s="10"/>
      <c r="E30" s="10"/>
      <c r="F30" s="10"/>
      <c r="G30" s="10"/>
      <c r="H30" s="10"/>
      <c r="I30" s="10"/>
      <c r="J30" s="10"/>
    </row>
    <row r="31" spans="1:11" ht="17.25">
      <c r="A31" s="60" t="s">
        <v>368</v>
      </c>
      <c r="B31" s="10"/>
      <c r="C31" s="60" t="s">
        <v>368</v>
      </c>
      <c r="D31" s="10"/>
      <c r="E31" s="10"/>
      <c r="F31" s="10"/>
      <c r="G31" s="10"/>
      <c r="H31" s="10"/>
      <c r="I31" s="10"/>
      <c r="J31" s="10"/>
    </row>
    <row r="32" spans="1:11" ht="17.25">
      <c r="A32" s="60" t="s">
        <v>367</v>
      </c>
      <c r="B32" s="10"/>
      <c r="C32" s="60" t="s">
        <v>366</v>
      </c>
      <c r="D32" s="10"/>
      <c r="E32" s="10"/>
      <c r="F32" s="10"/>
      <c r="G32" s="10"/>
      <c r="H32" s="10"/>
      <c r="I32" s="10"/>
      <c r="J32" s="10"/>
    </row>
    <row r="33" spans="1:10" ht="16.5">
      <c r="A33" s="41"/>
      <c r="B33" s="10"/>
      <c r="C33" s="41"/>
      <c r="D33" s="10"/>
      <c r="E33" s="10"/>
      <c r="F33" s="10"/>
      <c r="G33" s="10"/>
      <c r="H33" s="10"/>
      <c r="I33" s="10"/>
      <c r="J33" s="10"/>
    </row>
    <row r="34" spans="1:10" ht="16.5">
      <c r="A34" s="41"/>
      <c r="B34" s="10"/>
      <c r="C34" s="41"/>
      <c r="D34" s="10"/>
      <c r="E34" s="10"/>
      <c r="F34" s="10"/>
      <c r="G34" s="10"/>
      <c r="H34" s="10"/>
      <c r="I34" s="10"/>
      <c r="J34" s="10"/>
    </row>
    <row r="35" spans="1:10" ht="26.25">
      <c r="A35" s="21" t="s">
        <v>203</v>
      </c>
      <c r="B35" s="10"/>
      <c r="C35" s="21" t="s">
        <v>203</v>
      </c>
      <c r="D35" s="10"/>
      <c r="E35" s="10"/>
      <c r="F35" s="10"/>
      <c r="G35" s="10"/>
      <c r="H35" s="10"/>
      <c r="I35" s="10"/>
      <c r="J35" s="10"/>
    </row>
    <row r="36" spans="1:10" ht="16.5">
      <c r="A36" s="41"/>
      <c r="B36" s="10"/>
      <c r="C36" s="41"/>
      <c r="D36" s="10"/>
      <c r="E36" s="10"/>
      <c r="F36" s="10"/>
      <c r="G36" s="10"/>
      <c r="H36" s="10"/>
      <c r="I36" s="10"/>
      <c r="J36" s="10"/>
    </row>
    <row r="37" spans="1:10" ht="17.25">
      <c r="A37" s="60" t="s">
        <v>204</v>
      </c>
      <c r="B37" s="10"/>
      <c r="C37" s="60" t="s">
        <v>204</v>
      </c>
      <c r="D37" s="10"/>
      <c r="E37" s="10"/>
      <c r="F37" s="10"/>
      <c r="G37" s="10"/>
      <c r="H37" s="10"/>
      <c r="I37" s="10"/>
      <c r="J37" s="10"/>
    </row>
    <row r="38" spans="1:10" ht="17.25">
      <c r="A38" s="60" t="s">
        <v>202</v>
      </c>
      <c r="B38" s="10"/>
      <c r="C38" s="60" t="s">
        <v>202</v>
      </c>
      <c r="D38" s="10"/>
      <c r="E38" s="10"/>
      <c r="F38" s="10"/>
      <c r="G38" s="10"/>
      <c r="H38" s="10"/>
      <c r="I38" s="10"/>
      <c r="J38" s="10"/>
    </row>
    <row r="39" spans="1:10" ht="17.25">
      <c r="A39" s="60" t="s">
        <v>205</v>
      </c>
      <c r="B39" s="10"/>
      <c r="C39" s="60" t="s">
        <v>205</v>
      </c>
      <c r="D39" s="10"/>
      <c r="E39" s="10"/>
      <c r="F39" s="10"/>
      <c r="G39" s="10"/>
      <c r="H39" s="10"/>
      <c r="I39" s="10"/>
      <c r="J39" s="10"/>
    </row>
    <row r="40" spans="1:10" ht="17.25">
      <c r="A40" s="60" t="s">
        <v>370</v>
      </c>
      <c r="B40" s="10"/>
      <c r="C40" s="60" t="s">
        <v>369</v>
      </c>
      <c r="D40" s="10"/>
      <c r="E40" s="10"/>
      <c r="F40" s="10"/>
      <c r="G40" s="10"/>
      <c r="H40" s="10"/>
      <c r="I40" s="10"/>
      <c r="J40" s="10"/>
    </row>
    <row r="41" spans="1:10" ht="17.25">
      <c r="A41" s="60"/>
      <c r="B41" s="10"/>
      <c r="C41" s="60"/>
      <c r="D41" s="10"/>
      <c r="E41" s="10"/>
      <c r="F41" s="10"/>
      <c r="G41" s="10"/>
      <c r="H41" s="10"/>
      <c r="I41" s="10"/>
      <c r="J41" s="10"/>
    </row>
  </sheetData>
  <pageMargins left="0.25" right="0.25" top="0.75" bottom="0.75" header="0.3" footer="0.3"/>
  <pageSetup scale="5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150D5-3409-4DE1-88B0-B66A1BCAC2E5}">
  <sheetPr codeName="Sheet18">
    <tabColor rgb="FF92D050"/>
  </sheetPr>
  <dimension ref="A1:K103"/>
  <sheetViews>
    <sheetView view="pageBreakPreview" topLeftCell="A5" zoomScale="70" zoomScaleNormal="80" zoomScaleSheetLayoutView="70" workbookViewId="0">
      <selection activeCell="H31" sqref="H31"/>
    </sheetView>
  </sheetViews>
  <sheetFormatPr defaultRowHeight="15"/>
  <cols>
    <col min="1" max="1" width="47.85546875" customWidth="1"/>
    <col min="2" max="2" width="15.28515625" customWidth="1"/>
    <col min="3" max="3" width="24.5703125" customWidth="1"/>
    <col min="4" max="4" width="26.5703125" customWidth="1"/>
    <col min="5" max="5" width="32.28515625" customWidth="1"/>
    <col min="6" max="6" width="22.42578125" customWidth="1"/>
    <col min="7" max="7" width="27" customWidth="1"/>
    <col min="8" max="8" width="39.85546875" customWidth="1"/>
    <col min="9" max="9" width="15.28515625" customWidth="1"/>
    <col min="10" max="10" width="24.5703125" customWidth="1"/>
    <col min="11" max="11" width="24.140625" customWidth="1"/>
    <col min="13" max="13" width="10.5703125" customWidth="1"/>
  </cols>
  <sheetData>
    <row r="1" spans="1:9" ht="26.25">
      <c r="A1" s="21" t="s">
        <v>1</v>
      </c>
      <c r="B1" s="10"/>
      <c r="C1" s="10"/>
      <c r="D1" s="10"/>
      <c r="E1" s="10"/>
      <c r="F1" s="10"/>
      <c r="G1" s="10"/>
      <c r="H1" s="10"/>
      <c r="I1" s="10"/>
    </row>
    <row r="2" spans="1:9" ht="17.25">
      <c r="A2" s="22" t="s">
        <v>9</v>
      </c>
      <c r="B2" s="10"/>
      <c r="C2" s="10"/>
      <c r="D2" s="10"/>
      <c r="E2" s="10"/>
      <c r="F2" s="10"/>
      <c r="G2" s="10"/>
      <c r="H2" s="10"/>
      <c r="I2" s="10"/>
    </row>
    <row r="3" spans="1:9" ht="16.5">
      <c r="A3" s="23" t="s">
        <v>451</v>
      </c>
      <c r="B3" s="10"/>
      <c r="C3" s="10"/>
      <c r="D3" s="10"/>
      <c r="E3" s="10"/>
      <c r="F3" s="10"/>
      <c r="G3" s="10"/>
      <c r="H3" s="10"/>
      <c r="I3" s="10"/>
    </row>
    <row r="4" spans="1:9" ht="16.5">
      <c r="A4" s="23"/>
      <c r="B4" s="10"/>
      <c r="C4" s="10"/>
      <c r="D4" s="10"/>
      <c r="E4" s="10"/>
      <c r="F4" s="10"/>
      <c r="G4" s="10"/>
      <c r="H4" s="10"/>
      <c r="I4" s="10"/>
    </row>
    <row r="5" spans="1:9" ht="17.25" thickBot="1">
      <c r="A5" s="10"/>
      <c r="B5" s="10"/>
      <c r="C5" s="10"/>
      <c r="D5" s="10"/>
      <c r="E5" s="10"/>
      <c r="F5" s="10"/>
      <c r="G5" s="10"/>
      <c r="H5" s="10"/>
      <c r="I5" s="24"/>
    </row>
    <row r="6" spans="1:9" ht="21" thickBot="1">
      <c r="A6" s="259" t="str">
        <f>+'S&amp;D'!A12</f>
        <v>Air Freight Carriers</v>
      </c>
      <c r="B6" s="193"/>
      <c r="C6" s="10"/>
      <c r="D6" s="10"/>
      <c r="E6" s="10"/>
      <c r="F6" s="10"/>
      <c r="G6" s="10"/>
      <c r="H6" s="10"/>
      <c r="I6" s="10"/>
    </row>
    <row r="7" spans="1:9" ht="20.25">
      <c r="A7" s="28"/>
      <c r="B7" s="10"/>
      <c r="C7" s="10"/>
      <c r="D7" s="10"/>
      <c r="E7" s="10"/>
      <c r="F7" s="10"/>
      <c r="G7" s="10"/>
      <c r="H7" s="10"/>
      <c r="I7" s="10"/>
    </row>
    <row r="8" spans="1:9" ht="21" thickBot="1">
      <c r="A8" s="28"/>
      <c r="B8" s="10"/>
      <c r="C8" s="10"/>
      <c r="D8" s="26"/>
      <c r="E8" s="26"/>
      <c r="F8" s="26"/>
      <c r="G8" s="10"/>
      <c r="H8" s="10"/>
      <c r="I8" s="10"/>
    </row>
    <row r="9" spans="1:9" ht="26.25">
      <c r="A9" s="28"/>
      <c r="B9" s="10"/>
      <c r="C9" s="10"/>
      <c r="D9" s="10"/>
      <c r="E9" s="29" t="s">
        <v>181</v>
      </c>
      <c r="F9" s="10"/>
      <c r="G9" s="10"/>
      <c r="H9" s="10"/>
      <c r="I9" s="10"/>
    </row>
    <row r="10" spans="1:9" ht="21" thickBot="1">
      <c r="A10" s="28"/>
      <c r="B10" s="10"/>
      <c r="C10" s="10"/>
      <c r="D10" s="26"/>
      <c r="E10" s="30" t="s">
        <v>452</v>
      </c>
      <c r="F10" s="26"/>
      <c r="G10" s="10"/>
      <c r="H10" s="10"/>
      <c r="I10" s="10"/>
    </row>
    <row r="11" spans="1:9" ht="20.25">
      <c r="A11" s="28"/>
      <c r="B11" s="10"/>
      <c r="C11" s="10"/>
      <c r="D11" s="10"/>
      <c r="E11" s="10"/>
      <c r="F11" s="32"/>
      <c r="G11" s="32"/>
      <c r="H11" s="10"/>
      <c r="I11" s="10"/>
    </row>
    <row r="12" spans="1:9" ht="20.25">
      <c r="A12" s="28"/>
      <c r="B12" s="10"/>
      <c r="C12" s="10"/>
      <c r="D12" s="10" t="s">
        <v>0</v>
      </c>
      <c r="E12" s="10"/>
      <c r="F12" s="32"/>
      <c r="G12" s="32"/>
      <c r="H12" s="10"/>
      <c r="I12" s="10"/>
    </row>
    <row r="13" spans="1:9" ht="45.75" customHeight="1" thickBot="1">
      <c r="A13" s="31" t="s">
        <v>0</v>
      </c>
      <c r="B13" s="31" t="s">
        <v>0</v>
      </c>
      <c r="C13" s="31" t="s">
        <v>0</v>
      </c>
      <c r="D13" s="26"/>
      <c r="E13" s="26"/>
      <c r="F13" s="31" t="s">
        <v>0</v>
      </c>
      <c r="G13" s="31"/>
      <c r="H13" s="31"/>
      <c r="I13" s="10"/>
    </row>
    <row r="14" spans="1:9" ht="16.5">
      <c r="A14" s="32" t="s">
        <v>0</v>
      </c>
      <c r="B14" s="32" t="s">
        <v>3</v>
      </c>
      <c r="C14" s="32" t="s">
        <v>5</v>
      </c>
      <c r="D14" s="32" t="s">
        <v>177</v>
      </c>
      <c r="E14" s="32" t="s">
        <v>178</v>
      </c>
      <c r="F14" s="32" t="s">
        <v>182</v>
      </c>
      <c r="G14" s="32" t="s">
        <v>19</v>
      </c>
      <c r="H14" s="32" t="s">
        <v>184</v>
      </c>
      <c r="I14" s="10"/>
    </row>
    <row r="15" spans="1:9" ht="16.5">
      <c r="A15" s="32" t="s">
        <v>2</v>
      </c>
      <c r="B15" s="32" t="s">
        <v>4</v>
      </c>
      <c r="C15" s="32" t="s">
        <v>6</v>
      </c>
      <c r="D15" s="32" t="s">
        <v>402</v>
      </c>
      <c r="E15" s="32" t="s">
        <v>403</v>
      </c>
      <c r="F15" s="32" t="s">
        <v>127</v>
      </c>
      <c r="G15" s="32" t="s">
        <v>183</v>
      </c>
      <c r="H15" s="32" t="s">
        <v>173</v>
      </c>
      <c r="I15" s="10"/>
    </row>
    <row r="16" spans="1:9" ht="16.5">
      <c r="A16" s="32"/>
      <c r="B16" s="32" t="s">
        <v>0</v>
      </c>
      <c r="C16" s="32" t="s">
        <v>0</v>
      </c>
      <c r="D16" s="32" t="s">
        <v>0</v>
      </c>
      <c r="E16" s="33" t="s">
        <v>497</v>
      </c>
      <c r="F16" s="33" t="s">
        <v>0</v>
      </c>
      <c r="G16" s="32" t="s">
        <v>188</v>
      </c>
      <c r="H16" s="33" t="s">
        <v>189</v>
      </c>
      <c r="I16" s="10"/>
    </row>
    <row r="17" spans="1:11" ht="18" customHeight="1" thickBot="1">
      <c r="A17" s="64" t="s">
        <v>0</v>
      </c>
      <c r="B17" s="35" t="s">
        <v>0</v>
      </c>
      <c r="C17" s="35" t="s">
        <v>0</v>
      </c>
      <c r="D17" s="30" t="s">
        <v>186</v>
      </c>
      <c r="E17" s="30" t="s">
        <v>187</v>
      </c>
      <c r="F17" s="30" t="s">
        <v>185</v>
      </c>
      <c r="G17" s="32" t="s">
        <v>93</v>
      </c>
      <c r="H17" s="146"/>
      <c r="I17" s="10"/>
    </row>
    <row r="18" spans="1:11" ht="16.5">
      <c r="A18" s="36" t="s">
        <v>0</v>
      </c>
      <c r="B18" s="36" t="s">
        <v>0</v>
      </c>
      <c r="C18" s="36" t="s">
        <v>0</v>
      </c>
      <c r="D18" s="36" t="s">
        <v>7</v>
      </c>
      <c r="E18" s="36" t="s">
        <v>7</v>
      </c>
      <c r="F18" s="36" t="s">
        <v>0</v>
      </c>
      <c r="G18" s="65" t="s">
        <v>0</v>
      </c>
      <c r="H18" s="36" t="s">
        <v>0</v>
      </c>
      <c r="I18" s="10"/>
    </row>
    <row r="19" spans="1:11" ht="16.5">
      <c r="A19" s="32"/>
      <c r="B19" s="32"/>
      <c r="C19" s="32"/>
      <c r="D19" s="32"/>
      <c r="E19" s="10"/>
      <c r="F19" s="32"/>
      <c r="G19" s="10"/>
      <c r="H19" s="10"/>
      <c r="I19" s="10"/>
      <c r="J19" t="s">
        <v>0</v>
      </c>
      <c r="K19" t="s">
        <v>0</v>
      </c>
    </row>
    <row r="20" spans="1:11" ht="16.5">
      <c r="A20" s="10"/>
      <c r="B20" s="10"/>
      <c r="C20" s="10"/>
      <c r="D20" s="10"/>
      <c r="E20" s="10"/>
      <c r="F20" s="10"/>
      <c r="G20" s="10"/>
      <c r="H20" s="10" t="s">
        <v>0</v>
      </c>
      <c r="I20" s="10"/>
      <c r="J20" t="s">
        <v>0</v>
      </c>
      <c r="K20" t="s">
        <v>0</v>
      </c>
    </row>
    <row r="21" spans="1:11" ht="17.25">
      <c r="A21" s="60" t="str">
        <f>+'S&amp;D'!A22</f>
        <v>Air Transport Services Group</v>
      </c>
      <c r="B21" s="86" t="str">
        <f>+'S&amp;D'!B22</f>
        <v>ATSG</v>
      </c>
      <c r="C21" s="32" t="str">
        <f>+'S&amp;D'!C22</f>
        <v>Air Trans</v>
      </c>
      <c r="D21" s="361" t="str">
        <f>+'Single Stage Div Growth Model'!F17</f>
        <v>na</v>
      </c>
      <c r="E21" s="63">
        <f>+'Single Stage Div Growth Model'!H17</f>
        <v>3.5000000000000003E-2</v>
      </c>
      <c r="F21" s="63">
        <f>+'Growth &amp; Inflation Rates'!F93</f>
        <v>4.1099999999999998E-2</v>
      </c>
      <c r="G21" s="63">
        <f t="shared" ref="G21" si="0">(F21+E21)/2</f>
        <v>3.805E-2</v>
      </c>
      <c r="H21" s="361" t="s">
        <v>401</v>
      </c>
      <c r="I21" s="10"/>
      <c r="J21" t="s">
        <v>0</v>
      </c>
      <c r="K21" t="s">
        <v>0</v>
      </c>
    </row>
    <row r="22" spans="1:11" ht="17.25">
      <c r="A22" s="60" t="str">
        <f>+'S&amp;D'!A23</f>
        <v xml:space="preserve">FedEx Corp </v>
      </c>
      <c r="B22" s="86" t="str">
        <f>+'S&amp;D'!B23</f>
        <v>FDX</v>
      </c>
      <c r="C22" s="32" t="str">
        <f>+'S&amp;D'!C23</f>
        <v>Air Trans</v>
      </c>
      <c r="D22" s="63">
        <f>+'Single Stage Div Growth Model'!F18</f>
        <v>2.1544056607502866E-2</v>
      </c>
      <c r="E22" s="63">
        <f>+'Single Stage Div Growth Model'!H18</f>
        <v>7.0000000000000007E-2</v>
      </c>
      <c r="F22" s="63">
        <f>+F21</f>
        <v>4.1099999999999998E-2</v>
      </c>
      <c r="G22" s="63">
        <f t="shared" ref="G22:G23" si="1">(F22+E22)/2</f>
        <v>5.5550000000000002E-2</v>
      </c>
      <c r="H22" s="63">
        <f t="shared" ref="H22:H23" si="2">D22*(1+(0.5*G22))+(0.67*E22)+(0.33*F22)</f>
        <v>8.2605442779776272E-2</v>
      </c>
      <c r="I22" s="10"/>
    </row>
    <row r="23" spans="1:11" ht="18" thickBot="1">
      <c r="A23" s="60" t="str">
        <f>+'S&amp;D'!A24</f>
        <v xml:space="preserve">United Parcel Service </v>
      </c>
      <c r="B23" s="86" t="str">
        <f>+'S&amp;D'!B24</f>
        <v>UPS</v>
      </c>
      <c r="C23" s="32" t="str">
        <f>+'S&amp;D'!C24</f>
        <v>Air Trans</v>
      </c>
      <c r="D23" s="63">
        <f>+'Single Stage Div Growth Model'!F19</f>
        <v>4.350314825414997E-2</v>
      </c>
      <c r="E23" s="63">
        <f>+'Single Stage Div Growth Model'!H19</f>
        <v>2.5000000000000001E-2</v>
      </c>
      <c r="F23" s="63">
        <f>+F21</f>
        <v>4.1099999999999998E-2</v>
      </c>
      <c r="G23" s="63">
        <f t="shared" si="1"/>
        <v>3.3049999999999996E-2</v>
      </c>
      <c r="H23" s="327">
        <f t="shared" si="2"/>
        <v>7.4535037779049795E-2</v>
      </c>
      <c r="I23" s="10"/>
    </row>
    <row r="24" spans="1:11" ht="17.25" thickTop="1">
      <c r="A24" s="10"/>
      <c r="B24" s="10"/>
      <c r="C24" s="10"/>
      <c r="D24" s="10"/>
      <c r="E24" s="10"/>
      <c r="F24" s="10"/>
      <c r="G24" s="186" t="s">
        <v>45</v>
      </c>
      <c r="H24" s="53">
        <f>+MAX(H21:H23)</f>
        <v>8.2605442779776272E-2</v>
      </c>
      <c r="I24" s="10"/>
    </row>
    <row r="25" spans="1:11" ht="16.5">
      <c r="A25" s="10"/>
      <c r="B25" s="10"/>
      <c r="C25" s="12" t="s">
        <v>0</v>
      </c>
      <c r="D25" s="13" t="s">
        <v>0</v>
      </c>
      <c r="E25" s="13" t="s">
        <v>0</v>
      </c>
      <c r="F25" s="14" t="s">
        <v>0</v>
      </c>
      <c r="G25" s="311" t="s">
        <v>46</v>
      </c>
      <c r="H25" s="302">
        <f>MIN(H21:H23)</f>
        <v>7.4535037779049795E-2</v>
      </c>
      <c r="I25" s="10"/>
    </row>
    <row r="26" spans="1:11" ht="16.5">
      <c r="A26" s="10"/>
      <c r="B26" s="10"/>
      <c r="D26" s="53" t="s">
        <v>0</v>
      </c>
      <c r="E26" s="48" t="s">
        <v>0</v>
      </c>
      <c r="F26" s="48" t="s">
        <v>0</v>
      </c>
      <c r="G26" s="12" t="s">
        <v>18</v>
      </c>
      <c r="H26" s="49">
        <f>MEDIAN(H21:H23)</f>
        <v>7.8570240279413034E-2</v>
      </c>
      <c r="I26" s="10"/>
    </row>
    <row r="27" spans="1:11" ht="16.5">
      <c r="A27" s="10"/>
      <c r="B27" s="10"/>
      <c r="D27" s="53" t="s">
        <v>0</v>
      </c>
      <c r="E27" s="48" t="s">
        <v>0</v>
      </c>
      <c r="F27" s="53" t="s">
        <v>0</v>
      </c>
      <c r="G27" s="12" t="s">
        <v>412</v>
      </c>
      <c r="H27" s="49">
        <f>AVERAGE(H21:H23)</f>
        <v>7.8570240279413034E-2</v>
      </c>
      <c r="I27" s="10"/>
    </row>
    <row r="28" spans="1:11" ht="16.5">
      <c r="A28" s="10"/>
      <c r="B28" s="10"/>
      <c r="C28" s="12"/>
      <c r="D28" s="16" t="s">
        <v>0</v>
      </c>
      <c r="E28" s="17"/>
      <c r="F28" s="16"/>
      <c r="G28" s="18"/>
      <c r="H28" s="18"/>
      <c r="I28" s="10"/>
    </row>
    <row r="29" spans="1:11" ht="17.25" thickBot="1">
      <c r="A29" s="10"/>
      <c r="B29" s="10"/>
      <c r="C29" s="10"/>
      <c r="D29" s="10"/>
      <c r="E29" s="10"/>
      <c r="F29" s="10"/>
      <c r="G29" s="10"/>
      <c r="H29" s="10"/>
      <c r="I29" s="10"/>
    </row>
    <row r="30" spans="1:11" ht="27" thickBot="1">
      <c r="A30" s="10"/>
      <c r="B30" s="10"/>
      <c r="C30" s="10"/>
      <c r="D30" s="10"/>
      <c r="F30" s="190"/>
      <c r="G30" s="191" t="s">
        <v>237</v>
      </c>
      <c r="H30" s="402">
        <v>7.8600000000000003E-2</v>
      </c>
      <c r="I30" s="10"/>
    </row>
    <row r="31" spans="1:11" ht="16.5">
      <c r="A31" s="10"/>
      <c r="B31" s="10"/>
      <c r="C31" s="10"/>
      <c r="D31" s="10"/>
      <c r="E31" s="10"/>
      <c r="F31" s="10"/>
      <c r="G31" s="10"/>
      <c r="H31" s="10"/>
      <c r="I31" s="10"/>
    </row>
    <row r="32" spans="1:11" ht="27">
      <c r="A32" s="21" t="s">
        <v>0</v>
      </c>
      <c r="B32" s="10"/>
      <c r="C32" s="10"/>
      <c r="D32" s="10"/>
      <c r="E32" s="10"/>
      <c r="F32" s="10"/>
      <c r="G32" s="20" t="s">
        <v>0</v>
      </c>
      <c r="H32" s="10"/>
      <c r="I32" s="10"/>
    </row>
    <row r="33" spans="1:9" ht="16.5">
      <c r="A33" s="41"/>
      <c r="B33" s="10"/>
      <c r="C33" s="10"/>
      <c r="D33" s="10"/>
      <c r="E33" s="10"/>
      <c r="F33" s="10"/>
      <c r="G33" s="10"/>
      <c r="H33" s="10"/>
      <c r="I33" s="10"/>
    </row>
    <row r="34" spans="1:9" ht="26.25">
      <c r="A34" s="21" t="s">
        <v>316</v>
      </c>
      <c r="B34" s="10"/>
      <c r="C34" s="10"/>
      <c r="D34" s="10"/>
      <c r="E34" s="10"/>
      <c r="F34" s="10"/>
      <c r="G34" s="10"/>
      <c r="H34" s="10"/>
      <c r="I34" s="10"/>
    </row>
    <row r="35" spans="1:9" ht="16.5">
      <c r="A35" s="41"/>
      <c r="B35" s="10"/>
      <c r="C35" s="10"/>
      <c r="D35" s="10"/>
      <c r="E35" s="10"/>
      <c r="F35" s="10"/>
      <c r="G35" s="10"/>
      <c r="H35" s="10"/>
      <c r="I35" s="10"/>
    </row>
    <row r="36" spans="1:9" ht="17.25">
      <c r="A36" s="60" t="s">
        <v>204</v>
      </c>
      <c r="B36" s="10"/>
      <c r="C36" s="10"/>
      <c r="D36" s="10"/>
      <c r="E36" s="10"/>
      <c r="F36" s="10"/>
      <c r="G36" s="10"/>
      <c r="H36" s="10"/>
      <c r="I36" s="10"/>
    </row>
    <row r="37" spans="1:9" ht="17.25">
      <c r="A37" s="60" t="s">
        <v>319</v>
      </c>
      <c r="B37" s="10"/>
      <c r="C37" s="10"/>
      <c r="D37" s="10"/>
      <c r="E37" s="10"/>
      <c r="F37" s="10"/>
      <c r="G37" s="10"/>
      <c r="H37" s="10"/>
      <c r="I37" s="10"/>
    </row>
    <row r="38" spans="1:9" ht="17.25">
      <c r="A38" s="60" t="s">
        <v>317</v>
      </c>
      <c r="B38" s="10"/>
      <c r="C38" s="10"/>
      <c r="D38" s="10"/>
      <c r="E38" s="10"/>
      <c r="F38" s="10"/>
      <c r="G38" s="10"/>
      <c r="H38" s="10"/>
      <c r="I38" s="10"/>
    </row>
    <row r="39" spans="1:9" ht="17.25">
      <c r="A39" s="60" t="s">
        <v>318</v>
      </c>
      <c r="B39" s="10"/>
      <c r="C39" s="10"/>
      <c r="D39" s="10"/>
      <c r="E39" s="10"/>
      <c r="F39" s="10"/>
      <c r="G39" s="10"/>
      <c r="H39" s="10"/>
      <c r="I39" s="10"/>
    </row>
    <row r="40" spans="1:9" ht="17.25">
      <c r="A40" s="60" t="s">
        <v>320</v>
      </c>
      <c r="B40" s="10"/>
      <c r="C40" s="10"/>
      <c r="D40" s="10"/>
      <c r="E40" s="10"/>
      <c r="F40" s="10"/>
      <c r="G40" s="10"/>
      <c r="H40" s="10"/>
      <c r="I40" s="10"/>
    </row>
    <row r="41" spans="1:9" ht="16.5">
      <c r="A41" s="10"/>
      <c r="B41" s="10"/>
      <c r="C41" s="10"/>
      <c r="D41" s="10"/>
      <c r="E41" s="10"/>
      <c r="F41" s="10"/>
      <c r="G41" s="10"/>
      <c r="H41" s="10"/>
      <c r="I41" s="10"/>
    </row>
    <row r="42" spans="1:9" ht="16.5">
      <c r="A42" s="10"/>
      <c r="B42" s="10"/>
      <c r="C42" s="10"/>
      <c r="D42" s="10"/>
      <c r="E42" s="10"/>
      <c r="F42" s="10"/>
      <c r="G42" s="10"/>
      <c r="H42" s="10"/>
      <c r="I42" s="10"/>
    </row>
    <row r="43" spans="1:9" ht="16.5">
      <c r="A43" s="10"/>
      <c r="B43" s="10"/>
      <c r="C43" s="10"/>
      <c r="D43" s="10"/>
      <c r="E43" s="10"/>
      <c r="F43" s="10"/>
      <c r="G43" s="10"/>
      <c r="H43" s="10"/>
      <c r="I43" s="10"/>
    </row>
    <row r="44" spans="1:9" ht="16.5">
      <c r="A44" s="10"/>
      <c r="B44" s="10"/>
      <c r="C44" s="10"/>
      <c r="D44" s="10"/>
      <c r="E44" s="10"/>
      <c r="F44" s="10"/>
      <c r="G44" s="10"/>
      <c r="H44" s="10"/>
      <c r="I44" s="10"/>
    </row>
    <row r="45" spans="1:9" ht="16.5">
      <c r="A45" s="10"/>
      <c r="B45" s="10"/>
      <c r="C45" s="10"/>
      <c r="D45" s="10"/>
      <c r="E45" s="10"/>
      <c r="F45" s="10"/>
      <c r="G45" s="10"/>
      <c r="H45" s="10"/>
      <c r="I45" s="10"/>
    </row>
    <row r="46" spans="1:9" ht="16.5">
      <c r="A46" s="10"/>
      <c r="B46" s="10"/>
      <c r="C46" s="10"/>
      <c r="D46" s="10"/>
      <c r="E46" s="10"/>
      <c r="F46" s="10"/>
      <c r="G46" s="10"/>
      <c r="H46" s="10"/>
      <c r="I46" s="10"/>
    </row>
    <row r="47" spans="1:9" ht="16.5">
      <c r="A47" s="10"/>
      <c r="B47" s="10"/>
      <c r="C47" s="10"/>
      <c r="D47" s="10"/>
      <c r="E47" s="10"/>
      <c r="F47" s="10"/>
      <c r="G47" s="10"/>
      <c r="H47" s="10"/>
      <c r="I47" s="10"/>
    </row>
    <row r="48" spans="1:9" ht="16.5">
      <c r="A48" s="10"/>
      <c r="B48" s="10"/>
      <c r="C48" s="10"/>
      <c r="D48" s="10"/>
      <c r="E48" s="10"/>
      <c r="F48" s="10"/>
      <c r="G48" s="10"/>
      <c r="H48" s="10"/>
      <c r="I48" s="10"/>
    </row>
    <row r="49" spans="1:9" ht="16.5">
      <c r="A49" s="10"/>
      <c r="B49" s="10"/>
      <c r="C49" s="10"/>
      <c r="D49" s="10"/>
      <c r="E49" s="10"/>
      <c r="F49" s="10"/>
      <c r="G49" s="10"/>
      <c r="H49" s="10"/>
      <c r="I49" s="10"/>
    </row>
    <row r="50" spans="1:9" ht="16.5">
      <c r="A50" s="10"/>
      <c r="B50" s="10"/>
      <c r="C50" s="10"/>
      <c r="D50" s="10"/>
      <c r="E50" s="10"/>
      <c r="F50" s="10"/>
      <c r="G50" s="10"/>
      <c r="H50" s="10"/>
      <c r="I50" s="10"/>
    </row>
    <row r="51" spans="1:9" ht="16.5">
      <c r="A51" s="10"/>
      <c r="B51" s="10"/>
      <c r="C51" s="10"/>
      <c r="D51" s="10"/>
      <c r="E51" s="10"/>
      <c r="F51" s="10"/>
      <c r="G51" s="10"/>
      <c r="H51" s="10"/>
      <c r="I51" s="10"/>
    </row>
    <row r="52" spans="1:9" ht="16.5">
      <c r="A52" s="10"/>
      <c r="B52" s="10"/>
      <c r="C52" s="10"/>
      <c r="D52" s="10"/>
      <c r="E52" s="10"/>
      <c r="F52" s="10"/>
      <c r="G52" s="10"/>
      <c r="H52" s="10"/>
      <c r="I52" s="10"/>
    </row>
    <row r="53" spans="1:9" ht="16.5">
      <c r="A53" s="10"/>
      <c r="B53" s="10"/>
      <c r="C53" s="10"/>
      <c r="D53" s="10"/>
      <c r="E53" s="10"/>
      <c r="F53" s="10"/>
      <c r="G53" s="10"/>
      <c r="H53" s="10"/>
      <c r="I53" s="10"/>
    </row>
    <row r="54" spans="1:9" ht="16.5">
      <c r="A54" s="10"/>
      <c r="B54" s="10"/>
      <c r="C54" s="10"/>
      <c r="D54" s="10"/>
      <c r="E54" s="10"/>
      <c r="F54" s="10"/>
      <c r="G54" s="10"/>
      <c r="H54" s="10"/>
      <c r="I54" s="10"/>
    </row>
    <row r="55" spans="1:9" ht="16.5">
      <c r="A55" s="10"/>
      <c r="B55" s="10"/>
      <c r="C55" s="10"/>
      <c r="D55" s="10"/>
      <c r="E55" s="10"/>
      <c r="F55" s="10"/>
      <c r="G55" s="10"/>
      <c r="H55" s="10"/>
      <c r="I55" s="10"/>
    </row>
    <row r="56" spans="1:9" ht="16.5">
      <c r="A56" s="10"/>
      <c r="B56" s="10"/>
      <c r="C56" s="10"/>
      <c r="D56" s="10"/>
      <c r="E56" s="10"/>
      <c r="F56" s="10"/>
      <c r="G56" s="10"/>
      <c r="H56" s="10"/>
      <c r="I56" s="10"/>
    </row>
    <row r="57" spans="1:9" ht="16.5">
      <c r="A57" s="10"/>
      <c r="B57" s="10"/>
      <c r="C57" s="10"/>
      <c r="D57" s="10"/>
      <c r="E57" s="10"/>
      <c r="F57" s="10"/>
      <c r="G57" s="10"/>
      <c r="H57" s="10"/>
      <c r="I57" s="10"/>
    </row>
    <row r="58" spans="1:9" ht="16.5">
      <c r="A58" s="10"/>
      <c r="B58" s="10"/>
      <c r="C58" s="10"/>
      <c r="D58" s="10"/>
      <c r="E58" s="10"/>
      <c r="F58" s="10"/>
      <c r="G58" s="10"/>
      <c r="H58" s="10"/>
      <c r="I58" s="10"/>
    </row>
    <row r="59" spans="1:9" ht="16.5">
      <c r="A59" s="10"/>
      <c r="B59" s="10"/>
      <c r="C59" s="10"/>
      <c r="D59" s="10"/>
      <c r="E59" s="10"/>
      <c r="F59" s="10"/>
      <c r="G59" s="10"/>
      <c r="H59" s="10"/>
      <c r="I59" s="10"/>
    </row>
    <row r="60" spans="1:9" ht="16.5">
      <c r="A60" s="10"/>
      <c r="B60" s="10"/>
      <c r="C60" s="10"/>
      <c r="D60" s="10"/>
      <c r="E60" s="10"/>
      <c r="F60" s="10"/>
      <c r="G60" s="10"/>
      <c r="H60" s="10"/>
      <c r="I60" s="10"/>
    </row>
    <row r="61" spans="1:9" ht="16.5">
      <c r="A61" s="10"/>
      <c r="B61" s="10"/>
      <c r="C61" s="10"/>
      <c r="D61" s="10"/>
      <c r="E61" s="10"/>
      <c r="F61" s="10"/>
      <c r="G61" s="10"/>
      <c r="H61" s="10"/>
      <c r="I61" s="10"/>
    </row>
    <row r="62" spans="1:9" ht="16.5">
      <c r="A62" s="10"/>
      <c r="B62" s="10"/>
      <c r="C62" s="10"/>
      <c r="D62" s="10"/>
      <c r="E62" s="10"/>
      <c r="F62" s="10"/>
      <c r="G62" s="10"/>
      <c r="H62" s="10"/>
      <c r="I62" s="10"/>
    </row>
    <row r="63" spans="1:9" ht="16.5">
      <c r="A63" s="10"/>
      <c r="B63" s="10"/>
      <c r="C63" s="10"/>
      <c r="D63" s="10"/>
      <c r="E63" s="10"/>
      <c r="F63" s="10"/>
      <c r="G63" s="10"/>
      <c r="H63" s="10"/>
      <c r="I63" s="10"/>
    </row>
    <row r="64" spans="1:9" ht="16.5">
      <c r="A64" s="10"/>
      <c r="B64" s="10"/>
      <c r="C64" s="10"/>
      <c r="D64" s="10"/>
      <c r="E64" s="10"/>
      <c r="F64" s="10"/>
      <c r="G64" s="10"/>
      <c r="H64" s="10"/>
      <c r="I64" s="10"/>
    </row>
    <row r="65" spans="1:9" ht="16.5">
      <c r="A65" s="10"/>
      <c r="B65" s="10"/>
      <c r="C65" s="10"/>
      <c r="D65" s="10"/>
      <c r="E65" s="10"/>
      <c r="F65" s="10"/>
      <c r="G65" s="10"/>
      <c r="H65" s="10"/>
      <c r="I65" s="10"/>
    </row>
    <row r="66" spans="1:9" ht="16.5">
      <c r="A66" s="10"/>
      <c r="B66" s="10"/>
      <c r="C66" s="10"/>
      <c r="D66" s="10"/>
      <c r="E66" s="10"/>
      <c r="F66" s="10"/>
      <c r="G66" s="10"/>
      <c r="H66" s="10"/>
      <c r="I66" s="10"/>
    </row>
    <row r="67" spans="1:9" ht="16.5">
      <c r="A67" s="10"/>
      <c r="B67" s="10"/>
      <c r="C67" s="10"/>
      <c r="D67" s="10"/>
      <c r="E67" s="10"/>
      <c r="F67" s="10"/>
      <c r="G67" s="10"/>
      <c r="H67" s="10"/>
      <c r="I67" s="10"/>
    </row>
    <row r="68" spans="1:9" ht="16.5">
      <c r="A68" s="10"/>
      <c r="B68" s="10"/>
      <c r="C68" s="10"/>
      <c r="D68" s="10"/>
      <c r="E68" s="10"/>
      <c r="F68" s="10"/>
      <c r="G68" s="10"/>
      <c r="H68" s="10"/>
      <c r="I68" s="10"/>
    </row>
    <row r="69" spans="1:9" ht="16.5">
      <c r="A69" s="10"/>
      <c r="B69" s="10"/>
      <c r="C69" s="10"/>
      <c r="D69" s="10"/>
      <c r="E69" s="10"/>
      <c r="F69" s="10"/>
      <c r="G69" s="10"/>
      <c r="H69" s="10"/>
      <c r="I69" s="10"/>
    </row>
    <row r="70" spans="1:9" ht="16.5">
      <c r="A70" s="10"/>
      <c r="B70" s="10"/>
      <c r="C70" s="10"/>
      <c r="D70" s="10"/>
      <c r="E70" s="10"/>
      <c r="F70" s="10"/>
      <c r="G70" s="10"/>
      <c r="H70" s="10"/>
      <c r="I70" s="10"/>
    </row>
    <row r="71" spans="1:9" ht="16.5">
      <c r="A71" s="10"/>
      <c r="B71" s="10"/>
      <c r="C71" s="10"/>
      <c r="D71" s="10"/>
      <c r="E71" s="10"/>
      <c r="F71" s="10"/>
      <c r="G71" s="10"/>
      <c r="H71" s="10"/>
      <c r="I71" s="10"/>
    </row>
    <row r="72" spans="1:9" ht="16.5">
      <c r="A72" s="10"/>
      <c r="B72" s="10"/>
      <c r="C72" s="10"/>
      <c r="D72" s="10"/>
      <c r="E72" s="10"/>
      <c r="F72" s="10"/>
      <c r="G72" s="10"/>
      <c r="H72" s="10"/>
      <c r="I72" s="10"/>
    </row>
    <row r="73" spans="1:9" ht="16.5">
      <c r="A73" s="10"/>
      <c r="B73" s="10"/>
      <c r="C73" s="10"/>
      <c r="D73" s="10"/>
      <c r="E73" s="10"/>
      <c r="F73" s="10"/>
      <c r="G73" s="10"/>
      <c r="H73" s="10"/>
      <c r="I73" s="10"/>
    </row>
    <row r="74" spans="1:9" ht="16.5">
      <c r="A74" s="10"/>
      <c r="B74" s="10"/>
      <c r="C74" s="10"/>
      <c r="D74" s="10"/>
      <c r="E74" s="10"/>
      <c r="F74" s="10"/>
      <c r="G74" s="10"/>
      <c r="H74" s="10"/>
      <c r="I74" s="10"/>
    </row>
    <row r="75" spans="1:9" ht="16.5">
      <c r="A75" s="10"/>
      <c r="B75" s="10"/>
      <c r="C75" s="10"/>
      <c r="D75" s="10"/>
      <c r="E75" s="10"/>
      <c r="F75" s="10"/>
      <c r="G75" s="10"/>
      <c r="H75" s="10"/>
      <c r="I75" s="10"/>
    </row>
    <row r="76" spans="1:9" ht="16.5">
      <c r="A76" s="10"/>
      <c r="B76" s="10"/>
      <c r="C76" s="10"/>
      <c r="D76" s="10"/>
      <c r="E76" s="10"/>
      <c r="F76" s="10"/>
      <c r="G76" s="10"/>
      <c r="H76" s="10"/>
      <c r="I76" s="10"/>
    </row>
    <row r="77" spans="1:9" ht="16.5">
      <c r="A77" s="10"/>
      <c r="B77" s="10"/>
      <c r="C77" s="10"/>
      <c r="D77" s="10"/>
      <c r="E77" s="10"/>
      <c r="F77" s="10"/>
      <c r="G77" s="10"/>
      <c r="H77" s="10"/>
      <c r="I77" s="10"/>
    </row>
    <row r="78" spans="1:9" ht="16.5">
      <c r="A78" s="10"/>
      <c r="B78" s="10"/>
      <c r="C78" s="10"/>
      <c r="D78" s="10"/>
      <c r="E78" s="10"/>
      <c r="F78" s="10"/>
      <c r="G78" s="10"/>
      <c r="H78" s="10"/>
      <c r="I78" s="10"/>
    </row>
    <row r="79" spans="1:9" ht="16.5">
      <c r="A79" s="10"/>
      <c r="B79" s="10"/>
      <c r="C79" s="10"/>
      <c r="D79" s="10"/>
      <c r="E79" s="10"/>
      <c r="F79" s="10"/>
      <c r="G79" s="10"/>
      <c r="H79" s="10"/>
      <c r="I79" s="10"/>
    </row>
    <row r="80" spans="1:9" ht="16.5">
      <c r="A80" s="10"/>
      <c r="B80" s="10"/>
      <c r="C80" s="10"/>
      <c r="D80" s="10"/>
      <c r="E80" s="10"/>
      <c r="F80" s="10"/>
      <c r="G80" s="10"/>
      <c r="H80" s="10"/>
      <c r="I80" s="10"/>
    </row>
    <row r="81" spans="1:9" ht="16.5">
      <c r="A81" s="10"/>
      <c r="B81" s="10"/>
      <c r="C81" s="10"/>
      <c r="D81" s="10"/>
      <c r="E81" s="10"/>
      <c r="F81" s="10"/>
      <c r="G81" s="10"/>
      <c r="H81" s="10"/>
      <c r="I81" s="10"/>
    </row>
    <row r="82" spans="1:9" ht="16.5">
      <c r="A82" s="10"/>
      <c r="B82" s="10"/>
      <c r="C82" s="10"/>
      <c r="D82" s="10"/>
      <c r="E82" s="10"/>
      <c r="F82" s="10"/>
      <c r="G82" s="10"/>
      <c r="H82" s="10"/>
      <c r="I82" s="10"/>
    </row>
    <row r="83" spans="1:9" ht="16.5">
      <c r="A83" s="10"/>
      <c r="B83" s="10"/>
      <c r="C83" s="10"/>
      <c r="D83" s="10"/>
      <c r="E83" s="10"/>
      <c r="F83" s="10"/>
      <c r="G83" s="10"/>
      <c r="H83" s="10"/>
      <c r="I83" s="10"/>
    </row>
    <row r="84" spans="1:9" ht="16.5">
      <c r="A84" s="10"/>
      <c r="B84" s="10"/>
      <c r="C84" s="10"/>
      <c r="D84" s="10"/>
      <c r="E84" s="10"/>
      <c r="F84" s="10"/>
      <c r="G84" s="10"/>
      <c r="H84" s="10"/>
      <c r="I84" s="10"/>
    </row>
    <row r="85" spans="1:9" ht="16.5">
      <c r="A85" s="10"/>
      <c r="B85" s="10"/>
      <c r="C85" s="10"/>
      <c r="D85" s="10"/>
      <c r="E85" s="10"/>
      <c r="F85" s="10"/>
      <c r="G85" s="10"/>
      <c r="H85" s="10"/>
      <c r="I85" s="10"/>
    </row>
    <row r="86" spans="1:9" ht="16.5">
      <c r="A86" s="10"/>
      <c r="B86" s="10"/>
      <c r="C86" s="10"/>
      <c r="D86" s="10"/>
      <c r="E86" s="10"/>
      <c r="F86" s="10"/>
      <c r="G86" s="10"/>
      <c r="H86" s="10"/>
      <c r="I86" s="10"/>
    </row>
    <row r="87" spans="1:9" ht="16.5">
      <c r="A87" s="10"/>
      <c r="B87" s="10"/>
      <c r="C87" s="10"/>
      <c r="D87" s="10"/>
      <c r="E87" s="10"/>
      <c r="F87" s="10"/>
      <c r="G87" s="10"/>
      <c r="H87" s="10"/>
      <c r="I87" s="10"/>
    </row>
    <row r="88" spans="1:9" ht="16.5">
      <c r="A88" s="10"/>
      <c r="B88" s="10"/>
      <c r="C88" s="10"/>
      <c r="D88" s="10"/>
      <c r="E88" s="10"/>
      <c r="F88" s="10"/>
      <c r="G88" s="10"/>
      <c r="H88" s="10"/>
      <c r="I88" s="10"/>
    </row>
    <row r="89" spans="1:9" ht="16.5">
      <c r="A89" s="10"/>
      <c r="B89" s="10"/>
      <c r="C89" s="10"/>
      <c r="D89" s="10"/>
      <c r="E89" s="10"/>
      <c r="F89" s="10"/>
      <c r="G89" s="10"/>
      <c r="H89" s="10"/>
      <c r="I89" s="10"/>
    </row>
    <row r="90" spans="1:9" ht="16.5">
      <c r="A90" s="10"/>
      <c r="B90" s="10"/>
      <c r="C90" s="10"/>
      <c r="D90" s="10"/>
      <c r="E90" s="10"/>
      <c r="F90" s="10"/>
      <c r="G90" s="10"/>
      <c r="H90" s="10"/>
      <c r="I90" s="10"/>
    </row>
    <row r="91" spans="1:9" ht="16.5">
      <c r="A91" s="10"/>
      <c r="B91" s="10"/>
      <c r="C91" s="10"/>
      <c r="D91" s="10"/>
      <c r="E91" s="10"/>
      <c r="F91" s="10"/>
      <c r="G91" s="10"/>
      <c r="H91" s="10"/>
      <c r="I91" s="10"/>
    </row>
    <row r="92" spans="1:9" ht="16.5">
      <c r="A92" s="10"/>
      <c r="B92" s="10"/>
      <c r="C92" s="10"/>
      <c r="D92" s="10"/>
      <c r="E92" s="10"/>
      <c r="F92" s="10"/>
      <c r="G92" s="10"/>
      <c r="H92" s="10"/>
      <c r="I92" s="10"/>
    </row>
    <row r="93" spans="1:9" ht="16.5">
      <c r="A93" s="10"/>
      <c r="B93" s="10"/>
      <c r="C93" s="10"/>
      <c r="D93" s="10"/>
      <c r="E93" s="10"/>
      <c r="F93" s="10"/>
      <c r="G93" s="10"/>
      <c r="H93" s="10"/>
      <c r="I93" s="10"/>
    </row>
    <row r="94" spans="1:9" ht="16.5">
      <c r="A94" s="10"/>
      <c r="B94" s="10"/>
      <c r="C94" s="10"/>
      <c r="D94" s="10"/>
      <c r="E94" s="10"/>
      <c r="F94" s="10"/>
      <c r="G94" s="10"/>
      <c r="H94" s="10"/>
      <c r="I94" s="10"/>
    </row>
    <row r="95" spans="1:9" ht="16.5">
      <c r="A95" s="10"/>
      <c r="B95" s="10"/>
      <c r="C95" s="10"/>
      <c r="D95" s="10"/>
      <c r="E95" s="10"/>
      <c r="F95" s="10"/>
      <c r="G95" s="10"/>
      <c r="H95" s="10"/>
      <c r="I95" s="10"/>
    </row>
    <row r="96" spans="1:9" ht="16.5">
      <c r="A96" s="10"/>
      <c r="B96" s="10"/>
      <c r="C96" s="10"/>
      <c r="D96" s="10"/>
      <c r="E96" s="10"/>
      <c r="F96" s="10"/>
      <c r="G96" s="10"/>
      <c r="H96" s="10"/>
      <c r="I96" s="10"/>
    </row>
    <row r="97" spans="1:9" ht="16.5">
      <c r="A97" s="10"/>
      <c r="B97" s="10"/>
      <c r="C97" s="10"/>
      <c r="D97" s="10"/>
      <c r="E97" s="10"/>
      <c r="F97" s="10"/>
      <c r="G97" s="10"/>
      <c r="H97" s="10"/>
      <c r="I97" s="10"/>
    </row>
    <row r="98" spans="1:9" ht="16.5">
      <c r="A98" s="10"/>
      <c r="B98" s="10"/>
      <c r="C98" s="10"/>
      <c r="D98" s="10"/>
      <c r="E98" s="10"/>
      <c r="F98" s="10"/>
      <c r="G98" s="10"/>
      <c r="H98" s="10"/>
      <c r="I98" s="10"/>
    </row>
    <row r="99" spans="1:9" ht="16.5">
      <c r="A99" s="10"/>
      <c r="B99" s="10"/>
      <c r="C99" s="10"/>
      <c r="D99" s="10"/>
      <c r="E99" s="10"/>
      <c r="F99" s="10"/>
      <c r="G99" s="10"/>
      <c r="H99" s="10"/>
      <c r="I99" s="10"/>
    </row>
    <row r="100" spans="1:9" ht="16.5">
      <c r="A100" s="10"/>
      <c r="B100" s="10"/>
      <c r="C100" s="10"/>
      <c r="D100" s="10"/>
      <c r="E100" s="10"/>
      <c r="F100" s="10"/>
      <c r="G100" s="10"/>
      <c r="H100" s="10"/>
      <c r="I100" s="10"/>
    </row>
    <row r="101" spans="1:9" ht="16.5">
      <c r="A101" s="10"/>
      <c r="B101" s="10"/>
      <c r="C101" s="10"/>
      <c r="D101" s="10"/>
      <c r="E101" s="10"/>
      <c r="F101" s="10"/>
      <c r="G101" s="10"/>
      <c r="H101" s="10"/>
      <c r="I101" s="10"/>
    </row>
    <row r="102" spans="1:9" ht="16.5">
      <c r="A102" s="10"/>
      <c r="B102" s="10"/>
      <c r="C102" s="10"/>
      <c r="D102" s="10"/>
      <c r="E102" s="10"/>
      <c r="F102" s="10"/>
      <c r="G102" s="10"/>
      <c r="H102" s="10"/>
      <c r="I102" s="10"/>
    </row>
    <row r="103" spans="1:9" ht="16.5">
      <c r="A103" s="10"/>
      <c r="B103" s="10"/>
      <c r="C103" s="10"/>
      <c r="D103" s="10"/>
      <c r="E103" s="10"/>
      <c r="F103" s="10"/>
      <c r="G103" s="10"/>
      <c r="H103" s="10"/>
      <c r="I103" s="10"/>
    </row>
  </sheetData>
  <pageMargins left="0.25" right="0.25" top="0.75" bottom="0.75" header="0.3" footer="0.3"/>
  <pageSetup scale="4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18509-4469-4CA1-837E-28DCE856C1A1}">
  <sheetPr codeName="Sheet19">
    <tabColor rgb="FF92D050"/>
  </sheetPr>
  <dimension ref="A1:N37"/>
  <sheetViews>
    <sheetView view="pageBreakPreview" zoomScale="60" zoomScaleNormal="80" workbookViewId="0">
      <selection activeCell="A4" sqref="A4"/>
    </sheetView>
  </sheetViews>
  <sheetFormatPr defaultRowHeight="15"/>
  <cols>
    <col min="1" max="1" width="21.5703125" customWidth="1"/>
    <col min="2" max="2" width="45.7109375" customWidth="1"/>
    <col min="3" max="3" width="23.28515625" customWidth="1"/>
    <col min="4" max="4" width="24" customWidth="1"/>
    <col min="5" max="5" width="29.28515625" customWidth="1"/>
    <col min="6" max="6" width="28.42578125" customWidth="1"/>
    <col min="7" max="7" width="27.28515625" customWidth="1"/>
    <col min="8" max="8" width="33.42578125" customWidth="1"/>
    <col min="9" max="9" width="18.7109375" customWidth="1"/>
    <col min="10" max="10" width="21.28515625" customWidth="1"/>
    <col min="11" max="11" width="4.42578125" customWidth="1"/>
    <col min="12" max="12" width="22.7109375" customWidth="1"/>
    <col min="13" max="13" width="17.28515625" customWidth="1"/>
  </cols>
  <sheetData>
    <row r="1" spans="1:14" ht="26.25">
      <c r="A1" s="21" t="s">
        <v>1</v>
      </c>
      <c r="C1" s="10"/>
      <c r="D1" s="10"/>
      <c r="E1" s="10"/>
      <c r="F1" s="10"/>
      <c r="G1" s="10"/>
      <c r="H1" s="10"/>
      <c r="I1" s="10"/>
      <c r="J1" s="10"/>
      <c r="K1" s="10"/>
      <c r="L1" s="10"/>
      <c r="M1" s="10"/>
      <c r="N1" s="10"/>
    </row>
    <row r="2" spans="1:14" ht="17.25">
      <c r="A2" s="60" t="s">
        <v>9</v>
      </c>
      <c r="C2" s="10"/>
      <c r="D2" s="10"/>
      <c r="E2" s="10"/>
      <c r="F2" s="10"/>
      <c r="G2" s="10"/>
      <c r="H2" s="10"/>
      <c r="I2" s="10"/>
      <c r="J2" s="10"/>
      <c r="K2" s="10"/>
      <c r="L2" s="10"/>
      <c r="M2" s="10"/>
      <c r="N2" s="10"/>
    </row>
    <row r="3" spans="1:14" ht="16.5">
      <c r="A3" s="23" t="s">
        <v>451</v>
      </c>
      <c r="C3" s="10"/>
      <c r="D3" s="10"/>
      <c r="E3" s="10"/>
      <c r="F3" s="10"/>
      <c r="G3" s="10"/>
      <c r="H3" s="10"/>
      <c r="I3" s="10"/>
      <c r="J3" s="10"/>
      <c r="K3" s="10"/>
      <c r="L3" s="10"/>
      <c r="M3" s="10"/>
      <c r="N3" s="10"/>
    </row>
    <row r="4" spans="1:14" ht="16.5">
      <c r="A4" s="10"/>
      <c r="C4" s="10"/>
      <c r="D4" s="10"/>
      <c r="E4" s="24" t="s">
        <v>0</v>
      </c>
      <c r="F4" s="10"/>
      <c r="G4" s="10"/>
      <c r="H4" s="10"/>
      <c r="I4" s="10"/>
      <c r="J4" s="10"/>
      <c r="K4" s="10"/>
      <c r="L4" s="10"/>
      <c r="M4" s="10"/>
      <c r="N4" s="10"/>
    </row>
    <row r="5" spans="1:14" ht="18" thickBot="1">
      <c r="A5" s="60"/>
      <c r="C5" s="10"/>
      <c r="D5" s="10"/>
      <c r="E5" s="10"/>
      <c r="F5" s="10"/>
      <c r="G5" s="10"/>
      <c r="H5" s="10"/>
      <c r="I5" s="10"/>
      <c r="J5" s="10"/>
      <c r="K5" s="10"/>
      <c r="L5" s="10"/>
      <c r="M5" s="10"/>
      <c r="N5" s="10"/>
    </row>
    <row r="6" spans="1:14" ht="21" thickBot="1">
      <c r="A6" s="25" t="str">
        <f>+'S&amp;D'!A12</f>
        <v>Air Freight Carriers</v>
      </c>
      <c r="B6" s="187"/>
      <c r="C6" s="10"/>
      <c r="D6" s="10"/>
      <c r="E6" s="10"/>
      <c r="F6" s="10"/>
      <c r="G6" s="10"/>
      <c r="H6" s="10"/>
    </row>
    <row r="7" spans="1:14" ht="18" thickBot="1">
      <c r="A7" s="60"/>
      <c r="C7" s="10"/>
      <c r="D7" s="26"/>
      <c r="E7" s="26"/>
      <c r="F7" s="26"/>
      <c r="G7" s="10"/>
      <c r="H7" s="10"/>
    </row>
    <row r="8" spans="1:14" ht="26.25">
      <c r="C8" s="10"/>
      <c r="D8" s="10"/>
      <c r="E8" s="29" t="s">
        <v>373</v>
      </c>
      <c r="F8" s="10"/>
      <c r="G8" s="10"/>
      <c r="H8" s="10"/>
    </row>
    <row r="9" spans="1:14" ht="21" thickBot="1">
      <c r="B9" s="28"/>
      <c r="C9" s="10"/>
      <c r="D9" s="26"/>
      <c r="E9" s="30" t="s">
        <v>452</v>
      </c>
      <c r="F9" s="26"/>
      <c r="G9" s="10"/>
      <c r="H9" s="10"/>
    </row>
    <row r="10" spans="1:14" ht="17.25" thickBot="1">
      <c r="B10" s="31" t="s">
        <v>0</v>
      </c>
      <c r="C10" s="31" t="s">
        <v>0</v>
      </c>
      <c r="D10" s="31" t="s">
        <v>0</v>
      </c>
      <c r="E10" s="31" t="s">
        <v>0</v>
      </c>
      <c r="F10" s="31" t="s">
        <v>0</v>
      </c>
      <c r="G10" s="31" t="s">
        <v>0</v>
      </c>
      <c r="H10" s="26"/>
    </row>
    <row r="11" spans="1:14" ht="16.5">
      <c r="B11" s="32" t="s">
        <v>0</v>
      </c>
      <c r="C11" s="32" t="s">
        <v>3</v>
      </c>
      <c r="D11" s="32" t="s">
        <v>352</v>
      </c>
      <c r="E11" s="32" t="s">
        <v>353</v>
      </c>
      <c r="F11" s="32" t="s">
        <v>232</v>
      </c>
      <c r="G11" s="32" t="s">
        <v>372</v>
      </c>
      <c r="H11" s="32" t="s">
        <v>372</v>
      </c>
    </row>
    <row r="12" spans="1:14" ht="17.25" thickBot="1">
      <c r="B12" s="34" t="s">
        <v>2</v>
      </c>
      <c r="C12" s="34" t="s">
        <v>4</v>
      </c>
      <c r="D12" s="34" t="s">
        <v>27</v>
      </c>
      <c r="E12" s="34" t="s">
        <v>168</v>
      </c>
      <c r="F12" s="34" t="s">
        <v>374</v>
      </c>
      <c r="G12" s="34" t="s">
        <v>381</v>
      </c>
      <c r="H12" s="34" t="s">
        <v>28</v>
      </c>
    </row>
    <row r="13" spans="1:14">
      <c r="B13" s="36" t="s">
        <v>0</v>
      </c>
      <c r="C13" s="36" t="s">
        <v>0</v>
      </c>
      <c r="D13" s="37" t="s">
        <v>112</v>
      </c>
      <c r="E13" s="36" t="s">
        <v>113</v>
      </c>
      <c r="F13" s="36" t="s">
        <v>0</v>
      </c>
      <c r="G13" s="36" t="s">
        <v>113</v>
      </c>
      <c r="H13" s="36" t="s">
        <v>0</v>
      </c>
    </row>
    <row r="14" spans="1:14" ht="16.5">
      <c r="B14" s="32"/>
      <c r="C14" s="32"/>
      <c r="D14" s="32"/>
      <c r="E14" s="32"/>
      <c r="F14" s="32"/>
      <c r="G14" s="32"/>
      <c r="H14" s="32"/>
    </row>
    <row r="15" spans="1:14" ht="16.5">
      <c r="B15" s="10"/>
      <c r="C15" s="10"/>
      <c r="D15" s="10"/>
      <c r="E15" s="10"/>
      <c r="F15" s="10"/>
      <c r="G15" s="10"/>
      <c r="H15" s="10"/>
    </row>
    <row r="16" spans="1:14" ht="17.25">
      <c r="B16" s="60" t="str">
        <f>+'S&amp;D'!A22</f>
        <v>Air Transport Services Group</v>
      </c>
      <c r="C16" s="86" t="str">
        <f>+'S&amp;D'!B22</f>
        <v>ATSG</v>
      </c>
      <c r="D16" s="182">
        <f>+'S&amp;D'!G22</f>
        <v>17.61</v>
      </c>
      <c r="E16" s="305">
        <v>35</v>
      </c>
      <c r="F16" s="367">
        <f>D16/E16</f>
        <v>0.50314285714285711</v>
      </c>
      <c r="G16" s="305">
        <v>23.4</v>
      </c>
      <c r="H16" s="367">
        <f>D16/G16</f>
        <v>0.75256410256410255</v>
      </c>
    </row>
    <row r="17" spans="1:8" ht="17.25">
      <c r="B17" s="60" t="str">
        <f>+'S&amp;D'!A23</f>
        <v xml:space="preserve">FedEx Corp </v>
      </c>
      <c r="C17" s="86" t="str">
        <f>+'S&amp;D'!B23</f>
        <v>FDX</v>
      </c>
      <c r="D17" s="182">
        <f>+'S&amp;D'!G23</f>
        <v>252.97</v>
      </c>
      <c r="E17" s="305">
        <v>355.65</v>
      </c>
      <c r="F17" s="367">
        <f t="shared" ref="F17:F18" si="0">D17/E17</f>
        <v>0.71128918880922254</v>
      </c>
      <c r="G17" s="305">
        <v>111.3</v>
      </c>
      <c r="H17" s="367">
        <f t="shared" ref="H17:H18" si="1">D17/G17</f>
        <v>2.2728661275831086</v>
      </c>
    </row>
    <row r="18" spans="1:8" ht="17.25">
      <c r="B18" s="60" t="str">
        <f>+'S&amp;D'!A24</f>
        <v xml:space="preserve">United Parcel Service </v>
      </c>
      <c r="C18" s="86" t="str">
        <f>+'S&amp;D'!B24</f>
        <v>UPS</v>
      </c>
      <c r="D18" s="182">
        <f>+'S&amp;D'!G24</f>
        <v>157.22999999999999</v>
      </c>
      <c r="E18" s="305">
        <v>111.5</v>
      </c>
      <c r="F18" s="367">
        <f t="shared" si="0"/>
        <v>1.4101345291479819</v>
      </c>
      <c r="G18" s="305">
        <v>23.35</v>
      </c>
      <c r="H18" s="367">
        <f t="shared" si="1"/>
        <v>6.7336188436830824</v>
      </c>
    </row>
    <row r="19" spans="1:8" ht="11.25" customHeight="1" thickBot="1">
      <c r="B19" s="10"/>
      <c r="C19" s="67"/>
      <c r="D19" s="67"/>
      <c r="E19" s="67"/>
      <c r="F19" s="368"/>
      <c r="G19" s="67"/>
      <c r="H19" s="368"/>
    </row>
    <row r="20" spans="1:8" ht="17.25" thickTop="1">
      <c r="B20" s="10"/>
      <c r="D20" s="12" t="s">
        <v>45</v>
      </c>
      <c r="E20" s="353">
        <f>MAX(E16:E18)</f>
        <v>355.65</v>
      </c>
      <c r="F20" s="353">
        <f t="shared" ref="F20:H20" si="2">MAX(F16:F18)</f>
        <v>1.4101345291479819</v>
      </c>
      <c r="G20" s="353">
        <f t="shared" si="2"/>
        <v>111.3</v>
      </c>
      <c r="H20" s="353">
        <f t="shared" si="2"/>
        <v>6.7336188436830824</v>
      </c>
    </row>
    <row r="21" spans="1:8" ht="16.5">
      <c r="B21" s="10"/>
      <c r="D21" s="314" t="s">
        <v>46</v>
      </c>
      <c r="E21" s="354">
        <f>MIN(E16:E18)</f>
        <v>35</v>
      </c>
      <c r="F21" s="354">
        <f t="shared" ref="F21:H21" si="3">MIN(F16:F18)</f>
        <v>0.50314285714285711</v>
      </c>
      <c r="G21" s="354">
        <f t="shared" si="3"/>
        <v>23.35</v>
      </c>
      <c r="H21" s="354">
        <f t="shared" si="3"/>
        <v>0.75256410256410255</v>
      </c>
    </row>
    <row r="22" spans="1:8" ht="16.5">
      <c r="B22" s="10"/>
      <c r="D22" s="12" t="s">
        <v>18</v>
      </c>
      <c r="E22" s="68" t="s">
        <v>0</v>
      </c>
      <c r="F22" s="19">
        <f>MEDIAN(F16:F18)</f>
        <v>0.71128918880922254</v>
      </c>
      <c r="G22" s="68" t="s">
        <v>0</v>
      </c>
      <c r="H22" s="16">
        <f>MEDIAN(H16:H18)</f>
        <v>2.2728661275831086</v>
      </c>
    </row>
    <row r="23" spans="1:8" ht="16.5">
      <c r="B23" s="10"/>
      <c r="D23" s="12" t="s">
        <v>412</v>
      </c>
      <c r="E23" s="15" t="s">
        <v>0</v>
      </c>
      <c r="F23" s="17">
        <f>AVERAGE(F16:F18)</f>
        <v>0.87485552503335384</v>
      </c>
      <c r="G23" s="15" t="s">
        <v>0</v>
      </c>
      <c r="H23" s="16">
        <f>AVERAGE(H16:H18)</f>
        <v>3.2530163579434315</v>
      </c>
    </row>
    <row r="24" spans="1:8" ht="16.5">
      <c r="B24" s="10"/>
      <c r="C24" s="10"/>
      <c r="D24" s="10"/>
      <c r="E24" s="10"/>
      <c r="F24" s="10"/>
      <c r="G24" s="10"/>
      <c r="H24" s="10"/>
    </row>
    <row r="25" spans="1:8" ht="16.5">
      <c r="B25" s="10"/>
      <c r="C25" s="10"/>
      <c r="D25" s="10"/>
      <c r="E25" s="10"/>
      <c r="F25" s="10"/>
      <c r="G25" s="10"/>
      <c r="H25" s="10"/>
    </row>
    <row r="26" spans="1:8" ht="17.25" thickBot="1">
      <c r="B26" s="10"/>
      <c r="C26" s="10"/>
      <c r="D26" s="10"/>
      <c r="E26" s="10"/>
      <c r="F26" s="10"/>
      <c r="H26" s="10"/>
    </row>
    <row r="27" spans="1:8" ht="27" thickBot="1">
      <c r="B27" s="71" t="s">
        <v>0</v>
      </c>
      <c r="C27" s="10"/>
      <c r="D27" s="21" t="s">
        <v>123</v>
      </c>
      <c r="E27" s="21"/>
      <c r="F27" s="403">
        <v>0.87</v>
      </c>
      <c r="H27" s="403">
        <v>3.25</v>
      </c>
    </row>
    <row r="28" spans="1:8" ht="16.5">
      <c r="B28" s="71" t="s">
        <v>0</v>
      </c>
      <c r="C28" s="10"/>
      <c r="D28" s="10"/>
      <c r="E28" s="10"/>
      <c r="F28" s="10"/>
      <c r="H28" s="10"/>
    </row>
    <row r="29" spans="1:8" ht="16.5">
      <c r="B29" s="71"/>
      <c r="C29" s="10"/>
      <c r="D29" s="10"/>
      <c r="E29" s="10"/>
      <c r="F29" s="10"/>
      <c r="H29" s="10"/>
    </row>
    <row r="30" spans="1:8" ht="17.25">
      <c r="A30" s="102" t="s">
        <v>375</v>
      </c>
      <c r="B30" s="71"/>
      <c r="C30" s="10"/>
      <c r="D30" s="10"/>
      <c r="E30" s="10"/>
      <c r="F30" s="10"/>
      <c r="H30" s="10"/>
    </row>
    <row r="31" spans="1:8" ht="17.25">
      <c r="A31" s="102" t="s">
        <v>357</v>
      </c>
      <c r="B31" s="71"/>
      <c r="C31" s="10"/>
      <c r="D31" s="10"/>
      <c r="E31" s="10"/>
      <c r="F31" s="10"/>
      <c r="G31" s="10"/>
      <c r="H31" s="10"/>
    </row>
    <row r="32" spans="1:8" ht="16.5">
      <c r="B32" s="71"/>
      <c r="C32" s="10"/>
      <c r="D32" s="10"/>
      <c r="E32" s="10"/>
      <c r="F32" s="10"/>
      <c r="G32" s="10"/>
      <c r="H32" s="10"/>
    </row>
    <row r="33" spans="1:14" ht="17.25">
      <c r="A33" s="102" t="s">
        <v>376</v>
      </c>
      <c r="B33" s="71"/>
      <c r="C33" s="10"/>
      <c r="D33" s="10"/>
      <c r="E33" s="10"/>
      <c r="F33" s="10"/>
      <c r="G33" s="10"/>
      <c r="H33" s="10"/>
    </row>
    <row r="34" spans="1:14" ht="17.25">
      <c r="A34" s="102" t="s">
        <v>355</v>
      </c>
      <c r="B34" s="71"/>
      <c r="C34" s="10"/>
      <c r="D34" s="10"/>
      <c r="E34" s="10"/>
      <c r="F34" s="10"/>
      <c r="G34" s="10"/>
      <c r="H34" s="10"/>
    </row>
    <row r="35" spans="1:14" ht="17.25">
      <c r="A35" s="102" t="s">
        <v>356</v>
      </c>
      <c r="B35" s="71"/>
      <c r="C35" s="10"/>
      <c r="D35" s="10"/>
      <c r="E35" s="10"/>
      <c r="F35" s="10"/>
      <c r="G35" s="10"/>
      <c r="H35" s="10"/>
    </row>
    <row r="36" spans="1:14" ht="16.5">
      <c r="B36" s="10"/>
      <c r="C36" s="10"/>
      <c r="D36" s="10"/>
      <c r="E36" s="10"/>
      <c r="F36" s="10"/>
      <c r="G36" s="10"/>
      <c r="H36" s="10"/>
      <c r="I36" s="10"/>
      <c r="J36" s="10"/>
      <c r="K36" s="10"/>
      <c r="L36" s="10"/>
      <c r="M36" s="10"/>
      <c r="N36" s="10"/>
    </row>
    <row r="37" spans="1:14" ht="16.5">
      <c r="B37" s="10"/>
      <c r="C37" s="10"/>
      <c r="D37" s="10"/>
      <c r="E37" s="10"/>
      <c r="F37" s="10"/>
      <c r="G37" s="10"/>
      <c r="H37" s="10"/>
      <c r="I37" s="10"/>
      <c r="J37" s="10"/>
      <c r="K37" s="10"/>
      <c r="L37" s="10"/>
      <c r="M37" s="10"/>
      <c r="N37" s="10"/>
    </row>
  </sheetData>
  <pageMargins left="0.25" right="0.25" top="0.75" bottom="0.75" header="0.3" footer="0.3"/>
  <pageSetup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K31"/>
  <sheetViews>
    <sheetView view="pageBreakPreview" topLeftCell="A10" zoomScale="80" zoomScaleNormal="80" zoomScaleSheetLayoutView="80" workbookViewId="0">
      <selection activeCell="G30" sqref="G30"/>
    </sheetView>
  </sheetViews>
  <sheetFormatPr defaultRowHeight="15"/>
  <cols>
    <col min="1" max="1" width="22.28515625" customWidth="1"/>
    <col min="2" max="2" width="39.7109375" customWidth="1"/>
    <col min="3" max="3" width="16.85546875" customWidth="1"/>
    <col min="4" max="4" width="35.28515625" customWidth="1"/>
    <col min="5" max="5" width="18" customWidth="1"/>
    <col min="6" max="6" width="20.85546875" bestFit="1" customWidth="1"/>
    <col min="7" max="7" width="22" customWidth="1"/>
    <col min="8" max="8" width="23.7109375" customWidth="1"/>
  </cols>
  <sheetData>
    <row r="1" spans="1:11" ht="26.25">
      <c r="A1" s="21" t="s">
        <v>1</v>
      </c>
      <c r="C1" s="10"/>
      <c r="D1" s="10"/>
      <c r="E1" s="10"/>
      <c r="F1" s="10"/>
      <c r="G1" s="10"/>
      <c r="H1" s="10"/>
      <c r="I1" s="10"/>
      <c r="J1" s="10"/>
      <c r="K1" s="10"/>
    </row>
    <row r="2" spans="1:11" ht="17.25">
      <c r="A2" s="22" t="s">
        <v>9</v>
      </c>
      <c r="C2" s="10"/>
      <c r="D2" s="10"/>
      <c r="E2" s="10"/>
      <c r="F2" s="10"/>
      <c r="G2" s="10"/>
      <c r="H2" s="10"/>
      <c r="I2" s="10"/>
      <c r="J2" s="10"/>
      <c r="K2" s="10"/>
    </row>
    <row r="3" spans="1:11" ht="17.25" customHeight="1">
      <c r="A3" s="23" t="s">
        <v>451</v>
      </c>
      <c r="C3" s="10"/>
      <c r="D3" s="10"/>
      <c r="E3" s="10"/>
      <c r="F3" s="10"/>
      <c r="G3" s="10"/>
      <c r="H3" s="10"/>
      <c r="I3" s="10"/>
      <c r="J3" s="10"/>
      <c r="K3" s="10"/>
    </row>
    <row r="4" spans="1:11" ht="17.25" customHeight="1">
      <c r="B4" s="23"/>
      <c r="C4" s="10"/>
      <c r="D4" s="10"/>
      <c r="E4" s="10"/>
      <c r="F4" s="10"/>
      <c r="G4" s="10"/>
      <c r="H4" s="10"/>
      <c r="I4" s="10"/>
      <c r="J4" s="10"/>
      <c r="K4" s="10"/>
    </row>
    <row r="5" spans="1:11" ht="17.25" customHeight="1">
      <c r="B5" s="142"/>
      <c r="C5" s="10"/>
      <c r="D5" s="10"/>
      <c r="E5" s="10"/>
      <c r="F5" s="10"/>
      <c r="G5" s="10"/>
      <c r="H5" s="10"/>
      <c r="I5" s="10"/>
      <c r="J5" s="10"/>
      <c r="K5" s="10"/>
    </row>
    <row r="6" spans="1:11" ht="17.25" customHeight="1">
      <c r="B6" s="142"/>
      <c r="C6" s="10"/>
      <c r="D6" s="10"/>
      <c r="E6" s="10"/>
      <c r="F6" s="10"/>
      <c r="G6" s="10"/>
      <c r="H6" s="10"/>
      <c r="I6" s="10"/>
      <c r="J6" s="10"/>
      <c r="K6" s="10"/>
    </row>
    <row r="7" spans="1:11" ht="17.25" customHeight="1">
      <c r="B7" s="142"/>
      <c r="C7" s="10"/>
      <c r="D7" s="10"/>
      <c r="E7" s="10"/>
      <c r="F7" s="10"/>
      <c r="G7" s="10"/>
      <c r="H7" s="10"/>
      <c r="I7" s="10"/>
      <c r="J7" s="10"/>
      <c r="K7" s="10"/>
    </row>
    <row r="8" spans="1:11" ht="16.5">
      <c r="B8" s="23"/>
      <c r="C8" s="10"/>
      <c r="D8" s="10"/>
      <c r="E8" s="10"/>
      <c r="F8" s="10"/>
      <c r="G8" s="10"/>
      <c r="H8" s="10"/>
      <c r="I8" s="10"/>
      <c r="J8" s="10"/>
      <c r="K8" s="10"/>
    </row>
    <row r="9" spans="1:11" ht="20.25">
      <c r="B9" s="10"/>
      <c r="C9" s="10"/>
      <c r="D9" s="74" t="s">
        <v>0</v>
      </c>
      <c r="E9" s="10"/>
      <c r="F9" s="10"/>
      <c r="G9" s="10"/>
      <c r="H9" s="10"/>
      <c r="I9" s="10"/>
      <c r="J9" s="10"/>
      <c r="K9" s="10"/>
    </row>
    <row r="10" spans="1:11" ht="20.25">
      <c r="B10" s="10"/>
      <c r="C10" s="10"/>
      <c r="D10" s="74" t="s">
        <v>63</v>
      </c>
      <c r="E10" s="10"/>
      <c r="F10" s="10"/>
      <c r="G10" s="10"/>
      <c r="H10" s="10"/>
      <c r="I10" s="10"/>
      <c r="J10" s="10"/>
      <c r="K10" s="10"/>
    </row>
    <row r="11" spans="1:11" ht="16.5">
      <c r="B11" s="10"/>
      <c r="C11" s="10"/>
      <c r="D11" s="10"/>
      <c r="E11" s="10"/>
      <c r="F11" s="10"/>
      <c r="G11" s="10"/>
      <c r="H11" s="10"/>
      <c r="I11" s="10"/>
      <c r="J11" s="10"/>
      <c r="K11" s="10"/>
    </row>
    <row r="12" spans="1:11" ht="16.5">
      <c r="B12" s="10"/>
      <c r="C12" s="10"/>
      <c r="D12" s="10"/>
      <c r="E12" s="10"/>
      <c r="F12" s="10"/>
      <c r="G12" s="10"/>
      <c r="H12" s="10"/>
      <c r="I12" s="10"/>
      <c r="J12" s="10"/>
      <c r="K12" s="10"/>
    </row>
    <row r="13" spans="1:11" ht="16.5">
      <c r="B13" s="10"/>
      <c r="C13" s="10"/>
      <c r="D13" s="10"/>
      <c r="E13" s="24"/>
      <c r="F13" s="10"/>
      <c r="G13" s="10"/>
      <c r="H13" s="10"/>
      <c r="I13" s="10"/>
      <c r="J13" s="10"/>
      <c r="K13" s="10"/>
    </row>
    <row r="14" spans="1:11" ht="16.5">
      <c r="B14" s="10"/>
      <c r="C14" s="10"/>
      <c r="D14" s="10"/>
      <c r="E14" s="10"/>
      <c r="F14" s="10"/>
      <c r="G14" s="10"/>
      <c r="H14" s="10"/>
      <c r="I14" s="10"/>
      <c r="J14" s="10"/>
      <c r="K14" s="10"/>
    </row>
    <row r="15" spans="1:11" ht="17.25" thickBot="1">
      <c r="B15" s="10"/>
      <c r="C15" s="26"/>
      <c r="D15" s="26"/>
      <c r="E15" s="26"/>
      <c r="F15" s="10"/>
      <c r="G15" s="10"/>
      <c r="H15" s="10"/>
      <c r="I15" s="10"/>
      <c r="J15" s="10"/>
      <c r="K15" s="10"/>
    </row>
    <row r="16" spans="1:11" ht="26.25">
      <c r="B16" s="10"/>
      <c r="C16" s="10"/>
      <c r="D16" s="29" t="str">
        <f>+'S&amp;D'!A12</f>
        <v>Air Freight Carriers</v>
      </c>
      <c r="E16" s="10"/>
      <c r="F16" s="10"/>
      <c r="G16" s="10"/>
      <c r="H16" s="10"/>
      <c r="I16" s="10"/>
      <c r="J16" s="10"/>
      <c r="K16" s="10"/>
    </row>
    <row r="17" spans="2:11" ht="17.25" thickBot="1">
      <c r="B17" s="10"/>
      <c r="C17" s="26"/>
      <c r="D17" s="34" t="s">
        <v>0</v>
      </c>
      <c r="E17" s="26"/>
      <c r="F17" s="10"/>
      <c r="G17" s="10"/>
      <c r="H17" s="10"/>
      <c r="I17" s="10"/>
      <c r="J17" s="10"/>
      <c r="K17" s="10"/>
    </row>
    <row r="18" spans="2:11" ht="17.25" thickBot="1">
      <c r="B18" s="26"/>
      <c r="C18" s="26"/>
      <c r="D18" s="34" t="s">
        <v>0</v>
      </c>
      <c r="E18" s="26"/>
      <c r="F18" s="26"/>
      <c r="G18" s="26"/>
      <c r="H18" s="10"/>
      <c r="I18" s="10"/>
      <c r="J18" s="10"/>
      <c r="K18" s="10"/>
    </row>
    <row r="19" spans="2:11" ht="16.5">
      <c r="B19" s="32" t="s">
        <v>31</v>
      </c>
      <c r="C19" s="32" t="s">
        <v>32</v>
      </c>
      <c r="D19" s="32" t="s">
        <v>33</v>
      </c>
      <c r="E19" s="32" t="s">
        <v>67</v>
      </c>
      <c r="F19" s="32" t="s">
        <v>33</v>
      </c>
      <c r="G19" s="32" t="s">
        <v>34</v>
      </c>
      <c r="H19" s="10"/>
      <c r="I19" s="10"/>
      <c r="J19" s="10"/>
      <c r="K19" s="10"/>
    </row>
    <row r="20" spans="2:11" ht="17.25" thickBot="1">
      <c r="B20" s="34" t="s">
        <v>32</v>
      </c>
      <c r="C20" s="34" t="s">
        <v>35</v>
      </c>
      <c r="D20" s="34" t="s">
        <v>36</v>
      </c>
      <c r="E20" s="34" t="s">
        <v>23</v>
      </c>
      <c r="F20" s="34" t="s">
        <v>37</v>
      </c>
      <c r="G20" s="34" t="s">
        <v>38</v>
      </c>
      <c r="H20" s="10"/>
      <c r="I20" s="10"/>
      <c r="J20" s="10"/>
      <c r="K20" s="10"/>
    </row>
    <row r="21" spans="2:11" ht="16.5">
      <c r="B21" s="36" t="s">
        <v>0</v>
      </c>
      <c r="C21" s="36" t="s">
        <v>0</v>
      </c>
      <c r="D21" s="36" t="s">
        <v>0</v>
      </c>
      <c r="E21" s="36" t="s">
        <v>0</v>
      </c>
      <c r="F21" s="36" t="s">
        <v>0</v>
      </c>
      <c r="G21" s="36" t="s">
        <v>0</v>
      </c>
      <c r="H21" s="10"/>
      <c r="I21" s="10"/>
      <c r="J21" s="10"/>
      <c r="K21" s="10"/>
    </row>
    <row r="22" spans="2:11" ht="16.5">
      <c r="B22" s="32"/>
      <c r="C22" s="32"/>
      <c r="D22" s="32"/>
      <c r="E22" s="32"/>
      <c r="F22" s="32"/>
      <c r="G22" s="32"/>
      <c r="H22" s="10"/>
      <c r="I22" s="10"/>
      <c r="J22" s="10"/>
      <c r="K22" s="10"/>
    </row>
    <row r="23" spans="2:11" ht="17.25">
      <c r="B23" s="86" t="s">
        <v>39</v>
      </c>
      <c r="C23" s="134">
        <f>'S&amp;D'!J42</f>
        <v>0.63</v>
      </c>
      <c r="D23" s="134">
        <f>+'Indicated Yield Equity Rate '!D51</f>
        <v>8.8599999999999998E-2</v>
      </c>
      <c r="E23" s="99" t="s">
        <v>40</v>
      </c>
      <c r="F23" s="134">
        <f>+D23</f>
        <v>8.8599999999999998E-2</v>
      </c>
      <c r="G23" s="135">
        <f>+F23*C23</f>
        <v>5.5818E-2</v>
      </c>
      <c r="H23" s="10"/>
      <c r="I23" s="10"/>
      <c r="J23" s="10"/>
      <c r="K23" s="10"/>
    </row>
    <row r="24" spans="2:11" ht="17.25">
      <c r="B24" s="86" t="s">
        <v>0</v>
      </c>
      <c r="C24" s="99" t="s">
        <v>0</v>
      </c>
      <c r="D24" s="99" t="s">
        <v>0</v>
      </c>
      <c r="E24" s="99" t="s">
        <v>0</v>
      </c>
      <c r="F24" s="136" t="s">
        <v>0</v>
      </c>
      <c r="G24" s="118" t="s">
        <v>0</v>
      </c>
      <c r="H24" s="10"/>
      <c r="I24" s="10"/>
      <c r="J24" s="10"/>
      <c r="K24" s="10"/>
    </row>
    <row r="25" spans="2:11" ht="17.25">
      <c r="B25" s="86" t="s">
        <v>41</v>
      </c>
      <c r="C25" s="134">
        <f>'S&amp;D'!K42</f>
        <v>0.37</v>
      </c>
      <c r="D25" s="134">
        <f>+'Yield Debt'!J25</f>
        <v>6.3200000000000006E-2</v>
      </c>
      <c r="E25" s="134">
        <v>0.26</v>
      </c>
      <c r="F25" s="134">
        <f>+D25*(1-E25)</f>
        <v>4.6768000000000004E-2</v>
      </c>
      <c r="G25" s="135">
        <f>+C25*F25</f>
        <v>1.7304160000000002E-2</v>
      </c>
      <c r="H25" s="10"/>
      <c r="I25" s="10"/>
      <c r="J25" s="10"/>
      <c r="K25" s="10"/>
    </row>
    <row r="26" spans="2:11" ht="18" thickBot="1">
      <c r="B26" s="93" t="s">
        <v>0</v>
      </c>
      <c r="C26" s="93" t="s">
        <v>0</v>
      </c>
      <c r="D26" s="93" t="s">
        <v>0</v>
      </c>
      <c r="E26" s="93" t="s">
        <v>0</v>
      </c>
      <c r="F26" s="137" t="s">
        <v>0</v>
      </c>
      <c r="G26" s="138" t="s">
        <v>0</v>
      </c>
      <c r="H26" s="10"/>
      <c r="I26" s="10"/>
      <c r="J26" s="10"/>
      <c r="K26" s="10"/>
    </row>
    <row r="27" spans="2:11" ht="17.25">
      <c r="B27" s="86" t="s">
        <v>70</v>
      </c>
      <c r="C27" s="139">
        <f>+C23+C25</f>
        <v>1</v>
      </c>
      <c r="D27" s="86" t="s">
        <v>0</v>
      </c>
      <c r="E27" s="86" t="s">
        <v>0</v>
      </c>
      <c r="F27" s="140" t="s">
        <v>0</v>
      </c>
      <c r="G27" s="135">
        <f>+G23+G25</f>
        <v>7.3122160000000005E-2</v>
      </c>
      <c r="H27" s="10"/>
      <c r="I27" s="10"/>
      <c r="J27" s="10"/>
      <c r="K27" s="10"/>
    </row>
    <row r="28" spans="2:11" ht="18" thickBot="1">
      <c r="B28" s="60"/>
      <c r="C28" s="60"/>
      <c r="D28" s="60"/>
      <c r="E28" s="60"/>
      <c r="F28" s="60"/>
      <c r="G28" s="141"/>
      <c r="H28" s="10"/>
      <c r="I28" s="10"/>
      <c r="J28" s="10"/>
      <c r="K28" s="10"/>
    </row>
    <row r="29" spans="2:11" ht="18" thickBot="1">
      <c r="B29" s="10"/>
      <c r="C29" s="10"/>
      <c r="D29" s="10"/>
      <c r="E29" s="10"/>
      <c r="F29" s="202" t="s">
        <v>73</v>
      </c>
      <c r="G29" s="404">
        <v>7.3099999999999998E-2</v>
      </c>
      <c r="H29" s="10"/>
      <c r="I29" s="10"/>
      <c r="J29" s="10"/>
      <c r="K29" s="10"/>
    </row>
    <row r="30" spans="2:11" ht="16.5">
      <c r="B30" s="10"/>
      <c r="C30" s="10"/>
      <c r="D30" s="10"/>
      <c r="E30" s="10"/>
      <c r="F30" s="10"/>
      <c r="G30" s="10"/>
      <c r="H30" s="10"/>
      <c r="I30" s="10"/>
      <c r="J30" s="10"/>
      <c r="K30" s="10"/>
    </row>
    <row r="31" spans="2:11" ht="16.5">
      <c r="B31" s="10"/>
      <c r="C31" s="10"/>
      <c r="D31" s="10"/>
      <c r="E31" s="10"/>
      <c r="F31" s="10"/>
      <c r="G31" s="10"/>
      <c r="H31" s="10"/>
      <c r="I31" s="10"/>
      <c r="J31" s="10"/>
      <c r="K31" s="10"/>
    </row>
  </sheetData>
  <pageMargins left="0.25" right="0.25" top="0.75" bottom="0.75" header="0.3" footer="0.3"/>
  <pageSetup scale="6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tabColor rgb="FF92D050"/>
  </sheetPr>
  <dimension ref="A1"/>
  <sheetViews>
    <sheetView topLeftCell="A19" workbookViewId="0">
      <selection activeCell="B3" sqref="B3"/>
    </sheetView>
  </sheetViews>
  <sheetFormatPr defaultRowHeight="1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5631F-B284-4F75-B05C-C409AB53D71E}">
  <sheetPr codeName="Sheet3">
    <tabColor rgb="FF92D050"/>
    <pageSetUpPr fitToPage="1"/>
  </sheetPr>
  <dimension ref="A1:K64"/>
  <sheetViews>
    <sheetView view="pageBreakPreview" topLeftCell="A38" zoomScale="80" zoomScaleNormal="80" zoomScaleSheetLayoutView="80" workbookViewId="0">
      <selection activeCell="G30" sqref="G30"/>
    </sheetView>
  </sheetViews>
  <sheetFormatPr defaultRowHeight="15"/>
  <cols>
    <col min="1" max="1" width="17.28515625" customWidth="1"/>
    <col min="2" max="2" width="31.7109375" customWidth="1"/>
    <col min="3" max="3" width="16.5703125" customWidth="1"/>
    <col min="4" max="4" width="35.28515625" customWidth="1"/>
    <col min="5" max="5" width="14.85546875" customWidth="1"/>
    <col min="6" max="6" width="25.85546875" customWidth="1"/>
    <col min="7" max="7" width="24.140625" customWidth="1"/>
    <col min="8" max="8" width="17.7109375" customWidth="1"/>
  </cols>
  <sheetData>
    <row r="1" spans="1:11" ht="26.25">
      <c r="A1" s="21" t="s">
        <v>1</v>
      </c>
      <c r="C1" s="10"/>
      <c r="D1" s="10"/>
      <c r="E1" s="10"/>
      <c r="F1" s="10"/>
      <c r="G1" s="10"/>
      <c r="H1" s="10"/>
      <c r="I1" s="10"/>
      <c r="J1" s="10"/>
      <c r="K1" s="10"/>
    </row>
    <row r="2" spans="1:11" ht="17.25">
      <c r="A2" s="22" t="s">
        <v>9</v>
      </c>
      <c r="C2" s="10"/>
      <c r="D2" s="10"/>
      <c r="E2" s="10"/>
      <c r="F2" s="10"/>
      <c r="G2" s="10"/>
      <c r="H2" s="10"/>
      <c r="I2" s="10"/>
      <c r="J2" s="10"/>
      <c r="K2" s="10"/>
    </row>
    <row r="3" spans="1:11" ht="16.5">
      <c r="A3" s="23" t="s">
        <v>451</v>
      </c>
      <c r="C3" s="10"/>
      <c r="D3" s="10"/>
      <c r="E3" s="10"/>
      <c r="F3" s="10"/>
      <c r="G3" s="10"/>
      <c r="H3" s="10"/>
      <c r="I3" s="10"/>
      <c r="J3" s="10"/>
      <c r="K3" s="10"/>
    </row>
    <row r="4" spans="1:11" ht="16.5">
      <c r="B4" s="23"/>
      <c r="C4" s="10"/>
      <c r="D4" s="10"/>
      <c r="E4" s="10"/>
      <c r="F4" s="10"/>
      <c r="G4" s="10"/>
      <c r="H4" s="10"/>
      <c r="I4" s="10"/>
      <c r="J4" s="10"/>
      <c r="K4" s="10"/>
    </row>
    <row r="5" spans="1:11" ht="16.5">
      <c r="B5" s="23"/>
      <c r="C5" s="10"/>
      <c r="D5" s="10"/>
      <c r="E5" s="10"/>
      <c r="F5" s="10"/>
      <c r="G5" s="10"/>
      <c r="H5" s="10"/>
      <c r="I5" s="10"/>
      <c r="J5" s="10"/>
      <c r="K5" s="10"/>
    </row>
    <row r="6" spans="1:11" ht="16.5">
      <c r="B6" s="23"/>
      <c r="C6" s="10"/>
      <c r="D6" s="10"/>
      <c r="E6" s="10"/>
      <c r="F6" s="10"/>
      <c r="G6" s="10"/>
      <c r="H6" s="10"/>
      <c r="I6" s="10"/>
      <c r="J6" s="10"/>
      <c r="K6" s="10"/>
    </row>
    <row r="7" spans="1:11" ht="16.5">
      <c r="B7" s="23"/>
      <c r="C7" s="10"/>
      <c r="D7" s="10"/>
      <c r="E7" s="10"/>
      <c r="F7" s="10"/>
      <c r="G7" s="10"/>
      <c r="H7" s="10"/>
      <c r="I7" s="10"/>
      <c r="J7" s="10"/>
      <c r="K7" s="10"/>
    </row>
    <row r="8" spans="1:11" ht="16.5">
      <c r="B8" s="23"/>
      <c r="C8" s="10"/>
      <c r="D8" s="10"/>
      <c r="E8" s="10"/>
      <c r="F8" s="10"/>
      <c r="G8" s="10"/>
      <c r="H8" s="10"/>
      <c r="I8" s="10"/>
      <c r="J8" s="10"/>
      <c r="K8" s="10"/>
    </row>
    <row r="9" spans="1:11" ht="16.5">
      <c r="B9" s="23"/>
      <c r="C9" s="10"/>
      <c r="D9" s="10"/>
      <c r="E9" s="10"/>
      <c r="F9" s="10"/>
      <c r="G9" s="10"/>
      <c r="H9" s="10"/>
      <c r="I9" s="10"/>
      <c r="J9" s="10"/>
      <c r="K9" s="10"/>
    </row>
    <row r="10" spans="1:11" ht="20.25">
      <c r="B10" s="10"/>
      <c r="C10" s="10"/>
      <c r="D10" s="74" t="s">
        <v>0</v>
      </c>
      <c r="E10" s="10"/>
      <c r="F10" s="10"/>
      <c r="G10" s="10"/>
      <c r="H10" s="10"/>
      <c r="I10" s="10"/>
      <c r="J10" s="10"/>
      <c r="K10" s="10"/>
    </row>
    <row r="11" spans="1:11" ht="20.25">
      <c r="B11" s="10"/>
      <c r="C11" s="10"/>
      <c r="D11" s="74" t="s">
        <v>62</v>
      </c>
      <c r="E11" s="10"/>
      <c r="F11" s="10"/>
      <c r="G11" s="10"/>
      <c r="H11" s="10"/>
      <c r="I11" s="10"/>
      <c r="J11" s="10"/>
      <c r="K11" s="10"/>
    </row>
    <row r="12" spans="1:11" ht="16.5">
      <c r="B12" s="10"/>
      <c r="C12" s="10"/>
      <c r="D12" s="10"/>
      <c r="E12" s="10"/>
      <c r="F12" s="10"/>
      <c r="G12" s="10"/>
      <c r="H12" s="10"/>
      <c r="I12" s="10"/>
      <c r="J12" s="10"/>
      <c r="K12" s="10"/>
    </row>
    <row r="13" spans="1:11" ht="16.5">
      <c r="B13" s="10"/>
      <c r="C13" s="10"/>
      <c r="D13" s="10"/>
      <c r="E13" s="10"/>
      <c r="F13" s="10"/>
      <c r="G13" s="10"/>
      <c r="H13" s="10"/>
      <c r="I13" s="10"/>
      <c r="J13" s="10"/>
      <c r="K13" s="10"/>
    </row>
    <row r="14" spans="1:11" ht="17.25" thickBot="1">
      <c r="B14" s="10"/>
      <c r="C14" s="26"/>
      <c r="D14" s="26"/>
      <c r="E14" s="26"/>
      <c r="F14" s="10"/>
      <c r="G14" s="10"/>
      <c r="H14" s="10"/>
      <c r="I14" s="10"/>
      <c r="J14" s="10"/>
      <c r="K14" s="10"/>
    </row>
    <row r="15" spans="1:11" ht="26.25">
      <c r="B15" s="10"/>
      <c r="C15" s="10"/>
      <c r="D15" s="29" t="str">
        <f>+'S&amp;D'!A12</f>
        <v>Air Freight Carriers</v>
      </c>
      <c r="E15" s="10"/>
      <c r="F15" s="10"/>
      <c r="G15" s="10"/>
      <c r="H15" s="10"/>
      <c r="I15" s="10"/>
      <c r="J15" s="10"/>
      <c r="K15" s="10"/>
    </row>
    <row r="16" spans="1:11" ht="21" thickBot="1">
      <c r="B16" s="10"/>
      <c r="C16" s="26"/>
      <c r="D16" s="133" t="s">
        <v>69</v>
      </c>
      <c r="E16" s="26"/>
      <c r="F16" s="10"/>
      <c r="G16" s="10"/>
      <c r="H16" s="10"/>
      <c r="I16" s="10"/>
      <c r="J16" s="10"/>
      <c r="K16" s="10"/>
    </row>
    <row r="17" spans="2:11" ht="16.5">
      <c r="H17" s="10"/>
      <c r="I17" s="10"/>
      <c r="J17" s="10"/>
      <c r="K17" s="10"/>
    </row>
    <row r="18" spans="2:11" ht="17.25" thickBot="1">
      <c r="B18" s="26"/>
      <c r="C18" s="26"/>
      <c r="D18" s="34" t="s">
        <v>0</v>
      </c>
      <c r="E18" s="26"/>
      <c r="F18" s="26"/>
      <c r="G18" s="26"/>
      <c r="H18" s="10"/>
      <c r="I18" s="10"/>
      <c r="J18" s="10"/>
      <c r="K18" s="10"/>
    </row>
    <row r="19" spans="2:11" ht="16.5">
      <c r="B19" s="32" t="s">
        <v>31</v>
      </c>
      <c r="C19" s="32" t="s">
        <v>32</v>
      </c>
      <c r="D19" s="32" t="s">
        <v>66</v>
      </c>
      <c r="E19" s="32" t="s">
        <v>67</v>
      </c>
      <c r="F19" s="32" t="s">
        <v>65</v>
      </c>
      <c r="G19" s="32" t="s">
        <v>34</v>
      </c>
      <c r="H19" s="10"/>
      <c r="I19" s="10"/>
      <c r="J19" s="10"/>
      <c r="K19" s="10"/>
    </row>
    <row r="20" spans="2:11" ht="17.25" thickBot="1">
      <c r="B20" s="34" t="s">
        <v>32</v>
      </c>
      <c r="C20" s="34" t="s">
        <v>35</v>
      </c>
      <c r="D20" s="34" t="s">
        <v>36</v>
      </c>
      <c r="E20" s="34" t="s">
        <v>23</v>
      </c>
      <c r="F20" s="34" t="s">
        <v>37</v>
      </c>
      <c r="G20" s="34" t="s">
        <v>68</v>
      </c>
      <c r="H20" s="10"/>
      <c r="I20" s="10"/>
      <c r="J20" s="10"/>
      <c r="K20" s="10"/>
    </row>
    <row r="21" spans="2:11" ht="16.5">
      <c r="B21" s="36" t="s">
        <v>0</v>
      </c>
      <c r="C21" s="36" t="s">
        <v>0</v>
      </c>
      <c r="D21" s="36" t="s">
        <v>0</v>
      </c>
      <c r="E21" s="36" t="s">
        <v>0</v>
      </c>
      <c r="F21" s="36" t="s">
        <v>0</v>
      </c>
      <c r="G21" s="36" t="s">
        <v>0</v>
      </c>
      <c r="H21" s="10"/>
      <c r="I21" s="10"/>
      <c r="J21" s="10"/>
      <c r="K21" s="10"/>
    </row>
    <row r="22" spans="2:11" ht="16.5">
      <c r="B22" s="32"/>
      <c r="C22" s="32"/>
      <c r="D22" s="32"/>
      <c r="E22" s="32"/>
      <c r="F22" s="32"/>
      <c r="G22" s="32"/>
      <c r="H22" s="10"/>
      <c r="I22" s="10"/>
      <c r="J22" s="10"/>
      <c r="K22" s="10"/>
    </row>
    <row r="23" spans="2:11" ht="17.25">
      <c r="B23" s="86" t="s">
        <v>39</v>
      </c>
      <c r="C23" s="134">
        <f>'S&amp;D'!J42</f>
        <v>0.63</v>
      </c>
      <c r="D23" s="134">
        <f>+'Direct NOPAT'!J29</f>
        <v>7.7600000000000002E-2</v>
      </c>
      <c r="E23" s="99" t="s">
        <v>40</v>
      </c>
      <c r="F23" s="134">
        <f>+D23</f>
        <v>7.7600000000000002E-2</v>
      </c>
      <c r="G23" s="135">
        <f>+F23*C23</f>
        <v>4.8888000000000001E-2</v>
      </c>
      <c r="H23" s="10"/>
      <c r="I23" s="10"/>
      <c r="J23" s="10"/>
      <c r="K23" s="10"/>
    </row>
    <row r="24" spans="2:11" ht="17.25">
      <c r="B24" s="86" t="s">
        <v>0</v>
      </c>
      <c r="C24" s="99" t="s">
        <v>0</v>
      </c>
      <c r="D24" s="99" t="s">
        <v>0</v>
      </c>
      <c r="E24" s="99" t="s">
        <v>0</v>
      </c>
      <c r="F24" s="136" t="s">
        <v>0</v>
      </c>
      <c r="G24" s="118" t="s">
        <v>0</v>
      </c>
      <c r="H24" s="10"/>
      <c r="I24" s="10"/>
      <c r="J24" s="10"/>
      <c r="K24" s="10"/>
    </row>
    <row r="25" spans="2:11" ht="17.25">
      <c r="B25" s="86" t="s">
        <v>41</v>
      </c>
      <c r="C25" s="134">
        <f>'S&amp;D'!K42</f>
        <v>0.37</v>
      </c>
      <c r="D25" s="134">
        <f>+'Direct Debt'!I29</f>
        <v>3.5299999999999998E-2</v>
      </c>
      <c r="E25" s="134">
        <v>0.26</v>
      </c>
      <c r="F25" s="134">
        <f>+D25*(1-E25)</f>
        <v>2.6121999999999999E-2</v>
      </c>
      <c r="G25" s="135">
        <f>+C25*F25</f>
        <v>9.6651399999999991E-3</v>
      </c>
      <c r="H25" s="10"/>
      <c r="I25" s="10"/>
      <c r="J25" s="10"/>
      <c r="K25" s="10"/>
    </row>
    <row r="26" spans="2:11" ht="18" thickBot="1">
      <c r="B26" s="93" t="s">
        <v>0</v>
      </c>
      <c r="C26" s="93" t="s">
        <v>0</v>
      </c>
      <c r="D26" s="93" t="s">
        <v>0</v>
      </c>
      <c r="E26" s="93" t="s">
        <v>0</v>
      </c>
      <c r="F26" s="137" t="s">
        <v>0</v>
      </c>
      <c r="G26" s="138" t="s">
        <v>0</v>
      </c>
      <c r="H26" s="10"/>
      <c r="I26" s="10"/>
      <c r="J26" s="10"/>
      <c r="K26" s="10"/>
    </row>
    <row r="27" spans="2:11" ht="17.25">
      <c r="B27" s="86" t="s">
        <v>42</v>
      </c>
      <c r="C27" s="139">
        <f>+C23+C25</f>
        <v>1</v>
      </c>
      <c r="D27" s="86" t="s">
        <v>0</v>
      </c>
      <c r="E27" s="86" t="s">
        <v>0</v>
      </c>
      <c r="F27" s="140" t="s">
        <v>0</v>
      </c>
      <c r="G27" s="135">
        <f>+G23+G25</f>
        <v>5.8553140000000004E-2</v>
      </c>
      <c r="H27" s="10"/>
      <c r="I27" s="10"/>
      <c r="J27" s="10"/>
      <c r="K27" s="10"/>
    </row>
    <row r="28" spans="2:11" ht="18" thickBot="1">
      <c r="B28" s="60"/>
      <c r="C28" s="60"/>
      <c r="D28" s="60"/>
      <c r="E28" s="60"/>
      <c r="F28" s="60"/>
      <c r="G28" s="141"/>
      <c r="H28" s="10"/>
      <c r="I28" s="10"/>
      <c r="J28" s="10"/>
      <c r="K28" s="10"/>
    </row>
    <row r="29" spans="2:11" ht="18" thickBot="1">
      <c r="B29" s="10"/>
      <c r="C29" s="10"/>
      <c r="D29" s="10"/>
      <c r="E29" s="10"/>
      <c r="F29" s="202" t="s">
        <v>73</v>
      </c>
      <c r="G29" s="404">
        <v>5.8599999999999999E-2</v>
      </c>
      <c r="H29" s="10"/>
      <c r="I29" s="10"/>
      <c r="J29" s="10"/>
      <c r="K29" s="10"/>
    </row>
    <row r="30" spans="2:11" ht="18" thickBot="1">
      <c r="B30" s="10"/>
      <c r="C30" s="10"/>
      <c r="D30" s="10"/>
      <c r="E30" s="10"/>
      <c r="F30" s="140"/>
      <c r="G30" s="135"/>
      <c r="H30" s="10"/>
      <c r="I30" s="10"/>
      <c r="J30" s="10"/>
      <c r="K30" s="10"/>
    </row>
    <row r="31" spans="2:11" ht="18" thickBot="1">
      <c r="B31" s="10"/>
      <c r="C31" s="10"/>
      <c r="D31" s="10"/>
      <c r="E31" s="10"/>
      <c r="F31" s="202" t="s">
        <v>233</v>
      </c>
      <c r="G31" s="233">
        <f>1/G29</f>
        <v>17.064846416382252</v>
      </c>
      <c r="H31" s="10"/>
      <c r="I31" s="10"/>
      <c r="J31" s="10"/>
      <c r="K31" s="10"/>
    </row>
    <row r="32" spans="2:11" ht="17.25">
      <c r="B32" s="10"/>
      <c r="C32" s="10"/>
      <c r="D32" s="10"/>
      <c r="E32" s="10"/>
      <c r="F32" s="140"/>
      <c r="G32" s="135"/>
      <c r="H32" s="10"/>
      <c r="I32" s="10"/>
      <c r="J32" s="10"/>
      <c r="K32" s="10"/>
    </row>
    <row r="33" spans="1:11" ht="17.25">
      <c r="B33" s="10"/>
      <c r="C33" s="10"/>
      <c r="D33" s="10"/>
      <c r="E33" s="10"/>
      <c r="F33" s="140"/>
      <c r="G33" s="135"/>
      <c r="H33" s="10"/>
      <c r="I33" s="10"/>
      <c r="J33" s="10"/>
      <c r="K33" s="10"/>
    </row>
    <row r="34" spans="1:11" ht="26.25">
      <c r="A34" s="21" t="s">
        <v>1</v>
      </c>
      <c r="C34" s="10"/>
      <c r="D34" s="10"/>
      <c r="E34" s="10"/>
      <c r="F34" s="140"/>
      <c r="G34" s="135"/>
      <c r="H34" s="10"/>
      <c r="I34" s="10"/>
      <c r="J34" s="10"/>
      <c r="K34" s="10"/>
    </row>
    <row r="35" spans="1:11" ht="17.25">
      <c r="A35" s="22" t="s">
        <v>9</v>
      </c>
      <c r="C35" s="10"/>
      <c r="D35" s="10"/>
      <c r="E35" s="10"/>
      <c r="F35" s="140"/>
      <c r="G35" s="135"/>
      <c r="H35" s="10"/>
      <c r="I35" s="10"/>
      <c r="J35" s="10"/>
      <c r="K35" s="10"/>
    </row>
    <row r="36" spans="1:11" ht="17.25">
      <c r="A36" s="23" t="s">
        <v>451</v>
      </c>
      <c r="C36" s="10"/>
      <c r="D36" s="10"/>
      <c r="E36" s="10"/>
      <c r="F36" s="140"/>
      <c r="G36" s="135"/>
      <c r="H36" s="10"/>
      <c r="I36" s="10"/>
      <c r="J36" s="10"/>
      <c r="K36" s="10"/>
    </row>
    <row r="37" spans="1:11" ht="17.25">
      <c r="A37" s="23"/>
      <c r="C37" s="10"/>
      <c r="D37" s="10"/>
      <c r="E37" s="10"/>
      <c r="F37" s="140"/>
      <c r="G37" s="135"/>
      <c r="H37" s="10"/>
      <c r="I37" s="10"/>
      <c r="J37" s="10"/>
      <c r="K37" s="10"/>
    </row>
    <row r="38" spans="1:11" ht="17.25">
      <c r="A38" s="23"/>
      <c r="C38" s="10"/>
      <c r="D38" s="10"/>
      <c r="E38" s="10"/>
      <c r="F38" s="140"/>
      <c r="G38" s="135"/>
      <c r="H38" s="10"/>
      <c r="I38" s="10"/>
      <c r="J38" s="10"/>
      <c r="K38" s="10"/>
    </row>
    <row r="39" spans="1:11" ht="17.25">
      <c r="A39" s="23"/>
      <c r="C39" s="10"/>
      <c r="D39" s="10"/>
      <c r="E39" s="10"/>
      <c r="F39" s="140"/>
      <c r="G39" s="135"/>
      <c r="H39" s="10"/>
      <c r="I39" s="10"/>
      <c r="J39" s="10"/>
      <c r="K39" s="10"/>
    </row>
    <row r="40" spans="1:11" ht="17.25">
      <c r="A40" s="23"/>
      <c r="C40" s="10"/>
      <c r="D40" s="10"/>
      <c r="E40" s="10"/>
      <c r="F40" s="140"/>
      <c r="G40" s="135"/>
      <c r="H40" s="10"/>
      <c r="I40" s="10"/>
      <c r="J40" s="10"/>
      <c r="K40" s="10"/>
    </row>
    <row r="41" spans="1:11" ht="17.25">
      <c r="A41" s="23"/>
      <c r="C41" s="10"/>
      <c r="D41" s="10"/>
      <c r="E41" s="10"/>
      <c r="F41" s="140"/>
      <c r="G41" s="135"/>
      <c r="H41" s="10"/>
      <c r="I41" s="10"/>
      <c r="J41" s="10"/>
      <c r="K41" s="10"/>
    </row>
    <row r="42" spans="1:11" ht="17.25">
      <c r="A42" s="23"/>
      <c r="C42" s="10"/>
      <c r="D42" s="10"/>
      <c r="E42" s="10"/>
      <c r="F42" s="140"/>
      <c r="G42" s="135"/>
      <c r="H42" s="10"/>
      <c r="I42" s="10"/>
      <c r="J42" s="10"/>
      <c r="K42" s="10"/>
    </row>
    <row r="43" spans="1:11" ht="17.25">
      <c r="A43" s="23"/>
      <c r="C43" s="10"/>
      <c r="D43" s="10"/>
      <c r="E43" s="10"/>
      <c r="F43" s="140"/>
      <c r="G43" s="135"/>
      <c r="H43" s="10"/>
      <c r="I43" s="10"/>
      <c r="J43" s="10"/>
      <c r="K43" s="10"/>
    </row>
    <row r="44" spans="1:11" ht="20.25">
      <c r="A44" s="23"/>
      <c r="C44" s="10"/>
      <c r="D44" s="74" t="s">
        <v>62</v>
      </c>
      <c r="E44" s="10"/>
      <c r="F44" s="140"/>
      <c r="G44" s="135"/>
      <c r="H44" s="10"/>
      <c r="I44" s="10"/>
      <c r="J44" s="10"/>
      <c r="K44" s="10"/>
    </row>
    <row r="45" spans="1:11" ht="20.25">
      <c r="A45" s="23"/>
      <c r="C45" s="10"/>
      <c r="D45" s="74"/>
      <c r="E45" s="10"/>
      <c r="F45" s="140"/>
      <c r="G45" s="135"/>
      <c r="H45" s="10"/>
      <c r="I45" s="10"/>
      <c r="J45" s="10"/>
      <c r="K45" s="10"/>
    </row>
    <row r="46" spans="1:11" ht="20.25">
      <c r="A46" s="23"/>
      <c r="C46" s="10"/>
      <c r="D46" s="74"/>
      <c r="E46" s="10"/>
      <c r="F46" s="140"/>
      <c r="G46" s="135"/>
      <c r="H46" s="10"/>
      <c r="I46" s="10"/>
      <c r="J46" s="10"/>
      <c r="K46" s="10"/>
    </row>
    <row r="47" spans="1:11" ht="17.25" thickBot="1">
      <c r="B47" s="10"/>
      <c r="C47" s="26"/>
      <c r="D47" s="26"/>
      <c r="E47" s="26"/>
      <c r="F47" s="10"/>
      <c r="G47" s="10"/>
      <c r="H47" s="10"/>
      <c r="I47" s="10"/>
      <c r="J47" s="10"/>
      <c r="K47" s="10"/>
    </row>
    <row r="48" spans="1:11" ht="26.25">
      <c r="B48" s="10"/>
      <c r="C48" s="10"/>
      <c r="D48" s="29" t="str">
        <f>+D15</f>
        <v>Air Freight Carriers</v>
      </c>
      <c r="E48" s="10"/>
      <c r="F48" s="10"/>
      <c r="G48" s="10"/>
      <c r="H48" s="10"/>
      <c r="I48" s="10"/>
      <c r="J48" s="10"/>
      <c r="K48" s="10"/>
    </row>
    <row r="49" spans="2:11" ht="21" thickBot="1">
      <c r="B49" s="10"/>
      <c r="C49" s="26"/>
      <c r="D49" s="133" t="s">
        <v>64</v>
      </c>
      <c r="E49" s="26"/>
      <c r="F49" s="10"/>
      <c r="G49" s="10"/>
      <c r="H49" s="10"/>
      <c r="I49" s="10"/>
      <c r="J49" s="10"/>
      <c r="K49" s="10"/>
    </row>
    <row r="50" spans="2:11" ht="16.5">
      <c r="B50" s="10"/>
      <c r="C50" s="10"/>
      <c r="D50" s="10"/>
      <c r="E50" s="10"/>
      <c r="F50" s="10"/>
      <c r="G50" s="10"/>
      <c r="H50" s="10"/>
      <c r="I50" s="10"/>
      <c r="J50" s="10"/>
      <c r="K50" s="10"/>
    </row>
    <row r="51" spans="2:11" ht="17.25" thickBot="1">
      <c r="B51" s="26"/>
      <c r="C51" s="26"/>
      <c r="D51" s="34" t="s">
        <v>0</v>
      </c>
      <c r="E51" s="26"/>
      <c r="F51" s="26"/>
      <c r="G51" s="26"/>
      <c r="H51" s="10"/>
      <c r="I51" s="10"/>
      <c r="J51" s="10"/>
      <c r="K51" s="10"/>
    </row>
    <row r="52" spans="2:11" ht="16.5">
      <c r="B52" s="32" t="s">
        <v>31</v>
      </c>
      <c r="C52" s="32" t="s">
        <v>32</v>
      </c>
      <c r="D52" s="32" t="s">
        <v>66</v>
      </c>
      <c r="E52" s="32" t="s">
        <v>67</v>
      </c>
      <c r="F52" s="32" t="s">
        <v>65</v>
      </c>
      <c r="G52" s="32" t="s">
        <v>34</v>
      </c>
      <c r="H52" s="10"/>
      <c r="I52" s="10"/>
      <c r="J52" s="10"/>
      <c r="K52" s="10"/>
    </row>
    <row r="53" spans="2:11" ht="17.25" thickBot="1">
      <c r="B53" s="34" t="s">
        <v>32</v>
      </c>
      <c r="C53" s="34" t="s">
        <v>35</v>
      </c>
      <c r="D53" s="34" t="s">
        <v>36</v>
      </c>
      <c r="E53" s="34" t="s">
        <v>23</v>
      </c>
      <c r="F53" s="34" t="s">
        <v>37</v>
      </c>
      <c r="G53" s="34" t="s">
        <v>68</v>
      </c>
      <c r="H53" s="10"/>
      <c r="I53" s="10"/>
      <c r="J53" s="10"/>
      <c r="K53" s="10"/>
    </row>
    <row r="54" spans="2:11" ht="16.5">
      <c r="B54" s="36" t="s">
        <v>0</v>
      </c>
      <c r="C54" s="36" t="s">
        <v>0</v>
      </c>
      <c r="D54" s="36" t="s">
        <v>0</v>
      </c>
      <c r="E54" s="36" t="s">
        <v>0</v>
      </c>
      <c r="F54" s="36" t="s">
        <v>0</v>
      </c>
      <c r="G54" s="36" t="s">
        <v>0</v>
      </c>
      <c r="H54" s="10"/>
      <c r="I54" s="10"/>
      <c r="J54" s="10"/>
      <c r="K54" s="10"/>
    </row>
    <row r="55" spans="2:11" ht="16.5">
      <c r="B55" s="32"/>
      <c r="C55" s="32"/>
      <c r="D55" s="32"/>
      <c r="E55" s="32"/>
      <c r="F55" s="32"/>
      <c r="G55" s="32"/>
      <c r="H55" s="10"/>
      <c r="I55" s="10"/>
      <c r="J55" s="10"/>
      <c r="K55" s="10"/>
    </row>
    <row r="56" spans="2:11" ht="17.25">
      <c r="B56" s="86" t="s">
        <v>39</v>
      </c>
      <c r="C56" s="134">
        <f>'S&amp;D'!J42</f>
        <v>0.63</v>
      </c>
      <c r="D56" s="134">
        <f>'Direct GCF'!H28</f>
        <v>0.25105</v>
      </c>
      <c r="E56" s="99" t="s">
        <v>40</v>
      </c>
      <c r="F56" s="134">
        <f>+D56</f>
        <v>0.25105</v>
      </c>
      <c r="G56" s="135">
        <f>+F56*C56</f>
        <v>0.15816150000000001</v>
      </c>
      <c r="H56" s="10"/>
      <c r="I56" s="10"/>
      <c r="J56" s="10"/>
      <c r="K56" s="10"/>
    </row>
    <row r="57" spans="2:11" ht="17.25">
      <c r="B57" s="86" t="s">
        <v>0</v>
      </c>
      <c r="C57" s="99" t="s">
        <v>0</v>
      </c>
      <c r="D57" s="99" t="s">
        <v>0</v>
      </c>
      <c r="E57" s="99" t="s">
        <v>0</v>
      </c>
      <c r="F57" s="136" t="s">
        <v>0</v>
      </c>
      <c r="G57" s="118" t="s">
        <v>0</v>
      </c>
      <c r="H57" s="10"/>
      <c r="I57" s="10"/>
      <c r="J57" s="10"/>
      <c r="K57" s="10"/>
    </row>
    <row r="58" spans="2:11" ht="17.25">
      <c r="B58" s="86" t="s">
        <v>41</v>
      </c>
      <c r="C58" s="134">
        <f>'S&amp;D'!K42</f>
        <v>0.37</v>
      </c>
      <c r="D58" s="134">
        <f>+'Direct Debt'!I29</f>
        <v>3.5299999999999998E-2</v>
      </c>
      <c r="E58" s="134">
        <v>0.26</v>
      </c>
      <c r="F58" s="134">
        <f>+D58*(1-E58)</f>
        <v>2.6121999999999999E-2</v>
      </c>
      <c r="G58" s="135">
        <f>+C58*F58</f>
        <v>9.6651399999999991E-3</v>
      </c>
      <c r="H58" s="10"/>
      <c r="I58" s="10"/>
      <c r="J58" s="10"/>
      <c r="K58" s="10"/>
    </row>
    <row r="59" spans="2:11" ht="18" thickBot="1">
      <c r="B59" s="93" t="s">
        <v>0</v>
      </c>
      <c r="C59" s="93" t="s">
        <v>0</v>
      </c>
      <c r="D59" s="93" t="s">
        <v>0</v>
      </c>
      <c r="E59" s="93" t="s">
        <v>0</v>
      </c>
      <c r="F59" s="137" t="s">
        <v>0</v>
      </c>
      <c r="G59" s="138" t="s">
        <v>0</v>
      </c>
      <c r="H59" s="10"/>
      <c r="I59" s="10"/>
      <c r="J59" s="10"/>
      <c r="K59" s="10"/>
    </row>
    <row r="60" spans="2:11" ht="17.25">
      <c r="B60" s="86" t="s">
        <v>42</v>
      </c>
      <c r="C60" s="139">
        <f>+C56+C58</f>
        <v>1</v>
      </c>
      <c r="D60" s="86" t="s">
        <v>0</v>
      </c>
      <c r="E60" s="86" t="s">
        <v>0</v>
      </c>
      <c r="F60" s="140" t="s">
        <v>0</v>
      </c>
      <c r="G60" s="135">
        <f>+G56+G58</f>
        <v>0.16782664</v>
      </c>
      <c r="H60" s="10"/>
      <c r="I60" s="10"/>
      <c r="J60" s="10"/>
      <c r="K60" s="10"/>
    </row>
    <row r="61" spans="2:11" ht="18" thickBot="1">
      <c r="B61" s="60"/>
      <c r="C61" s="60"/>
      <c r="D61" s="60"/>
      <c r="E61" s="60"/>
      <c r="F61" s="60"/>
      <c r="G61" s="141"/>
      <c r="H61" s="10"/>
      <c r="I61" s="10"/>
      <c r="J61" s="10"/>
      <c r="K61" s="10"/>
    </row>
    <row r="62" spans="2:11" ht="18" thickBot="1">
      <c r="B62" s="10"/>
      <c r="C62" s="10"/>
      <c r="D62" s="10"/>
      <c r="E62" s="10"/>
      <c r="F62" s="202" t="s">
        <v>73</v>
      </c>
      <c r="G62" s="404">
        <v>0.1678</v>
      </c>
      <c r="H62" s="10"/>
      <c r="I62" s="10"/>
      <c r="J62" s="10"/>
      <c r="K62" s="10"/>
    </row>
    <row r="63" spans="2:11" ht="15.75" thickBot="1"/>
    <row r="64" spans="2:11" ht="18" thickBot="1">
      <c r="F64" s="202" t="s">
        <v>233</v>
      </c>
      <c r="G64" s="355">
        <f>1/G62</f>
        <v>5.9594755661501786</v>
      </c>
    </row>
  </sheetData>
  <pageMargins left="0.25" right="0.25" top="0.75" bottom="0.75" header="0.3" footer="0.3"/>
  <pageSetup scale="72" fitToHeight="0" orientation="landscape" r:id="rId1"/>
  <rowBreaks count="1" manualBreakCount="1">
    <brk id="33" max="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92D050"/>
    <pageSetUpPr fitToPage="1"/>
  </sheetPr>
  <dimension ref="A1:L65"/>
  <sheetViews>
    <sheetView tabSelected="1" view="pageBreakPreview" topLeftCell="A25" zoomScale="60" zoomScaleNormal="80" zoomScalePageLayoutView="70" workbookViewId="0">
      <pane xSplit="1" topLeftCell="B1" activePane="topRight" state="frozen"/>
      <selection pane="topRight" activeCell="K43" sqref="K43"/>
    </sheetView>
  </sheetViews>
  <sheetFormatPr defaultRowHeight="15"/>
  <cols>
    <col min="1" max="1" width="63" customWidth="1"/>
    <col min="2" max="2" width="11.5703125" bestFit="1" customWidth="1"/>
    <col min="3" max="3" width="20.42578125" bestFit="1" customWidth="1"/>
    <col min="4" max="4" width="25.5703125" bestFit="1" customWidth="1"/>
    <col min="5" max="5" width="29.7109375" customWidth="1"/>
    <col min="6" max="7" width="29.140625" customWidth="1"/>
    <col min="8" max="8" width="31.85546875" customWidth="1"/>
    <col min="9" max="9" width="31.5703125" customWidth="1"/>
    <col min="10" max="10" width="30.85546875" customWidth="1"/>
    <col min="11" max="11" width="29.42578125" customWidth="1"/>
    <col min="12" max="12" width="11.7109375" customWidth="1"/>
    <col min="13" max="13" width="30.140625" bestFit="1" customWidth="1"/>
    <col min="14" max="14" width="9.140625" customWidth="1"/>
  </cols>
  <sheetData>
    <row r="1" spans="1:12" ht="26.25">
      <c r="A1" s="21" t="s">
        <v>1</v>
      </c>
      <c r="B1" s="10"/>
      <c r="C1" s="10"/>
      <c r="D1" s="10"/>
      <c r="E1" s="10"/>
      <c r="F1" s="10"/>
      <c r="G1" s="10"/>
      <c r="H1" s="10"/>
      <c r="I1" s="10"/>
      <c r="J1" s="10"/>
      <c r="K1" s="10"/>
    </row>
    <row r="2" spans="1:12" ht="17.25">
      <c r="A2" s="22" t="s">
        <v>9</v>
      </c>
      <c r="B2" s="10"/>
      <c r="C2" s="10"/>
      <c r="D2" s="10"/>
      <c r="E2" s="10"/>
      <c r="F2" s="10"/>
      <c r="G2" s="10"/>
      <c r="H2" s="10"/>
      <c r="I2" s="10"/>
      <c r="J2" s="10"/>
      <c r="K2" s="10"/>
    </row>
    <row r="3" spans="1:12" ht="16.5">
      <c r="A3" s="23" t="s">
        <v>451</v>
      </c>
      <c r="B3" s="10"/>
      <c r="C3" s="10"/>
      <c r="D3" s="10"/>
      <c r="E3" s="10"/>
      <c r="F3" s="10"/>
      <c r="G3" s="10"/>
      <c r="H3" s="10"/>
      <c r="I3" s="10"/>
      <c r="J3" s="10"/>
      <c r="K3" s="10"/>
    </row>
    <row r="4" spans="1:12" ht="16.5">
      <c r="A4" s="23"/>
      <c r="B4" s="10"/>
      <c r="C4" s="10"/>
      <c r="D4" s="10"/>
      <c r="E4" s="10"/>
      <c r="F4" s="200" t="s">
        <v>0</v>
      </c>
      <c r="G4" s="10"/>
      <c r="H4" s="10"/>
      <c r="I4" s="10"/>
      <c r="J4" s="10"/>
      <c r="K4" s="10"/>
    </row>
    <row r="5" spans="1:12" ht="16.5">
      <c r="B5" s="10"/>
      <c r="C5" s="10"/>
      <c r="D5" s="10"/>
      <c r="E5" s="24"/>
      <c r="F5" s="200" t="s">
        <v>0</v>
      </c>
      <c r="G5" s="10"/>
      <c r="H5" s="10"/>
      <c r="I5" s="10"/>
      <c r="J5" s="10"/>
      <c r="K5" s="10" t="s">
        <v>0</v>
      </c>
    </row>
    <row r="6" spans="1:12" ht="16.5">
      <c r="A6" s="10"/>
      <c r="B6" s="10"/>
      <c r="C6" s="10"/>
      <c r="D6" s="10"/>
      <c r="E6" s="10"/>
      <c r="F6" s="10"/>
      <c r="G6" s="10"/>
      <c r="H6" s="10"/>
      <c r="I6" s="10"/>
      <c r="J6" s="10"/>
      <c r="K6" s="10"/>
    </row>
    <row r="7" spans="1:12" ht="16.5">
      <c r="A7" s="10"/>
      <c r="B7" s="32"/>
      <c r="C7" s="32"/>
      <c r="D7" s="32"/>
      <c r="E7" s="32"/>
      <c r="F7" s="32"/>
      <c r="G7" s="12"/>
      <c r="H7" s="41"/>
      <c r="I7" s="41"/>
      <c r="J7" s="81"/>
      <c r="K7" s="81"/>
      <c r="L7" s="3"/>
    </row>
    <row r="8" spans="1:12" ht="16.5">
      <c r="A8" s="82"/>
      <c r="B8" s="32"/>
      <c r="C8" s="32"/>
      <c r="D8" s="32"/>
      <c r="E8" s="32"/>
      <c r="F8" s="32"/>
      <c r="G8" s="12"/>
      <c r="H8" s="41"/>
      <c r="I8" s="41"/>
      <c r="J8" s="81"/>
      <c r="K8" s="81"/>
      <c r="L8" s="3"/>
    </row>
    <row r="9" spans="1:12" ht="16.5">
      <c r="A9" s="82"/>
      <c r="B9" s="32"/>
      <c r="C9" s="32"/>
      <c r="D9" s="32"/>
      <c r="E9" s="32"/>
      <c r="F9" s="32"/>
      <c r="G9" s="12"/>
      <c r="H9" s="41"/>
      <c r="I9" s="41"/>
      <c r="J9" s="81"/>
      <c r="K9" s="81"/>
      <c r="L9" s="3"/>
    </row>
    <row r="10" spans="1:12" ht="16.5">
      <c r="A10" s="41"/>
      <c r="D10" s="41"/>
      <c r="E10" s="41"/>
      <c r="F10" s="41"/>
      <c r="G10" s="41"/>
      <c r="H10" s="41"/>
      <c r="I10" s="41"/>
      <c r="J10" s="41"/>
      <c r="K10" s="41"/>
      <c r="L10" s="2"/>
    </row>
    <row r="11" spans="1:12" ht="17.25" thickBot="1">
      <c r="A11" s="41"/>
      <c r="D11" s="41"/>
      <c r="E11" s="83"/>
      <c r="F11" s="26"/>
      <c r="G11" s="83"/>
      <c r="H11" s="41"/>
      <c r="I11" s="41"/>
      <c r="J11" s="41" t="s">
        <v>0</v>
      </c>
      <c r="K11" s="41"/>
      <c r="L11" s="2"/>
    </row>
    <row r="12" spans="1:12" ht="27" thickBot="1">
      <c r="A12" s="25" t="s">
        <v>400</v>
      </c>
      <c r="D12" s="41"/>
      <c r="E12" s="41"/>
      <c r="F12" s="29" t="s">
        <v>74</v>
      </c>
      <c r="G12" s="41"/>
      <c r="H12" s="41"/>
      <c r="I12" s="41"/>
      <c r="J12" s="41"/>
      <c r="K12" s="10"/>
    </row>
    <row r="13" spans="1:12" ht="21" thickBot="1">
      <c r="A13" s="28"/>
      <c r="D13" s="41"/>
      <c r="E13" s="83"/>
      <c r="F13" s="34" t="s">
        <v>452</v>
      </c>
      <c r="G13" s="83"/>
      <c r="H13" s="41"/>
      <c r="I13" s="41"/>
      <c r="J13" s="41"/>
      <c r="K13" s="10"/>
    </row>
    <row r="14" spans="1:12" ht="20.25">
      <c r="A14" s="28"/>
      <c r="B14" s="41"/>
      <c r="C14" s="41"/>
      <c r="D14" s="41" t="s">
        <v>0</v>
      </c>
      <c r="E14" s="41" t="s">
        <v>0</v>
      </c>
      <c r="F14" s="11" t="s">
        <v>0</v>
      </c>
      <c r="G14" s="41"/>
      <c r="H14" s="41"/>
      <c r="I14" s="41"/>
      <c r="J14" s="41"/>
      <c r="K14" s="10"/>
    </row>
    <row r="15" spans="1:12" ht="17.25" thickBot="1">
      <c r="A15" s="39" t="s">
        <v>0</v>
      </c>
      <c r="B15" s="39" t="s">
        <v>0</v>
      </c>
      <c r="C15" s="39" t="s">
        <v>0</v>
      </c>
      <c r="D15" s="39"/>
      <c r="E15" s="39"/>
      <c r="F15" s="39"/>
      <c r="G15" s="39" t="s">
        <v>0</v>
      </c>
      <c r="H15" s="83"/>
      <c r="I15" s="83"/>
      <c r="J15" s="83"/>
      <c r="K15" s="10"/>
    </row>
    <row r="16" spans="1:12" ht="17.25">
      <c r="A16" s="249"/>
      <c r="B16" s="250"/>
      <c r="C16" s="267"/>
      <c r="D16" s="234" t="s">
        <v>13</v>
      </c>
      <c r="E16" s="263" t="s">
        <v>13</v>
      </c>
      <c r="F16" s="234" t="s">
        <v>13</v>
      </c>
      <c r="G16" s="251" t="s">
        <v>244</v>
      </c>
      <c r="H16" s="264" t="s">
        <v>453</v>
      </c>
      <c r="I16" s="251" t="s">
        <v>453</v>
      </c>
      <c r="J16" s="264" t="s">
        <v>453</v>
      </c>
      <c r="K16" s="10"/>
    </row>
    <row r="17" spans="1:12" ht="17.25">
      <c r="A17" s="84" t="s">
        <v>0</v>
      </c>
      <c r="B17" s="85" t="s">
        <v>3</v>
      </c>
      <c r="C17" s="237" t="s">
        <v>5</v>
      </c>
      <c r="D17" s="87" t="s">
        <v>10</v>
      </c>
      <c r="E17" s="265" t="s">
        <v>10</v>
      </c>
      <c r="F17" s="87" t="s">
        <v>19</v>
      </c>
      <c r="G17" s="88" t="s">
        <v>453</v>
      </c>
      <c r="H17" s="85" t="s">
        <v>12</v>
      </c>
      <c r="I17" s="89" t="s">
        <v>11</v>
      </c>
      <c r="J17" s="90" t="s">
        <v>152</v>
      </c>
      <c r="K17" s="10"/>
    </row>
    <row r="18" spans="1:12" ht="17.25">
      <c r="A18" s="84" t="s">
        <v>2</v>
      </c>
      <c r="B18" s="85" t="s">
        <v>4</v>
      </c>
      <c r="C18" s="237" t="s">
        <v>6</v>
      </c>
      <c r="D18" s="87" t="s">
        <v>45</v>
      </c>
      <c r="E18" s="265" t="s">
        <v>46</v>
      </c>
      <c r="F18" s="87" t="s">
        <v>10</v>
      </c>
      <c r="G18" s="88" t="s">
        <v>10</v>
      </c>
      <c r="H18" s="85" t="s">
        <v>72</v>
      </c>
      <c r="I18" s="254" t="s">
        <v>371</v>
      </c>
      <c r="J18" s="90" t="s">
        <v>245</v>
      </c>
      <c r="K18" s="10" t="s">
        <v>0</v>
      </c>
    </row>
    <row r="19" spans="1:12" ht="18" thickBot="1">
      <c r="A19" s="91" t="s">
        <v>0</v>
      </c>
      <c r="B19" s="92" t="s">
        <v>0</v>
      </c>
      <c r="C19" s="109" t="s">
        <v>0</v>
      </c>
      <c r="D19" s="92" t="s">
        <v>0</v>
      </c>
      <c r="E19" s="93" t="s">
        <v>0</v>
      </c>
      <c r="F19" s="92" t="s">
        <v>0</v>
      </c>
      <c r="G19" s="93" t="s">
        <v>0</v>
      </c>
      <c r="H19" s="94" t="s">
        <v>61</v>
      </c>
      <c r="I19" s="95" t="s">
        <v>60</v>
      </c>
      <c r="J19" s="94" t="s">
        <v>60</v>
      </c>
      <c r="K19" s="10"/>
    </row>
    <row r="20" spans="1:12" ht="16.5">
      <c r="A20" s="268" t="s">
        <v>7</v>
      </c>
      <c r="B20" s="287" t="s">
        <v>7</v>
      </c>
      <c r="C20" s="268" t="s">
        <v>7</v>
      </c>
      <c r="D20" s="295" t="s">
        <v>7</v>
      </c>
      <c r="E20" s="295" t="s">
        <v>7</v>
      </c>
      <c r="F20" s="40" t="s">
        <v>15</v>
      </c>
      <c r="G20" s="268" t="s">
        <v>7</v>
      </c>
      <c r="H20" s="268" t="s">
        <v>8</v>
      </c>
      <c r="I20" s="268" t="s">
        <v>8</v>
      </c>
      <c r="J20" s="268" t="s">
        <v>8</v>
      </c>
      <c r="K20" s="10"/>
    </row>
    <row r="21" spans="1:12" ht="17.25">
      <c r="A21" s="85"/>
      <c r="B21" s="86"/>
      <c r="C21" s="85"/>
      <c r="D21" s="237"/>
      <c r="E21" s="86"/>
      <c r="F21" s="84"/>
      <c r="G21" s="85"/>
      <c r="H21" s="85"/>
      <c r="I21" s="111"/>
      <c r="J21" s="97"/>
      <c r="K21" s="10"/>
    </row>
    <row r="22" spans="1:12" ht="17.25">
      <c r="A22" s="98" t="s">
        <v>387</v>
      </c>
      <c r="B22" s="76" t="s">
        <v>388</v>
      </c>
      <c r="C22" s="85" t="s">
        <v>389</v>
      </c>
      <c r="D22" s="100">
        <v>21.78</v>
      </c>
      <c r="E22" s="57">
        <v>14.03</v>
      </c>
      <c r="F22" s="100">
        <f>AVERAGE(D22,E22)</f>
        <v>17.905000000000001</v>
      </c>
      <c r="G22" s="57">
        <v>17.61</v>
      </c>
      <c r="H22" s="349">
        <v>65240961</v>
      </c>
      <c r="I22" s="349">
        <v>0</v>
      </c>
      <c r="J22" s="349">
        <f>54710000+1707572000</f>
        <v>1762282000</v>
      </c>
      <c r="K22" s="10"/>
      <c r="L22" t="s">
        <v>0</v>
      </c>
    </row>
    <row r="23" spans="1:12" ht="17.25">
      <c r="A23" s="98" t="s">
        <v>391</v>
      </c>
      <c r="B23" s="76" t="s">
        <v>392</v>
      </c>
      <c r="C23" s="85" t="s">
        <v>389</v>
      </c>
      <c r="D23" s="100">
        <v>285.52999999999997</v>
      </c>
      <c r="E23" s="57">
        <v>224.69</v>
      </c>
      <c r="F23" s="100">
        <f t="shared" ref="F23:F24" si="0">AVERAGE(D23,E23)</f>
        <v>255.10999999999999</v>
      </c>
      <c r="G23" s="57">
        <v>252.97</v>
      </c>
      <c r="H23" s="349">
        <v>249892548</v>
      </c>
      <c r="I23" s="349">
        <v>0</v>
      </c>
      <c r="J23" s="349">
        <f>20193000000+334000000</f>
        <v>20527000000</v>
      </c>
      <c r="K23" s="319">
        <v>706000000</v>
      </c>
      <c r="L23" t="s">
        <v>496</v>
      </c>
    </row>
    <row r="24" spans="1:12" ht="18" thickBot="1">
      <c r="A24" s="291" t="s">
        <v>393</v>
      </c>
      <c r="B24" s="77" t="s">
        <v>394</v>
      </c>
      <c r="C24" s="92" t="s">
        <v>389</v>
      </c>
      <c r="D24" s="365">
        <v>163.82</v>
      </c>
      <c r="E24" s="366">
        <v>133.68</v>
      </c>
      <c r="F24" s="365">
        <f t="shared" si="0"/>
        <v>148.75</v>
      </c>
      <c r="G24" s="366">
        <v>157.22999999999999</v>
      </c>
      <c r="H24" s="350">
        <f>127000000+726000000-(0.02*1000000)</f>
        <v>852980000</v>
      </c>
      <c r="I24" s="336">
        <v>0</v>
      </c>
      <c r="J24" s="350">
        <f>3348000000+18916000000</f>
        <v>22264000000</v>
      </c>
      <c r="K24" s="10" t="s">
        <v>0</v>
      </c>
    </row>
    <row r="25" spans="1:12" ht="17.25">
      <c r="A25" s="102"/>
      <c r="B25" s="102"/>
      <c r="C25" s="102"/>
      <c r="D25" s="102"/>
      <c r="E25" s="102"/>
      <c r="F25" s="102"/>
      <c r="G25" s="102"/>
      <c r="H25" s="102"/>
      <c r="I25" s="102"/>
      <c r="J25" s="102"/>
      <c r="K25" s="10"/>
      <c r="L25" t="s">
        <v>0</v>
      </c>
    </row>
    <row r="26" spans="1:12" ht="17.25">
      <c r="A26" s="102"/>
      <c r="B26" s="102"/>
      <c r="C26" s="102"/>
      <c r="D26" s="102" t="s">
        <v>0</v>
      </c>
      <c r="E26" s="102"/>
      <c r="F26" s="102"/>
      <c r="G26" s="102"/>
      <c r="H26" s="102"/>
      <c r="I26" s="102"/>
      <c r="J26" s="102" t="s">
        <v>0</v>
      </c>
      <c r="K26" s="10"/>
    </row>
    <row r="27" spans="1:12" ht="18" thickBot="1">
      <c r="A27" s="103" t="s">
        <v>0</v>
      </c>
      <c r="B27" s="104"/>
      <c r="C27" s="104"/>
      <c r="D27" s="104"/>
      <c r="E27" s="104"/>
      <c r="F27" s="26"/>
      <c r="G27" s="104"/>
      <c r="H27" s="104"/>
      <c r="I27" s="104"/>
      <c r="J27" s="102"/>
      <c r="K27" s="102"/>
      <c r="L27" s="4"/>
    </row>
    <row r="28" spans="1:12" ht="17.25">
      <c r="A28" s="105"/>
      <c r="B28" s="435"/>
      <c r="C28" s="106"/>
      <c r="D28" s="435"/>
      <c r="E28" s="107" t="s">
        <v>0</v>
      </c>
      <c r="F28" s="264" t="s">
        <v>0</v>
      </c>
      <c r="G28" s="264" t="s">
        <v>0</v>
      </c>
      <c r="H28" s="211"/>
      <c r="I28" s="106"/>
      <c r="J28" s="435"/>
      <c r="K28" s="435"/>
      <c r="L28" s="4"/>
    </row>
    <row r="29" spans="1:12" ht="17.25">
      <c r="A29" s="84"/>
      <c r="B29" s="85"/>
      <c r="C29" s="86"/>
      <c r="D29" s="436" t="s">
        <v>453</v>
      </c>
      <c r="E29" s="86" t="s">
        <v>453</v>
      </c>
      <c r="F29" s="85" t="s">
        <v>453</v>
      </c>
      <c r="G29" s="85" t="s">
        <v>453</v>
      </c>
      <c r="H29" s="436" t="s">
        <v>453</v>
      </c>
      <c r="I29" s="88" t="s">
        <v>453</v>
      </c>
      <c r="J29" s="436" t="s">
        <v>453</v>
      </c>
      <c r="K29" s="436" t="s">
        <v>453</v>
      </c>
      <c r="L29" s="5"/>
    </row>
    <row r="30" spans="1:12" ht="17.25">
      <c r="A30" s="84" t="s">
        <v>0</v>
      </c>
      <c r="B30" s="85" t="s">
        <v>3</v>
      </c>
      <c r="C30" s="86" t="s">
        <v>5</v>
      </c>
      <c r="D30" s="85" t="s">
        <v>12</v>
      </c>
      <c r="E30" s="99" t="s">
        <v>151</v>
      </c>
      <c r="F30" s="90" t="s">
        <v>295</v>
      </c>
      <c r="G30" s="90" t="s">
        <v>495</v>
      </c>
      <c r="H30" s="85" t="s">
        <v>209</v>
      </c>
      <c r="I30" s="99" t="s">
        <v>16</v>
      </c>
      <c r="J30" s="90" t="s">
        <v>17</v>
      </c>
      <c r="K30" s="90" t="s">
        <v>51</v>
      </c>
      <c r="L30" s="5"/>
    </row>
    <row r="31" spans="1:12" ht="18" thickBot="1">
      <c r="A31" s="91" t="s">
        <v>2</v>
      </c>
      <c r="B31" s="92" t="s">
        <v>4</v>
      </c>
      <c r="C31" s="93" t="s">
        <v>6</v>
      </c>
      <c r="D31" s="92" t="s">
        <v>14</v>
      </c>
      <c r="E31" s="93" t="s">
        <v>14</v>
      </c>
      <c r="F31" s="92" t="s">
        <v>308</v>
      </c>
      <c r="G31" s="92" t="s">
        <v>308</v>
      </c>
      <c r="H31" s="92" t="s">
        <v>14</v>
      </c>
      <c r="I31" s="93" t="s">
        <v>362</v>
      </c>
      <c r="J31" s="92" t="s">
        <v>0</v>
      </c>
      <c r="K31" s="92" t="s">
        <v>363</v>
      </c>
      <c r="L31" s="1"/>
    </row>
    <row r="32" spans="1:12" ht="15.75">
      <c r="A32" s="286" t="s">
        <v>7</v>
      </c>
      <c r="B32" s="268" t="s">
        <v>7</v>
      </c>
      <c r="C32" s="287" t="s">
        <v>7</v>
      </c>
      <c r="D32" s="96" t="s">
        <v>15</v>
      </c>
      <c r="E32" s="40" t="s">
        <v>8</v>
      </c>
      <c r="F32" s="96" t="s">
        <v>8</v>
      </c>
      <c r="G32" s="96" t="s">
        <v>8</v>
      </c>
      <c r="H32" s="96" t="s">
        <v>8</v>
      </c>
      <c r="I32" s="40" t="s">
        <v>15</v>
      </c>
      <c r="J32" s="96" t="s">
        <v>15</v>
      </c>
      <c r="K32" s="96" t="s">
        <v>15</v>
      </c>
      <c r="L32" s="5"/>
    </row>
    <row r="33" spans="1:12" ht="17.25">
      <c r="A33" s="84"/>
      <c r="B33" s="85"/>
      <c r="C33" s="86"/>
      <c r="D33" s="437"/>
      <c r="E33" s="102"/>
      <c r="F33" s="97"/>
      <c r="G33" s="97"/>
      <c r="H33" s="437"/>
      <c r="I33" s="60"/>
      <c r="J33" s="97"/>
      <c r="K33" s="97"/>
      <c r="L33" s="4"/>
    </row>
    <row r="34" spans="1:12" ht="17.25">
      <c r="A34" s="98" t="str">
        <f t="shared" ref="A34:C36" si="1">+A22</f>
        <v>Air Transport Services Group</v>
      </c>
      <c r="B34" s="85" t="str">
        <f t="shared" si="1"/>
        <v>ATSG</v>
      </c>
      <c r="C34" s="86" t="str">
        <f t="shared" si="1"/>
        <v>Air Trans</v>
      </c>
      <c r="D34" s="438">
        <f>(+H22)*G22</f>
        <v>1148893323.21</v>
      </c>
      <c r="E34" s="347">
        <f>(1/1)*I22</f>
        <v>0</v>
      </c>
      <c r="F34" s="440">
        <f>+G58</f>
        <v>55157000</v>
      </c>
      <c r="G34" s="440">
        <v>0</v>
      </c>
      <c r="H34" s="440">
        <f>J22*((1464.9-48.3)/1464.9)</f>
        <v>1704176859.3078027</v>
      </c>
      <c r="I34" s="101">
        <f t="shared" ref="I34" si="2">+D34+E34+F34+G34+H34</f>
        <v>2908227182.5178027</v>
      </c>
      <c r="J34" s="441">
        <f>(+D34)/I34</f>
        <v>0.39504937238615029</v>
      </c>
      <c r="K34" s="441">
        <f>(+E34+F34+G34+H34)/I34</f>
        <v>0.60495062761384977</v>
      </c>
      <c r="L34" s="4"/>
    </row>
    <row r="35" spans="1:12" ht="17.25">
      <c r="A35" s="98" t="str">
        <f t="shared" si="1"/>
        <v xml:space="preserve">FedEx Corp </v>
      </c>
      <c r="B35" s="85" t="str">
        <f t="shared" si="1"/>
        <v>FDX</v>
      </c>
      <c r="C35" s="86" t="str">
        <f t="shared" si="1"/>
        <v>Air Trans</v>
      </c>
      <c r="D35" s="438">
        <f>(+H23)*G23</f>
        <v>63215317867.559998</v>
      </c>
      <c r="E35" s="347">
        <f>(1/1)*I23</f>
        <v>0</v>
      </c>
      <c r="F35" s="440">
        <f t="shared" ref="F35:F36" si="3">+G60</f>
        <v>17655000000</v>
      </c>
      <c r="G35" s="440">
        <v>0</v>
      </c>
      <c r="H35" s="440">
        <f>J23*((17100/19700))</f>
        <v>17817852791.878174</v>
      </c>
      <c r="I35" s="101">
        <f>+D35+E35+F35+G35+H35</f>
        <v>98688170659.438171</v>
      </c>
      <c r="J35" s="441">
        <f>(+D35)/I35</f>
        <v>0.64055618262201841</v>
      </c>
      <c r="K35" s="441">
        <f t="shared" ref="K35:K36" si="4">(+E35+F35+G35+H35)/I35</f>
        <v>0.35944381737798159</v>
      </c>
      <c r="L35" s="4"/>
    </row>
    <row r="36" spans="1:12" ht="18" thickBot="1">
      <c r="A36" s="434" t="str">
        <f t="shared" si="1"/>
        <v xml:space="preserve">United Parcel Service </v>
      </c>
      <c r="B36" s="92" t="str">
        <f t="shared" si="1"/>
        <v>UPS</v>
      </c>
      <c r="C36" s="93" t="str">
        <f t="shared" si="1"/>
        <v>Air Trans</v>
      </c>
      <c r="D36" s="439">
        <f>(+H24)*G24</f>
        <v>134114045399.99998</v>
      </c>
      <c r="E36" s="335">
        <f>(1/1)*I24</f>
        <v>0</v>
      </c>
      <c r="F36" s="456">
        <f t="shared" si="3"/>
        <v>4465000000</v>
      </c>
      <c r="G36" s="456">
        <v>0</v>
      </c>
      <c r="H36" s="350">
        <f>J24*(18200/19662)</f>
        <v>20608524056.555794</v>
      </c>
      <c r="I36" s="336">
        <f>+D36+E36+F36+G36+H36</f>
        <v>159187569456.55579</v>
      </c>
      <c r="J36" s="442">
        <f>(+D36)/I36</f>
        <v>0.8424906910624157</v>
      </c>
      <c r="K36" s="442">
        <f t="shared" si="4"/>
        <v>0.15750930893758425</v>
      </c>
      <c r="L36" s="4"/>
    </row>
    <row r="37" spans="1:12" ht="17.25">
      <c r="A37" s="10"/>
      <c r="B37" s="10"/>
      <c r="C37" s="10"/>
      <c r="D37" s="10"/>
      <c r="E37" s="10"/>
      <c r="F37" s="10"/>
      <c r="H37" s="10"/>
      <c r="I37" s="114" t="s">
        <v>45</v>
      </c>
      <c r="J37" s="117">
        <f>MAX(J34:J36)</f>
        <v>0.8424906910624157</v>
      </c>
      <c r="K37" s="117">
        <f>MAX(K34:K36)</f>
        <v>0.60495062761384977</v>
      </c>
    </row>
    <row r="38" spans="1:12" ht="17.25">
      <c r="A38" s="10"/>
      <c r="B38" s="10"/>
      <c r="C38" s="10"/>
      <c r="D38" s="10"/>
      <c r="E38" s="10" t="s">
        <v>0</v>
      </c>
      <c r="F38" s="10"/>
      <c r="H38" s="10" t="s">
        <v>0</v>
      </c>
      <c r="I38" s="316" t="s">
        <v>46</v>
      </c>
      <c r="J38" s="348">
        <f>MIN(J34:J36)</f>
        <v>0.39504937238615029</v>
      </c>
      <c r="K38" s="348">
        <f>MIN(K34:K36)</f>
        <v>0.15750930893758425</v>
      </c>
    </row>
    <row r="39" spans="1:12" ht="17.25">
      <c r="A39" s="10"/>
      <c r="B39" s="10"/>
      <c r="C39" s="10"/>
      <c r="D39" s="10"/>
      <c r="E39" s="115"/>
      <c r="F39" s="319" t="s">
        <v>0</v>
      </c>
      <c r="H39" s="10" t="s">
        <v>0</v>
      </c>
      <c r="I39" s="12" t="s">
        <v>18</v>
      </c>
      <c r="J39" s="116">
        <f>MEDIAN(J34:J36)</f>
        <v>0.64055618262201841</v>
      </c>
      <c r="K39" s="117">
        <f>MEDIAN(K34:K36)</f>
        <v>0.35944381737798159</v>
      </c>
    </row>
    <row r="40" spans="1:12" ht="17.25">
      <c r="A40" s="10"/>
      <c r="B40" s="10"/>
      <c r="C40" s="10"/>
      <c r="D40" s="10" t="s">
        <v>0</v>
      </c>
      <c r="E40" s="296" t="s">
        <v>0</v>
      </c>
      <c r="F40" s="319" t="s">
        <v>0</v>
      </c>
      <c r="H40" s="10" t="s">
        <v>0</v>
      </c>
      <c r="I40" s="12" t="s">
        <v>412</v>
      </c>
      <c r="J40" s="116">
        <f>AVERAGE(J34:J36)</f>
        <v>0.62603208202352811</v>
      </c>
      <c r="K40" s="117">
        <f>AVERAGE(K34:K36)</f>
        <v>0.37396791797647189</v>
      </c>
    </row>
    <row r="41" spans="1:12" ht="18" thickBot="1">
      <c r="A41" s="10"/>
      <c r="B41" s="10"/>
      <c r="C41" s="10"/>
      <c r="D41" s="10"/>
      <c r="E41" s="115"/>
      <c r="F41" s="10"/>
      <c r="H41" s="10"/>
      <c r="I41" s="10"/>
      <c r="J41" s="60"/>
      <c r="K41" s="60"/>
    </row>
    <row r="42" spans="1:12" ht="27" thickBot="1">
      <c r="A42" s="10"/>
      <c r="B42" s="10"/>
      <c r="C42" s="10"/>
      <c r="D42" s="10"/>
      <c r="E42" s="115"/>
      <c r="F42" s="10"/>
      <c r="H42" s="10"/>
      <c r="I42" s="201" t="s">
        <v>211</v>
      </c>
      <c r="J42" s="297">
        <v>0.63</v>
      </c>
      <c r="K42" s="298">
        <v>0.37</v>
      </c>
    </row>
    <row r="43" spans="1:12" ht="17.25">
      <c r="A43" s="10"/>
      <c r="B43" s="10"/>
      <c r="C43" s="10"/>
      <c r="D43" s="10"/>
      <c r="E43" s="115"/>
      <c r="F43" s="10"/>
      <c r="G43" s="10"/>
      <c r="H43" s="10"/>
      <c r="I43" s="60"/>
      <c r="J43" s="60" t="s">
        <v>0</v>
      </c>
      <c r="K43" s="10"/>
    </row>
    <row r="44" spans="1:12" ht="16.5">
      <c r="E44" s="115"/>
      <c r="F44" s="10"/>
      <c r="G44" s="10"/>
      <c r="H44" s="10"/>
      <c r="I44" s="10"/>
      <c r="J44" s="10"/>
      <c r="K44" s="10"/>
    </row>
    <row r="45" spans="1:12" ht="16.5">
      <c r="E45" s="115"/>
      <c r="F45" s="10"/>
      <c r="G45" s="10"/>
      <c r="H45" s="10"/>
      <c r="I45" s="10"/>
      <c r="J45" s="10"/>
      <c r="K45" s="10"/>
    </row>
    <row r="46" spans="1:12" ht="26.25">
      <c r="A46" s="20" t="s">
        <v>71</v>
      </c>
      <c r="B46" s="10"/>
      <c r="C46" s="71"/>
      <c r="D46" s="119"/>
      <c r="E46" s="320"/>
      <c r="H46" s="10"/>
      <c r="I46" s="10"/>
      <c r="J46" s="10"/>
      <c r="K46" s="10"/>
    </row>
    <row r="47" spans="1:12" ht="16.5">
      <c r="A47" s="82" t="s">
        <v>54</v>
      </c>
      <c r="B47" s="10"/>
      <c r="C47" s="71"/>
      <c r="D47" s="119"/>
      <c r="E47" s="320"/>
      <c r="H47" s="10"/>
      <c r="I47" s="10"/>
      <c r="J47" s="10"/>
      <c r="K47" s="10"/>
    </row>
    <row r="48" spans="1:12" ht="16.5">
      <c r="A48" s="10" t="s">
        <v>155</v>
      </c>
      <c r="B48" s="10"/>
      <c r="C48" s="10"/>
      <c r="D48" s="10"/>
    </row>
    <row r="49" spans="1:8" ht="16.5">
      <c r="A49" s="10" t="s">
        <v>153</v>
      </c>
      <c r="B49" s="10"/>
      <c r="C49" s="10"/>
      <c r="D49" s="10"/>
    </row>
    <row r="50" spans="1:8" ht="16.5">
      <c r="A50" s="10" t="s">
        <v>154</v>
      </c>
      <c r="B50" s="10"/>
      <c r="C50" s="10"/>
      <c r="D50" s="10"/>
    </row>
    <row r="51" spans="1:8" ht="16.5">
      <c r="A51" s="10" t="s">
        <v>493</v>
      </c>
      <c r="B51" s="10"/>
      <c r="C51" s="10"/>
      <c r="D51" s="10"/>
    </row>
    <row r="52" spans="1:8" ht="16.5">
      <c r="A52" s="10" t="s">
        <v>494</v>
      </c>
      <c r="B52" s="10"/>
      <c r="C52" s="10"/>
      <c r="D52" s="10"/>
    </row>
    <row r="53" spans="1:8" ht="16.5">
      <c r="A53" s="10" t="s">
        <v>395</v>
      </c>
      <c r="B53" s="10"/>
      <c r="C53" s="10"/>
      <c r="D53" s="10"/>
    </row>
    <row r="54" spans="1:8" ht="16.5">
      <c r="A54" s="10" t="s">
        <v>396</v>
      </c>
      <c r="B54" s="10"/>
      <c r="C54" s="10"/>
      <c r="D54" s="10"/>
      <c r="G54" t="s">
        <v>0</v>
      </c>
    </row>
    <row r="55" spans="1:8" ht="26.25">
      <c r="A55" s="266" t="s">
        <v>315</v>
      </c>
      <c r="B55" s="10"/>
      <c r="C55" s="10"/>
      <c r="D55" s="10"/>
    </row>
    <row r="56" spans="1:8" ht="17.25" customHeight="1">
      <c r="A56" s="266"/>
      <c r="B56" s="10"/>
      <c r="C56" s="10"/>
      <c r="D56" s="10"/>
    </row>
    <row r="57" spans="1:8" ht="26.25">
      <c r="A57" s="266" t="s">
        <v>380</v>
      </c>
      <c r="B57" s="10"/>
      <c r="C57" s="10"/>
      <c r="E57" s="447" t="s">
        <v>2</v>
      </c>
      <c r="F57" s="444" t="s">
        <v>398</v>
      </c>
      <c r="G57" s="444" t="s">
        <v>399</v>
      </c>
      <c r="H57" s="443" t="s">
        <v>397</v>
      </c>
    </row>
    <row r="58" spans="1:8" ht="17.25">
      <c r="A58" s="123" t="s">
        <v>0</v>
      </c>
      <c r="B58" s="10"/>
      <c r="C58" s="10"/>
      <c r="E58" s="448" t="s">
        <v>387</v>
      </c>
      <c r="F58" s="449">
        <v>54060000</v>
      </c>
      <c r="G58" s="450">
        <f>20167000+34990000</f>
        <v>55157000</v>
      </c>
      <c r="H58" s="454">
        <v>31703000</v>
      </c>
    </row>
    <row r="59" spans="1:8" ht="17.25">
      <c r="A59" s="123" t="s">
        <v>0</v>
      </c>
      <c r="B59" s="10"/>
      <c r="C59" s="10"/>
      <c r="E59" s="451" t="s">
        <v>390</v>
      </c>
      <c r="F59" s="452"/>
      <c r="G59" s="452"/>
      <c r="H59" s="455"/>
    </row>
    <row r="60" spans="1:8" ht="17.25">
      <c r="A60" s="123" t="s">
        <v>0</v>
      </c>
      <c r="B60" s="10"/>
      <c r="C60" s="10"/>
      <c r="E60" s="448" t="s">
        <v>391</v>
      </c>
      <c r="F60" s="452">
        <v>17243000000</v>
      </c>
      <c r="G60" s="452">
        <v>17655000000</v>
      </c>
      <c r="H60" s="455">
        <v>3300000000</v>
      </c>
    </row>
    <row r="61" spans="1:8" ht="17.25">
      <c r="A61" s="123" t="s">
        <v>0</v>
      </c>
      <c r="B61" s="10"/>
      <c r="C61" s="10"/>
      <c r="E61" s="453" t="s">
        <v>393</v>
      </c>
      <c r="F61" s="445">
        <v>4308000000</v>
      </c>
      <c r="G61" s="445">
        <v>4465000000</v>
      </c>
      <c r="H61" s="446">
        <v>860000000</v>
      </c>
    </row>
    <row r="62" spans="1:8" ht="20.25" customHeight="1">
      <c r="A62" s="123" t="s">
        <v>0</v>
      </c>
      <c r="B62" s="10"/>
      <c r="C62" s="10"/>
      <c r="D62" s="10"/>
    </row>
    <row r="63" spans="1:8" ht="16.5">
      <c r="A63" s="322"/>
      <c r="B63" s="10"/>
      <c r="C63" s="10"/>
      <c r="D63" s="10"/>
    </row>
    <row r="64" spans="1:8" ht="16.5">
      <c r="B64" s="10"/>
      <c r="C64" s="10"/>
      <c r="D64" s="10"/>
    </row>
    <row r="65" spans="1:1" ht="23.25">
      <c r="A65" s="321"/>
    </row>
  </sheetData>
  <pageMargins left="0.25" right="0.25" top="0.75" bottom="0.75" header="0.3" footer="0.3"/>
  <pageSetup scale="38" orientation="landscape" r:id="rId1"/>
  <rowBreaks count="1" manualBreakCount="1">
    <brk id="42" max="11" man="1"/>
  </rowBreaks>
  <colBreaks count="1" manualBreakCount="1">
    <brk id="11" max="63"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1FF50-7DB7-41D1-AD2F-655311479817}">
  <sheetPr codeName="Sheet5">
    <tabColor rgb="FF92D050"/>
    <pageSetUpPr fitToPage="1"/>
  </sheetPr>
  <dimension ref="A1:I54"/>
  <sheetViews>
    <sheetView view="pageBreakPreview" topLeftCell="A23" zoomScale="70" zoomScaleNormal="80" zoomScaleSheetLayoutView="70" zoomScalePageLayoutView="70" workbookViewId="0">
      <pane xSplit="1" topLeftCell="B1" activePane="topRight" state="frozen"/>
      <selection pane="topRight" activeCell="A38" sqref="A38:XFD38"/>
    </sheetView>
  </sheetViews>
  <sheetFormatPr defaultRowHeight="15"/>
  <cols>
    <col min="1" max="1" width="62.42578125" customWidth="1"/>
    <col min="2" max="2" width="11.5703125" bestFit="1" customWidth="1"/>
    <col min="3" max="3" width="20.42578125" bestFit="1" customWidth="1"/>
    <col min="4" max="4" width="30.140625" customWidth="1"/>
    <col min="5" max="5" width="28" customWidth="1"/>
    <col min="6" max="6" width="29.140625" customWidth="1"/>
    <col min="7" max="7" width="23.42578125" customWidth="1"/>
    <col min="8" max="8" width="12.85546875" customWidth="1"/>
    <col min="9" max="9" width="25.85546875" bestFit="1" customWidth="1"/>
    <col min="10" max="10" width="30.140625" bestFit="1" customWidth="1"/>
    <col min="11" max="11" width="9.140625" customWidth="1"/>
  </cols>
  <sheetData>
    <row r="1" spans="1:9" ht="26.25">
      <c r="A1" s="21" t="s">
        <v>1</v>
      </c>
      <c r="B1" s="10"/>
      <c r="C1" s="10"/>
      <c r="D1" s="10"/>
      <c r="E1" s="10"/>
      <c r="F1" s="10"/>
      <c r="G1" s="10"/>
      <c r="H1" s="10"/>
    </row>
    <row r="2" spans="1:9" ht="17.25">
      <c r="A2" s="22" t="s">
        <v>9</v>
      </c>
      <c r="B2" s="10"/>
      <c r="C2" s="10"/>
      <c r="D2" s="10"/>
      <c r="E2" s="10"/>
      <c r="F2" s="10"/>
      <c r="G2" s="10"/>
      <c r="H2" s="10"/>
    </row>
    <row r="3" spans="1:9" ht="16.5">
      <c r="A3" s="23" t="s">
        <v>451</v>
      </c>
      <c r="B3" s="10"/>
      <c r="C3" s="10"/>
      <c r="D3" s="10"/>
      <c r="E3" s="10"/>
      <c r="F3" s="10"/>
      <c r="G3" s="10"/>
      <c r="H3" s="10"/>
    </row>
    <row r="4" spans="1:9" ht="16.5">
      <c r="A4" s="23"/>
      <c r="B4" s="10"/>
      <c r="C4" s="10"/>
      <c r="D4" s="10"/>
      <c r="E4" s="10"/>
      <c r="F4" s="200" t="s">
        <v>0</v>
      </c>
      <c r="G4" s="10"/>
      <c r="H4" s="10"/>
    </row>
    <row r="5" spans="1:9" ht="16.5">
      <c r="B5" s="10"/>
      <c r="C5" s="10"/>
      <c r="D5" s="10"/>
      <c r="E5" s="24"/>
      <c r="F5" s="200" t="s">
        <v>0</v>
      </c>
      <c r="G5" s="10"/>
      <c r="H5" s="10" t="s">
        <v>0</v>
      </c>
    </row>
    <row r="6" spans="1:9" ht="16.5">
      <c r="A6" s="82"/>
      <c r="B6" s="32"/>
      <c r="C6" s="32"/>
      <c r="D6" s="32"/>
      <c r="E6" s="32"/>
      <c r="F6" s="32"/>
      <c r="G6" s="12"/>
      <c r="H6" s="81"/>
      <c r="I6" s="3"/>
    </row>
    <row r="7" spans="1:9" ht="16.5">
      <c r="A7" s="41"/>
      <c r="B7" s="41"/>
      <c r="C7" s="41"/>
      <c r="D7" s="41"/>
      <c r="E7" s="41"/>
      <c r="F7" s="41"/>
      <c r="G7" s="41"/>
      <c r="H7" s="41"/>
      <c r="I7" s="2"/>
    </row>
    <row r="8" spans="1:9" ht="17.25" thickBot="1">
      <c r="A8" s="41"/>
      <c r="B8" s="41"/>
      <c r="C8" s="41"/>
      <c r="D8" s="83"/>
      <c r="E8" s="26"/>
      <c r="F8" s="83"/>
      <c r="H8" s="41"/>
      <c r="I8" s="2"/>
    </row>
    <row r="9" spans="1:9" ht="27" thickBot="1">
      <c r="A9" s="25" t="str">
        <f>+'S&amp;D'!A12</f>
        <v>Air Freight Carriers</v>
      </c>
      <c r="B9" s="41"/>
      <c r="C9" s="41"/>
      <c r="D9" s="41"/>
      <c r="E9" s="29" t="s">
        <v>306</v>
      </c>
      <c r="F9" s="41"/>
      <c r="H9" s="10"/>
    </row>
    <row r="10" spans="1:9" ht="21" thickBot="1">
      <c r="A10" s="28"/>
      <c r="B10" s="41"/>
      <c r="C10" s="41"/>
      <c r="D10" s="83"/>
      <c r="E10" s="34" t="s">
        <v>452</v>
      </c>
      <c r="F10" s="83"/>
      <c r="H10" s="10"/>
    </row>
    <row r="11" spans="1:9" ht="20.25">
      <c r="A11" s="28"/>
      <c r="B11" s="41"/>
      <c r="C11" s="41"/>
      <c r="D11" s="41"/>
      <c r="E11" s="32"/>
      <c r="F11" s="41"/>
      <c r="H11" s="10"/>
    </row>
    <row r="12" spans="1:9" ht="20.25">
      <c r="A12" s="28"/>
      <c r="B12" s="41"/>
      <c r="C12" s="41"/>
      <c r="D12" s="41"/>
      <c r="E12" s="32"/>
      <c r="F12" s="41"/>
      <c r="H12" s="10"/>
    </row>
    <row r="13" spans="1:9" ht="16.5">
      <c r="B13" s="41"/>
      <c r="C13" s="41"/>
      <c r="D13" s="41"/>
      <c r="E13" s="32"/>
      <c r="F13" s="41"/>
      <c r="H13" s="10"/>
    </row>
    <row r="14" spans="1:9" ht="20.25">
      <c r="A14" s="28"/>
      <c r="B14" s="41"/>
      <c r="C14" s="41"/>
      <c r="D14" s="41"/>
      <c r="E14" s="11" t="s">
        <v>0</v>
      </c>
      <c r="F14" s="41"/>
      <c r="H14" s="10"/>
    </row>
    <row r="15" spans="1:9" ht="17.25" thickBot="1">
      <c r="A15" s="39" t="s">
        <v>0</v>
      </c>
      <c r="B15" s="39" t="s">
        <v>0</v>
      </c>
      <c r="C15" s="39" t="s">
        <v>0</v>
      </c>
      <c r="D15" s="39"/>
      <c r="E15" s="39"/>
      <c r="F15" s="39"/>
      <c r="H15" s="10"/>
    </row>
    <row r="16" spans="1:9" ht="17.25">
      <c r="A16" s="249"/>
      <c r="B16" s="250"/>
      <c r="C16" s="251"/>
      <c r="D16" s="234" t="s">
        <v>0</v>
      </c>
      <c r="E16" s="235" t="s">
        <v>0</v>
      </c>
      <c r="F16" s="234" t="s">
        <v>0</v>
      </c>
      <c r="H16" s="10"/>
    </row>
    <row r="17" spans="1:8" ht="17.25">
      <c r="A17" s="84" t="s">
        <v>0</v>
      </c>
      <c r="B17" s="85" t="s">
        <v>3</v>
      </c>
      <c r="C17" s="86" t="s">
        <v>5</v>
      </c>
      <c r="D17" s="87" t="s">
        <v>0</v>
      </c>
      <c r="E17" s="236" t="s">
        <v>0</v>
      </c>
      <c r="F17" s="87" t="s">
        <v>298</v>
      </c>
      <c r="H17" s="10"/>
    </row>
    <row r="18" spans="1:8" ht="17.25">
      <c r="A18" s="84"/>
      <c r="B18" s="85" t="s">
        <v>4</v>
      </c>
      <c r="C18" s="86" t="s">
        <v>6</v>
      </c>
      <c r="D18" s="87" t="s">
        <v>307</v>
      </c>
      <c r="E18" s="236" t="s">
        <v>307</v>
      </c>
      <c r="F18" s="87" t="s">
        <v>129</v>
      </c>
      <c r="H18" s="10"/>
    </row>
    <row r="19" spans="1:8" ht="18" thickBot="1">
      <c r="A19" s="91" t="s">
        <v>2</v>
      </c>
      <c r="B19" s="92" t="s">
        <v>0</v>
      </c>
      <c r="C19" s="93" t="s">
        <v>0</v>
      </c>
      <c r="D19" s="285" t="s">
        <v>296</v>
      </c>
      <c r="E19" s="284" t="s">
        <v>60</v>
      </c>
      <c r="F19" s="92" t="s">
        <v>0</v>
      </c>
      <c r="H19" s="10"/>
    </row>
    <row r="20" spans="1:8" ht="16.5">
      <c r="A20" s="286" t="s">
        <v>7</v>
      </c>
      <c r="B20" s="268" t="s">
        <v>7</v>
      </c>
      <c r="C20" s="287" t="s">
        <v>7</v>
      </c>
      <c r="D20" s="268" t="s">
        <v>7</v>
      </c>
      <c r="E20" s="295" t="s">
        <v>297</v>
      </c>
      <c r="F20" s="96"/>
      <c r="H20" s="10"/>
    </row>
    <row r="21" spans="1:8" ht="17.25">
      <c r="A21" s="84"/>
      <c r="B21" s="85"/>
      <c r="C21" s="86"/>
      <c r="D21" s="85"/>
      <c r="E21" s="237"/>
      <c r="F21" s="85"/>
      <c r="H21" s="10"/>
    </row>
    <row r="22" spans="1:8" ht="17.25">
      <c r="A22" s="98" t="str">
        <f>+'S&amp;D'!A22</f>
        <v>Air Transport Services Group</v>
      </c>
      <c r="B22" s="76" t="str">
        <f>+'S&amp;D'!B22</f>
        <v>ATSG</v>
      </c>
      <c r="C22" s="86" t="str">
        <f>+'S&amp;D'!C22</f>
        <v>Air Trans</v>
      </c>
      <c r="D22" s="252">
        <f>+'S&amp;D'!D34</f>
        <v>1148893323.21</v>
      </c>
      <c r="E22" s="253">
        <v>1368702</v>
      </c>
      <c r="F22" s="100">
        <f>+D22/E22</f>
        <v>839.40355403148385</v>
      </c>
      <c r="H22" s="10"/>
    </row>
    <row r="23" spans="1:8" ht="17.25">
      <c r="A23" s="98" t="str">
        <f>+'S&amp;D'!A23</f>
        <v xml:space="preserve">FedEx Corp </v>
      </c>
      <c r="B23" s="76" t="str">
        <f>+'S&amp;D'!B23</f>
        <v>FDX</v>
      </c>
      <c r="C23" s="86" t="str">
        <f>+'S&amp;D'!C23</f>
        <v>Air Trans</v>
      </c>
      <c r="D23" s="252">
        <f>+'S&amp;D'!D35</f>
        <v>63215317867.559998</v>
      </c>
      <c r="E23" s="253">
        <v>26766000000</v>
      </c>
      <c r="F23" s="100">
        <f t="shared" ref="F23:F24" si="0">+D23/E23</f>
        <v>2.3617768014481055</v>
      </c>
      <c r="H23" s="10"/>
    </row>
    <row r="24" spans="1:8" ht="18" thickBot="1">
      <c r="A24" s="98" t="str">
        <f>+'S&amp;D'!A24</f>
        <v xml:space="preserve">United Parcel Service </v>
      </c>
      <c r="B24" s="76" t="str">
        <f>+'S&amp;D'!B24</f>
        <v>UPS</v>
      </c>
      <c r="C24" s="86" t="str">
        <f>+'S&amp;D'!C24</f>
        <v>Air Trans</v>
      </c>
      <c r="D24" s="252">
        <f>+'S&amp;D'!D36</f>
        <v>134114045399.99998</v>
      </c>
      <c r="E24" s="324">
        <v>17306000000</v>
      </c>
      <c r="F24" s="100">
        <f t="shared" si="0"/>
        <v>7.7495692476597702</v>
      </c>
      <c r="H24" s="10"/>
    </row>
    <row r="25" spans="1:8" ht="18" thickBot="1">
      <c r="A25" s="291" t="s">
        <v>0</v>
      </c>
      <c r="B25" s="77" t="s">
        <v>0</v>
      </c>
      <c r="C25" s="93" t="s">
        <v>0</v>
      </c>
      <c r="D25" s="292" t="s">
        <v>0</v>
      </c>
      <c r="E25" s="324" t="s">
        <v>0</v>
      </c>
      <c r="F25" s="100" t="s">
        <v>0</v>
      </c>
      <c r="G25" t="s">
        <v>0</v>
      </c>
      <c r="H25" s="10"/>
    </row>
    <row r="26" spans="1:8" ht="27" customHeight="1" thickBot="1">
      <c r="A26" s="112"/>
      <c r="B26" s="104"/>
      <c r="C26" s="104"/>
      <c r="D26" s="113"/>
      <c r="E26" s="323" t="s">
        <v>305</v>
      </c>
      <c r="F26" s="202">
        <f>AVERAGE(F22:F25)</f>
        <v>283.17163336019723</v>
      </c>
      <c r="H26" s="10"/>
    </row>
    <row r="27" spans="1:8" ht="17.25">
      <c r="A27" s="102"/>
      <c r="B27" s="102"/>
      <c r="C27" s="102"/>
      <c r="D27" s="102"/>
      <c r="E27" s="246"/>
      <c r="F27" s="248"/>
      <c r="H27" s="10"/>
    </row>
    <row r="28" spans="1:8" ht="17.25">
      <c r="A28" s="102"/>
      <c r="B28" s="102"/>
      <c r="C28" s="102"/>
      <c r="D28" s="102"/>
      <c r="E28" s="246"/>
      <c r="F28" s="248"/>
      <c r="H28" s="10"/>
    </row>
    <row r="29" spans="1:8" ht="17.25">
      <c r="A29" s="102"/>
      <c r="B29" s="102"/>
      <c r="C29" s="102"/>
      <c r="D29" s="102"/>
      <c r="E29" s="246"/>
      <c r="F29" s="248"/>
      <c r="H29" s="10"/>
    </row>
    <row r="30" spans="1:8" ht="18" thickBot="1">
      <c r="A30" s="102"/>
      <c r="B30" s="102"/>
      <c r="C30" s="102"/>
      <c r="D30" s="102"/>
      <c r="E30" s="102"/>
      <c r="F30" s="102"/>
      <c r="H30" s="10"/>
    </row>
    <row r="31" spans="1:8" ht="17.25">
      <c r="A31" s="249"/>
      <c r="B31" s="250"/>
      <c r="C31" s="251"/>
      <c r="D31" s="234" t="s">
        <v>0</v>
      </c>
      <c r="E31" s="235" t="s">
        <v>0</v>
      </c>
      <c r="F31" s="234" t="s">
        <v>0</v>
      </c>
      <c r="H31" s="10"/>
    </row>
    <row r="32" spans="1:8" ht="17.25">
      <c r="A32" s="84" t="s">
        <v>0</v>
      </c>
      <c r="B32" s="85" t="s">
        <v>3</v>
      </c>
      <c r="C32" s="86" t="s">
        <v>5</v>
      </c>
      <c r="D32" s="87" t="s">
        <v>0</v>
      </c>
      <c r="E32" s="236" t="s">
        <v>0</v>
      </c>
      <c r="F32" s="87" t="s">
        <v>298</v>
      </c>
      <c r="H32" s="10"/>
    </row>
    <row r="33" spans="1:7" ht="17.25">
      <c r="A33" s="84"/>
      <c r="B33" s="85" t="s">
        <v>4</v>
      </c>
      <c r="C33" s="86" t="s">
        <v>6</v>
      </c>
      <c r="D33" s="87" t="s">
        <v>299</v>
      </c>
      <c r="E33" s="236" t="s">
        <v>299</v>
      </c>
      <c r="F33" s="87" t="s">
        <v>129</v>
      </c>
    </row>
    <row r="34" spans="1:7" ht="18" thickBot="1">
      <c r="A34" s="91" t="s">
        <v>2</v>
      </c>
      <c r="B34" s="92" t="s">
        <v>0</v>
      </c>
      <c r="C34" s="93" t="s">
        <v>0</v>
      </c>
      <c r="D34" s="285" t="s">
        <v>296</v>
      </c>
      <c r="E34" s="284" t="s">
        <v>60</v>
      </c>
      <c r="F34" s="92" t="s">
        <v>0</v>
      </c>
    </row>
    <row r="35" spans="1:7">
      <c r="A35" s="286" t="s">
        <v>7</v>
      </c>
      <c r="B35" s="268" t="s">
        <v>7</v>
      </c>
      <c r="C35" s="287" t="s">
        <v>7</v>
      </c>
      <c r="D35" s="268" t="s">
        <v>297</v>
      </c>
      <c r="E35" s="110" t="s">
        <v>297</v>
      </c>
      <c r="F35" s="96"/>
    </row>
    <row r="36" spans="1:7" ht="17.25">
      <c r="A36" s="84"/>
      <c r="B36" s="85"/>
      <c r="C36" s="86"/>
      <c r="D36" s="85"/>
      <c r="E36" s="237"/>
      <c r="F36" s="85"/>
    </row>
    <row r="37" spans="1:7" ht="17.25">
      <c r="A37" s="98" t="str">
        <f t="shared" ref="A37:C39" si="1">+A22</f>
        <v>Air Transport Services Group</v>
      </c>
      <c r="B37" s="76" t="str">
        <f t="shared" si="1"/>
        <v>ATSG</v>
      </c>
      <c r="C37" s="86" t="str">
        <f t="shared" si="1"/>
        <v>Air Trans</v>
      </c>
      <c r="D37" s="252">
        <f>+'S&amp;D'!H34</f>
        <v>1704176859.3078027</v>
      </c>
      <c r="E37" s="253">
        <f>+'S&amp;D'!J22</f>
        <v>1762282000</v>
      </c>
      <c r="F37" s="100">
        <f>+D37/E37</f>
        <v>0.96702846610690152</v>
      </c>
    </row>
    <row r="38" spans="1:7" ht="17.25">
      <c r="A38" s="98" t="str">
        <f t="shared" si="1"/>
        <v xml:space="preserve">FedEx Corp </v>
      </c>
      <c r="B38" s="76" t="str">
        <f t="shared" si="1"/>
        <v>FDX</v>
      </c>
      <c r="C38" s="86" t="str">
        <f t="shared" si="1"/>
        <v>Air Trans</v>
      </c>
      <c r="D38" s="252">
        <f>+'S&amp;D'!H35</f>
        <v>17817852791.878174</v>
      </c>
      <c r="E38" s="253">
        <f>+'S&amp;D'!J23</f>
        <v>20527000000</v>
      </c>
      <c r="F38" s="100">
        <f t="shared" ref="F38:F39" si="2">+D38/E38</f>
        <v>0.86802030456852797</v>
      </c>
    </row>
    <row r="39" spans="1:7" ht="17.25">
      <c r="A39" s="98" t="str">
        <f t="shared" si="1"/>
        <v xml:space="preserve">United Parcel Service </v>
      </c>
      <c r="B39" s="76" t="str">
        <f t="shared" si="1"/>
        <v>UPS</v>
      </c>
      <c r="C39" s="86" t="str">
        <f t="shared" si="1"/>
        <v>Air Trans</v>
      </c>
      <c r="D39" s="252">
        <f>+'S&amp;D'!H36</f>
        <v>20608524056.555794</v>
      </c>
      <c r="E39" s="253">
        <f>+'S&amp;D'!J24</f>
        <v>22264000000</v>
      </c>
      <c r="F39" s="100">
        <f t="shared" si="2"/>
        <v>0.92564337300376365</v>
      </c>
    </row>
    <row r="40" spans="1:7" ht="18" thickBot="1">
      <c r="A40" s="291" t="str">
        <f>+A25</f>
        <v xml:space="preserve"> </v>
      </c>
      <c r="B40" s="77" t="s">
        <v>0</v>
      </c>
      <c r="C40" s="93" t="s">
        <v>0</v>
      </c>
      <c r="D40" s="292" t="s">
        <v>0</v>
      </c>
      <c r="E40" s="253" t="s">
        <v>0</v>
      </c>
      <c r="F40" s="100" t="s">
        <v>0</v>
      </c>
      <c r="G40" t="s">
        <v>0</v>
      </c>
    </row>
    <row r="41" spans="1:7" ht="27.75" customHeight="1" thickBot="1">
      <c r="A41" s="288"/>
      <c r="B41" s="146"/>
      <c r="C41" s="146"/>
      <c r="D41" s="289"/>
      <c r="E41" s="290" t="s">
        <v>305</v>
      </c>
      <c r="F41" s="202">
        <f>AVERAGE(F37:F40)</f>
        <v>0.92023071455973104</v>
      </c>
    </row>
    <row r="46" spans="1:7">
      <c r="C46" s="238" t="s">
        <v>300</v>
      </c>
      <c r="D46" s="238" t="s">
        <v>301</v>
      </c>
      <c r="E46" s="238"/>
    </row>
    <row r="47" spans="1:7">
      <c r="A47" s="240"/>
      <c r="B47" s="240"/>
      <c r="C47" s="239" t="s">
        <v>35</v>
      </c>
      <c r="D47" s="239" t="s">
        <v>302</v>
      </c>
      <c r="E47" s="239" t="s">
        <v>303</v>
      </c>
    </row>
    <row r="48" spans="1:7" ht="17.25">
      <c r="A48" s="86" t="s">
        <v>39</v>
      </c>
      <c r="B48" s="134" t="s">
        <v>0</v>
      </c>
      <c r="C48" s="134">
        <f>+'Yield CapRate'!C23</f>
        <v>0.63</v>
      </c>
      <c r="D48" s="244">
        <f>+F26</f>
        <v>283.17163336019723</v>
      </c>
      <c r="E48" s="245">
        <f>+C48*D48</f>
        <v>178.39812901692426</v>
      </c>
      <c r="F48" s="135" t="s">
        <v>0</v>
      </c>
    </row>
    <row r="49" spans="1:6" ht="17.25">
      <c r="A49" s="241" t="s">
        <v>41</v>
      </c>
      <c r="B49" s="242" t="str">
        <f>'S&amp;D'!J31</f>
        <v xml:space="preserve"> </v>
      </c>
      <c r="C49" s="242">
        <f>+'Yield CapRate'!C25</f>
        <v>0.37</v>
      </c>
      <c r="D49" s="243">
        <f>+F41</f>
        <v>0.92023071455973104</v>
      </c>
      <c r="E49" s="243">
        <f>+C49*D49</f>
        <v>0.34048536438710048</v>
      </c>
      <c r="F49" s="135" t="s">
        <v>0</v>
      </c>
    </row>
    <row r="50" spans="1:6">
      <c r="D50" s="246" t="s">
        <v>304</v>
      </c>
      <c r="E50" s="247">
        <f>+E48+E49</f>
        <v>178.73861438131135</v>
      </c>
    </row>
    <row r="53" spans="1:6" ht="20.25">
      <c r="A53" s="28" t="s">
        <v>414</v>
      </c>
    </row>
    <row r="54" spans="1:6" ht="19.5" customHeight="1">
      <c r="A54" s="28" t="s">
        <v>378</v>
      </c>
    </row>
  </sheetData>
  <pageMargins left="0.25" right="0.25" top="0.75" bottom="0.75" header="0.3" footer="0.3"/>
  <pageSetup scale="53" orientation="landscape" r:id="rId1"/>
  <rowBreaks count="1" manualBreakCount="1">
    <brk id="30" max="6" man="1"/>
  </rowBreaks>
  <colBreaks count="1" manualBreakCount="1">
    <brk id="8" max="71"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1145E-BF36-4A2C-868C-9B0DC0104C72}">
  <sheetPr codeName="Sheet6">
    <tabColor rgb="FF92D050"/>
  </sheetPr>
  <dimension ref="A1:L72"/>
  <sheetViews>
    <sheetView view="pageBreakPreview" zoomScale="70" zoomScaleNormal="80" zoomScaleSheetLayoutView="70" workbookViewId="0">
      <selection activeCell="L31" sqref="L31"/>
    </sheetView>
  </sheetViews>
  <sheetFormatPr defaultRowHeight="15"/>
  <cols>
    <col min="1" max="1" width="41" customWidth="1"/>
    <col min="2" max="2" width="10.85546875" bestFit="1" customWidth="1"/>
    <col min="3" max="3" width="10.7109375" customWidth="1"/>
    <col min="4" max="4" width="28.5703125" customWidth="1"/>
    <col min="5" max="5" width="22.28515625" customWidth="1"/>
    <col min="6" max="6" width="26.5703125" customWidth="1"/>
    <col min="7" max="7" width="26.42578125" customWidth="1"/>
    <col min="8" max="8" width="23.85546875" customWidth="1"/>
    <col min="9" max="9" width="15" customWidth="1"/>
    <col min="10" max="10" width="14.140625" bestFit="1" customWidth="1"/>
    <col min="11" max="11" width="16.7109375" customWidth="1"/>
    <col min="12" max="12" width="23.140625" customWidth="1"/>
  </cols>
  <sheetData>
    <row r="1" spans="1:12" ht="26.25">
      <c r="A1" s="21" t="s">
        <v>1</v>
      </c>
      <c r="B1" s="10"/>
      <c r="C1" s="10"/>
      <c r="D1" s="10"/>
      <c r="E1" s="10"/>
      <c r="F1" s="10"/>
      <c r="G1" s="10"/>
      <c r="H1" s="10"/>
      <c r="I1" s="10"/>
      <c r="J1" s="10"/>
      <c r="K1" s="10"/>
      <c r="L1" s="10"/>
    </row>
    <row r="2" spans="1:12" ht="17.25">
      <c r="A2" s="22" t="s">
        <v>9</v>
      </c>
      <c r="B2" s="10"/>
      <c r="C2" s="10"/>
      <c r="D2" s="10"/>
      <c r="E2" s="10"/>
      <c r="F2" s="10"/>
      <c r="G2" s="10"/>
      <c r="H2" s="10"/>
      <c r="I2" s="10"/>
      <c r="J2" s="10"/>
      <c r="K2" s="10"/>
      <c r="L2" s="10"/>
    </row>
    <row r="3" spans="1:12" ht="16.5">
      <c r="A3" s="23" t="s">
        <v>451</v>
      </c>
      <c r="B3" s="10"/>
      <c r="C3" s="10"/>
      <c r="D3" s="10"/>
      <c r="E3" s="10"/>
      <c r="F3" s="10"/>
      <c r="G3" s="10"/>
      <c r="H3" s="10"/>
      <c r="I3" s="10"/>
      <c r="J3" s="10"/>
      <c r="K3" s="10"/>
      <c r="L3" s="10"/>
    </row>
    <row r="4" spans="1:12" ht="16.5">
      <c r="A4" s="23"/>
      <c r="B4" s="10"/>
      <c r="C4" s="10"/>
      <c r="D4" s="10"/>
      <c r="E4" s="10"/>
      <c r="F4" s="10"/>
      <c r="G4" s="10"/>
      <c r="H4" s="10"/>
      <c r="I4" s="10"/>
      <c r="J4" s="10"/>
      <c r="K4" s="10"/>
      <c r="L4" s="10"/>
    </row>
    <row r="5" spans="1:12" ht="16.5">
      <c r="A5" s="23"/>
      <c r="B5" s="10"/>
      <c r="C5" s="10"/>
      <c r="D5" s="10"/>
      <c r="E5" s="10"/>
      <c r="F5" s="10"/>
      <c r="G5" s="10"/>
      <c r="H5" s="10"/>
      <c r="I5" s="10"/>
      <c r="J5" s="10"/>
      <c r="K5" s="10"/>
      <c r="L5" s="10"/>
    </row>
    <row r="6" spans="1:12" ht="16.5">
      <c r="A6" s="23"/>
      <c r="B6" s="10"/>
      <c r="C6" s="10"/>
      <c r="D6" s="10"/>
      <c r="E6" s="10"/>
      <c r="F6" s="10"/>
      <c r="G6" s="10"/>
      <c r="H6" s="10"/>
      <c r="I6" s="10"/>
      <c r="J6" s="10"/>
      <c r="K6" s="10"/>
      <c r="L6" s="10"/>
    </row>
    <row r="7" spans="1:12" ht="17.25" thickBot="1">
      <c r="A7" s="10"/>
      <c r="B7" s="10"/>
      <c r="C7" s="10"/>
      <c r="D7" s="10"/>
      <c r="E7" s="10"/>
      <c r="F7" s="26"/>
      <c r="G7" s="26"/>
      <c r="H7" s="27" t="s">
        <v>0</v>
      </c>
      <c r="I7" s="10"/>
      <c r="J7" s="10"/>
      <c r="K7" s="10"/>
      <c r="L7" s="10"/>
    </row>
    <row r="8" spans="1:12" ht="27" thickBot="1">
      <c r="A8" s="259" t="str">
        <f>+'S&amp;D'!A12</f>
        <v>Air Freight Carriers</v>
      </c>
      <c r="B8" s="260"/>
      <c r="C8" s="193"/>
      <c r="D8" s="10"/>
      <c r="E8" s="10"/>
      <c r="F8" s="10"/>
      <c r="G8" s="29" t="s">
        <v>75</v>
      </c>
      <c r="H8" s="10"/>
      <c r="I8" s="10"/>
      <c r="J8" s="10"/>
      <c r="K8" s="10"/>
      <c r="L8" s="10"/>
    </row>
    <row r="9" spans="1:12" ht="20.25">
      <c r="A9" s="28"/>
      <c r="B9" s="10"/>
      <c r="C9" s="10"/>
      <c r="D9" s="10"/>
      <c r="E9" s="10"/>
      <c r="F9" s="10"/>
      <c r="G9" s="86" t="s">
        <v>76</v>
      </c>
      <c r="H9" s="10"/>
      <c r="I9" s="10"/>
      <c r="J9" s="10"/>
      <c r="K9" s="10"/>
      <c r="L9" s="10"/>
    </row>
    <row r="10" spans="1:12" ht="18" customHeight="1" thickBot="1">
      <c r="A10" s="38" t="s">
        <v>0</v>
      </c>
      <c r="B10" s="38" t="s">
        <v>0</v>
      </c>
      <c r="C10" s="38" t="s">
        <v>0</v>
      </c>
      <c r="D10" s="10"/>
      <c r="E10" s="10"/>
      <c r="F10" s="31" t="s">
        <v>0</v>
      </c>
      <c r="G10" s="34" t="s">
        <v>452</v>
      </c>
      <c r="H10" s="31" t="s">
        <v>0</v>
      </c>
      <c r="I10" s="38" t="s">
        <v>0</v>
      </c>
      <c r="J10" s="10"/>
      <c r="K10" s="10"/>
      <c r="L10" s="10"/>
    </row>
    <row r="11" spans="1:12" ht="18" customHeight="1">
      <c r="A11" s="38"/>
      <c r="B11" s="38"/>
      <c r="C11" s="38"/>
      <c r="D11" s="10"/>
      <c r="E11" s="10"/>
      <c r="J11" s="10"/>
      <c r="K11" s="10"/>
      <c r="L11" s="10"/>
    </row>
    <row r="12" spans="1:12" ht="18" customHeight="1">
      <c r="A12" s="38"/>
      <c r="B12" s="38"/>
      <c r="C12" s="38"/>
      <c r="D12" s="10" t="s">
        <v>0</v>
      </c>
      <c r="E12" s="10" t="s">
        <v>0</v>
      </c>
      <c r="J12" s="10"/>
      <c r="K12" s="10"/>
      <c r="L12" s="10" t="s">
        <v>0</v>
      </c>
    </row>
    <row r="13" spans="1:12" ht="17.25" thickBot="1">
      <c r="A13" s="31"/>
      <c r="B13" s="31"/>
      <c r="C13" s="31"/>
      <c r="D13" s="31"/>
      <c r="E13" s="34"/>
      <c r="F13" s="31"/>
      <c r="G13" s="31"/>
      <c r="H13" s="31"/>
      <c r="I13" s="31"/>
      <c r="J13" s="26"/>
      <c r="K13" s="26"/>
      <c r="L13" s="26"/>
    </row>
    <row r="14" spans="1:12" ht="15" customHeight="1" thickBot="1">
      <c r="A14" s="31" t="s">
        <v>24</v>
      </c>
      <c r="B14" s="31" t="s">
        <v>88</v>
      </c>
      <c r="C14" s="31" t="s">
        <v>89</v>
      </c>
      <c r="D14" s="39" t="s">
        <v>90</v>
      </c>
      <c r="E14" s="31" t="s">
        <v>91</v>
      </c>
      <c r="F14" s="31" t="s">
        <v>92</v>
      </c>
      <c r="G14" s="31" t="s">
        <v>93</v>
      </c>
      <c r="H14" s="31" t="s">
        <v>94</v>
      </c>
      <c r="I14" s="31" t="s">
        <v>95</v>
      </c>
      <c r="J14" s="31" t="s">
        <v>96</v>
      </c>
      <c r="K14" s="31" t="s">
        <v>97</v>
      </c>
      <c r="L14" s="31" t="s">
        <v>105</v>
      </c>
    </row>
    <row r="15" spans="1:12" ht="16.5">
      <c r="A15" s="32" t="s">
        <v>0</v>
      </c>
      <c r="B15" s="32" t="s">
        <v>3</v>
      </c>
      <c r="C15" s="32" t="s">
        <v>77</v>
      </c>
      <c r="D15" s="32" t="s">
        <v>80</v>
      </c>
      <c r="E15" s="32" t="s">
        <v>80</v>
      </c>
      <c r="F15" s="32" t="s">
        <v>81</v>
      </c>
      <c r="G15" s="32" t="s">
        <v>84</v>
      </c>
      <c r="H15" s="32" t="s">
        <v>86</v>
      </c>
      <c r="I15" s="32" t="s">
        <v>108</v>
      </c>
      <c r="J15" s="32" t="s">
        <v>108</v>
      </c>
      <c r="K15" s="32" t="s">
        <v>101</v>
      </c>
      <c r="L15" s="32" t="s">
        <v>103</v>
      </c>
    </row>
    <row r="16" spans="1:12" ht="17.25" thickBot="1">
      <c r="A16" s="34" t="s">
        <v>2</v>
      </c>
      <c r="B16" s="34" t="s">
        <v>4</v>
      </c>
      <c r="C16" s="34" t="s">
        <v>78</v>
      </c>
      <c r="D16" s="34" t="s">
        <v>83</v>
      </c>
      <c r="E16" s="34" t="s">
        <v>82</v>
      </c>
      <c r="F16" s="34" t="s">
        <v>19</v>
      </c>
      <c r="G16" s="34" t="s">
        <v>85</v>
      </c>
      <c r="H16" s="34" t="s">
        <v>87</v>
      </c>
      <c r="I16" s="34" t="s">
        <v>0</v>
      </c>
      <c r="J16" s="34" t="s">
        <v>0</v>
      </c>
      <c r="K16" s="34" t="s">
        <v>102</v>
      </c>
      <c r="L16" s="34" t="s">
        <v>84</v>
      </c>
    </row>
    <row r="17" spans="1:12">
      <c r="A17" s="40" t="s">
        <v>7</v>
      </c>
      <c r="B17" s="40" t="s">
        <v>7</v>
      </c>
      <c r="C17" s="40" t="s">
        <v>79</v>
      </c>
      <c r="D17" s="40" t="s">
        <v>247</v>
      </c>
      <c r="E17" s="40" t="s">
        <v>247</v>
      </c>
      <c r="F17" s="40" t="s">
        <v>106</v>
      </c>
      <c r="G17" s="40" t="s">
        <v>246</v>
      </c>
      <c r="H17" s="40" t="s">
        <v>98</v>
      </c>
      <c r="I17" s="40" t="s">
        <v>99</v>
      </c>
      <c r="J17" s="40" t="s">
        <v>100</v>
      </c>
      <c r="K17" s="40" t="s">
        <v>107</v>
      </c>
      <c r="L17" s="40" t="s">
        <v>104</v>
      </c>
    </row>
    <row r="18" spans="1:12" ht="16.5">
      <c r="A18" s="32"/>
      <c r="B18" s="32"/>
      <c r="C18" s="32"/>
      <c r="D18" s="32"/>
      <c r="E18" s="32"/>
      <c r="F18" s="32"/>
      <c r="G18" s="32"/>
      <c r="H18" s="32"/>
      <c r="I18" s="32"/>
      <c r="J18" s="32"/>
      <c r="K18" s="32"/>
      <c r="L18" s="32"/>
    </row>
    <row r="19" spans="1:12" ht="16.5">
      <c r="A19" s="10"/>
      <c r="B19" s="10"/>
      <c r="C19" s="10"/>
      <c r="D19" s="10"/>
      <c r="E19" s="10"/>
      <c r="F19" s="10"/>
      <c r="G19" s="10"/>
      <c r="H19" s="10"/>
      <c r="I19" s="10"/>
      <c r="J19" s="10"/>
      <c r="K19" s="10"/>
      <c r="L19" s="10"/>
    </row>
    <row r="20" spans="1:12" ht="22.5" customHeight="1">
      <c r="A20" s="60" t="str">
        <f>+'S&amp;D'!A22</f>
        <v>Air Transport Services Group</v>
      </c>
      <c r="B20" s="86" t="str">
        <f>+'S&amp;D'!B22</f>
        <v>ATSG</v>
      </c>
      <c r="C20" s="63">
        <f>+'Growth &amp; Inflation Rates'!D93</f>
        <v>2.2200000000000001E-2</v>
      </c>
      <c r="D20" s="293">
        <v>4618263000</v>
      </c>
      <c r="E20" s="130">
        <v>4062042000</v>
      </c>
      <c r="F20" s="130">
        <f>(D20+E20)/2</f>
        <v>4340152500</v>
      </c>
      <c r="G20" s="130">
        <v>342985000</v>
      </c>
      <c r="H20" s="16">
        <f>+F20/G20</f>
        <v>12.654059215417584</v>
      </c>
      <c r="I20" s="42">
        <f>+C20*H20</f>
        <v>0.2809201145822704</v>
      </c>
      <c r="J20" s="43">
        <f>1/(1+C20)^H20</f>
        <v>0.75741247269237599</v>
      </c>
      <c r="K20" s="131">
        <f>(G20*I20)/(1-J20)</f>
        <v>397181943.23246187</v>
      </c>
      <c r="L20" s="132">
        <f>+K20/G20</f>
        <v>1.1580154911511054</v>
      </c>
    </row>
    <row r="21" spans="1:12" ht="22.5" customHeight="1">
      <c r="A21" s="60" t="str">
        <f>+'S&amp;D'!A23</f>
        <v xml:space="preserve">FedEx Corp </v>
      </c>
      <c r="B21" s="86" t="str">
        <f>+'S&amp;D'!B23</f>
        <v>FDX</v>
      </c>
      <c r="C21" s="63">
        <f>+'Growth &amp; Inflation Rates'!D93</f>
        <v>2.2200000000000001E-2</v>
      </c>
      <c r="D21" s="293">
        <v>83281000000</v>
      </c>
      <c r="E21" s="340">
        <v>78532000000</v>
      </c>
      <c r="F21" s="340">
        <f t="shared" ref="F21:F22" si="0">(D21+E21)/2</f>
        <v>80906500000</v>
      </c>
      <c r="G21" s="416">
        <f>919000000+1020000000+1046000000+1040000000</f>
        <v>4025000000</v>
      </c>
      <c r="H21" s="16">
        <f t="shared" ref="H21:H22" si="1">+F21/G21</f>
        <v>20.100993788819874</v>
      </c>
      <c r="I21" s="42">
        <f t="shared" ref="I21:I22" si="2">+C21*H21</f>
        <v>0.44624206211180123</v>
      </c>
      <c r="J21" s="43">
        <f t="shared" ref="J21:J22" si="3">1/(1+C21)^H21</f>
        <v>0.6431605579688433</v>
      </c>
      <c r="K21" s="131">
        <f t="shared" ref="K21:K22" si="4">(G21*I21)/(1-J21)</f>
        <v>5033424247.5448532</v>
      </c>
      <c r="L21" s="132">
        <f t="shared" ref="L21:L22" si="5">+K21/G21</f>
        <v>1.2505401857254295</v>
      </c>
    </row>
    <row r="22" spans="1:12" ht="22.5" customHeight="1">
      <c r="A22" s="60" t="str">
        <f>+'S&amp;D'!A24</f>
        <v xml:space="preserve">United Parcel Service </v>
      </c>
      <c r="B22" s="86" t="str">
        <f>+'S&amp;D'!B24</f>
        <v>UPS</v>
      </c>
      <c r="C22" s="63">
        <f>+'Growth &amp; Inflation Rates'!D93</f>
        <v>2.2200000000000001E-2</v>
      </c>
      <c r="D22" s="293">
        <v>71515000000</v>
      </c>
      <c r="E22" s="130">
        <v>67430000000</v>
      </c>
      <c r="F22" s="130">
        <f t="shared" si="0"/>
        <v>69472500000</v>
      </c>
      <c r="G22" s="130">
        <v>3366000000</v>
      </c>
      <c r="H22" s="16">
        <f t="shared" si="1"/>
        <v>20.639483065953655</v>
      </c>
      <c r="I22" s="42">
        <f t="shared" si="2"/>
        <v>0.45819652406417116</v>
      </c>
      <c r="J22" s="43">
        <f t="shared" si="3"/>
        <v>0.63560080122565632</v>
      </c>
      <c r="K22" s="131">
        <f t="shared" si="4"/>
        <v>4232417374.0982122</v>
      </c>
      <c r="L22" s="132">
        <f t="shared" si="5"/>
        <v>1.2574026661016673</v>
      </c>
    </row>
    <row r="23" spans="1:12" ht="22.5" customHeight="1">
      <c r="A23" s="60" t="s">
        <v>0</v>
      </c>
      <c r="B23" s="86" t="s">
        <v>0</v>
      </c>
      <c r="C23" s="63" t="s">
        <v>0</v>
      </c>
      <c r="D23" s="293" t="s">
        <v>0</v>
      </c>
      <c r="E23" s="130" t="s">
        <v>0</v>
      </c>
      <c r="F23" s="130" t="s">
        <v>0</v>
      </c>
      <c r="G23" s="130" t="s">
        <v>0</v>
      </c>
      <c r="H23" s="16" t="s">
        <v>0</v>
      </c>
      <c r="I23" s="42" t="s">
        <v>0</v>
      </c>
      <c r="J23" s="43" t="s">
        <v>0</v>
      </c>
      <c r="K23" s="131" t="s">
        <v>0</v>
      </c>
      <c r="L23" s="132" t="s">
        <v>0</v>
      </c>
    </row>
    <row r="24" spans="1:12" ht="22.5" customHeight="1" thickBot="1">
      <c r="A24" s="67"/>
      <c r="B24" s="67"/>
      <c r="C24" s="44"/>
      <c r="D24" s="44"/>
      <c r="E24" s="44"/>
      <c r="F24" s="44"/>
      <c r="G24" s="44" t="s">
        <v>0</v>
      </c>
      <c r="H24" s="44"/>
      <c r="I24" s="44" t="s">
        <v>44</v>
      </c>
      <c r="J24" s="44"/>
      <c r="K24" s="44"/>
      <c r="L24" s="44"/>
    </row>
    <row r="25" spans="1:12" ht="22.5" customHeight="1" thickTop="1">
      <c r="A25" s="10"/>
      <c r="B25" s="10"/>
      <c r="C25" s="45" t="s">
        <v>0</v>
      </c>
      <c r="D25" s="45" t="s">
        <v>0</v>
      </c>
      <c r="E25" s="32" t="s">
        <v>0</v>
      </c>
      <c r="F25" s="32"/>
      <c r="G25" s="45" t="s">
        <v>0</v>
      </c>
      <c r="H25" s="32"/>
      <c r="I25" s="45" t="s">
        <v>0</v>
      </c>
      <c r="J25" s="45" t="s">
        <v>0</v>
      </c>
      <c r="K25" s="12" t="s">
        <v>45</v>
      </c>
      <c r="L25" s="50">
        <f>+MAX(L20:L22)</f>
        <v>1.2574026661016673</v>
      </c>
    </row>
    <row r="26" spans="1:12" ht="22.5" customHeight="1">
      <c r="B26" s="10"/>
      <c r="C26" s="45"/>
      <c r="D26" s="342" t="s">
        <v>0</v>
      </c>
      <c r="E26" s="343" t="s">
        <v>0</v>
      </c>
      <c r="F26" s="343"/>
      <c r="G26" s="342" t="s">
        <v>0</v>
      </c>
      <c r="H26" s="32"/>
      <c r="I26" s="45"/>
      <c r="J26" s="45"/>
      <c r="K26" s="314" t="s">
        <v>46</v>
      </c>
      <c r="L26" s="315">
        <f>MIN(L20:L22)</f>
        <v>1.1580154911511054</v>
      </c>
    </row>
    <row r="27" spans="1:12" ht="22.5" customHeight="1">
      <c r="B27" s="10"/>
      <c r="C27" s="10"/>
      <c r="D27" s="10"/>
      <c r="E27" s="10"/>
      <c r="F27" s="10"/>
      <c r="G27" s="10" t="s">
        <v>0</v>
      </c>
      <c r="H27" s="10"/>
      <c r="I27" s="10"/>
      <c r="J27" s="10"/>
      <c r="K27" s="12" t="s">
        <v>18</v>
      </c>
      <c r="L27" s="52">
        <f>MEDIAN(L20:L23)</f>
        <v>1.2505401857254295</v>
      </c>
    </row>
    <row r="28" spans="1:12" ht="22.5" customHeight="1">
      <c r="A28" s="10" t="s">
        <v>0</v>
      </c>
      <c r="B28" s="10"/>
      <c r="C28" s="10"/>
      <c r="D28" s="10"/>
      <c r="E28" s="10"/>
      <c r="F28" s="10"/>
      <c r="G28" s="10"/>
      <c r="H28" s="10"/>
      <c r="I28" s="10"/>
      <c r="J28" s="10"/>
      <c r="K28" s="12" t="s">
        <v>412</v>
      </c>
      <c r="L28" s="52">
        <f>AVERAGE(L20:L23)</f>
        <v>1.2219861143260673</v>
      </c>
    </row>
    <row r="29" spans="1:12" ht="22.5" customHeight="1" thickBot="1">
      <c r="A29" s="10"/>
      <c r="B29" s="10"/>
      <c r="C29" s="10"/>
      <c r="D29" s="10"/>
      <c r="E29" s="10"/>
      <c r="F29" s="10"/>
      <c r="G29" s="10" t="s">
        <v>0</v>
      </c>
      <c r="H29" s="10"/>
      <c r="I29" s="10"/>
      <c r="J29" s="10"/>
      <c r="K29" s="10"/>
      <c r="L29" s="10"/>
    </row>
    <row r="30" spans="1:12" ht="22.5" customHeight="1" thickBot="1">
      <c r="A30" s="10"/>
      <c r="B30" s="10"/>
      <c r="C30" s="10"/>
      <c r="D30" s="10"/>
      <c r="E30" s="10"/>
      <c r="F30" s="10"/>
      <c r="G30" s="10"/>
      <c r="H30" s="10"/>
      <c r="I30" s="10"/>
      <c r="J30" s="10"/>
      <c r="K30" s="199" t="s">
        <v>211</v>
      </c>
      <c r="L30" s="400">
        <v>1.222</v>
      </c>
    </row>
    <row r="31" spans="1:12" ht="16.5">
      <c r="A31" s="10"/>
      <c r="B31" s="10"/>
      <c r="C31" s="10"/>
      <c r="D31" s="10"/>
      <c r="E31" s="10"/>
      <c r="F31" s="10"/>
      <c r="G31" s="10"/>
      <c r="H31" s="10"/>
      <c r="I31" s="10"/>
      <c r="J31" s="10"/>
      <c r="K31" s="10"/>
      <c r="L31" s="10"/>
    </row>
    <row r="32" spans="1:12" ht="16.5">
      <c r="A32" s="10"/>
      <c r="B32" s="10"/>
      <c r="C32" s="10"/>
      <c r="D32" s="10"/>
      <c r="E32" s="10"/>
      <c r="F32" s="10"/>
      <c r="G32" s="10"/>
      <c r="H32" s="10"/>
      <c r="I32" s="10"/>
      <c r="J32" s="10"/>
      <c r="K32" s="10"/>
      <c r="L32" s="10"/>
    </row>
    <row r="33" spans="1:12" ht="16.5">
      <c r="A33" s="10" t="s">
        <v>71</v>
      </c>
      <c r="B33" s="10"/>
      <c r="C33" s="10"/>
      <c r="D33" s="10"/>
      <c r="E33" s="10"/>
      <c r="F33" s="10"/>
      <c r="G33" s="10"/>
      <c r="H33" s="10"/>
      <c r="I33" s="10"/>
      <c r="J33" s="10"/>
      <c r="K33" s="10"/>
      <c r="L33" s="10"/>
    </row>
    <row r="34" spans="1:12" ht="16.5">
      <c r="A34" s="10" t="s">
        <v>267</v>
      </c>
    </row>
    <row r="35" spans="1:12" ht="16.5">
      <c r="A35" s="10"/>
    </row>
    <row r="36" spans="1:12" ht="16.5">
      <c r="A36" s="10" t="s">
        <v>377</v>
      </c>
    </row>
    <row r="37" spans="1:12" ht="20.25">
      <c r="A37" s="231"/>
      <c r="B37" s="231"/>
      <c r="C37" s="231"/>
      <c r="D37" s="231"/>
      <c r="E37" s="231"/>
      <c r="F37" s="231"/>
      <c r="G37" s="231"/>
      <c r="H37" s="231"/>
      <c r="I37" s="231"/>
      <c r="J37" s="231"/>
      <c r="K37" s="231"/>
      <c r="L37" s="231"/>
    </row>
    <row r="38" spans="1:12" ht="26.25">
      <c r="A38" s="21" t="s">
        <v>1</v>
      </c>
      <c r="B38" s="10"/>
      <c r="C38" s="10"/>
      <c r="D38" s="10"/>
      <c r="E38" s="10"/>
      <c r="F38" s="10"/>
      <c r="G38" s="10"/>
      <c r="H38" s="10"/>
      <c r="I38" s="10"/>
      <c r="J38" s="10"/>
      <c r="K38" s="231"/>
      <c r="L38" s="231"/>
    </row>
    <row r="39" spans="1:12" ht="20.25">
      <c r="A39" s="22" t="s">
        <v>9</v>
      </c>
      <c r="B39" s="10"/>
      <c r="C39" s="10"/>
      <c r="D39" s="10"/>
      <c r="E39" s="10"/>
      <c r="F39" s="10"/>
      <c r="G39" s="10"/>
      <c r="H39" s="10"/>
      <c r="I39" s="10"/>
      <c r="J39" s="10"/>
      <c r="K39" s="231"/>
      <c r="L39" s="231"/>
    </row>
    <row r="40" spans="1:12" ht="20.25">
      <c r="A40" s="23" t="s">
        <v>451</v>
      </c>
      <c r="B40" s="10"/>
      <c r="C40" s="10"/>
      <c r="D40" s="10"/>
      <c r="E40" s="10"/>
      <c r="F40" s="10"/>
      <c r="G40" s="10"/>
      <c r="H40" s="10"/>
      <c r="I40" s="10"/>
      <c r="J40" s="10"/>
      <c r="K40" s="231"/>
      <c r="L40" s="231"/>
    </row>
    <row r="41" spans="1:12" ht="20.25">
      <c r="A41" s="23"/>
      <c r="B41" s="10"/>
      <c r="C41" s="10"/>
      <c r="D41" s="10"/>
      <c r="E41" s="10"/>
      <c r="F41" s="10"/>
      <c r="G41" s="10"/>
      <c r="H41" s="10"/>
      <c r="I41" s="10"/>
      <c r="J41" s="10"/>
      <c r="K41" s="231"/>
      <c r="L41" s="231"/>
    </row>
    <row r="42" spans="1:12" ht="20.25">
      <c r="A42" s="23"/>
      <c r="B42" s="10"/>
      <c r="C42" s="10"/>
      <c r="D42" s="10"/>
      <c r="E42" s="10"/>
      <c r="F42" s="10"/>
      <c r="G42" s="10"/>
      <c r="H42" s="10"/>
      <c r="I42" s="10"/>
      <c r="J42" s="10"/>
      <c r="K42" s="231"/>
      <c r="L42" s="231"/>
    </row>
    <row r="43" spans="1:12" ht="20.25">
      <c r="A43" s="23"/>
      <c r="B43" s="10"/>
      <c r="C43" s="10"/>
      <c r="D43" s="10"/>
      <c r="E43" s="10"/>
      <c r="F43" s="10"/>
      <c r="G43" s="10"/>
      <c r="H43" s="10"/>
      <c r="I43" s="10"/>
      <c r="J43" s="10"/>
      <c r="K43" s="231"/>
      <c r="L43" s="231"/>
    </row>
    <row r="44" spans="1:12" ht="21" thickBot="1">
      <c r="B44" s="10"/>
      <c r="C44" s="10"/>
      <c r="D44" s="10"/>
      <c r="E44" s="10"/>
      <c r="F44" s="26"/>
      <c r="G44" s="26"/>
      <c r="H44" s="27" t="s">
        <v>0</v>
      </c>
      <c r="I44" s="10"/>
      <c r="J44" s="10"/>
      <c r="K44" s="231"/>
      <c r="L44" s="231"/>
    </row>
    <row r="45" spans="1:12" ht="26.25">
      <c r="B45" s="10"/>
      <c r="C45" s="10"/>
      <c r="D45" s="10"/>
      <c r="E45" s="10"/>
      <c r="F45" s="10"/>
      <c r="G45" s="29" t="s">
        <v>293</v>
      </c>
      <c r="H45" s="10"/>
      <c r="I45" s="10"/>
      <c r="J45" s="10"/>
      <c r="K45" s="231"/>
      <c r="L45" s="231"/>
    </row>
    <row r="46" spans="1:12" ht="21" thickBot="1">
      <c r="B46" s="38" t="s">
        <v>0</v>
      </c>
      <c r="C46" s="38" t="s">
        <v>0</v>
      </c>
      <c r="D46" s="10"/>
      <c r="E46" s="10"/>
      <c r="F46" s="31" t="s">
        <v>0</v>
      </c>
      <c r="G46" s="34" t="s">
        <v>452</v>
      </c>
      <c r="H46" s="31" t="s">
        <v>0</v>
      </c>
      <c r="I46" s="38" t="s">
        <v>0</v>
      </c>
      <c r="J46" s="10"/>
      <c r="K46" s="231"/>
      <c r="L46" s="231"/>
    </row>
    <row r="47" spans="1:12" ht="20.25">
      <c r="A47" s="231"/>
      <c r="B47" s="231"/>
      <c r="C47" s="231"/>
      <c r="D47" s="231"/>
      <c r="E47" s="231"/>
      <c r="F47" s="231"/>
      <c r="G47" s="231"/>
      <c r="H47" s="231"/>
      <c r="I47" s="231"/>
      <c r="J47" s="231"/>
      <c r="K47" s="231"/>
      <c r="L47" s="231"/>
    </row>
    <row r="48" spans="1:12" ht="20.25">
      <c r="A48" s="231"/>
      <c r="B48" s="231"/>
      <c r="C48" s="231"/>
      <c r="D48" s="231"/>
      <c r="E48" s="231"/>
      <c r="F48" s="231"/>
      <c r="G48" s="231"/>
      <c r="H48" s="231"/>
      <c r="I48" s="231"/>
      <c r="J48" s="231"/>
      <c r="K48" s="231"/>
      <c r="L48" s="231"/>
    </row>
    <row r="49" spans="1:12" ht="20.25">
      <c r="A49" s="231"/>
      <c r="B49" s="231"/>
      <c r="C49" s="231"/>
      <c r="D49" s="231"/>
      <c r="E49" s="231"/>
      <c r="F49" s="231"/>
      <c r="G49" s="231"/>
      <c r="H49" s="231"/>
      <c r="I49" s="231"/>
      <c r="J49" s="231"/>
      <c r="K49" s="231"/>
      <c r="L49" s="231"/>
    </row>
    <row r="50" spans="1:12" ht="16.5">
      <c r="A50" s="38"/>
      <c r="B50" s="38"/>
      <c r="C50" s="38"/>
      <c r="D50" s="10"/>
      <c r="E50" s="10"/>
      <c r="J50" s="10"/>
      <c r="K50" s="10"/>
      <c r="L50" s="10"/>
    </row>
    <row r="51" spans="1:12" ht="31.5">
      <c r="A51" s="225" t="s">
        <v>282</v>
      </c>
      <c r="B51" s="38"/>
      <c r="C51" s="227" t="s">
        <v>287</v>
      </c>
      <c r="D51" s="10"/>
      <c r="E51" s="10"/>
      <c r="J51" s="10"/>
      <c r="K51" s="10"/>
      <c r="L51" s="10"/>
    </row>
    <row r="52" spans="1:12" ht="31.5">
      <c r="A52" s="225" t="s">
        <v>286</v>
      </c>
      <c r="B52" s="38"/>
      <c r="C52" s="227" t="s">
        <v>292</v>
      </c>
      <c r="D52" s="10"/>
      <c r="E52" s="10"/>
      <c r="J52" s="10"/>
      <c r="K52" s="10"/>
      <c r="L52" s="10"/>
    </row>
    <row r="53" spans="1:12" ht="17.25">
      <c r="A53" s="226" t="s">
        <v>283</v>
      </c>
      <c r="B53" s="38"/>
      <c r="C53" s="38"/>
      <c r="D53" s="10"/>
      <c r="E53" s="10"/>
      <c r="J53" s="10"/>
      <c r="K53" s="10"/>
      <c r="L53" s="10"/>
    </row>
    <row r="54" spans="1:12" ht="17.25">
      <c r="A54" s="226" t="s">
        <v>284</v>
      </c>
      <c r="B54" s="38"/>
      <c r="C54" s="38"/>
      <c r="D54" s="10"/>
      <c r="E54" s="10"/>
      <c r="J54" s="10"/>
      <c r="K54" s="10"/>
      <c r="L54" s="10"/>
    </row>
    <row r="55" spans="1:12" ht="17.25">
      <c r="A55" s="226" t="s">
        <v>285</v>
      </c>
      <c r="B55" s="38"/>
      <c r="C55" s="38"/>
      <c r="D55" s="10"/>
      <c r="E55" s="10"/>
      <c r="J55" s="10"/>
      <c r="K55" s="10"/>
      <c r="L55" s="10"/>
    </row>
    <row r="61" spans="1:12" ht="31.5">
      <c r="A61" s="228" t="s">
        <v>291</v>
      </c>
      <c r="B61" s="102"/>
      <c r="C61" s="102"/>
      <c r="D61" s="102"/>
      <c r="E61" s="102"/>
      <c r="F61" s="102"/>
      <c r="G61" s="10"/>
      <c r="H61" s="10"/>
      <c r="I61" s="10"/>
    </row>
    <row r="62" spans="1:12" ht="17.25">
      <c r="A62" s="102"/>
      <c r="B62" s="102"/>
      <c r="C62" s="102"/>
      <c r="D62" s="102"/>
      <c r="E62" s="102"/>
      <c r="F62" s="102"/>
      <c r="G62" s="10"/>
      <c r="H62" s="10"/>
      <c r="I62" s="10"/>
    </row>
    <row r="63" spans="1:12" ht="18" thickBot="1">
      <c r="A63" s="229" t="s">
        <v>288</v>
      </c>
      <c r="B63" s="104"/>
      <c r="C63" s="104"/>
      <c r="D63" s="230" t="s">
        <v>290</v>
      </c>
      <c r="E63" s="104"/>
      <c r="F63" s="102"/>
      <c r="G63" s="10"/>
      <c r="H63" s="10"/>
      <c r="I63" s="10"/>
    </row>
    <row r="64" spans="1:12" ht="17.25">
      <c r="A64" s="102"/>
      <c r="B64" s="102"/>
      <c r="C64" s="102"/>
      <c r="D64" s="102" t="s">
        <v>289</v>
      </c>
      <c r="E64" s="102"/>
      <c r="F64" s="102"/>
      <c r="G64" s="10"/>
      <c r="H64" s="10"/>
      <c r="I64" s="10"/>
    </row>
    <row r="65" spans="1:9" ht="17.25">
      <c r="A65" s="102"/>
      <c r="B65" s="102"/>
      <c r="C65" s="102"/>
      <c r="D65" s="102"/>
      <c r="E65" s="102"/>
      <c r="F65" s="102"/>
      <c r="G65" s="10"/>
      <c r="H65" s="10"/>
      <c r="I65" s="10"/>
    </row>
    <row r="66" spans="1:9" ht="16.5">
      <c r="A66" s="10"/>
      <c r="B66" s="10"/>
      <c r="C66" s="10"/>
      <c r="D66" s="10"/>
      <c r="E66" s="10"/>
      <c r="F66" s="10"/>
      <c r="G66" s="10"/>
      <c r="H66" s="10"/>
      <c r="I66" s="10"/>
    </row>
    <row r="67" spans="1:9" ht="16.5">
      <c r="A67" s="10"/>
      <c r="B67" s="10"/>
      <c r="C67" s="10"/>
      <c r="D67" s="10"/>
      <c r="E67" s="10"/>
      <c r="F67" s="10"/>
      <c r="G67" s="10"/>
      <c r="H67" s="10"/>
      <c r="I67" s="10"/>
    </row>
    <row r="68" spans="1:9" ht="16.5">
      <c r="A68" s="10"/>
      <c r="B68" s="10"/>
      <c r="C68" s="10"/>
      <c r="D68" s="10"/>
      <c r="E68" s="10"/>
      <c r="F68" s="10"/>
      <c r="G68" s="10"/>
      <c r="H68" s="10"/>
      <c r="I68" s="10"/>
    </row>
    <row r="69" spans="1:9" ht="16.5">
      <c r="A69" s="10"/>
      <c r="B69" s="10"/>
      <c r="C69" s="10"/>
      <c r="D69" s="10"/>
      <c r="E69" s="10"/>
      <c r="F69" s="10"/>
      <c r="G69" s="10"/>
      <c r="H69" s="10"/>
      <c r="I69" s="10"/>
    </row>
    <row r="70" spans="1:9" ht="16.5">
      <c r="A70" s="10"/>
      <c r="B70" s="10"/>
      <c r="C70" s="10"/>
      <c r="D70" s="10"/>
      <c r="E70" s="10"/>
      <c r="F70" s="10"/>
      <c r="G70" s="10"/>
      <c r="H70" s="10"/>
      <c r="I70" s="10"/>
    </row>
    <row r="71" spans="1:9" ht="16.5">
      <c r="A71" s="10" t="s">
        <v>0</v>
      </c>
      <c r="B71" s="10"/>
      <c r="C71" s="10"/>
      <c r="D71" s="10"/>
      <c r="E71" s="10"/>
      <c r="F71" s="10"/>
      <c r="G71" s="10"/>
      <c r="H71" s="10"/>
      <c r="I71" s="10"/>
    </row>
    <row r="72" spans="1:9" ht="16.5">
      <c r="A72" s="10"/>
      <c r="B72" s="10"/>
      <c r="C72" s="10"/>
      <c r="D72" s="10"/>
      <c r="E72" s="10"/>
      <c r="F72" s="10"/>
      <c r="G72" s="10"/>
      <c r="H72" s="10"/>
      <c r="I72" s="10"/>
    </row>
  </sheetData>
  <pageMargins left="0.25" right="0.25" top="0.75" bottom="0.75" header="0.3" footer="0.3"/>
  <pageSetup scale="51" orientation="landscape" r:id="rId1"/>
  <rowBreaks count="1" manualBreakCount="1">
    <brk id="36" max="11"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19DCF-8362-451B-93E3-8D44BC877730}">
  <sheetPr codeName="Sheet7">
    <tabColor rgb="FF92D050"/>
  </sheetPr>
  <dimension ref="A1:I31"/>
  <sheetViews>
    <sheetView view="pageBreakPreview" zoomScale="60" zoomScaleNormal="80" workbookViewId="0">
      <selection activeCell="I28" sqref="I28"/>
    </sheetView>
  </sheetViews>
  <sheetFormatPr defaultRowHeight="15"/>
  <cols>
    <col min="1" max="1" width="45.140625" customWidth="1"/>
    <col min="2" max="2" width="17" customWidth="1"/>
    <col min="3" max="3" width="22.7109375" customWidth="1"/>
    <col min="4" max="4" width="20.140625" customWidth="1"/>
    <col min="5" max="5" width="24.5703125" customWidth="1"/>
    <col min="6" max="6" width="23.5703125" customWidth="1"/>
    <col min="7" max="7" width="21.28515625" customWidth="1"/>
    <col min="8" max="8" width="19.7109375" customWidth="1"/>
    <col min="9" max="9" width="28.28515625" customWidth="1"/>
    <col min="10" max="10" width="14.140625" bestFit="1" customWidth="1"/>
    <col min="12" max="12" width="10.5703125" customWidth="1"/>
  </cols>
  <sheetData>
    <row r="1" spans="1:9" ht="26.25">
      <c r="A1" s="21" t="s">
        <v>1</v>
      </c>
      <c r="B1" s="10"/>
      <c r="C1" s="10"/>
      <c r="D1" s="10"/>
      <c r="E1" s="10"/>
      <c r="F1" s="10"/>
      <c r="G1" s="10"/>
      <c r="H1" s="10"/>
      <c r="I1" s="10"/>
    </row>
    <row r="2" spans="1:9" ht="17.25">
      <c r="A2" s="22" t="s">
        <v>9</v>
      </c>
      <c r="B2" s="10"/>
      <c r="C2" s="10"/>
      <c r="D2" s="10"/>
      <c r="E2" s="10"/>
      <c r="F2" s="10"/>
      <c r="G2" s="10"/>
      <c r="H2" s="10"/>
      <c r="I2" s="10"/>
    </row>
    <row r="3" spans="1:9" ht="16.5">
      <c r="A3" s="23" t="s">
        <v>451</v>
      </c>
      <c r="B3" s="10"/>
      <c r="C3" s="10"/>
      <c r="D3" s="10"/>
      <c r="E3" s="10"/>
      <c r="F3" s="10"/>
      <c r="G3" s="10"/>
      <c r="H3" s="10"/>
      <c r="I3" s="10"/>
    </row>
    <row r="4" spans="1:9" ht="16.5">
      <c r="A4" s="23"/>
      <c r="B4" s="10"/>
      <c r="C4" s="10"/>
      <c r="D4" s="10"/>
      <c r="E4" s="10"/>
      <c r="F4" s="10"/>
      <c r="G4" s="10"/>
      <c r="H4" s="10"/>
      <c r="I4" s="10"/>
    </row>
    <row r="5" spans="1:9" ht="16.5">
      <c r="A5" s="23"/>
      <c r="B5" s="10"/>
      <c r="C5" s="10"/>
      <c r="D5" s="10"/>
      <c r="E5" s="10"/>
      <c r="F5" s="10"/>
      <c r="G5" s="10"/>
      <c r="H5" s="10"/>
      <c r="I5" s="10"/>
    </row>
    <row r="6" spans="1:9" ht="16.5">
      <c r="A6" s="23"/>
      <c r="B6" s="10"/>
      <c r="C6" s="10"/>
      <c r="D6" s="10"/>
      <c r="E6" s="10"/>
      <c r="F6" s="10"/>
      <c r="G6" s="10"/>
      <c r="H6" s="10"/>
      <c r="I6" s="10"/>
    </row>
    <row r="7" spans="1:9" ht="17.25" thickBot="1">
      <c r="A7" s="10"/>
      <c r="B7" s="10"/>
      <c r="C7" s="10"/>
      <c r="H7" s="24"/>
      <c r="I7" s="10"/>
    </row>
    <row r="8" spans="1:9" ht="21" thickBot="1">
      <c r="A8" s="259" t="str">
        <f>+'S&amp;D'!A12</f>
        <v>Air Freight Carriers</v>
      </c>
      <c r="B8" s="193"/>
      <c r="C8" s="10"/>
      <c r="D8" s="26"/>
      <c r="E8" s="26"/>
      <c r="F8" s="26"/>
      <c r="H8" s="10"/>
      <c r="I8" s="10"/>
    </row>
    <row r="9" spans="1:9" ht="26.25">
      <c r="A9" s="28"/>
      <c r="B9" s="10"/>
      <c r="C9" s="10"/>
      <c r="D9" s="10"/>
      <c r="E9" s="29" t="s">
        <v>122</v>
      </c>
      <c r="F9" s="29"/>
      <c r="H9" s="10"/>
      <c r="I9" s="10"/>
    </row>
    <row r="10" spans="1:9" ht="21" thickBot="1">
      <c r="A10" s="28"/>
      <c r="B10" s="10"/>
      <c r="C10" s="10"/>
      <c r="D10" s="26"/>
      <c r="E10" s="34" t="s">
        <v>452</v>
      </c>
      <c r="F10" s="34"/>
      <c r="H10" s="10"/>
      <c r="I10" s="10"/>
    </row>
    <row r="11" spans="1:9" ht="20.25">
      <c r="A11" s="28"/>
      <c r="B11" s="10"/>
      <c r="I11" s="10"/>
    </row>
    <row r="12" spans="1:9" ht="17.25" thickBot="1">
      <c r="A12" s="31" t="s">
        <v>0</v>
      </c>
      <c r="B12" s="31" t="s">
        <v>0</v>
      </c>
      <c r="C12" s="31" t="s">
        <v>0</v>
      </c>
      <c r="D12" s="31" t="s">
        <v>0</v>
      </c>
      <c r="E12" s="31" t="s">
        <v>0</v>
      </c>
      <c r="F12" s="31"/>
      <c r="G12" s="31"/>
      <c r="H12" s="26"/>
      <c r="I12" s="26"/>
    </row>
    <row r="13" spans="1:9" ht="17.25">
      <c r="A13" s="86" t="s">
        <v>0</v>
      </c>
      <c r="B13" s="86" t="s">
        <v>3</v>
      </c>
      <c r="C13" s="86" t="s">
        <v>5</v>
      </c>
      <c r="D13" s="86" t="s">
        <v>21</v>
      </c>
      <c r="E13" s="179" t="s">
        <v>231</v>
      </c>
      <c r="F13" s="179" t="s">
        <v>338</v>
      </c>
      <c r="G13" s="86" t="s">
        <v>20</v>
      </c>
      <c r="H13" s="86" t="s">
        <v>146</v>
      </c>
      <c r="I13" s="86" t="s">
        <v>146</v>
      </c>
    </row>
    <row r="14" spans="1:9" ht="18" thickBot="1">
      <c r="A14" s="93" t="s">
        <v>2</v>
      </c>
      <c r="B14" s="93" t="s">
        <v>4</v>
      </c>
      <c r="C14" s="93" t="s">
        <v>6</v>
      </c>
      <c r="D14" s="93" t="s">
        <v>23</v>
      </c>
      <c r="E14" s="93" t="s">
        <v>339</v>
      </c>
      <c r="F14" s="93" t="s">
        <v>192</v>
      </c>
      <c r="G14" s="93" t="s">
        <v>22</v>
      </c>
      <c r="H14" s="93" t="s">
        <v>170</v>
      </c>
      <c r="I14" s="93" t="s">
        <v>118</v>
      </c>
    </row>
    <row r="15" spans="1:9">
      <c r="A15" s="36" t="s">
        <v>7</v>
      </c>
      <c r="B15" s="36" t="s">
        <v>7</v>
      </c>
      <c r="C15" s="36" t="s">
        <v>7</v>
      </c>
      <c r="D15" s="36" t="s">
        <v>7</v>
      </c>
      <c r="E15" s="222" t="s">
        <v>272</v>
      </c>
      <c r="F15" s="222" t="s">
        <v>272</v>
      </c>
      <c r="G15" s="36" t="s">
        <v>7</v>
      </c>
      <c r="H15" s="36" t="s">
        <v>7</v>
      </c>
      <c r="I15" s="222" t="s">
        <v>272</v>
      </c>
    </row>
    <row r="16" spans="1:9" ht="17.25" thickBot="1">
      <c r="A16" s="32"/>
      <c r="B16" s="32"/>
      <c r="C16" s="32"/>
      <c r="D16" s="32"/>
      <c r="G16" s="32"/>
      <c r="H16" s="32"/>
      <c r="I16" s="32"/>
    </row>
    <row r="17" spans="1:9" ht="16.5">
      <c r="A17" s="148"/>
      <c r="B17" s="108"/>
      <c r="C17" s="108"/>
      <c r="D17" s="108"/>
      <c r="E17" s="299"/>
      <c r="F17" s="299"/>
      <c r="G17" s="108"/>
      <c r="H17" s="108"/>
      <c r="I17" s="149"/>
    </row>
    <row r="18" spans="1:9" ht="20.25" customHeight="1">
      <c r="A18" s="98" t="str">
        <f>+'S&amp;D'!A22</f>
        <v>Air Transport Services Group</v>
      </c>
      <c r="B18" s="86" t="str">
        <f>+'S&amp;D'!B22</f>
        <v>ATSG</v>
      </c>
      <c r="C18" s="86" t="str">
        <f>+'S&amp;D'!C22</f>
        <v>Air Trans</v>
      </c>
      <c r="D18" s="337">
        <v>0.24</v>
      </c>
      <c r="E18" s="134">
        <v>0.09</v>
      </c>
      <c r="F18" s="134">
        <v>0.09</v>
      </c>
      <c r="G18" s="86" t="s">
        <v>25</v>
      </c>
      <c r="H18" s="378">
        <v>0.85</v>
      </c>
      <c r="I18" s="378">
        <v>0.85</v>
      </c>
    </row>
    <row r="19" spans="1:9" ht="20.25" customHeight="1">
      <c r="A19" s="98" t="str">
        <f>+'S&amp;D'!A23</f>
        <v xml:space="preserve">FedEx Corp </v>
      </c>
      <c r="B19" s="86" t="str">
        <f>+'S&amp;D'!B23</f>
        <v>FDX</v>
      </c>
      <c r="C19" s="86" t="str">
        <f>+'S&amp;D'!C23</f>
        <v>Air Trans</v>
      </c>
      <c r="D19" s="135">
        <v>0.25</v>
      </c>
      <c r="E19" s="134">
        <v>0.16</v>
      </c>
      <c r="F19" s="134">
        <v>0.115</v>
      </c>
      <c r="G19" s="86" t="s">
        <v>43</v>
      </c>
      <c r="H19" s="378">
        <v>1.05</v>
      </c>
      <c r="I19" s="378">
        <v>1.05</v>
      </c>
    </row>
    <row r="20" spans="1:9" ht="20.25" customHeight="1">
      <c r="A20" s="98" t="str">
        <f>+'S&amp;D'!A24</f>
        <v xml:space="preserve">United Parcel Service </v>
      </c>
      <c r="B20" s="86" t="str">
        <f>+'S&amp;D'!B24</f>
        <v>UPS</v>
      </c>
      <c r="C20" s="86" t="str">
        <f>+'S&amp;D'!C24</f>
        <v>Air Trans</v>
      </c>
      <c r="D20" s="135">
        <v>0.23499999999999999</v>
      </c>
      <c r="E20" s="134">
        <v>0.39</v>
      </c>
      <c r="F20" s="134">
        <v>0.08</v>
      </c>
      <c r="G20" s="86" t="s">
        <v>43</v>
      </c>
      <c r="H20" s="378">
        <v>0.8</v>
      </c>
      <c r="I20" s="378">
        <v>0.8</v>
      </c>
    </row>
    <row r="21" spans="1:9" ht="20.25" customHeight="1" thickBot="1">
      <c r="A21" s="98" t="s">
        <v>0</v>
      </c>
      <c r="B21" s="86" t="s">
        <v>0</v>
      </c>
      <c r="C21" s="86" t="s">
        <v>0</v>
      </c>
      <c r="D21" s="300" t="s">
        <v>0</v>
      </c>
      <c r="E21" s="255" t="s">
        <v>0</v>
      </c>
      <c r="F21" s="255" t="s">
        <v>0</v>
      </c>
      <c r="G21" s="338" t="s">
        <v>0</v>
      </c>
      <c r="H21" s="62" t="s">
        <v>0</v>
      </c>
      <c r="I21" s="339" t="s">
        <v>0</v>
      </c>
    </row>
    <row r="22" spans="1:9" ht="20.25" customHeight="1" thickTop="1">
      <c r="A22" s="102"/>
      <c r="B22" s="102"/>
      <c r="C22" s="4"/>
      <c r="D22" s="173" t="s">
        <v>0</v>
      </c>
      <c r="E22" s="4"/>
      <c r="F22" s="4"/>
      <c r="G22" s="114" t="s">
        <v>45</v>
      </c>
      <c r="H22" s="174">
        <f>MAX(H18:H20)</f>
        <v>1.05</v>
      </c>
      <c r="I22" s="175">
        <f>MAX(I18:I20)</f>
        <v>1.05</v>
      </c>
    </row>
    <row r="23" spans="1:9" ht="20.25" customHeight="1">
      <c r="A23" s="102"/>
      <c r="B23" s="102"/>
      <c r="C23" s="4"/>
      <c r="D23" s="173" t="s">
        <v>0</v>
      </c>
      <c r="E23" s="4"/>
      <c r="F23" s="4"/>
      <c r="G23" s="114" t="s">
        <v>46</v>
      </c>
      <c r="H23" s="312">
        <f>MIN(H18:H20)</f>
        <v>0.8</v>
      </c>
      <c r="I23" s="313">
        <f>MIN(I18:I20)</f>
        <v>0.8</v>
      </c>
    </row>
    <row r="24" spans="1:9" ht="20.25" customHeight="1">
      <c r="A24" s="102"/>
      <c r="B24" s="102"/>
      <c r="C24" s="4"/>
      <c r="D24" s="176" t="s">
        <v>0</v>
      </c>
      <c r="E24" s="4"/>
      <c r="F24" s="4"/>
      <c r="G24" s="114" t="s">
        <v>18</v>
      </c>
      <c r="H24" s="177">
        <f>MEDIAN(H18:H21)</f>
        <v>0.85</v>
      </c>
      <c r="I24" s="177">
        <f>MEDIAN(I18:I21)</f>
        <v>0.85</v>
      </c>
    </row>
    <row r="25" spans="1:9" ht="20.25" customHeight="1">
      <c r="A25" s="102"/>
      <c r="B25" s="102"/>
      <c r="C25" s="4"/>
      <c r="D25" s="117" t="s">
        <v>0</v>
      </c>
      <c r="E25" s="4"/>
      <c r="F25" s="4"/>
      <c r="G25" s="114" t="s">
        <v>412</v>
      </c>
      <c r="H25" s="178">
        <f>AVERAGE(H18:H21)</f>
        <v>0.9</v>
      </c>
      <c r="I25" s="178">
        <f>AVERAGE(I18:I21)</f>
        <v>0.9</v>
      </c>
    </row>
    <row r="26" spans="1:9" ht="20.25" customHeight="1" thickBot="1">
      <c r="A26" s="10"/>
      <c r="B26" s="10"/>
      <c r="C26" s="10"/>
      <c r="D26" s="10" t="s">
        <v>0</v>
      </c>
      <c r="G26" s="10"/>
      <c r="H26" s="10"/>
      <c r="I26" s="10"/>
    </row>
    <row r="27" spans="1:9" ht="20.25" customHeight="1" thickBot="1">
      <c r="A27" s="10"/>
      <c r="B27" s="10"/>
      <c r="C27" s="10"/>
      <c r="D27" s="10"/>
      <c r="G27" s="10"/>
      <c r="H27" s="199" t="s">
        <v>73</v>
      </c>
      <c r="I27" s="403">
        <v>0.9</v>
      </c>
    </row>
    <row r="28" spans="1:9" ht="20.25" customHeight="1">
      <c r="A28" s="10"/>
      <c r="B28" s="10"/>
      <c r="C28" s="10"/>
      <c r="D28" s="10"/>
      <c r="G28" s="10"/>
      <c r="H28" s="66"/>
      <c r="I28" s="275"/>
    </row>
    <row r="29" spans="1:9" ht="20.25" customHeight="1">
      <c r="A29" s="10"/>
      <c r="B29" s="10"/>
      <c r="C29" s="10"/>
      <c r="D29" s="10"/>
      <c r="G29" s="10"/>
      <c r="H29" s="66"/>
      <c r="I29" s="275"/>
    </row>
    <row r="30" spans="1:9" ht="17.25">
      <c r="A30" s="102" t="s">
        <v>341</v>
      </c>
    </row>
    <row r="31" spans="1:9" ht="17.25">
      <c r="A31" s="102" t="s">
        <v>340</v>
      </c>
    </row>
  </sheetData>
  <pageMargins left="0.25" right="0.25" top="0.75" bottom="0.75" header="0.3" footer="0.3"/>
  <pageSetup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F0854-9225-4685-BC0B-402957CF1047}">
  <sheetPr codeName="Sheet8">
    <tabColor rgb="FF92D050"/>
  </sheetPr>
  <dimension ref="A1:K26"/>
  <sheetViews>
    <sheetView view="pageBreakPreview" zoomScale="60" zoomScaleNormal="80" workbookViewId="0">
      <selection activeCell="E20" sqref="E20:E21"/>
    </sheetView>
  </sheetViews>
  <sheetFormatPr defaultRowHeight="15"/>
  <cols>
    <col min="1" max="1" width="50.42578125" customWidth="1"/>
    <col min="2" max="2" width="10.85546875" bestFit="1" customWidth="1"/>
    <col min="3" max="3" width="19.140625" bestFit="1" customWidth="1"/>
    <col min="4" max="4" width="15.28515625" customWidth="1"/>
    <col min="5" max="5" width="16" customWidth="1"/>
    <col min="6" max="6" width="20" customWidth="1"/>
    <col min="7" max="7" width="16.5703125" customWidth="1"/>
    <col min="8" max="8" width="19.140625" customWidth="1"/>
    <col min="9" max="10" width="20.140625" customWidth="1"/>
    <col min="11" max="11" width="17.7109375" customWidth="1"/>
    <col min="12" max="12" width="23.7109375" customWidth="1"/>
  </cols>
  <sheetData>
    <row r="1" spans="1:11" ht="26.25">
      <c r="A1" s="21" t="s">
        <v>1</v>
      </c>
      <c r="B1" s="10"/>
      <c r="C1" s="10"/>
      <c r="D1" s="10"/>
      <c r="E1" s="10"/>
      <c r="F1" s="10"/>
      <c r="G1" s="10"/>
      <c r="H1" s="10"/>
      <c r="I1" s="10"/>
      <c r="J1" s="10"/>
    </row>
    <row r="2" spans="1:11" ht="17.25">
      <c r="A2" s="22" t="s">
        <v>9</v>
      </c>
      <c r="B2" s="10"/>
      <c r="C2" s="10"/>
      <c r="D2" s="10"/>
      <c r="E2" s="10"/>
      <c r="F2" s="10"/>
      <c r="G2" s="10"/>
      <c r="H2" s="10"/>
      <c r="I2" s="10"/>
      <c r="J2" s="10"/>
    </row>
    <row r="3" spans="1:11" ht="16.5">
      <c r="A3" s="23" t="s">
        <v>451</v>
      </c>
      <c r="B3" s="10"/>
      <c r="C3" s="10"/>
      <c r="D3" s="10"/>
      <c r="E3" s="10"/>
      <c r="F3" s="10"/>
      <c r="G3" s="10"/>
      <c r="H3" s="10"/>
      <c r="I3" s="10"/>
      <c r="J3" s="10"/>
    </row>
    <row r="4" spans="1:11" ht="16.5">
      <c r="A4" s="23"/>
      <c r="B4" s="10"/>
      <c r="C4" s="10"/>
      <c r="D4" s="10"/>
      <c r="E4" s="10"/>
      <c r="F4" s="10"/>
      <c r="G4" s="10"/>
      <c r="H4" s="10"/>
      <c r="I4" s="10"/>
      <c r="J4" s="10"/>
    </row>
    <row r="5" spans="1:11" ht="17.25" thickBot="1">
      <c r="A5" s="10"/>
      <c r="B5" s="10"/>
      <c r="C5" s="10"/>
      <c r="D5" s="10"/>
      <c r="E5" s="10"/>
      <c r="F5" s="10"/>
      <c r="G5" s="24"/>
      <c r="H5" s="10"/>
      <c r="I5" s="10"/>
      <c r="J5" s="10"/>
    </row>
    <row r="6" spans="1:11" ht="21" thickBot="1">
      <c r="A6" s="259" t="str">
        <f>+'S&amp;D'!A12</f>
        <v>Air Freight Carriers</v>
      </c>
      <c r="B6" s="193"/>
      <c r="C6" s="10"/>
      <c r="D6" s="26"/>
      <c r="E6" s="26"/>
      <c r="F6" s="27" t="s">
        <v>0</v>
      </c>
      <c r="G6" s="10"/>
      <c r="H6" s="10"/>
      <c r="I6" s="10"/>
      <c r="J6" s="10"/>
    </row>
    <row r="7" spans="1:11" ht="26.25">
      <c r="A7" s="28"/>
      <c r="B7" s="10"/>
      <c r="C7" s="10"/>
      <c r="D7" s="10"/>
      <c r="E7" s="29" t="s">
        <v>171</v>
      </c>
      <c r="F7" s="10"/>
      <c r="G7" s="10"/>
      <c r="H7" s="10"/>
      <c r="I7" s="10"/>
      <c r="J7" s="10"/>
    </row>
    <row r="8" spans="1:11" ht="21" thickBot="1">
      <c r="A8" s="28"/>
      <c r="B8" s="10"/>
      <c r="C8" s="10"/>
      <c r="D8" s="26"/>
      <c r="E8" s="30" t="s">
        <v>452</v>
      </c>
      <c r="F8" s="26"/>
      <c r="G8" s="10"/>
      <c r="H8" s="10"/>
      <c r="I8" s="10"/>
      <c r="J8" s="10"/>
    </row>
    <row r="9" spans="1:11" ht="17.25" thickBot="1">
      <c r="A9" s="31" t="s">
        <v>0</v>
      </c>
      <c r="B9" s="31" t="s">
        <v>0</v>
      </c>
      <c r="C9" s="31" t="s">
        <v>0</v>
      </c>
      <c r="D9" s="31" t="s">
        <v>0</v>
      </c>
      <c r="E9" s="31" t="s">
        <v>0</v>
      </c>
      <c r="F9" s="31"/>
      <c r="G9" s="26"/>
      <c r="H9" s="26"/>
      <c r="I9" s="26"/>
      <c r="J9" s="26"/>
      <c r="K9" s="146"/>
    </row>
    <row r="10" spans="1:11" ht="16.5">
      <c r="A10" s="32" t="s">
        <v>0</v>
      </c>
      <c r="B10" s="32" t="s">
        <v>3</v>
      </c>
      <c r="C10" s="32" t="s">
        <v>5</v>
      </c>
      <c r="D10" s="32" t="s">
        <v>166</v>
      </c>
      <c r="E10" s="32" t="s">
        <v>167</v>
      </c>
      <c r="F10" s="32" t="s">
        <v>169</v>
      </c>
      <c r="G10" s="32" t="s">
        <v>167</v>
      </c>
      <c r="H10" s="32" t="s">
        <v>169</v>
      </c>
      <c r="I10" s="32" t="s">
        <v>167</v>
      </c>
      <c r="J10" s="32" t="s">
        <v>169</v>
      </c>
      <c r="K10" s="32" t="s">
        <v>275</v>
      </c>
    </row>
    <row r="11" spans="1:11" ht="16.5">
      <c r="A11" s="32"/>
      <c r="B11" s="32" t="s">
        <v>4</v>
      </c>
      <c r="C11" s="32" t="s">
        <v>6</v>
      </c>
      <c r="D11" s="32" t="s">
        <v>27</v>
      </c>
      <c r="E11" s="32" t="s">
        <v>168</v>
      </c>
      <c r="F11" s="32" t="s">
        <v>119</v>
      </c>
      <c r="G11" s="32" t="s">
        <v>168</v>
      </c>
      <c r="H11" s="32" t="s">
        <v>119</v>
      </c>
      <c r="I11" s="32" t="s">
        <v>168</v>
      </c>
      <c r="J11" s="32" t="s">
        <v>119</v>
      </c>
      <c r="K11" s="32" t="s">
        <v>183</v>
      </c>
    </row>
    <row r="12" spans="1:11" ht="17.25" thickBot="1">
      <c r="A12" s="34" t="s">
        <v>2</v>
      </c>
      <c r="B12" s="34" t="s">
        <v>0</v>
      </c>
      <c r="C12" s="34" t="s">
        <v>0</v>
      </c>
      <c r="D12" s="34" t="s">
        <v>0</v>
      </c>
      <c r="E12" s="34" t="s">
        <v>170</v>
      </c>
      <c r="F12" s="34" t="s">
        <v>170</v>
      </c>
      <c r="G12" s="34" t="s">
        <v>273</v>
      </c>
      <c r="H12" s="34" t="s">
        <v>273</v>
      </c>
      <c r="I12" s="34" t="s">
        <v>274</v>
      </c>
      <c r="J12" s="34" t="s">
        <v>274</v>
      </c>
      <c r="K12" s="223" t="s">
        <v>276</v>
      </c>
    </row>
    <row r="13" spans="1:11">
      <c r="A13" s="36" t="s">
        <v>7</v>
      </c>
      <c r="B13" s="36" t="s">
        <v>7</v>
      </c>
      <c r="C13" s="36" t="s">
        <v>7</v>
      </c>
      <c r="D13" s="37" t="s">
        <v>112</v>
      </c>
      <c r="E13" s="36" t="s">
        <v>7</v>
      </c>
      <c r="F13" s="36" t="s">
        <v>15</v>
      </c>
      <c r="G13" s="36" t="s">
        <v>7</v>
      </c>
      <c r="H13" s="36" t="s">
        <v>15</v>
      </c>
      <c r="I13" s="36" t="s">
        <v>7</v>
      </c>
      <c r="J13" s="36" t="s">
        <v>15</v>
      </c>
      <c r="K13" s="36" t="s">
        <v>15</v>
      </c>
    </row>
    <row r="14" spans="1:11" ht="16.5">
      <c r="A14" s="32"/>
      <c r="B14" s="32"/>
      <c r="C14" s="32"/>
      <c r="D14" s="32"/>
      <c r="E14" s="32"/>
      <c r="F14" s="32"/>
      <c r="G14" s="10"/>
      <c r="H14" s="10"/>
      <c r="I14" s="10"/>
      <c r="J14" s="10"/>
      <c r="K14" s="10"/>
    </row>
    <row r="15" spans="1:11" ht="16.5">
      <c r="A15" s="10"/>
      <c r="B15" s="10"/>
      <c r="C15" s="10"/>
      <c r="D15" s="10"/>
      <c r="E15" s="10"/>
      <c r="F15" s="10"/>
      <c r="G15" s="10"/>
      <c r="H15" s="10"/>
      <c r="I15" s="10"/>
      <c r="J15" s="10"/>
      <c r="K15" s="10"/>
    </row>
    <row r="16" spans="1:11" ht="17.25">
      <c r="A16" s="60" t="str">
        <f>+'S&amp;D'!A22</f>
        <v>Air Transport Services Group</v>
      </c>
      <c r="B16" s="86" t="str">
        <f>+'S&amp;D'!B22</f>
        <v>ATSG</v>
      </c>
      <c r="C16" s="86" t="str">
        <f>+'S&amp;D'!C22</f>
        <v>Air Trans</v>
      </c>
      <c r="D16" s="57">
        <f>+'S&amp;D'!G22</f>
        <v>17.61</v>
      </c>
      <c r="E16" s="379"/>
      <c r="F16" s="370" t="s">
        <v>401</v>
      </c>
      <c r="G16" s="379"/>
      <c r="H16" s="370" t="s">
        <v>401</v>
      </c>
      <c r="I16" s="379"/>
      <c r="J16" s="370" t="s">
        <v>401</v>
      </c>
      <c r="K16" s="381" t="s">
        <v>401</v>
      </c>
    </row>
    <row r="17" spans="1:11" ht="17.25">
      <c r="A17" s="60" t="str">
        <f>+'S&amp;D'!A23</f>
        <v xml:space="preserve">FedEx Corp </v>
      </c>
      <c r="B17" s="86" t="str">
        <f>+'S&amp;D'!B23</f>
        <v>FDX</v>
      </c>
      <c r="C17" s="86" t="str">
        <f>+'S&amp;D'!C23</f>
        <v>Air Trans</v>
      </c>
      <c r="D17" s="57">
        <f>+'S&amp;D'!G23</f>
        <v>252.97</v>
      </c>
      <c r="E17" s="367">
        <v>5.04</v>
      </c>
      <c r="F17" s="51">
        <f t="shared" ref="F17:F18" si="0">+E17/D17</f>
        <v>1.9923311064553108E-2</v>
      </c>
      <c r="G17" s="367">
        <v>5.45</v>
      </c>
      <c r="H17" s="51">
        <f t="shared" ref="H17:H18" si="1">+G17/D17</f>
        <v>2.1544056607502866E-2</v>
      </c>
      <c r="I17" s="367">
        <v>6.9</v>
      </c>
      <c r="J17" s="51">
        <f t="shared" ref="J17:J18" si="2">+I17/D17</f>
        <v>2.7275961576471521E-2</v>
      </c>
      <c r="K17" s="380">
        <f t="shared" ref="K17:K18" si="3">RATE(3,,-G17,I17)</f>
        <v>8.1809679110743452E-2</v>
      </c>
    </row>
    <row r="18" spans="1:11" ht="17.25">
      <c r="A18" s="60" t="str">
        <f>+'S&amp;D'!A24</f>
        <v xml:space="preserve">United Parcel Service </v>
      </c>
      <c r="B18" s="86" t="str">
        <f>+'S&amp;D'!B24</f>
        <v>UPS</v>
      </c>
      <c r="C18" s="86" t="str">
        <f>+'S&amp;D'!C24</f>
        <v>Air Trans</v>
      </c>
      <c r="D18" s="57">
        <f>+'S&amp;D'!G24</f>
        <v>157.22999999999999</v>
      </c>
      <c r="E18" s="367">
        <v>6.52</v>
      </c>
      <c r="F18" s="51">
        <f t="shared" si="0"/>
        <v>4.146791324810787E-2</v>
      </c>
      <c r="G18" s="367">
        <v>6.84</v>
      </c>
      <c r="H18" s="51">
        <f t="shared" si="1"/>
        <v>4.350314825414997E-2</v>
      </c>
      <c r="I18" s="367">
        <v>7.9</v>
      </c>
      <c r="J18" s="51">
        <f t="shared" si="2"/>
        <v>5.0244864211664443E-2</v>
      </c>
      <c r="K18" s="380">
        <f t="shared" si="3"/>
        <v>4.919689465475062E-2</v>
      </c>
    </row>
    <row r="19" spans="1:11" ht="17.25" thickBot="1">
      <c r="A19" s="10"/>
      <c r="B19" s="10"/>
      <c r="C19" s="41"/>
      <c r="D19" s="44"/>
      <c r="E19" s="44"/>
      <c r="F19" s="44"/>
      <c r="G19" s="44"/>
      <c r="H19" s="44"/>
      <c r="I19" s="44"/>
      <c r="J19" s="44"/>
      <c r="K19" s="44"/>
    </row>
    <row r="20" spans="1:11" ht="17.25" thickTop="1">
      <c r="A20" s="10"/>
      <c r="B20" s="10"/>
      <c r="D20" s="12" t="s">
        <v>45</v>
      </c>
      <c r="E20" s="14">
        <f>MAX(E16:E18)</f>
        <v>6.52</v>
      </c>
      <c r="F20" s="351">
        <f t="shared" ref="F20:K20" si="4">MAX(F16:F18)</f>
        <v>4.146791324810787E-2</v>
      </c>
      <c r="G20" s="14">
        <f t="shared" si="4"/>
        <v>6.84</v>
      </c>
      <c r="H20" s="351">
        <f t="shared" si="4"/>
        <v>4.350314825414997E-2</v>
      </c>
      <c r="I20" s="14">
        <f t="shared" si="4"/>
        <v>7.9</v>
      </c>
      <c r="J20" s="351">
        <f t="shared" si="4"/>
        <v>5.0244864211664443E-2</v>
      </c>
      <c r="K20" s="351">
        <f t="shared" si="4"/>
        <v>8.1809679110743452E-2</v>
      </c>
    </row>
    <row r="21" spans="1:11" ht="16.5">
      <c r="A21" s="10"/>
      <c r="B21" s="10"/>
      <c r="D21" s="12" t="s">
        <v>46</v>
      </c>
      <c r="E21" s="311">
        <f>MIN(E16:E18)</f>
        <v>5.04</v>
      </c>
      <c r="F21" s="352">
        <f t="shared" ref="F21:K21" si="5">MIN(F16:F18)</f>
        <v>1.9923311064553108E-2</v>
      </c>
      <c r="G21" s="311">
        <f t="shared" si="5"/>
        <v>5.45</v>
      </c>
      <c r="H21" s="352">
        <f t="shared" si="5"/>
        <v>2.1544056607502866E-2</v>
      </c>
      <c r="I21" s="311">
        <f t="shared" si="5"/>
        <v>6.9</v>
      </c>
      <c r="J21" s="352">
        <f t="shared" si="5"/>
        <v>2.7275961576471521E-2</v>
      </c>
      <c r="K21" s="352">
        <f t="shared" si="5"/>
        <v>4.919689465475062E-2</v>
      </c>
    </row>
    <row r="22" spans="1:11" ht="16.5">
      <c r="A22" s="10"/>
      <c r="B22" s="10"/>
      <c r="D22" s="12" t="s">
        <v>18</v>
      </c>
      <c r="E22" s="15">
        <f t="shared" ref="E22:K22" si="6">MEDIAN(E16:E18)</f>
        <v>5.7799999999999994</v>
      </c>
      <c r="F22" s="52">
        <f t="shared" si="6"/>
        <v>3.0695612156330487E-2</v>
      </c>
      <c r="G22" s="15">
        <f t="shared" si="6"/>
        <v>6.1449999999999996</v>
      </c>
      <c r="H22" s="52">
        <f t="shared" si="6"/>
        <v>3.2523602430826415E-2</v>
      </c>
      <c r="I22" s="15">
        <f t="shared" si="6"/>
        <v>7.4</v>
      </c>
      <c r="J22" s="52">
        <f t="shared" si="6"/>
        <v>3.876041289406798E-2</v>
      </c>
      <c r="K22" s="52">
        <f t="shared" si="6"/>
        <v>6.5503286882747036E-2</v>
      </c>
    </row>
    <row r="23" spans="1:11" ht="16.5">
      <c r="A23" s="10"/>
      <c r="B23" s="10"/>
      <c r="D23" s="12" t="s">
        <v>412</v>
      </c>
      <c r="E23" s="19">
        <f t="shared" ref="E23:K23" si="7">AVERAGE(E16:E18)</f>
        <v>5.7799999999999994</v>
      </c>
      <c r="F23" s="54">
        <f t="shared" si="7"/>
        <v>3.0695612156330487E-2</v>
      </c>
      <c r="G23" s="19">
        <f t="shared" si="7"/>
        <v>6.1449999999999996</v>
      </c>
      <c r="H23" s="54">
        <f t="shared" si="7"/>
        <v>3.2523602430826415E-2</v>
      </c>
      <c r="I23" s="19">
        <f t="shared" si="7"/>
        <v>7.4</v>
      </c>
      <c r="J23" s="54">
        <f t="shared" si="7"/>
        <v>3.876041289406798E-2</v>
      </c>
      <c r="K23" s="54">
        <f t="shared" si="7"/>
        <v>6.5503286882747036E-2</v>
      </c>
    </row>
    <row r="24" spans="1:11" ht="16.5">
      <c r="A24" s="10"/>
      <c r="B24" s="10"/>
      <c r="C24" s="10"/>
      <c r="D24" s="10"/>
      <c r="E24" s="10"/>
      <c r="F24" s="10"/>
      <c r="G24" s="10"/>
      <c r="H24" s="10"/>
      <c r="I24" s="10"/>
      <c r="J24" s="10"/>
      <c r="K24" s="10"/>
    </row>
    <row r="25" spans="1:11" ht="26.25">
      <c r="A25" s="10"/>
      <c r="B25" s="10"/>
      <c r="C25" s="10"/>
      <c r="D25" s="10"/>
      <c r="E25" s="10"/>
      <c r="F25" s="47" t="s">
        <v>0</v>
      </c>
      <c r="G25" s="61" t="s">
        <v>0</v>
      </c>
      <c r="H25" s="10"/>
      <c r="I25" s="10"/>
      <c r="J25" s="10"/>
      <c r="K25" s="10"/>
    </row>
    <row r="26" spans="1:11" ht="18.75">
      <c r="A26" s="224" t="s">
        <v>277</v>
      </c>
    </row>
  </sheetData>
  <pageMargins left="0.25" right="0.25" top="0.75" bottom="0.75" header="0.3" footer="0.3"/>
  <pageSetup scale="5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596C7-3CA4-4A86-9548-2C135C060B79}">
  <sheetPr codeName="Sheet9">
    <tabColor rgb="FF92D050"/>
  </sheetPr>
  <dimension ref="A1:K25"/>
  <sheetViews>
    <sheetView view="pageBreakPreview" zoomScale="60" zoomScaleNormal="80" workbookViewId="0">
      <selection activeCell="G24" sqref="G24"/>
    </sheetView>
  </sheetViews>
  <sheetFormatPr defaultRowHeight="15"/>
  <cols>
    <col min="1" max="1" width="51.5703125" customWidth="1"/>
    <col min="2" max="2" width="10.85546875" bestFit="1" customWidth="1"/>
    <col min="3" max="3" width="19.140625" bestFit="1" customWidth="1"/>
    <col min="4" max="4" width="15.28515625" customWidth="1"/>
    <col min="5" max="5" width="16" customWidth="1"/>
    <col min="6" max="6" width="20" customWidth="1"/>
    <col min="7" max="7" width="16.5703125" customWidth="1"/>
    <col min="8" max="8" width="19.140625" customWidth="1"/>
    <col min="9" max="10" width="20.140625" customWidth="1"/>
    <col min="11" max="11" width="17.7109375" customWidth="1"/>
    <col min="12" max="12" width="23.7109375" customWidth="1"/>
  </cols>
  <sheetData>
    <row r="1" spans="1:11" ht="26.25">
      <c r="A1" s="21" t="s">
        <v>1</v>
      </c>
      <c r="B1" s="10"/>
      <c r="C1" s="10"/>
      <c r="D1" s="10"/>
      <c r="E1" s="10"/>
      <c r="F1" s="10"/>
      <c r="G1" s="10"/>
      <c r="H1" s="10"/>
      <c r="I1" s="10"/>
      <c r="J1" s="10"/>
    </row>
    <row r="2" spans="1:11" ht="17.25">
      <c r="A2" s="22" t="s">
        <v>9</v>
      </c>
      <c r="B2" s="10"/>
      <c r="C2" s="10"/>
      <c r="D2" s="10"/>
      <c r="E2" s="10"/>
      <c r="F2" s="10"/>
      <c r="G2" s="10"/>
      <c r="H2" s="10"/>
      <c r="I2" s="10"/>
      <c r="J2" s="10"/>
    </row>
    <row r="3" spans="1:11" ht="16.5">
      <c r="A3" s="23" t="s">
        <v>451</v>
      </c>
      <c r="B3" s="10"/>
      <c r="C3" s="10"/>
      <c r="D3" s="10"/>
      <c r="E3" s="10"/>
      <c r="F3" s="10"/>
      <c r="G3" s="10"/>
      <c r="H3" s="10"/>
      <c r="I3" s="10"/>
      <c r="J3" s="10"/>
    </row>
    <row r="4" spans="1:11" ht="16.5">
      <c r="A4" s="23"/>
      <c r="B4" s="10"/>
      <c r="C4" s="10"/>
      <c r="D4" s="10"/>
      <c r="E4" s="10"/>
      <c r="F4" s="10"/>
      <c r="G4" s="10"/>
      <c r="H4" s="10"/>
      <c r="I4" s="10"/>
      <c r="J4" s="10"/>
    </row>
    <row r="5" spans="1:11" ht="17.25" thickBot="1">
      <c r="A5" s="10"/>
      <c r="B5" s="10"/>
      <c r="C5" s="10"/>
      <c r="D5" s="10"/>
      <c r="E5" s="10"/>
      <c r="F5" s="10"/>
      <c r="G5" s="24"/>
      <c r="H5" s="10"/>
      <c r="I5" s="10"/>
      <c r="J5" s="10"/>
    </row>
    <row r="6" spans="1:11" ht="21" thickBot="1">
      <c r="A6" s="259" t="str">
        <f>+'S&amp;D'!A12</f>
        <v>Air Freight Carriers</v>
      </c>
      <c r="B6" s="193"/>
      <c r="C6" s="10"/>
      <c r="D6" s="26"/>
      <c r="E6" s="26"/>
      <c r="F6" s="27" t="s">
        <v>0</v>
      </c>
      <c r="G6" s="10"/>
      <c r="H6" s="10"/>
      <c r="I6" s="10"/>
      <c r="J6" s="10"/>
    </row>
    <row r="7" spans="1:11" ht="26.25">
      <c r="A7" s="28"/>
      <c r="B7" s="10"/>
      <c r="C7" s="10"/>
      <c r="D7" s="10"/>
      <c r="E7" s="29" t="s">
        <v>278</v>
      </c>
      <c r="F7" s="10"/>
      <c r="G7" s="10"/>
      <c r="H7" s="10"/>
      <c r="I7" s="10"/>
      <c r="J7" s="10"/>
    </row>
    <row r="8" spans="1:11" ht="21" thickBot="1">
      <c r="A8" s="28"/>
      <c r="B8" s="10"/>
      <c r="C8" s="10"/>
      <c r="D8" s="26"/>
      <c r="E8" s="30" t="s">
        <v>452</v>
      </c>
      <c r="F8" s="26"/>
      <c r="G8" s="10"/>
      <c r="H8" s="10"/>
      <c r="I8" s="10"/>
      <c r="J8" s="10"/>
    </row>
    <row r="9" spans="1:11" ht="17.25" thickBot="1">
      <c r="A9" s="31" t="s">
        <v>0</v>
      </c>
      <c r="B9" s="31" t="s">
        <v>0</v>
      </c>
      <c r="C9" s="31" t="s">
        <v>0</v>
      </c>
      <c r="D9" s="31" t="s">
        <v>0</v>
      </c>
      <c r="E9" s="31" t="s">
        <v>0</v>
      </c>
      <c r="F9" s="31"/>
      <c r="G9" s="26"/>
      <c r="H9" s="26"/>
      <c r="I9" s="26"/>
      <c r="J9" s="26"/>
      <c r="K9" s="146"/>
    </row>
    <row r="10" spans="1:11" ht="16.5">
      <c r="A10" s="32" t="s">
        <v>0</v>
      </c>
      <c r="B10" s="32" t="s">
        <v>3</v>
      </c>
      <c r="C10" s="32" t="s">
        <v>5</v>
      </c>
      <c r="D10" s="32" t="s">
        <v>166</v>
      </c>
      <c r="E10" s="32" t="s">
        <v>172</v>
      </c>
      <c r="F10" s="32" t="s">
        <v>172</v>
      </c>
      <c r="G10" s="32" t="s">
        <v>172</v>
      </c>
      <c r="H10" s="32" t="s">
        <v>172</v>
      </c>
      <c r="I10" s="32" t="s">
        <v>172</v>
      </c>
      <c r="J10" s="32" t="s">
        <v>172</v>
      </c>
      <c r="K10" s="32" t="s">
        <v>275</v>
      </c>
    </row>
    <row r="11" spans="1:11" ht="16.5">
      <c r="A11" s="32"/>
      <c r="B11" s="32" t="s">
        <v>4</v>
      </c>
      <c r="C11" s="32" t="s">
        <v>6</v>
      </c>
      <c r="D11" s="32" t="s">
        <v>27</v>
      </c>
      <c r="E11" s="32" t="s">
        <v>168</v>
      </c>
      <c r="F11" s="32" t="s">
        <v>119</v>
      </c>
      <c r="G11" s="32" t="s">
        <v>168</v>
      </c>
      <c r="H11" s="32" t="s">
        <v>119</v>
      </c>
      <c r="I11" s="32" t="s">
        <v>168</v>
      </c>
      <c r="J11" s="32" t="s">
        <v>119</v>
      </c>
      <c r="K11" s="32" t="s">
        <v>183</v>
      </c>
    </row>
    <row r="12" spans="1:11" ht="17.25" thickBot="1">
      <c r="A12" s="34" t="s">
        <v>2</v>
      </c>
      <c r="B12" s="34" t="s">
        <v>0</v>
      </c>
      <c r="C12" s="34" t="s">
        <v>0</v>
      </c>
      <c r="D12" s="34" t="s">
        <v>0</v>
      </c>
      <c r="E12" s="34" t="s">
        <v>170</v>
      </c>
      <c r="F12" s="34" t="s">
        <v>170</v>
      </c>
      <c r="G12" s="34" t="s">
        <v>273</v>
      </c>
      <c r="H12" s="34" t="s">
        <v>273</v>
      </c>
      <c r="I12" s="34" t="s">
        <v>274</v>
      </c>
      <c r="J12" s="34" t="s">
        <v>274</v>
      </c>
      <c r="K12" s="223" t="s">
        <v>276</v>
      </c>
    </row>
    <row r="13" spans="1:11">
      <c r="A13" s="36" t="s">
        <v>7</v>
      </c>
      <c r="B13" s="36" t="s">
        <v>7</v>
      </c>
      <c r="C13" s="36" t="s">
        <v>7</v>
      </c>
      <c r="D13" s="37" t="s">
        <v>112</v>
      </c>
      <c r="E13" s="36" t="s">
        <v>7</v>
      </c>
      <c r="F13" s="36" t="s">
        <v>15</v>
      </c>
      <c r="G13" s="36" t="s">
        <v>7</v>
      </c>
      <c r="H13" s="36" t="s">
        <v>15</v>
      </c>
      <c r="I13" s="36" t="s">
        <v>7</v>
      </c>
      <c r="J13" s="36" t="s">
        <v>15</v>
      </c>
      <c r="K13" s="36" t="s">
        <v>15</v>
      </c>
    </row>
    <row r="14" spans="1:11" ht="16.5">
      <c r="A14" s="32"/>
      <c r="B14" s="32"/>
      <c r="C14" s="32"/>
      <c r="D14" s="32"/>
      <c r="E14" s="32"/>
      <c r="F14" s="32"/>
      <c r="G14" s="10"/>
      <c r="H14" s="10"/>
      <c r="I14" s="10"/>
      <c r="J14" s="10"/>
      <c r="K14" s="10"/>
    </row>
    <row r="15" spans="1:11" ht="16.5">
      <c r="A15" s="10"/>
      <c r="B15" s="10"/>
      <c r="C15" s="10"/>
      <c r="D15" s="10"/>
      <c r="E15" s="10"/>
      <c r="F15" s="10"/>
      <c r="G15" s="10"/>
      <c r="H15" s="10"/>
      <c r="I15" s="10"/>
      <c r="J15" s="10"/>
      <c r="K15" s="10"/>
    </row>
    <row r="16" spans="1:11" ht="17.25">
      <c r="A16" s="41" t="str">
        <f>+'S&amp;D'!A22</f>
        <v>Air Transport Services Group</v>
      </c>
      <c r="B16" s="32" t="str">
        <f>+'S&amp;D'!B22</f>
        <v>ATSG</v>
      </c>
      <c r="C16" s="32" t="str">
        <f>+'S&amp;D'!C22</f>
        <v>Air Trans</v>
      </c>
      <c r="D16" s="57">
        <f>+'S&amp;D'!G22</f>
        <v>17.61</v>
      </c>
      <c r="E16" s="367">
        <v>1.6</v>
      </c>
      <c r="F16" s="51">
        <f>+E16/D16</f>
        <v>9.0857467348097673E-2</v>
      </c>
      <c r="G16" s="367">
        <v>1.8</v>
      </c>
      <c r="H16" s="51">
        <f>+G16/D16</f>
        <v>0.10221465076660989</v>
      </c>
      <c r="I16" s="367">
        <v>2.5</v>
      </c>
      <c r="J16" s="51">
        <f>+I16/D16</f>
        <v>0.14196479273140261</v>
      </c>
      <c r="K16" s="380">
        <f t="shared" ref="K16" si="0">RATE(3,,-G16,I16)</f>
        <v>0.11572158347028512</v>
      </c>
    </row>
    <row r="17" spans="1:11" ht="17.25">
      <c r="A17" s="41" t="str">
        <f>+'S&amp;D'!A23</f>
        <v xml:space="preserve">FedEx Corp </v>
      </c>
      <c r="B17" s="32" t="str">
        <f>+'S&amp;D'!B23</f>
        <v>FDX</v>
      </c>
      <c r="C17" s="32" t="str">
        <f>+'S&amp;D'!C23</f>
        <v>Air Trans</v>
      </c>
      <c r="D17" s="57">
        <f>+'S&amp;D'!G23</f>
        <v>252.97</v>
      </c>
      <c r="E17" s="367">
        <v>17.649999999999999</v>
      </c>
      <c r="F17" s="51">
        <f t="shared" ref="F17:F18" si="1">+E17/D17</f>
        <v>6.9771119105032212E-2</v>
      </c>
      <c r="G17" s="367">
        <v>22</v>
      </c>
      <c r="H17" s="51">
        <f t="shared" ref="H17:H18" si="2">+G17/D17</f>
        <v>8.6966834011938179E-2</v>
      </c>
      <c r="I17" s="367">
        <v>25</v>
      </c>
      <c r="J17" s="51">
        <f t="shared" ref="J17:J18" si="3">+I17/D17</f>
        <v>9.8825947740838832E-2</v>
      </c>
      <c r="K17" s="380">
        <f t="shared" ref="K17:K18" si="4">RATE(3,,-G17,I17)</f>
        <v>4.3532011211615769E-2</v>
      </c>
    </row>
    <row r="18" spans="1:11" ht="18" thickBot="1">
      <c r="A18" s="41" t="str">
        <f>+'S&amp;D'!A24</f>
        <v xml:space="preserve">United Parcel Service </v>
      </c>
      <c r="B18" s="32" t="str">
        <f>+'S&amp;D'!B24</f>
        <v>UPS</v>
      </c>
      <c r="C18" s="32" t="str">
        <f>+'S&amp;D'!C24</f>
        <v>Air Trans</v>
      </c>
      <c r="D18" s="57">
        <f>+'S&amp;D'!G24</f>
        <v>157.22999999999999</v>
      </c>
      <c r="E18" s="382">
        <v>8.4</v>
      </c>
      <c r="F18" s="325">
        <f t="shared" si="1"/>
        <v>5.3424918908605235E-2</v>
      </c>
      <c r="G18" s="382">
        <v>9.8000000000000007</v>
      </c>
      <c r="H18" s="325">
        <f t="shared" si="2"/>
        <v>6.2329072060039438E-2</v>
      </c>
      <c r="I18" s="382">
        <v>14</v>
      </c>
      <c r="J18" s="325">
        <f t="shared" si="3"/>
        <v>8.9041531514342048E-2</v>
      </c>
      <c r="K18" s="383">
        <f t="shared" si="4"/>
        <v>0.12624788044374038</v>
      </c>
    </row>
    <row r="19" spans="1:11" ht="17.25" thickTop="1">
      <c r="A19" s="10"/>
      <c r="B19" s="10"/>
      <c r="D19" s="12" t="s">
        <v>45</v>
      </c>
      <c r="E19" s="14">
        <f>MAX(E16:E18)</f>
        <v>17.649999999999999</v>
      </c>
      <c r="F19" s="351">
        <f t="shared" ref="F19:K19" si="5">MAX(F16:F18)</f>
        <v>9.0857467348097673E-2</v>
      </c>
      <c r="G19" s="14">
        <f t="shared" si="5"/>
        <v>22</v>
      </c>
      <c r="H19" s="351">
        <f t="shared" si="5"/>
        <v>0.10221465076660989</v>
      </c>
      <c r="I19" s="14">
        <f t="shared" si="5"/>
        <v>25</v>
      </c>
      <c r="J19" s="351">
        <f t="shared" si="5"/>
        <v>0.14196479273140261</v>
      </c>
      <c r="K19" s="351">
        <f t="shared" si="5"/>
        <v>0.12624788044374038</v>
      </c>
    </row>
    <row r="20" spans="1:11" ht="16.5">
      <c r="A20" s="10"/>
      <c r="B20" s="10"/>
      <c r="D20" s="314" t="s">
        <v>46</v>
      </c>
      <c r="E20" s="311">
        <f>MIN(E16:E18)</f>
        <v>1.6</v>
      </c>
      <c r="F20" s="352">
        <f t="shared" ref="F20:K20" si="6">MIN(F16:F18)</f>
        <v>5.3424918908605235E-2</v>
      </c>
      <c r="G20" s="311">
        <f t="shared" si="6"/>
        <v>1.8</v>
      </c>
      <c r="H20" s="352">
        <f t="shared" si="6"/>
        <v>6.2329072060039438E-2</v>
      </c>
      <c r="I20" s="311">
        <f t="shared" si="6"/>
        <v>2.5</v>
      </c>
      <c r="J20" s="352">
        <f t="shared" si="6"/>
        <v>8.9041531514342048E-2</v>
      </c>
      <c r="K20" s="352">
        <f t="shared" si="6"/>
        <v>4.3532011211615769E-2</v>
      </c>
    </row>
    <row r="21" spans="1:11" ht="16.5">
      <c r="A21" s="10"/>
      <c r="B21" s="10"/>
      <c r="D21" s="12" t="s">
        <v>18</v>
      </c>
      <c r="E21" s="15">
        <f t="shared" ref="E21:K21" si="7">MEDIAN(E16:E18)</f>
        <v>8.4</v>
      </c>
      <c r="F21" s="52">
        <f t="shared" si="7"/>
        <v>6.9771119105032212E-2</v>
      </c>
      <c r="G21" s="15">
        <f t="shared" si="7"/>
        <v>9.8000000000000007</v>
      </c>
      <c r="H21" s="52">
        <f t="shared" si="7"/>
        <v>8.6966834011938179E-2</v>
      </c>
      <c r="I21" s="15">
        <f t="shared" si="7"/>
        <v>14</v>
      </c>
      <c r="J21" s="52">
        <f t="shared" si="7"/>
        <v>9.8825947740838832E-2</v>
      </c>
      <c r="K21" s="52">
        <f t="shared" si="7"/>
        <v>0.11572158347028512</v>
      </c>
    </row>
    <row r="22" spans="1:11" ht="16.5">
      <c r="A22" s="10"/>
      <c r="B22" s="10"/>
      <c r="D22" s="12" t="s">
        <v>412</v>
      </c>
      <c r="E22" s="19">
        <f t="shared" ref="E22:K22" si="8">AVERAGE(E16:E18)</f>
        <v>9.2166666666666668</v>
      </c>
      <c r="F22" s="54">
        <f t="shared" si="8"/>
        <v>7.1351168453911706E-2</v>
      </c>
      <c r="G22" s="19">
        <f t="shared" si="8"/>
        <v>11.200000000000001</v>
      </c>
      <c r="H22" s="54">
        <f t="shared" si="8"/>
        <v>8.3836852279529181E-2</v>
      </c>
      <c r="I22" s="19">
        <f t="shared" si="8"/>
        <v>13.833333333333334</v>
      </c>
      <c r="J22" s="54">
        <f t="shared" si="8"/>
        <v>0.1099440906621945</v>
      </c>
      <c r="K22" s="54">
        <f t="shared" si="8"/>
        <v>9.5167158375213765E-2</v>
      </c>
    </row>
    <row r="23" spans="1:11" ht="16.5">
      <c r="A23" s="10"/>
      <c r="B23" s="10"/>
      <c r="C23" s="10"/>
      <c r="D23" s="10"/>
      <c r="E23" s="10"/>
      <c r="F23" s="10"/>
      <c r="G23" s="10"/>
      <c r="H23" s="10"/>
      <c r="I23" s="10"/>
      <c r="J23" s="10"/>
      <c r="K23" s="10"/>
    </row>
    <row r="24" spans="1:11" ht="26.25">
      <c r="A24" s="10"/>
      <c r="B24" s="10"/>
      <c r="C24" s="10"/>
      <c r="D24" s="10"/>
      <c r="E24" s="10"/>
      <c r="F24" s="47" t="s">
        <v>0</v>
      </c>
      <c r="G24" s="61" t="s">
        <v>0</v>
      </c>
      <c r="H24" s="10"/>
      <c r="I24" s="10"/>
      <c r="J24" s="10"/>
      <c r="K24" s="10"/>
    </row>
    <row r="25" spans="1:11" ht="18.75">
      <c r="A25" s="224" t="s">
        <v>277</v>
      </c>
    </row>
  </sheetData>
  <pageMargins left="0.25" right="0.25" top="0.75" bottom="0.75" header="0.3" footer="0.3"/>
  <pageSetup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CD99C54C01C8BC45B805DF7256220975" ma:contentTypeVersion="1" ma:contentTypeDescription="Upload an image." ma:contentTypeScope="" ma:versionID="f51725491132dd0a64f9fd5ab78ea23f">
  <xsd:schema xmlns:xsd="http://www.w3.org/2001/XMLSchema" xmlns:xs="http://www.w3.org/2001/XMLSchema" xmlns:p="http://schemas.microsoft.com/office/2006/metadata/properties" xmlns:ns1="http://schemas.microsoft.com/sharepoint/v3" xmlns:ns2="6E03B4ED-B723-45B9-840F-361B28E24C99" xmlns:ns3="http://schemas.microsoft.com/sharepoint/v3/fields" targetNamespace="http://schemas.microsoft.com/office/2006/metadata/properties" ma:root="true" ma:fieldsID="97c48875acb44c11a63d22310fa806dc" ns1:_="" ns2:_="" ns3:_="">
    <xsd:import namespace="http://schemas.microsoft.com/sharepoint/v3"/>
    <xsd:import namespace="6E03B4ED-B723-45B9-840F-361B28E24C99"/>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E03B4ED-B723-45B9-840F-361B28E24C99"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geCreateDate xmlns="6E03B4ED-B723-45B9-840F-361B28E24C99"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905550BE-F0FA-4AC8-973C-D2672F10DF8F}"/>
</file>

<file path=customXml/itemProps2.xml><?xml version="1.0" encoding="utf-8"?>
<ds:datastoreItem xmlns:ds="http://schemas.openxmlformats.org/officeDocument/2006/customXml" ds:itemID="{FF99ADBC-03A9-47F6-8335-59BBA135F42A}"/>
</file>

<file path=customXml/itemProps3.xml><?xml version="1.0" encoding="utf-8"?>
<ds:datastoreItem xmlns:ds="http://schemas.openxmlformats.org/officeDocument/2006/customXml" ds:itemID="{52A9625B-45DC-4052-801F-A522B25845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Cover Sheet</vt:lpstr>
      <vt:lpstr>Yield CapRate</vt:lpstr>
      <vt:lpstr>Direct CapRates</vt:lpstr>
      <vt:lpstr>S&amp;D</vt:lpstr>
      <vt:lpstr>Market to Book Ratios</vt:lpstr>
      <vt:lpstr>Maintenance CapEx</vt:lpstr>
      <vt:lpstr>Beta for CAPM</vt:lpstr>
      <vt:lpstr>Dividends </vt:lpstr>
      <vt:lpstr>Earnings</vt:lpstr>
      <vt:lpstr>Direct Debt</vt:lpstr>
      <vt:lpstr>Yield Debt</vt:lpstr>
      <vt:lpstr>Direct GCF</vt:lpstr>
      <vt:lpstr>Direct NOPAT</vt:lpstr>
      <vt:lpstr>Growth &amp; Inflation Rates</vt:lpstr>
      <vt:lpstr>Indicated Yield Equity Rate </vt:lpstr>
      <vt:lpstr>CAPM</vt:lpstr>
      <vt:lpstr>Single Stage Div Growth Model</vt:lpstr>
      <vt:lpstr>Two-Stage Div Growth Model</vt:lpstr>
      <vt:lpstr>Multiples</vt:lpstr>
      <vt:lpstr>Info</vt:lpstr>
      <vt:lpstr>'Beta for CAPM'!Print_Area</vt:lpstr>
      <vt:lpstr>CAPM!Print_Area</vt:lpstr>
      <vt:lpstr>'Cover Sheet'!Print_Area</vt:lpstr>
      <vt:lpstr>'Direct CapRates'!Print_Area</vt:lpstr>
      <vt:lpstr>'Direct Debt'!Print_Area</vt:lpstr>
      <vt:lpstr>'Direct GCF'!Print_Area</vt:lpstr>
      <vt:lpstr>'Direct NOPAT'!Print_Area</vt:lpstr>
      <vt:lpstr>'Dividends '!Print_Area</vt:lpstr>
      <vt:lpstr>Earnings!Print_Area</vt:lpstr>
      <vt:lpstr>'Growth &amp; Inflation Rates'!Print_Area</vt:lpstr>
      <vt:lpstr>'Indicated Yield Equity Rate '!Print_Area</vt:lpstr>
      <vt:lpstr>'Maintenance CapEx'!Print_Area</vt:lpstr>
      <vt:lpstr>'Market to Book Ratios'!Print_Area</vt:lpstr>
      <vt:lpstr>Multiples!Print_Area</vt:lpstr>
      <vt:lpstr>'S&amp;D'!Print_Area</vt:lpstr>
      <vt:lpstr>'Single Stage Div Growth Model'!Print_Area</vt:lpstr>
      <vt:lpstr>'Two-Stage Div Growth Model'!Print_Area</vt:lpstr>
      <vt:lpstr>'Yield CapRate'!Print_Area</vt:lpstr>
      <vt:lpstr>'Yield Debt'!Print_Area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Cap Rate Study - Air Freight Carriers</dc:title>
  <dc:creator>%USERNAME%</dc:creator>
  <cp:keywords/>
  <dc:description/>
  <cp:lastModifiedBy>Carbin, Robert A (DOR)</cp:lastModifiedBy>
  <cp:lastPrinted>2023-05-30T14:34:39Z</cp:lastPrinted>
  <dcterms:created xsi:type="dcterms:W3CDTF">2016-02-12T19:29:24Z</dcterms:created>
  <dcterms:modified xsi:type="dcterms:W3CDTF">2024-08-12T12:23:47Z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0x0101009148F5A04DDD49CBA7127AADA5FB792B00AADE34325A8B49CDA8BB4DB53328F21400CD99C54C01C8BC45B805DF7256220975</vt:lpwstr>
  </property>
</Properties>
</file>