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K:\CAP Rate Studies\CAP RATE STUDY 2024\2024 CAP Rate Study - All Industries\(2) Ready for Review\"/>
    </mc:Choice>
  </mc:AlternateContent>
  <xr:revisionPtr revIDLastSave="0" documentId="13_ncr:1_{C736E5A9-438E-4251-85D9-C19A8439422F}" xr6:coauthVersionLast="47" xr6:coauthVersionMax="47" xr10:uidLastSave="{00000000-0000-0000-0000-000000000000}"/>
  <bookViews>
    <workbookView xWindow="-21720" yWindow="-1530" windowWidth="21840" windowHeight="13140" tabRatio="811" activeTab="3" xr2:uid="{00000000-000D-0000-FFFF-FFFF00000000}"/>
  </bookViews>
  <sheets>
    <sheet name="Cover Sheet" sheetId="6" r:id="rId1"/>
    <sheet name="Yield CapRate" sheetId="7" r:id="rId2"/>
    <sheet name="Direct CapRates" sheetId="10" r:id="rId3"/>
    <sheet name="S&amp;D" sheetId="3" r:id="rId4"/>
    <sheet name="Market to Book Ratios" sheetId="29" r:id="rId5"/>
    <sheet name="Maintenance CapEx" sheetId="11" r:id="rId6"/>
    <sheet name="Beta for CAPM" sheetId="14" r:id="rId7"/>
    <sheet name="Dividends " sheetId="17" r:id="rId8"/>
    <sheet name="Earnings" sheetId="27" r:id="rId9"/>
    <sheet name="Direct Debt" sheetId="13" r:id="rId10"/>
    <sheet name="Yield Debt" sheetId="8" r:id="rId11"/>
    <sheet name="Direct GCF" sheetId="5" r:id="rId12"/>
    <sheet name="Direct NOPAT" sheetId="12" r:id="rId13"/>
    <sheet name="Growth &amp; Inflation Rates" sheetId="24" r:id="rId14"/>
    <sheet name="Indicated Yield Equity Rate " sheetId="33" r:id="rId15"/>
    <sheet name="CAPM" sheetId="34" r:id="rId16"/>
    <sheet name="Single Stage Div Growth Model" sheetId="19" r:id="rId17"/>
    <sheet name="Two-Stage Div Growth Model" sheetId="20" r:id="rId18"/>
    <sheet name="Multiples" sheetId="25" r:id="rId19"/>
    <sheet name="Info" sheetId="9" r:id="rId20"/>
  </sheets>
  <definedNames>
    <definedName name="_xlnm.Print_Area" localSheetId="6">'Beta for CAPM'!$A$1:$I$40</definedName>
    <definedName name="_xlnm.Print_Area" localSheetId="15">CAPM!$A$1:$H$84</definedName>
    <definedName name="_xlnm.Print_Area" localSheetId="0">'Cover Sheet'!$A$1:$I$37</definedName>
    <definedName name="_xlnm.Print_Area" localSheetId="2">'Direct CapRates'!$A$1:$H$66</definedName>
    <definedName name="_xlnm.Print_Area" localSheetId="9">'Direct Debt'!$A$1:$K$37</definedName>
    <definedName name="_xlnm.Print_Area" localSheetId="11">'Direct GCF'!$A$1:$N$41</definedName>
    <definedName name="_xlnm.Print_Area" localSheetId="12">'Direct NOPAT'!$A$1:$N$64</definedName>
    <definedName name="_xlnm.Print_Area" localSheetId="7">'Dividends '!$A$1:$K$33</definedName>
    <definedName name="_xlnm.Print_Area" localSheetId="8">Earnings!$A$1:$K$32</definedName>
    <definedName name="_xlnm.Print_Area" localSheetId="13">'Growth &amp; Inflation Rates'!$A$1:$H$117</definedName>
    <definedName name="_xlnm.Print_Area" localSheetId="14">'Indicated Yield Equity Rate '!$A$1:$F$62</definedName>
    <definedName name="_xlnm.Print_Area" localSheetId="5">'Maintenance CapEx'!$A$1:$L$78</definedName>
    <definedName name="_xlnm.Print_Area" localSheetId="4">'Market to Book Ratios'!$A$1:$G$64</definedName>
    <definedName name="_xlnm.Print_Area" localSheetId="18">Multiples!$A$1:$J$43</definedName>
    <definedName name="_xlnm.Print_Area" localSheetId="3">'S&amp;D'!$A$1:$L$80</definedName>
    <definedName name="_xlnm.Print_Area" localSheetId="16">'Single Stage Div Growth Model'!$A$1:$K$49</definedName>
    <definedName name="_xlnm.Print_Area" localSheetId="17">'Two-Stage Div Growth Model'!$A$1:$I$47</definedName>
    <definedName name="_xlnm.Print_Area" localSheetId="1">'Yield CapRate'!$A$1:$H$35</definedName>
    <definedName name="_xlnm.Print_Area" localSheetId="10">'Yield Debt'!$A$1:$M$61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1" i="3" l="1"/>
  <c r="H78" i="3"/>
  <c r="H26" i="25" l="1"/>
  <c r="H25" i="25"/>
  <c r="E26" i="25"/>
  <c r="E25" i="25"/>
  <c r="G26" i="20"/>
  <c r="J27" i="19"/>
  <c r="H27" i="19"/>
  <c r="G27" i="19"/>
  <c r="J26" i="19"/>
  <c r="H26" i="19"/>
  <c r="G26" i="19"/>
  <c r="E58" i="12"/>
  <c r="E59" i="12"/>
  <c r="K27" i="12"/>
  <c r="K26" i="12"/>
  <c r="E27" i="12"/>
  <c r="E26" i="12"/>
  <c r="J28" i="5"/>
  <c r="J27" i="5"/>
  <c r="D28" i="5"/>
  <c r="D27" i="5"/>
  <c r="K26" i="27"/>
  <c r="I26" i="27"/>
  <c r="G26" i="27"/>
  <c r="K25" i="27"/>
  <c r="I25" i="27"/>
  <c r="G25" i="27"/>
  <c r="E26" i="27"/>
  <c r="E25" i="27"/>
  <c r="K27" i="17"/>
  <c r="I27" i="17"/>
  <c r="G27" i="17"/>
  <c r="K26" i="17"/>
  <c r="I26" i="17"/>
  <c r="G26" i="17"/>
  <c r="E27" i="17"/>
  <c r="E26" i="17"/>
  <c r="J26" i="8" l="1"/>
  <c r="I26" i="8"/>
  <c r="J25" i="8"/>
  <c r="I25" i="8"/>
  <c r="G26" i="8"/>
  <c r="G25" i="8"/>
  <c r="K19" i="17" l="1"/>
  <c r="K17" i="17"/>
  <c r="I29" i="14" l="1"/>
  <c r="I28" i="14"/>
  <c r="L31" i="11"/>
  <c r="L30" i="11"/>
  <c r="E90" i="24"/>
  <c r="E89" i="24"/>
  <c r="E88" i="24"/>
  <c r="E87" i="24"/>
  <c r="I79" i="3"/>
  <c r="G79" i="3"/>
  <c r="I78" i="3"/>
  <c r="G78" i="3"/>
  <c r="G77" i="3"/>
  <c r="I77" i="3"/>
  <c r="G76" i="3"/>
  <c r="G75" i="3"/>
  <c r="I74" i="3"/>
  <c r="G74" i="3"/>
  <c r="G72" i="3"/>
  <c r="G71" i="3"/>
  <c r="J30" i="3" l="1"/>
  <c r="H30" i="3"/>
  <c r="E27" i="11"/>
  <c r="D27" i="11"/>
  <c r="J29" i="3"/>
  <c r="H29" i="3"/>
  <c r="J28" i="3"/>
  <c r="H28" i="3"/>
  <c r="J27" i="3"/>
  <c r="H27" i="3"/>
  <c r="E24" i="11"/>
  <c r="D24" i="11"/>
  <c r="J26" i="3"/>
  <c r="H26" i="3"/>
  <c r="E23" i="11"/>
  <c r="D23" i="11"/>
  <c r="J25" i="3"/>
  <c r="H25" i="3"/>
  <c r="J24" i="3"/>
  <c r="J23" i="3"/>
  <c r="H23" i="3"/>
  <c r="J22" i="3"/>
  <c r="H22" i="3"/>
  <c r="F93" i="24" l="1"/>
  <c r="D90" i="24"/>
  <c r="F90" i="24" s="1"/>
  <c r="D86" i="24"/>
  <c r="F86" i="24" s="1"/>
  <c r="D85" i="24"/>
  <c r="F85" i="24" s="1"/>
  <c r="D84" i="24"/>
  <c r="F84" i="24" s="1"/>
  <c r="D83" i="24"/>
  <c r="F83" i="24" s="1"/>
  <c r="D82" i="24"/>
  <c r="F82" i="24" s="1"/>
  <c r="D81" i="24"/>
  <c r="F81" i="24" s="1"/>
  <c r="D80" i="24"/>
  <c r="F80" i="24" s="1"/>
  <c r="D79" i="24"/>
  <c r="D89" i="24" s="1"/>
  <c r="F89" i="24" s="1"/>
  <c r="B46" i="34"/>
  <c r="E46" i="34" s="1"/>
  <c r="A46" i="34"/>
  <c r="A59" i="34"/>
  <c r="A58" i="34"/>
  <c r="A57" i="34"/>
  <c r="A48" i="34"/>
  <c r="A47" i="34"/>
  <c r="A45" i="34"/>
  <c r="F79" i="24" l="1"/>
  <c r="B58" i="34"/>
  <c r="E58" i="34" s="1"/>
  <c r="B48" i="34"/>
  <c r="E48" i="34" s="1"/>
  <c r="B47" i="34"/>
  <c r="E47" i="34" s="1"/>
  <c r="A6" i="25"/>
  <c r="A6" i="20"/>
  <c r="A6" i="19"/>
  <c r="A6" i="34"/>
  <c r="A6" i="33"/>
  <c r="A7" i="24"/>
  <c r="A6" i="12"/>
  <c r="A6" i="5"/>
  <c r="A6" i="8"/>
  <c r="A6" i="13"/>
  <c r="A6" i="27"/>
  <c r="A6" i="17"/>
  <c r="A8" i="14"/>
  <c r="A8" i="11"/>
  <c r="A16" i="6"/>
  <c r="D16" i="7"/>
  <c r="D15" i="10"/>
  <c r="A9" i="29"/>
  <c r="C16" i="34"/>
  <c r="E16" i="34"/>
  <c r="F42" i="34" s="1"/>
  <c r="B61" i="34"/>
  <c r="E61" i="34" s="1"/>
  <c r="B59" i="34"/>
  <c r="E59" i="34" s="1"/>
  <c r="B57" i="34"/>
  <c r="E57" i="34" s="1"/>
  <c r="B55" i="34"/>
  <c r="E55" i="34" s="1"/>
  <c r="B54" i="34"/>
  <c r="E54" i="34" s="1"/>
  <c r="B52" i="34"/>
  <c r="E52" i="34" s="1"/>
  <c r="B50" i="34"/>
  <c r="E50" i="34" s="1"/>
  <c r="B45" i="34"/>
  <c r="E45" i="34" s="1"/>
  <c r="B43" i="34"/>
  <c r="E43" i="34" s="1"/>
  <c r="B42" i="34"/>
  <c r="E42" i="34" s="1"/>
  <c r="C31" i="34" l="1"/>
  <c r="C57" i="34" s="1"/>
  <c r="D57" i="34" s="1"/>
  <c r="C20" i="34"/>
  <c r="E21" i="34"/>
  <c r="F47" i="34" s="1"/>
  <c r="C22" i="34"/>
  <c r="C21" i="34"/>
  <c r="E22" i="34"/>
  <c r="F48" i="34" s="1"/>
  <c r="E24" i="34"/>
  <c r="F50" i="34" s="1"/>
  <c r="E31" i="34"/>
  <c r="F57" i="34" s="1"/>
  <c r="E26" i="34"/>
  <c r="F52" i="34" s="1"/>
  <c r="E33" i="34"/>
  <c r="F59" i="34" s="1"/>
  <c r="E17" i="34"/>
  <c r="E20" i="34" s="1"/>
  <c r="E28" i="34"/>
  <c r="F54" i="34" s="1"/>
  <c r="F61" i="34"/>
  <c r="E19" i="34"/>
  <c r="F45" i="34" s="1"/>
  <c r="E29" i="34"/>
  <c r="F55" i="34" s="1"/>
  <c r="C17" i="34"/>
  <c r="D17" i="34" s="1"/>
  <c r="C35" i="34"/>
  <c r="D35" i="34" s="1"/>
  <c r="C19" i="34"/>
  <c r="C45" i="34" s="1"/>
  <c r="D45" i="34" s="1"/>
  <c r="C29" i="34"/>
  <c r="C59" i="34" s="1"/>
  <c r="D59" i="34" s="1"/>
  <c r="C28" i="34"/>
  <c r="C54" i="34" s="1"/>
  <c r="D54" i="34" s="1"/>
  <c r="G54" i="34" s="1"/>
  <c r="D36" i="33" s="1"/>
  <c r="C42" i="34"/>
  <c r="D42" i="34" s="1"/>
  <c r="G42" i="34" s="1"/>
  <c r="D28" i="33" s="1"/>
  <c r="D31" i="34"/>
  <c r="C26" i="34"/>
  <c r="C33" i="34"/>
  <c r="D16" i="34"/>
  <c r="F16" i="34" s="1"/>
  <c r="C24" i="34"/>
  <c r="G45" i="34" l="1"/>
  <c r="D30" i="33" s="1"/>
  <c r="F35" i="34"/>
  <c r="G57" i="34"/>
  <c r="D38" i="33" s="1"/>
  <c r="C46" i="34"/>
  <c r="D46" i="34" s="1"/>
  <c r="D20" i="34"/>
  <c r="F20" i="34" s="1"/>
  <c r="D18" i="33" s="1"/>
  <c r="F46" i="34"/>
  <c r="F43" i="34"/>
  <c r="E32" i="34"/>
  <c r="F58" i="34" s="1"/>
  <c r="D21" i="34"/>
  <c r="F21" i="34" s="1"/>
  <c r="D19" i="33" s="1"/>
  <c r="C47" i="34"/>
  <c r="D47" i="34" s="1"/>
  <c r="G47" i="34" s="1"/>
  <c r="D32" i="33" s="1"/>
  <c r="C43" i="34"/>
  <c r="D43" i="34" s="1"/>
  <c r="C32" i="34"/>
  <c r="C48" i="34"/>
  <c r="D48" i="34" s="1"/>
  <c r="G48" i="34" s="1"/>
  <c r="D33" i="33" s="1"/>
  <c r="D22" i="34"/>
  <c r="F22" i="34" s="1"/>
  <c r="D20" i="33" s="1"/>
  <c r="F17" i="34"/>
  <c r="F31" i="34"/>
  <c r="D25" i="33" s="1"/>
  <c r="G59" i="34"/>
  <c r="D40" i="33" s="1"/>
  <c r="D28" i="34"/>
  <c r="F28" i="34" s="1"/>
  <c r="D29" i="34"/>
  <c r="F29" i="34" s="1"/>
  <c r="C55" i="34"/>
  <c r="D55" i="34" s="1"/>
  <c r="G55" i="34" s="1"/>
  <c r="D37" i="33" s="1"/>
  <c r="D19" i="34"/>
  <c r="F19" i="34" s="1"/>
  <c r="C50" i="34"/>
  <c r="D50" i="34" s="1"/>
  <c r="G50" i="34" s="1"/>
  <c r="D34" i="33" s="1"/>
  <c r="D24" i="34"/>
  <c r="F24" i="34" s="1"/>
  <c r="D26" i="34"/>
  <c r="F26" i="34" s="1"/>
  <c r="C52" i="34"/>
  <c r="D52" i="34" s="1"/>
  <c r="G52" i="34" s="1"/>
  <c r="D35" i="33" s="1"/>
  <c r="C61" i="34"/>
  <c r="D61" i="34" s="1"/>
  <c r="G61" i="34" s="1"/>
  <c r="D33" i="34"/>
  <c r="F33" i="34" s="1"/>
  <c r="D27" i="33" s="1"/>
  <c r="G43" i="34" l="1"/>
  <c r="D29" i="33" s="1"/>
  <c r="G46" i="34"/>
  <c r="D31" i="33" s="1"/>
  <c r="D32" i="34"/>
  <c r="F32" i="34" s="1"/>
  <c r="D26" i="33" s="1"/>
  <c r="C58" i="34"/>
  <c r="D58" i="34" s="1"/>
  <c r="G58" i="34" s="1"/>
  <c r="D39" i="33" s="1"/>
  <c r="D45" i="33"/>
  <c r="D44" i="33"/>
  <c r="D43" i="33"/>
  <c r="D42" i="33"/>
  <c r="D23" i="7"/>
  <c r="D15" i="33" l="1"/>
  <c r="D17" i="33" l="1"/>
  <c r="D22" i="33"/>
  <c r="D24" i="33"/>
  <c r="D16" i="33"/>
  <c r="D48" i="33" s="1"/>
  <c r="D23" i="33"/>
  <c r="D21" i="33"/>
  <c r="D47" i="33" l="1"/>
  <c r="D51" i="33"/>
  <c r="D50" i="33"/>
  <c r="D49" i="33"/>
  <c r="E29" i="20" l="1"/>
  <c r="E28" i="20"/>
  <c r="E27" i="20"/>
  <c r="E26" i="20"/>
  <c r="E25" i="20"/>
  <c r="E24" i="20"/>
  <c r="E23" i="20"/>
  <c r="E22" i="20"/>
  <c r="E21" i="20"/>
  <c r="F23" i="11" l="1"/>
  <c r="H23" i="11" s="1"/>
  <c r="F24" i="11"/>
  <c r="H24" i="11" s="1"/>
  <c r="F27" i="11"/>
  <c r="H27" i="11" s="1"/>
  <c r="H47" i="3"/>
  <c r="F26" i="13" s="1"/>
  <c r="H26" i="13" s="1"/>
  <c r="I26" i="13" s="1"/>
  <c r="D40" i="3"/>
  <c r="G27" i="13"/>
  <c r="G26" i="13"/>
  <c r="G25" i="13"/>
  <c r="G24" i="13"/>
  <c r="G23" i="13"/>
  <c r="G22" i="13"/>
  <c r="G21" i="13"/>
  <c r="G20" i="13"/>
  <c r="G19" i="13"/>
  <c r="C28" i="11"/>
  <c r="C27" i="11"/>
  <c r="C26" i="11"/>
  <c r="C25" i="11"/>
  <c r="C24" i="11"/>
  <c r="C23" i="11"/>
  <c r="D24" i="25"/>
  <c r="I24" i="25" s="1"/>
  <c r="J24" i="25" s="1"/>
  <c r="C24" i="25"/>
  <c r="B24" i="25"/>
  <c r="D23" i="25"/>
  <c r="I23" i="25" s="1"/>
  <c r="J23" i="25" s="1"/>
  <c r="C23" i="25"/>
  <c r="B23" i="25"/>
  <c r="D22" i="25"/>
  <c r="F22" i="25" s="1"/>
  <c r="G22" i="25" s="1"/>
  <c r="C22" i="25"/>
  <c r="B22" i="25"/>
  <c r="D21" i="25"/>
  <c r="I21" i="25" s="1"/>
  <c r="J21" i="25" s="1"/>
  <c r="C21" i="25"/>
  <c r="B21" i="25"/>
  <c r="D20" i="25"/>
  <c r="I20" i="25" s="1"/>
  <c r="J20" i="25" s="1"/>
  <c r="C20" i="25"/>
  <c r="B20" i="25"/>
  <c r="D19" i="25"/>
  <c r="F19" i="25" s="1"/>
  <c r="G19" i="25" s="1"/>
  <c r="C19" i="25"/>
  <c r="B19" i="25"/>
  <c r="C29" i="20"/>
  <c r="B29" i="20"/>
  <c r="A29" i="20"/>
  <c r="C28" i="20"/>
  <c r="B28" i="20"/>
  <c r="A28" i="20"/>
  <c r="C27" i="20"/>
  <c r="B27" i="20"/>
  <c r="A27" i="20"/>
  <c r="C26" i="20"/>
  <c r="B26" i="20"/>
  <c r="A26" i="20"/>
  <c r="C25" i="20"/>
  <c r="B25" i="20"/>
  <c r="A25" i="20"/>
  <c r="C24" i="20"/>
  <c r="B24" i="20"/>
  <c r="A24" i="20"/>
  <c r="D25" i="19"/>
  <c r="C25" i="19"/>
  <c r="B25" i="19"/>
  <c r="A25" i="19"/>
  <c r="D24" i="19"/>
  <c r="C24" i="19"/>
  <c r="B24" i="19"/>
  <c r="A24" i="19"/>
  <c r="D23" i="19"/>
  <c r="C23" i="19"/>
  <c r="B23" i="19"/>
  <c r="A23" i="19"/>
  <c r="D22" i="19"/>
  <c r="C22" i="19"/>
  <c r="B22" i="19"/>
  <c r="A22" i="19"/>
  <c r="D21" i="19"/>
  <c r="C21" i="19"/>
  <c r="B21" i="19"/>
  <c r="A21" i="19"/>
  <c r="D20" i="19"/>
  <c r="C20" i="19"/>
  <c r="B20" i="19"/>
  <c r="A20" i="19"/>
  <c r="D56" i="12"/>
  <c r="F56" i="12" s="1"/>
  <c r="G56" i="12" s="1"/>
  <c r="C56" i="12"/>
  <c r="A56" i="12"/>
  <c r="D55" i="12"/>
  <c r="F55" i="12" s="1"/>
  <c r="G55" i="12" s="1"/>
  <c r="C55" i="12"/>
  <c r="A55" i="12"/>
  <c r="D54" i="12"/>
  <c r="F54" i="12" s="1"/>
  <c r="G54" i="12" s="1"/>
  <c r="C54" i="12"/>
  <c r="A54" i="12"/>
  <c r="D53" i="12"/>
  <c r="F53" i="12" s="1"/>
  <c r="G53" i="12" s="1"/>
  <c r="C53" i="12"/>
  <c r="A53" i="12"/>
  <c r="D52" i="12"/>
  <c r="F52" i="12" s="1"/>
  <c r="G52" i="12" s="1"/>
  <c r="C52" i="12"/>
  <c r="A52" i="12"/>
  <c r="D51" i="12"/>
  <c r="F51" i="12" s="1"/>
  <c r="G51" i="12" s="1"/>
  <c r="C51" i="12"/>
  <c r="A51" i="12"/>
  <c r="D24" i="12"/>
  <c r="J24" i="12" s="1"/>
  <c r="L24" i="12" s="1"/>
  <c r="M24" i="12" s="1"/>
  <c r="C24" i="12"/>
  <c r="I24" i="12" s="1"/>
  <c r="A24" i="12"/>
  <c r="D23" i="12"/>
  <c r="F23" i="12" s="1"/>
  <c r="G23" i="12" s="1"/>
  <c r="C23" i="12"/>
  <c r="I23" i="12" s="1"/>
  <c r="A23" i="12"/>
  <c r="D22" i="12"/>
  <c r="J22" i="12" s="1"/>
  <c r="L22" i="12" s="1"/>
  <c r="M22" i="12" s="1"/>
  <c r="C22" i="12"/>
  <c r="I22" i="12" s="1"/>
  <c r="A22" i="12"/>
  <c r="D21" i="12"/>
  <c r="F21" i="12" s="1"/>
  <c r="G21" i="12" s="1"/>
  <c r="C21" i="12"/>
  <c r="I21" i="12" s="1"/>
  <c r="A21" i="12"/>
  <c r="D20" i="12"/>
  <c r="J20" i="12" s="1"/>
  <c r="L20" i="12" s="1"/>
  <c r="M20" i="12" s="1"/>
  <c r="C20" i="12"/>
  <c r="I20" i="12" s="1"/>
  <c r="A20" i="12"/>
  <c r="D19" i="12"/>
  <c r="F19" i="12" s="1"/>
  <c r="G19" i="12" s="1"/>
  <c r="C19" i="12"/>
  <c r="I19" i="12" s="1"/>
  <c r="A19" i="12"/>
  <c r="C25" i="5"/>
  <c r="E25" i="5" s="1"/>
  <c r="F25" i="5" s="1"/>
  <c r="B25" i="5"/>
  <c r="H25" i="5" s="1"/>
  <c r="A25" i="5"/>
  <c r="C24" i="5"/>
  <c r="I24" i="5" s="1"/>
  <c r="L24" i="5" s="1"/>
  <c r="M24" i="5" s="1"/>
  <c r="B24" i="5"/>
  <c r="H24" i="5" s="1"/>
  <c r="A24" i="5"/>
  <c r="C23" i="5"/>
  <c r="I23" i="5" s="1"/>
  <c r="L23" i="5" s="1"/>
  <c r="M23" i="5" s="1"/>
  <c r="B23" i="5"/>
  <c r="H23" i="5" s="1"/>
  <c r="A23" i="5"/>
  <c r="C22" i="5"/>
  <c r="I22" i="5" s="1"/>
  <c r="L22" i="5" s="1"/>
  <c r="M22" i="5" s="1"/>
  <c r="B22" i="5"/>
  <c r="H22" i="5" s="1"/>
  <c r="A22" i="5"/>
  <c r="C21" i="5"/>
  <c r="E21" i="5" s="1"/>
  <c r="F21" i="5" s="1"/>
  <c r="B21" i="5"/>
  <c r="H21" i="5" s="1"/>
  <c r="A21" i="5"/>
  <c r="C20" i="5"/>
  <c r="E20" i="5" s="1"/>
  <c r="F20" i="5" s="1"/>
  <c r="B20" i="5"/>
  <c r="H20" i="5" s="1"/>
  <c r="A20" i="5"/>
  <c r="E23" i="8"/>
  <c r="D23" i="8"/>
  <c r="C23" i="8"/>
  <c r="B23" i="8"/>
  <c r="A23" i="8"/>
  <c r="E22" i="8"/>
  <c r="D22" i="8"/>
  <c r="C22" i="8"/>
  <c r="B22" i="8"/>
  <c r="A22" i="8"/>
  <c r="E21" i="8"/>
  <c r="D21" i="8"/>
  <c r="C21" i="8"/>
  <c r="B21" i="8"/>
  <c r="A21" i="8"/>
  <c r="E20" i="8"/>
  <c r="D20" i="8"/>
  <c r="C20" i="8"/>
  <c r="B20" i="8"/>
  <c r="A20" i="8"/>
  <c r="E19" i="8"/>
  <c r="D19" i="8"/>
  <c r="C19" i="8"/>
  <c r="B19" i="8"/>
  <c r="A19" i="8"/>
  <c r="E18" i="8"/>
  <c r="D18" i="8"/>
  <c r="C18" i="8"/>
  <c r="B18" i="8"/>
  <c r="A18" i="8"/>
  <c r="B27" i="13"/>
  <c r="A27" i="13"/>
  <c r="B26" i="13"/>
  <c r="A26" i="13"/>
  <c r="B25" i="13"/>
  <c r="A25" i="13"/>
  <c r="B24" i="13"/>
  <c r="A24" i="13"/>
  <c r="B23" i="13"/>
  <c r="A23" i="13"/>
  <c r="B22" i="13"/>
  <c r="A22" i="13"/>
  <c r="K24" i="27"/>
  <c r="D24" i="27"/>
  <c r="J24" i="27" s="1"/>
  <c r="C24" i="27"/>
  <c r="B24" i="27"/>
  <c r="A24" i="27"/>
  <c r="K23" i="27"/>
  <c r="D23" i="27"/>
  <c r="J23" i="27" s="1"/>
  <c r="C23" i="27"/>
  <c r="B23" i="27"/>
  <c r="A23" i="27"/>
  <c r="K22" i="27"/>
  <c r="D22" i="27"/>
  <c r="J22" i="27" s="1"/>
  <c r="C22" i="27"/>
  <c r="B22" i="27"/>
  <c r="A22" i="27"/>
  <c r="K21" i="27"/>
  <c r="D21" i="27"/>
  <c r="J21" i="27" s="1"/>
  <c r="C21" i="27"/>
  <c r="B21" i="27"/>
  <c r="A21" i="27"/>
  <c r="K20" i="27"/>
  <c r="D20" i="27"/>
  <c r="J20" i="27" s="1"/>
  <c r="C20" i="27"/>
  <c r="B20" i="27"/>
  <c r="A20" i="27"/>
  <c r="K19" i="27"/>
  <c r="D19" i="27"/>
  <c r="J19" i="27" s="1"/>
  <c r="C19" i="27"/>
  <c r="B19" i="27"/>
  <c r="A19" i="27"/>
  <c r="D24" i="17"/>
  <c r="C24" i="17"/>
  <c r="B24" i="17"/>
  <c r="A24" i="17"/>
  <c r="F24" i="19"/>
  <c r="D28" i="20" s="1"/>
  <c r="D23" i="17"/>
  <c r="C23" i="17"/>
  <c r="B23" i="17"/>
  <c r="A23" i="17"/>
  <c r="K22" i="17"/>
  <c r="D22" i="17"/>
  <c r="C22" i="17"/>
  <c r="B22" i="17"/>
  <c r="A22" i="17"/>
  <c r="D21" i="17"/>
  <c r="J21" i="17" s="1"/>
  <c r="C21" i="17"/>
  <c r="B21" i="17"/>
  <c r="A21" i="17"/>
  <c r="D20" i="17"/>
  <c r="C20" i="17"/>
  <c r="B20" i="17"/>
  <c r="A20" i="17"/>
  <c r="D19" i="17"/>
  <c r="C19" i="17"/>
  <c r="B19" i="17"/>
  <c r="A19" i="17"/>
  <c r="C26" i="14"/>
  <c r="B26" i="14"/>
  <c r="A26" i="14"/>
  <c r="C25" i="14"/>
  <c r="B25" i="14"/>
  <c r="A25" i="14"/>
  <c r="C24" i="14"/>
  <c r="B24" i="14"/>
  <c r="A24" i="14"/>
  <c r="C23" i="14"/>
  <c r="B23" i="14"/>
  <c r="A23" i="14"/>
  <c r="C22" i="14"/>
  <c r="B22" i="14"/>
  <c r="A22" i="14"/>
  <c r="C21" i="14"/>
  <c r="B21" i="14"/>
  <c r="A21" i="14"/>
  <c r="F28" i="11"/>
  <c r="H28" i="11" s="1"/>
  <c r="B28" i="11"/>
  <c r="A28" i="11"/>
  <c r="B27" i="11"/>
  <c r="A27" i="11"/>
  <c r="F26" i="11"/>
  <c r="H26" i="11" s="1"/>
  <c r="B26" i="11"/>
  <c r="A26" i="11"/>
  <c r="F25" i="11"/>
  <c r="H25" i="11" s="1"/>
  <c r="B25" i="11"/>
  <c r="A25" i="11"/>
  <c r="B24" i="11"/>
  <c r="A24" i="11"/>
  <c r="B23" i="11"/>
  <c r="A23" i="11"/>
  <c r="E50" i="29"/>
  <c r="E49" i="29"/>
  <c r="D49" i="29"/>
  <c r="F49" i="29" s="1"/>
  <c r="E48" i="29"/>
  <c r="E47" i="29"/>
  <c r="E46" i="29"/>
  <c r="E45" i="29"/>
  <c r="C30" i="29"/>
  <c r="C50" i="29" s="1"/>
  <c r="B30" i="29"/>
  <c r="B50" i="29" s="1"/>
  <c r="A30" i="29"/>
  <c r="C29" i="29"/>
  <c r="C49" i="29" s="1"/>
  <c r="B29" i="29"/>
  <c r="B49" i="29" s="1"/>
  <c r="A29" i="29"/>
  <c r="C28" i="29"/>
  <c r="C48" i="29" s="1"/>
  <c r="B28" i="29"/>
  <c r="B48" i="29" s="1"/>
  <c r="A28" i="29"/>
  <c r="A48" i="29" s="1"/>
  <c r="C27" i="29"/>
  <c r="C47" i="29" s="1"/>
  <c r="B27" i="29"/>
  <c r="B47" i="29" s="1"/>
  <c r="A27" i="29"/>
  <c r="A47" i="29" s="1"/>
  <c r="C26" i="29"/>
  <c r="C46" i="29" s="1"/>
  <c r="B26" i="29"/>
  <c r="B46" i="29" s="1"/>
  <c r="A26" i="29"/>
  <c r="A46" i="29" s="1"/>
  <c r="C25" i="29"/>
  <c r="C45" i="29" s="1"/>
  <c r="B25" i="29"/>
  <c r="B45" i="29" s="1"/>
  <c r="A25" i="29"/>
  <c r="A45" i="29" s="1"/>
  <c r="H48" i="3"/>
  <c r="D50" i="29" s="1"/>
  <c r="H46" i="3"/>
  <c r="F25" i="13" s="1"/>
  <c r="H25" i="13" s="1"/>
  <c r="I25" i="13" s="1"/>
  <c r="H45" i="3"/>
  <c r="F24" i="13" s="1"/>
  <c r="H24" i="13" s="1"/>
  <c r="I24" i="13" s="1"/>
  <c r="H44" i="3"/>
  <c r="F23" i="13" s="1"/>
  <c r="J23" i="13" s="1"/>
  <c r="H43" i="3"/>
  <c r="D45" i="29" s="1"/>
  <c r="H42" i="3"/>
  <c r="F21" i="13" s="1"/>
  <c r="H41" i="3"/>
  <c r="F20" i="13" s="1"/>
  <c r="H40" i="3"/>
  <c r="F19" i="13" s="1"/>
  <c r="D48" i="3"/>
  <c r="D47" i="3"/>
  <c r="D46" i="3"/>
  <c r="D45" i="3"/>
  <c r="D44" i="3"/>
  <c r="D43" i="3"/>
  <c r="D42" i="3"/>
  <c r="D41" i="3"/>
  <c r="C48" i="3"/>
  <c r="B48" i="3"/>
  <c r="C47" i="3"/>
  <c r="B47" i="3"/>
  <c r="C46" i="3"/>
  <c r="B46" i="3"/>
  <c r="C45" i="3"/>
  <c r="B45" i="3"/>
  <c r="C44" i="3"/>
  <c r="B44" i="3"/>
  <c r="C43" i="3"/>
  <c r="B43" i="3"/>
  <c r="C42" i="3"/>
  <c r="B42" i="3"/>
  <c r="C41" i="3"/>
  <c r="B41" i="3"/>
  <c r="C40" i="3"/>
  <c r="B40" i="3"/>
  <c r="A48" i="3"/>
  <c r="E79" i="3" s="1"/>
  <c r="A47" i="3"/>
  <c r="E78" i="3" s="1"/>
  <c r="A46" i="3"/>
  <c r="E77" i="3" s="1"/>
  <c r="A45" i="3"/>
  <c r="E76" i="3" s="1"/>
  <c r="A44" i="3"/>
  <c r="E75" i="3" s="1"/>
  <c r="A43" i="3"/>
  <c r="E74" i="3" s="1"/>
  <c r="A42" i="3"/>
  <c r="E73" i="3" s="1"/>
  <c r="A41" i="3"/>
  <c r="E72" i="3" s="1"/>
  <c r="A40" i="3"/>
  <c r="E71" i="3" s="1"/>
  <c r="F48" i="3"/>
  <c r="F47" i="3"/>
  <c r="F46" i="3"/>
  <c r="F45" i="3"/>
  <c r="F44" i="3"/>
  <c r="F43" i="3"/>
  <c r="F42" i="3"/>
  <c r="F41" i="3"/>
  <c r="F40" i="3"/>
  <c r="E48" i="3"/>
  <c r="E47" i="3"/>
  <c r="E46" i="3"/>
  <c r="E45" i="3"/>
  <c r="E44" i="3"/>
  <c r="E43" i="3"/>
  <c r="E42" i="3"/>
  <c r="E41" i="3"/>
  <c r="E40" i="3"/>
  <c r="F30" i="3"/>
  <c r="F29" i="3"/>
  <c r="F28" i="3"/>
  <c r="F27" i="3"/>
  <c r="F26" i="3"/>
  <c r="F25" i="3"/>
  <c r="F24" i="3"/>
  <c r="F23" i="3"/>
  <c r="F22" i="3"/>
  <c r="J19" i="17" l="1"/>
  <c r="H19" i="17"/>
  <c r="E21" i="19"/>
  <c r="I44" i="3"/>
  <c r="K44" i="3" s="1"/>
  <c r="D28" i="29"/>
  <c r="F28" i="29" s="1"/>
  <c r="I46" i="3"/>
  <c r="K46" i="3" s="1"/>
  <c r="I40" i="3"/>
  <c r="K40" i="3" s="1"/>
  <c r="E24" i="19"/>
  <c r="I47" i="3"/>
  <c r="E25" i="19"/>
  <c r="I48" i="3"/>
  <c r="K48" i="3" s="1"/>
  <c r="D25" i="29"/>
  <c r="F25" i="29" s="1"/>
  <c r="I43" i="3"/>
  <c r="K43" i="3" s="1"/>
  <c r="E22" i="19"/>
  <c r="I45" i="3"/>
  <c r="K45" i="3" s="1"/>
  <c r="I41" i="3"/>
  <c r="I42" i="3"/>
  <c r="K42" i="3" s="1"/>
  <c r="E22" i="5"/>
  <c r="F22" i="5" s="1"/>
  <c r="F45" i="29"/>
  <c r="F22" i="17"/>
  <c r="H22" i="17"/>
  <c r="F23" i="19" s="1"/>
  <c r="J22" i="17"/>
  <c r="F22" i="12"/>
  <c r="G22" i="12" s="1"/>
  <c r="F27" i="13"/>
  <c r="H27" i="13" s="1"/>
  <c r="I27" i="13" s="1"/>
  <c r="D47" i="29"/>
  <c r="F47" i="29" s="1"/>
  <c r="D27" i="29"/>
  <c r="F27" i="29" s="1"/>
  <c r="K29" i="17"/>
  <c r="K28" i="17"/>
  <c r="D46" i="29"/>
  <c r="F46" i="29" s="1"/>
  <c r="D48" i="29"/>
  <c r="F48" i="29" s="1"/>
  <c r="F50" i="29"/>
  <c r="J24" i="13"/>
  <c r="F22" i="13"/>
  <c r="J26" i="13"/>
  <c r="E20" i="19"/>
  <c r="E23" i="5"/>
  <c r="F23" i="5" s="1"/>
  <c r="F19" i="17"/>
  <c r="E23" i="19"/>
  <c r="D30" i="29"/>
  <c r="F30" i="29" s="1"/>
  <c r="F24" i="12"/>
  <c r="G24" i="12" s="1"/>
  <c r="F24" i="25"/>
  <c r="G24" i="25" s="1"/>
  <c r="D29" i="29"/>
  <c r="F29" i="29" s="1"/>
  <c r="D26" i="29"/>
  <c r="F26" i="29" s="1"/>
  <c r="H23" i="13"/>
  <c r="I23" i="13" s="1"/>
  <c r="J25" i="13"/>
  <c r="I23" i="11"/>
  <c r="I19" i="25"/>
  <c r="J19" i="25" s="1"/>
  <c r="F20" i="25"/>
  <c r="G20" i="25" s="1"/>
  <c r="I22" i="25"/>
  <c r="J22" i="25" s="1"/>
  <c r="F23" i="25"/>
  <c r="G23" i="25" s="1"/>
  <c r="F21" i="25"/>
  <c r="G21" i="25" s="1"/>
  <c r="F20" i="12"/>
  <c r="G20" i="12" s="1"/>
  <c r="J19" i="12"/>
  <c r="L19" i="12" s="1"/>
  <c r="M19" i="12" s="1"/>
  <c r="J23" i="12"/>
  <c r="L23" i="12" s="1"/>
  <c r="M23" i="12" s="1"/>
  <c r="J21" i="12"/>
  <c r="L21" i="12" s="1"/>
  <c r="M21" i="12" s="1"/>
  <c r="I20" i="5"/>
  <c r="L20" i="5" s="1"/>
  <c r="M20" i="5" s="1"/>
  <c r="I21" i="5"/>
  <c r="L21" i="5" s="1"/>
  <c r="M21" i="5" s="1"/>
  <c r="E24" i="5"/>
  <c r="F24" i="5" s="1"/>
  <c r="I25" i="5"/>
  <c r="L25" i="5" s="1"/>
  <c r="M25" i="5" s="1"/>
  <c r="F20" i="27"/>
  <c r="F23" i="27"/>
  <c r="F24" i="27"/>
  <c r="H19" i="27"/>
  <c r="H20" i="27"/>
  <c r="H21" i="27"/>
  <c r="H22" i="27"/>
  <c r="H23" i="27"/>
  <c r="H24" i="27"/>
  <c r="F19" i="27"/>
  <c r="F21" i="27"/>
  <c r="F22" i="27"/>
  <c r="F20" i="19"/>
  <c r="D24" i="20" s="1"/>
  <c r="F21" i="19"/>
  <c r="D25" i="20" s="1"/>
  <c r="F22" i="19"/>
  <c r="D26" i="20" s="1"/>
  <c r="F25" i="19"/>
  <c r="J25" i="11"/>
  <c r="I25" i="11"/>
  <c r="I28" i="11"/>
  <c r="I27" i="11"/>
  <c r="J26" i="11"/>
  <c r="J23" i="11"/>
  <c r="I24" i="11"/>
  <c r="J27" i="11"/>
  <c r="I26" i="11"/>
  <c r="J24" i="11"/>
  <c r="J28" i="11"/>
  <c r="D27" i="20" l="1"/>
  <c r="I23" i="19"/>
  <c r="J48" i="3"/>
  <c r="J46" i="3"/>
  <c r="J44" i="3"/>
  <c r="J41" i="3"/>
  <c r="K41" i="3"/>
  <c r="J47" i="3"/>
  <c r="K47" i="3"/>
  <c r="J42" i="3"/>
  <c r="J43" i="3"/>
  <c r="J45" i="3"/>
  <c r="J27" i="13"/>
  <c r="K26" i="11"/>
  <c r="L26" i="11" s="1"/>
  <c r="H22" i="13"/>
  <c r="I22" i="13" s="1"/>
  <c r="J22" i="13"/>
  <c r="J40" i="3"/>
  <c r="K25" i="11"/>
  <c r="L25" i="11" s="1"/>
  <c r="D29" i="20"/>
  <c r="K23" i="11"/>
  <c r="L23" i="11" s="1"/>
  <c r="K28" i="11"/>
  <c r="L28" i="11" s="1"/>
  <c r="K27" i="11"/>
  <c r="L27" i="11" s="1"/>
  <c r="K24" i="11"/>
  <c r="L24" i="11" s="1"/>
  <c r="I27" i="19" l="1"/>
  <c r="I26" i="19"/>
  <c r="K49" i="3"/>
  <c r="K50" i="3"/>
  <c r="J49" i="3"/>
  <c r="J50" i="3"/>
  <c r="F22" i="11"/>
  <c r="F20" i="11"/>
  <c r="C22" i="11"/>
  <c r="C21" i="11"/>
  <c r="C20" i="11"/>
  <c r="G24" i="24"/>
  <c r="F21" i="20" l="1"/>
  <c r="F21" i="11"/>
  <c r="F27" i="20" l="1"/>
  <c r="F23" i="20"/>
  <c r="F26" i="20"/>
  <c r="F22" i="20"/>
  <c r="F29" i="20"/>
  <c r="F25" i="20"/>
  <c r="F28" i="20"/>
  <c r="F24" i="20"/>
  <c r="A48" i="12"/>
  <c r="C48" i="12"/>
  <c r="D48" i="12"/>
  <c r="A49" i="12"/>
  <c r="C49" i="12"/>
  <c r="D49" i="12"/>
  <c r="A50" i="12"/>
  <c r="C50" i="12"/>
  <c r="D50" i="12"/>
  <c r="F50" i="12" l="1"/>
  <c r="G50" i="12" s="1"/>
  <c r="F49" i="12"/>
  <c r="G49" i="12" s="1"/>
  <c r="F48" i="12"/>
  <c r="F58" i="12" l="1"/>
  <c r="F59" i="12"/>
  <c r="F61" i="12"/>
  <c r="F60" i="12"/>
  <c r="G48" i="12"/>
  <c r="G60" i="12" l="1"/>
  <c r="G58" i="12"/>
  <c r="G59" i="12"/>
  <c r="G61" i="12"/>
  <c r="D18" i="25" l="1"/>
  <c r="C18" i="25"/>
  <c r="B18" i="25"/>
  <c r="D17" i="25"/>
  <c r="C17" i="25"/>
  <c r="B17" i="25"/>
  <c r="C23" i="20"/>
  <c r="B23" i="20"/>
  <c r="A23" i="20"/>
  <c r="C22" i="20"/>
  <c r="B22" i="20"/>
  <c r="A22" i="20"/>
  <c r="D19" i="19"/>
  <c r="C19" i="19"/>
  <c r="B19" i="19"/>
  <c r="A19" i="19"/>
  <c r="D18" i="19"/>
  <c r="C18" i="19"/>
  <c r="B18" i="19"/>
  <c r="A18" i="19"/>
  <c r="D18" i="12"/>
  <c r="F18" i="12" s="1"/>
  <c r="G18" i="12" s="1"/>
  <c r="C18" i="12"/>
  <c r="I18" i="12" s="1"/>
  <c r="A18" i="12"/>
  <c r="D17" i="12"/>
  <c r="J17" i="12" s="1"/>
  <c r="L17" i="12" s="1"/>
  <c r="M17" i="12" s="1"/>
  <c r="C17" i="12"/>
  <c r="I17" i="12" s="1"/>
  <c r="A17" i="12"/>
  <c r="C19" i="5"/>
  <c r="I19" i="5" s="1"/>
  <c r="L19" i="5" s="1"/>
  <c r="M19" i="5" s="1"/>
  <c r="B19" i="5"/>
  <c r="H19" i="5" s="1"/>
  <c r="A19" i="5"/>
  <c r="C18" i="5"/>
  <c r="E18" i="5" s="1"/>
  <c r="F18" i="5" s="1"/>
  <c r="B18" i="5"/>
  <c r="H18" i="5" s="1"/>
  <c r="A18" i="5"/>
  <c r="E17" i="8"/>
  <c r="D17" i="8"/>
  <c r="C17" i="8"/>
  <c r="B17" i="8"/>
  <c r="A17" i="8"/>
  <c r="E16" i="8"/>
  <c r="D16" i="8"/>
  <c r="C16" i="8"/>
  <c r="B16" i="8"/>
  <c r="A16" i="8"/>
  <c r="B21" i="13"/>
  <c r="A21" i="13"/>
  <c r="B20" i="13"/>
  <c r="A20" i="13"/>
  <c r="K18" i="27"/>
  <c r="D18" i="27"/>
  <c r="J18" i="27" s="1"/>
  <c r="C18" i="27"/>
  <c r="B18" i="27"/>
  <c r="A18" i="27"/>
  <c r="K17" i="27"/>
  <c r="D17" i="27"/>
  <c r="J17" i="27" s="1"/>
  <c r="C17" i="27"/>
  <c r="B17" i="27"/>
  <c r="A17" i="27"/>
  <c r="D18" i="17"/>
  <c r="C18" i="17"/>
  <c r="B18" i="17"/>
  <c r="A18" i="17"/>
  <c r="D17" i="17"/>
  <c r="C17" i="17"/>
  <c r="B17" i="17"/>
  <c r="A17" i="17"/>
  <c r="C20" i="14"/>
  <c r="B20" i="14"/>
  <c r="A20" i="14"/>
  <c r="C19" i="14"/>
  <c r="B19" i="14"/>
  <c r="A19" i="14"/>
  <c r="H22" i="11"/>
  <c r="B22" i="11"/>
  <c r="A22" i="11"/>
  <c r="H21" i="11"/>
  <c r="B21" i="11"/>
  <c r="A21" i="11"/>
  <c r="A50" i="29"/>
  <c r="A49" i="29"/>
  <c r="C24" i="29"/>
  <c r="C44" i="29" s="1"/>
  <c r="B24" i="29"/>
  <c r="B44" i="29" s="1"/>
  <c r="A24" i="29"/>
  <c r="A44" i="29" s="1"/>
  <c r="C23" i="29"/>
  <c r="C43" i="29" s="1"/>
  <c r="B23" i="29"/>
  <c r="B43" i="29" s="1"/>
  <c r="A23" i="29"/>
  <c r="A43" i="29" s="1"/>
  <c r="E19" i="19"/>
  <c r="E44" i="29"/>
  <c r="J17" i="17" l="1"/>
  <c r="H17" i="17"/>
  <c r="F18" i="25"/>
  <c r="G18" i="25" s="1"/>
  <c r="I18" i="25"/>
  <c r="J18" i="25" s="1"/>
  <c r="F17" i="25"/>
  <c r="G17" i="25" s="1"/>
  <c r="I17" i="25"/>
  <c r="J17" i="25" s="1"/>
  <c r="I21" i="11"/>
  <c r="H20" i="13"/>
  <c r="I20" i="13" s="1"/>
  <c r="D43" i="29"/>
  <c r="F18" i="27"/>
  <c r="E43" i="29"/>
  <c r="E19" i="5"/>
  <c r="F19" i="5" s="1"/>
  <c r="F17" i="27"/>
  <c r="F17" i="17"/>
  <c r="F17" i="12"/>
  <c r="G17" i="12" s="1"/>
  <c r="D23" i="29"/>
  <c r="F23" i="29" s="1"/>
  <c r="D24" i="29"/>
  <c r="F24" i="29" s="1"/>
  <c r="E18" i="19"/>
  <c r="J18" i="12"/>
  <c r="L18" i="12" s="1"/>
  <c r="M18" i="12" s="1"/>
  <c r="I18" i="5"/>
  <c r="L18" i="5" s="1"/>
  <c r="M18" i="5" s="1"/>
  <c r="H17" i="27"/>
  <c r="H18" i="27"/>
  <c r="J21" i="11"/>
  <c r="I22" i="11"/>
  <c r="J22" i="11"/>
  <c r="F27" i="17" l="1"/>
  <c r="F26" i="17"/>
  <c r="H26" i="17"/>
  <c r="H27" i="17"/>
  <c r="F19" i="19"/>
  <c r="F18" i="19"/>
  <c r="K21" i="11"/>
  <c r="L21" i="11" s="1"/>
  <c r="K22" i="11"/>
  <c r="L22" i="11" s="1"/>
  <c r="D44" i="29"/>
  <c r="F44" i="29" s="1"/>
  <c r="J20" i="13"/>
  <c r="F43" i="29"/>
  <c r="D22" i="20" l="1"/>
  <c r="F27" i="19"/>
  <c r="F26" i="19"/>
  <c r="D23" i="20"/>
  <c r="J21" i="13"/>
  <c r="H21" i="13"/>
  <c r="I21" i="13" s="1"/>
  <c r="G29" i="8"/>
  <c r="G28" i="8"/>
  <c r="G27" i="8"/>
  <c r="A20" i="11" l="1"/>
  <c r="C21" i="20" l="1"/>
  <c r="B21" i="20"/>
  <c r="A21" i="20"/>
  <c r="C17" i="19"/>
  <c r="B17" i="19"/>
  <c r="A17" i="19"/>
  <c r="C16" i="12"/>
  <c r="I16" i="12" s="1"/>
  <c r="A16" i="12"/>
  <c r="B17" i="5"/>
  <c r="H17" i="5" s="1"/>
  <c r="A17" i="5"/>
  <c r="D15" i="8"/>
  <c r="C16" i="25" l="1"/>
  <c r="B16" i="25"/>
  <c r="C15" i="8"/>
  <c r="B15" i="8"/>
  <c r="A15" i="8"/>
  <c r="B19" i="13"/>
  <c r="A19" i="13"/>
  <c r="C16" i="27"/>
  <c r="B16" i="27"/>
  <c r="A16" i="27"/>
  <c r="C16" i="17"/>
  <c r="B16" i="17"/>
  <c r="A16" i="17"/>
  <c r="C18" i="14" l="1"/>
  <c r="B18" i="14"/>
  <c r="A18" i="14"/>
  <c r="B20" i="11" l="1"/>
  <c r="C22" i="29"/>
  <c r="C42" i="29" s="1"/>
  <c r="B22" i="29"/>
  <c r="B42" i="29" s="1"/>
  <c r="A22" i="29"/>
  <c r="A42" i="29" s="1"/>
  <c r="G64" i="10" l="1"/>
  <c r="B59" i="29"/>
  <c r="I28" i="27"/>
  <c r="G28" i="27"/>
  <c r="E28" i="27"/>
  <c r="I27" i="27"/>
  <c r="G27" i="27"/>
  <c r="E27" i="27"/>
  <c r="K16" i="27"/>
  <c r="D16" i="27"/>
  <c r="J16" i="27" s="1"/>
  <c r="J29" i="8"/>
  <c r="I29" i="8"/>
  <c r="J25" i="27" l="1"/>
  <c r="J26" i="27"/>
  <c r="A15" i="24"/>
  <c r="A24" i="24"/>
  <c r="D48" i="10"/>
  <c r="K28" i="27"/>
  <c r="D16" i="24" s="1"/>
  <c r="K27" i="27"/>
  <c r="D15" i="24" s="1"/>
  <c r="F16" i="27"/>
  <c r="H16" i="27"/>
  <c r="C15" i="24"/>
  <c r="C16" i="24"/>
  <c r="F25" i="27" l="1"/>
  <c r="F26" i="27"/>
  <c r="H26" i="27"/>
  <c r="H25" i="27"/>
  <c r="J28" i="27"/>
  <c r="J27" i="27"/>
  <c r="F28" i="27"/>
  <c r="F27" i="27"/>
  <c r="H28" i="27"/>
  <c r="H27" i="27"/>
  <c r="I29" i="17" l="1"/>
  <c r="I28" i="17"/>
  <c r="H24" i="24" l="1"/>
  <c r="D58" i="10"/>
  <c r="G31" i="10" l="1"/>
  <c r="D16" i="25"/>
  <c r="I16" i="25" s="1"/>
  <c r="D25" i="10"/>
  <c r="J16" i="25" l="1"/>
  <c r="I26" i="25"/>
  <c r="I25" i="25"/>
  <c r="J28" i="25"/>
  <c r="J27" i="25"/>
  <c r="I28" i="25"/>
  <c r="I27" i="25"/>
  <c r="F16" i="25"/>
  <c r="H29" i="19"/>
  <c r="G29" i="19"/>
  <c r="H28" i="19"/>
  <c r="G28" i="19"/>
  <c r="D17" i="19"/>
  <c r="G29" i="17"/>
  <c r="G28" i="17"/>
  <c r="D16" i="17"/>
  <c r="J16" i="17" s="1"/>
  <c r="E29" i="17"/>
  <c r="E28" i="17"/>
  <c r="I31" i="14"/>
  <c r="I30" i="14"/>
  <c r="I28" i="8"/>
  <c r="I27" i="8"/>
  <c r="H20" i="11"/>
  <c r="E15" i="8"/>
  <c r="C17" i="5"/>
  <c r="I17" i="5" s="1"/>
  <c r="L17" i="5" s="1"/>
  <c r="J34" i="12"/>
  <c r="D23" i="10" s="1"/>
  <c r="I34" i="12"/>
  <c r="H34" i="5"/>
  <c r="D56" i="10" s="1"/>
  <c r="G34" i="5"/>
  <c r="J19" i="13"/>
  <c r="J33" i="13" s="1"/>
  <c r="H19" i="13"/>
  <c r="I19" i="13" s="1"/>
  <c r="I33" i="13" s="1"/>
  <c r="D16" i="12"/>
  <c r="J16" i="12" s="1"/>
  <c r="J27" i="17" l="1"/>
  <c r="J26" i="17"/>
  <c r="G16" i="25"/>
  <c r="G28" i="25" s="1"/>
  <c r="F26" i="25"/>
  <c r="F25" i="25"/>
  <c r="L27" i="5"/>
  <c r="L28" i="5"/>
  <c r="J26" i="25"/>
  <c r="J25" i="25"/>
  <c r="G27" i="25"/>
  <c r="J32" i="13"/>
  <c r="I32" i="13"/>
  <c r="J29" i="17"/>
  <c r="J28" i="17"/>
  <c r="J31" i="13"/>
  <c r="I31" i="13"/>
  <c r="L16" i="12"/>
  <c r="F28" i="25"/>
  <c r="F27" i="25"/>
  <c r="F16" i="12"/>
  <c r="L26" i="12" l="1"/>
  <c r="L27" i="12"/>
  <c r="G25" i="25"/>
  <c r="G26" i="25"/>
  <c r="G16" i="12"/>
  <c r="F27" i="12"/>
  <c r="F26" i="12"/>
  <c r="F17" i="19"/>
  <c r="D21" i="20" s="1"/>
  <c r="F28" i="17"/>
  <c r="F29" i="17"/>
  <c r="H28" i="17"/>
  <c r="H29" i="17"/>
  <c r="G28" i="12"/>
  <c r="F29" i="12"/>
  <c r="F28" i="12"/>
  <c r="M16" i="12"/>
  <c r="G29" i="12"/>
  <c r="M26" i="12" l="1"/>
  <c r="M27" i="12"/>
  <c r="G27" i="12"/>
  <c r="G26" i="12"/>
  <c r="H33" i="20"/>
  <c r="H32" i="20"/>
  <c r="L29" i="12"/>
  <c r="L28" i="12"/>
  <c r="F29" i="19"/>
  <c r="F28" i="19"/>
  <c r="M29" i="12"/>
  <c r="M28" i="12"/>
  <c r="J29" i="19" l="1"/>
  <c r="J28" i="19"/>
  <c r="I29" i="19"/>
  <c r="I28" i="19"/>
  <c r="J30" i="5"/>
  <c r="J29" i="5"/>
  <c r="J20" i="11"/>
  <c r="I20" i="11"/>
  <c r="F56" i="10"/>
  <c r="C58" i="10"/>
  <c r="C56" i="10"/>
  <c r="F58" i="10"/>
  <c r="F25" i="10"/>
  <c r="C25" i="10"/>
  <c r="F23" i="10"/>
  <c r="C23" i="10"/>
  <c r="K20" i="11" l="1"/>
  <c r="L20" i="11" s="1"/>
  <c r="G25" i="10"/>
  <c r="C27" i="10"/>
  <c r="C60" i="10"/>
  <c r="G23" i="10"/>
  <c r="G56" i="10"/>
  <c r="G58" i="10"/>
  <c r="D42" i="29" l="1"/>
  <c r="E42" i="29"/>
  <c r="L32" i="11"/>
  <c r="L33" i="11"/>
  <c r="G27" i="10"/>
  <c r="G60" i="10"/>
  <c r="F42" i="29" l="1"/>
  <c r="M17" i="5"/>
  <c r="L29" i="5"/>
  <c r="L30" i="5"/>
  <c r="M27" i="5" l="1"/>
  <c r="M28" i="5"/>
  <c r="F51" i="29"/>
  <c r="D59" i="29" s="1"/>
  <c r="M30" i="5"/>
  <c r="M29" i="5"/>
  <c r="E17" i="5" l="1"/>
  <c r="E28" i="5" l="1"/>
  <c r="E27" i="5"/>
  <c r="C23" i="7"/>
  <c r="C58" i="29" s="1"/>
  <c r="C25" i="7"/>
  <c r="C59" i="29" s="1"/>
  <c r="E59" i="29" s="1"/>
  <c r="D25" i="7" l="1"/>
  <c r="J27" i="8" l="1"/>
  <c r="J28" i="8" l="1"/>
  <c r="E17" i="19" l="1"/>
  <c r="D22" i="29"/>
  <c r="F22" i="29" s="1"/>
  <c r="F31" i="29" s="1"/>
  <c r="D58" i="29" s="1"/>
  <c r="E58" i="29" s="1"/>
  <c r="E60" i="29" s="1"/>
  <c r="J51" i="3" l="1"/>
  <c r="K52" i="3"/>
  <c r="E29" i="5" l="1"/>
  <c r="K51" i="3"/>
  <c r="E30" i="5"/>
  <c r="J52" i="3"/>
  <c r="F17" i="5"/>
  <c r="F29" i="5" l="1"/>
  <c r="F28" i="5"/>
  <c r="F27" i="5"/>
  <c r="F23" i="7"/>
  <c r="G23" i="7" s="1"/>
  <c r="F30" i="5"/>
  <c r="C27" i="7"/>
  <c r="F25" i="7"/>
  <c r="G25" i="7" s="1"/>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rev4175</author>
    <author>rev4440</author>
    <author>rev3569</author>
    <author>rev3857</author>
    <author>REVT221</author>
    <author>K Reaves</author>
  </authors>
  <commentList>
    <comment ref="G22" authorId="0" shapeId="0" xr:uid="{38204BF1-6B7C-46CD-8D4A-B562506B373B}">
      <text>
        <r>
          <rPr>
            <b/>
            <sz val="9"/>
            <color indexed="81"/>
            <rFont val="Tahoma"/>
            <family val="2"/>
          </rPr>
          <t xml:space="preserve">rev4175:Valueline 12/29/2023 Close
</t>
        </r>
      </text>
    </comment>
    <comment ref="H22" authorId="1" shapeId="0" xr:uid="{5696D6EA-D205-48B4-A244-1169D0A1D3CB}">
      <text>
        <r>
          <rPr>
            <sz val="9"/>
            <color indexed="81"/>
            <rFont val="Tahoma"/>
            <family val="2"/>
          </rPr>
          <t>Page 54 of PDF, 10-K</t>
        </r>
      </text>
    </comment>
    <comment ref="J22" authorId="1" shapeId="0" xr:uid="{910EA7B9-BD15-4142-857F-38978E9F6022}">
      <text>
        <r>
          <rPr>
            <sz val="12"/>
            <color indexed="81"/>
            <rFont val="Tahoma"/>
            <family val="2"/>
          </rPr>
          <t>Page 54 of PDF, 10-K</t>
        </r>
      </text>
    </comment>
    <comment ref="G23" authorId="0" shapeId="0" xr:uid="{A0804763-21A7-42AB-B275-D17718B53A79}">
      <text>
        <r>
          <rPr>
            <b/>
            <sz val="9"/>
            <color indexed="81"/>
            <rFont val="Tahoma"/>
            <family val="2"/>
          </rPr>
          <t xml:space="preserve">rev4175:Valueline 12/29/2023 Close
</t>
        </r>
      </text>
    </comment>
    <comment ref="H23" authorId="1" shapeId="0" xr:uid="{63BE37C7-6635-452B-B812-B0944254FFB9}">
      <text>
        <r>
          <rPr>
            <sz val="9"/>
            <color indexed="81"/>
            <rFont val="Tahoma"/>
            <family val="2"/>
          </rPr>
          <t>Page 57 of PDF, 10-K</t>
        </r>
      </text>
    </comment>
    <comment ref="J23" authorId="1" shapeId="0" xr:uid="{A78B3AE4-1299-46BD-BE98-183EB50B1657}">
      <text>
        <r>
          <rPr>
            <sz val="12"/>
            <color indexed="81"/>
            <rFont val="Tahoma"/>
            <family val="2"/>
          </rPr>
          <t>Page 57, 10-K</t>
        </r>
      </text>
    </comment>
    <comment ref="G24" authorId="0" shapeId="0" xr:uid="{E89D7F5B-DFA8-4414-B033-09A2B7965689}">
      <text>
        <r>
          <rPr>
            <b/>
            <sz val="9"/>
            <color indexed="81"/>
            <rFont val="Tahoma"/>
            <family val="2"/>
          </rPr>
          <t xml:space="preserve">rev4175:Valueline 12/29/2023 Close
</t>
        </r>
      </text>
    </comment>
    <comment ref="H24" authorId="1" shapeId="0" xr:uid="{6A482B39-A93C-411D-B90D-CBCB428AF96A}">
      <text>
        <r>
          <rPr>
            <sz val="9"/>
            <color indexed="81"/>
            <rFont val="Tahoma"/>
            <family val="2"/>
          </rPr>
          <t>Page 84 of PDF, 10-K</t>
        </r>
      </text>
    </comment>
    <comment ref="J24" authorId="1" shapeId="0" xr:uid="{FB3732FE-54C2-48A2-B6C2-A57752221826}">
      <text>
        <r>
          <rPr>
            <sz val="12"/>
            <color indexed="81"/>
            <rFont val="Tahoma"/>
            <family val="2"/>
          </rPr>
          <t>Page 84, 10-K</t>
        </r>
      </text>
    </comment>
    <comment ref="G25" authorId="0" shapeId="0" xr:uid="{8D80CBBC-9752-41A5-8164-2FFA60C6A452}">
      <text>
        <r>
          <rPr>
            <b/>
            <sz val="9"/>
            <color indexed="81"/>
            <rFont val="Tahoma"/>
            <family val="2"/>
          </rPr>
          <t xml:space="preserve">rev4175:Valueline 12/29/2023 Close
</t>
        </r>
      </text>
    </comment>
    <comment ref="H25" authorId="1" shapeId="0" xr:uid="{89B69395-2E8B-4F48-BCB8-2D21A4981F05}">
      <text>
        <r>
          <rPr>
            <sz val="9"/>
            <color indexed="81"/>
            <rFont val="Tahoma"/>
            <family val="2"/>
          </rPr>
          <t>Page 58 of PDF, 10-K</t>
        </r>
      </text>
    </comment>
    <comment ref="J25" authorId="1" shapeId="0" xr:uid="{C38CEAE6-725C-4F42-8987-1233B7B4DAD4}">
      <text>
        <r>
          <rPr>
            <sz val="12"/>
            <color indexed="81"/>
            <rFont val="Tahoma"/>
            <family val="2"/>
          </rPr>
          <t>Page 58 of PDF, 10-K</t>
        </r>
      </text>
    </comment>
    <comment ref="G26" authorId="0" shapeId="0" xr:uid="{4020F8EB-2D29-49BF-9889-729D5601C073}">
      <text>
        <r>
          <rPr>
            <b/>
            <sz val="9"/>
            <color indexed="81"/>
            <rFont val="Tahoma"/>
            <family val="2"/>
          </rPr>
          <t xml:space="preserve">rev4175:Valueline 12/29/2023 Close
</t>
        </r>
      </text>
    </comment>
    <comment ref="H26" authorId="1" shapeId="0" xr:uid="{5DD74D8F-A8CC-486F-A2D0-5B3B63070CDC}">
      <text>
        <r>
          <rPr>
            <sz val="9"/>
            <color indexed="81"/>
            <rFont val="Tahoma"/>
            <family val="2"/>
          </rPr>
          <t>10K PG 68</t>
        </r>
      </text>
    </comment>
    <comment ref="J26" authorId="1" shapeId="0" xr:uid="{F723CC72-E08E-4717-831B-CACD777D6D01}">
      <text>
        <r>
          <rPr>
            <sz val="12"/>
            <color indexed="81"/>
            <rFont val="Tahoma"/>
            <family val="2"/>
          </rPr>
          <t>10K PG 68</t>
        </r>
      </text>
    </comment>
    <comment ref="G27" authorId="0" shapeId="0" xr:uid="{DBE5AAF3-57E2-45B4-95D3-0F53524A5AD2}">
      <text>
        <r>
          <rPr>
            <b/>
            <sz val="9"/>
            <color indexed="81"/>
            <rFont val="Tahoma"/>
            <family val="2"/>
          </rPr>
          <t xml:space="preserve">rev4175:Valueline 12/29/2023 Close
</t>
        </r>
      </text>
    </comment>
    <comment ref="H27" authorId="1" shapeId="0" xr:uid="{8B925B1F-F1E3-45A2-B7FD-7461A9DF6B2B}">
      <text>
        <r>
          <rPr>
            <sz val="9"/>
            <color indexed="81"/>
            <rFont val="Tahoma"/>
            <family val="2"/>
          </rPr>
          <t>Page 48 of PDF, 10-K</t>
        </r>
      </text>
    </comment>
    <comment ref="J27" authorId="1" shapeId="0" xr:uid="{00F5CE1E-ABD7-47A1-8AF2-FF0F5AD29A99}">
      <text>
        <r>
          <rPr>
            <sz val="12"/>
            <color indexed="81"/>
            <rFont val="Tahoma"/>
            <family val="2"/>
          </rPr>
          <t>Page 48, 10-K</t>
        </r>
      </text>
    </comment>
    <comment ref="G28" authorId="0" shapeId="0" xr:uid="{A4B7EA9B-E1C3-41EA-8428-0A00E55A61CE}">
      <text>
        <r>
          <rPr>
            <b/>
            <sz val="9"/>
            <color indexed="81"/>
            <rFont val="Tahoma"/>
            <family val="2"/>
          </rPr>
          <t xml:space="preserve">rev4175:Valueline 12/29/2023 Close
</t>
        </r>
      </text>
    </comment>
    <comment ref="H28" authorId="0" shapeId="0" xr:uid="{18050A0D-48EF-4CFF-8B1D-8012605BD3E9}">
      <text>
        <r>
          <rPr>
            <b/>
            <sz val="9"/>
            <color indexed="81"/>
            <rFont val="Tahoma"/>
            <family val="2"/>
          </rPr>
          <t>rev4175:</t>
        </r>
        <r>
          <rPr>
            <sz val="9"/>
            <color indexed="81"/>
            <rFont val="Tahoma"/>
            <family val="2"/>
          </rPr>
          <t xml:space="preserve">
10K Page 88</t>
        </r>
      </text>
    </comment>
    <comment ref="J28" authorId="0" shapeId="0" xr:uid="{7B825765-362A-40F7-86AE-30E95683D05D}">
      <text>
        <r>
          <rPr>
            <b/>
            <sz val="9"/>
            <color indexed="81"/>
            <rFont val="Tahoma"/>
            <family val="2"/>
          </rPr>
          <t>rev4175:</t>
        </r>
        <r>
          <rPr>
            <sz val="9"/>
            <color indexed="81"/>
            <rFont val="Tahoma"/>
            <family val="2"/>
          </rPr>
          <t xml:space="preserve">
10K Page 88</t>
        </r>
      </text>
    </comment>
    <comment ref="G29" authorId="0" shapeId="0" xr:uid="{D3019B53-ACDF-4EC9-9F50-B842D3C0D037}">
      <text>
        <r>
          <rPr>
            <b/>
            <sz val="9"/>
            <color indexed="81"/>
            <rFont val="Tahoma"/>
            <family val="2"/>
          </rPr>
          <t xml:space="preserve">rev4175:Valueline 12/29/2023 Close
</t>
        </r>
      </text>
    </comment>
    <comment ref="H29" authorId="1" shapeId="0" xr:uid="{A56C3663-2E9E-477A-921E-80435372F25C}">
      <text>
        <r>
          <rPr>
            <sz val="9"/>
            <color indexed="81"/>
            <rFont val="Tahoma"/>
            <family val="2"/>
          </rPr>
          <t>10K PG 74</t>
        </r>
      </text>
    </comment>
    <comment ref="J29" authorId="1" shapeId="0" xr:uid="{92A68E52-B34D-4235-8B29-BE1DF601FD0D}">
      <text>
        <r>
          <rPr>
            <sz val="12"/>
            <color indexed="81"/>
            <rFont val="Tahoma"/>
            <family val="2"/>
          </rPr>
          <t>Page 72 of PDF, 10-K</t>
        </r>
      </text>
    </comment>
    <comment ref="G30" authorId="0" shapeId="0" xr:uid="{7DD91754-D01F-43EB-9A28-16E4365510CC}">
      <text>
        <r>
          <rPr>
            <b/>
            <sz val="9"/>
            <color indexed="81"/>
            <rFont val="Tahoma"/>
            <family val="2"/>
          </rPr>
          <t xml:space="preserve">rev4175:Valueline 12/29/2023 Close
</t>
        </r>
      </text>
    </comment>
    <comment ref="H30" authorId="1" shapeId="0" xr:uid="{9EE19F4E-C036-4285-9ED7-35BDB5F36F3B}">
      <text>
        <r>
          <rPr>
            <sz val="9"/>
            <color indexed="81"/>
            <rFont val="Tahoma"/>
            <family val="2"/>
          </rPr>
          <t>10K PG 58</t>
        </r>
      </text>
    </comment>
    <comment ref="J30" authorId="1" shapeId="0" xr:uid="{43E6732B-3299-4A47-A97A-BA1ADCE4969A}">
      <text>
        <r>
          <rPr>
            <sz val="9"/>
            <color indexed="81"/>
            <rFont val="Tahoma"/>
            <family val="2"/>
          </rPr>
          <t>10K PG 58</t>
        </r>
      </text>
    </comment>
    <comment ref="F36" authorId="2" shapeId="0" xr:uid="{CEF678F7-6580-4CF3-AC8E-A803AFF27478}">
      <text>
        <r>
          <rPr>
            <b/>
            <sz val="11"/>
            <color indexed="81"/>
            <rFont val="Tahoma"/>
            <family val="2"/>
          </rPr>
          <t>rev3569:</t>
        </r>
        <r>
          <rPr>
            <sz val="11"/>
            <color indexed="81"/>
            <rFont val="Tahoma"/>
            <family val="2"/>
          </rPr>
          <t xml:space="preserve">
identify present value in 10K</t>
        </r>
      </text>
    </comment>
    <comment ref="G36" authorId="2" shapeId="0" xr:uid="{157F52C5-AB9A-44F3-B5D3-8E570A7018DA}">
      <text>
        <r>
          <rPr>
            <b/>
            <sz val="11"/>
            <color indexed="81"/>
            <rFont val="Tahoma"/>
            <family val="2"/>
          </rPr>
          <t>rev3569:</t>
        </r>
        <r>
          <rPr>
            <sz val="11"/>
            <color indexed="81"/>
            <rFont val="Tahoma"/>
            <family val="2"/>
          </rPr>
          <t xml:space="preserve">
identify present value in 10K</t>
        </r>
      </text>
    </comment>
    <comment ref="H40" authorId="3" shapeId="0" xr:uid="{325B7CAB-8A56-45FA-AD10-A0426E973571}">
      <text>
        <r>
          <rPr>
            <sz val="9"/>
            <color indexed="81"/>
            <rFont val="Tahoma"/>
            <family val="2"/>
          </rPr>
          <t>Page 136 of PDF, 10-K</t>
        </r>
      </text>
    </comment>
    <comment ref="H41" authorId="4" shapeId="0" xr:uid="{92B9430F-FCDD-4D78-B27E-CCF25AD5B410}">
      <text>
        <r>
          <rPr>
            <sz val="9"/>
            <color indexed="81"/>
            <rFont val="Tahoma"/>
            <family val="2"/>
          </rPr>
          <t>Page77 of PDF, 10-K</t>
        </r>
      </text>
    </comment>
    <comment ref="H42" authorId="4" shapeId="0" xr:uid="{276B93EC-57E4-4B58-9B21-C2C9458B01AD}">
      <text>
        <r>
          <rPr>
            <sz val="9"/>
            <color indexed="81"/>
            <rFont val="Tahoma"/>
            <family val="2"/>
          </rPr>
          <t>Page 116of PDF, 10-K</t>
        </r>
      </text>
    </comment>
    <comment ref="H43" authorId="4" shapeId="0" xr:uid="{C669DC02-387B-46CA-B336-16542E9504DE}">
      <text>
        <r>
          <rPr>
            <sz val="9"/>
            <color indexed="81"/>
            <rFont val="Tahoma"/>
            <family val="2"/>
          </rPr>
          <t xml:space="preserve">10k Page 81
</t>
        </r>
      </text>
    </comment>
    <comment ref="H44" authorId="3" shapeId="0" xr:uid="{1D35745E-8793-4FD0-A5E9-61BB682752E1}">
      <text>
        <r>
          <rPr>
            <sz val="9"/>
            <color indexed="81"/>
            <rFont val="Tahoma"/>
            <family val="2"/>
          </rPr>
          <t>Page 88, 10-K</t>
        </r>
      </text>
    </comment>
    <comment ref="H45" authorId="3" shapeId="0" xr:uid="{D660E319-D175-4052-83D8-CB22B4720B12}">
      <text>
        <r>
          <rPr>
            <sz val="9"/>
            <color indexed="81"/>
            <rFont val="Tahoma"/>
            <family val="2"/>
          </rPr>
          <t>10K Page</t>
        </r>
      </text>
    </comment>
    <comment ref="H46" authorId="3" shapeId="0" xr:uid="{C4984DBC-B003-4B88-BB9D-C913C5D2BEBA}">
      <text>
        <r>
          <rPr>
            <sz val="9"/>
            <color indexed="81"/>
            <rFont val="Tahoma"/>
            <family val="2"/>
          </rPr>
          <t xml:space="preserve">Page 131 of PDF, 10-K
</t>
        </r>
      </text>
    </comment>
    <comment ref="H47" authorId="3" shapeId="0" xr:uid="{EDA546B4-F002-408B-B942-DFFDB7C02FB9}">
      <text>
        <r>
          <rPr>
            <sz val="9"/>
            <color indexed="81"/>
            <rFont val="Tahoma"/>
            <family val="2"/>
          </rPr>
          <t xml:space="preserve">Page 102 of PDF, 10-K
</t>
        </r>
      </text>
    </comment>
    <comment ref="H48" authorId="3" shapeId="0" xr:uid="{36180BEF-B7CA-4C78-9327-511859D784FC}">
      <text>
        <r>
          <rPr>
            <sz val="9"/>
            <color indexed="81"/>
            <rFont val="Tahoma"/>
            <family val="2"/>
          </rPr>
          <t xml:space="preserve">Page 131 of PDF, 10-K
</t>
        </r>
      </text>
    </comment>
    <comment ref="F71" authorId="5" shapeId="0" xr:uid="{7EBB3524-293C-4511-8CE4-D46970425FFC}">
      <text>
        <r>
          <rPr>
            <b/>
            <sz val="9"/>
            <color indexed="81"/>
            <rFont val="Tahoma"/>
            <family val="2"/>
          </rPr>
          <t>K Reaves:</t>
        </r>
        <r>
          <rPr>
            <sz val="9"/>
            <color indexed="81"/>
            <rFont val="Tahoma"/>
            <family val="2"/>
          </rPr>
          <t xml:space="preserve">
Page 54 of PDF, 10-K</t>
        </r>
      </text>
    </comment>
    <comment ref="G71" authorId="5" shapeId="0" xr:uid="{A1690832-BDB5-406B-B524-FC6F67D0F02B}">
      <text>
        <r>
          <rPr>
            <sz val="9"/>
            <color indexed="81"/>
            <rFont val="Tahoma"/>
            <family val="2"/>
          </rPr>
          <t>Page 55of PDF, 10-K</t>
        </r>
      </text>
    </comment>
    <comment ref="H71" authorId="0" shapeId="0" xr:uid="{F50363F6-728B-4E65-9619-D7E29E828098}">
      <text>
        <r>
          <rPr>
            <b/>
            <sz val="9"/>
            <color indexed="81"/>
            <rFont val="Tahoma"/>
            <charset val="1"/>
          </rPr>
          <t>rev4175:</t>
        </r>
        <r>
          <rPr>
            <sz val="9"/>
            <color indexed="81"/>
            <rFont val="Tahoma"/>
            <charset val="1"/>
          </rPr>
          <t xml:space="preserve">
10k page 55 of pdf
Used operating lease liability amount because all the future payment amounts were for "Capitalized Operating Leases.</t>
        </r>
      </text>
    </comment>
    <comment ref="I71" authorId="5" shapeId="0" xr:uid="{04345B76-724C-4539-A053-A5D699543705}">
      <text>
        <r>
          <rPr>
            <sz val="9"/>
            <color indexed="81"/>
            <rFont val="Tahoma"/>
            <family val="2"/>
          </rPr>
          <t>Page 73 , 10-K</t>
        </r>
      </text>
    </comment>
    <comment ref="F72" authorId="5" shapeId="0" xr:uid="{C610B3BB-73A3-4334-AEC0-2CEFD327D8E3}">
      <text>
        <r>
          <rPr>
            <sz val="9"/>
            <color indexed="81"/>
            <rFont val="Tahoma"/>
            <family val="2"/>
          </rPr>
          <t>Page 58, 10-K</t>
        </r>
      </text>
    </comment>
    <comment ref="G72" authorId="5" shapeId="0" xr:uid="{62365E55-CE17-481B-A823-00CE7E16F09F}">
      <text>
        <r>
          <rPr>
            <sz val="9"/>
            <color indexed="81"/>
            <rFont val="Tahoma"/>
            <family val="2"/>
          </rPr>
          <t>Page 58, 10-K</t>
        </r>
      </text>
    </comment>
    <comment ref="H72" authorId="0" shapeId="0" xr:uid="{538D491C-0049-47DA-98C2-0B1A09569F0E}">
      <text>
        <r>
          <rPr>
            <b/>
            <sz val="9"/>
            <color indexed="81"/>
            <rFont val="Tahoma"/>
            <charset val="1"/>
          </rPr>
          <t>rev4175:</t>
        </r>
        <r>
          <rPr>
            <sz val="9"/>
            <color indexed="81"/>
            <rFont val="Tahoma"/>
            <charset val="1"/>
          </rPr>
          <t xml:space="preserve">
10K Page 77 of pdf</t>
        </r>
      </text>
    </comment>
    <comment ref="I72" authorId="5" shapeId="0" xr:uid="{134B3B0F-F08C-4FCD-AB16-7DB5ADC2EA0A}">
      <text>
        <r>
          <rPr>
            <sz val="9"/>
            <color indexed="81"/>
            <rFont val="Tahoma"/>
            <family val="2"/>
          </rPr>
          <t>Page 76
 10-K</t>
        </r>
      </text>
    </comment>
    <comment ref="F73" authorId="5" shapeId="0" xr:uid="{34C1772F-496A-48DE-B83A-4B31A3BF6173}">
      <text>
        <r>
          <rPr>
            <sz val="9"/>
            <color indexed="81"/>
            <rFont val="Tahoma"/>
            <family val="2"/>
          </rPr>
          <t>Page 108 10-K</t>
        </r>
      </text>
    </comment>
    <comment ref="G73" authorId="5" shapeId="0" xr:uid="{FAA464DA-71E2-4816-8E98-C7186DD6992E}">
      <text>
        <r>
          <rPr>
            <sz val="9"/>
            <color indexed="81"/>
            <rFont val="Tahoma"/>
            <family val="2"/>
          </rPr>
          <t>Page 112, 10-K</t>
        </r>
      </text>
    </comment>
    <comment ref="H73" authorId="0" shapeId="0" xr:uid="{0FE86B4C-0958-4B49-BC46-3869B1DDDC66}">
      <text>
        <r>
          <rPr>
            <b/>
            <sz val="9"/>
            <color indexed="81"/>
            <rFont val="Tahoma"/>
            <charset val="1"/>
          </rPr>
          <t>rev4175:</t>
        </r>
        <r>
          <rPr>
            <sz val="9"/>
            <color indexed="81"/>
            <rFont val="Tahoma"/>
            <charset val="1"/>
          </rPr>
          <t xml:space="preserve">
10k page 109 of pdf</t>
        </r>
      </text>
    </comment>
    <comment ref="I73" authorId="5" shapeId="0" xr:uid="{C0BEC853-FD64-4A67-9921-236F86EF5B28}">
      <text>
        <r>
          <rPr>
            <sz val="9"/>
            <color indexed="81"/>
            <rFont val="Tahoma"/>
            <family val="2"/>
          </rPr>
          <t>Page 107, 10-K</t>
        </r>
      </text>
    </comment>
    <comment ref="F74" authorId="5" shapeId="0" xr:uid="{8A47C3B2-FFA6-49F8-A9E4-5637992C204F}">
      <text>
        <r>
          <rPr>
            <sz val="9"/>
            <color indexed="81"/>
            <rFont val="Tahoma"/>
            <family val="2"/>
          </rPr>
          <t>Page 82, 10-K</t>
        </r>
      </text>
    </comment>
    <comment ref="G74" authorId="5" shapeId="0" xr:uid="{FE7CBB12-8E70-4B5F-88EF-FB79F141B2A0}">
      <text>
        <r>
          <rPr>
            <sz val="9"/>
            <color indexed="81"/>
            <rFont val="Tahoma"/>
            <family val="2"/>
          </rPr>
          <t>Page 82 10-K</t>
        </r>
      </text>
    </comment>
    <comment ref="H74" authorId="0" shapeId="0" xr:uid="{A6DBEB40-599D-4F78-8CA6-1308895A2F4A}">
      <text>
        <r>
          <rPr>
            <b/>
            <sz val="9"/>
            <color indexed="81"/>
            <rFont val="Tahoma"/>
            <charset val="1"/>
          </rPr>
          <t>rev4175:</t>
        </r>
        <r>
          <rPr>
            <sz val="9"/>
            <color indexed="81"/>
            <rFont val="Tahoma"/>
            <charset val="1"/>
          </rPr>
          <t xml:space="preserve">
10k page 83 of pdf
</t>
        </r>
      </text>
    </comment>
    <comment ref="I74" authorId="0" shapeId="0" xr:uid="{E5928C36-84DF-49B9-B86A-268512C51661}">
      <text>
        <r>
          <rPr>
            <b/>
            <sz val="9"/>
            <color indexed="81"/>
            <rFont val="Tahoma"/>
            <family val="2"/>
          </rPr>
          <t>rev4175:</t>
        </r>
        <r>
          <rPr>
            <sz val="9"/>
            <color indexed="81"/>
            <rFont val="Tahoma"/>
            <family val="2"/>
          </rPr>
          <t xml:space="preserve">
10K page 62
</t>
        </r>
      </text>
    </comment>
    <comment ref="F75" authorId="5" shapeId="0" xr:uid="{01895886-EB76-49E8-B4C7-D1CDDEFFF403}">
      <text>
        <r>
          <rPr>
            <sz val="9"/>
            <color indexed="81"/>
            <rFont val="Tahoma"/>
            <family val="2"/>
          </rPr>
          <t>Page 86 of PDF, 10-K</t>
        </r>
      </text>
    </comment>
    <comment ref="G75" authorId="5" shapeId="0" xr:uid="{B11E9B58-0250-44D0-82E4-1FE3340DF3F5}">
      <text>
        <r>
          <rPr>
            <sz val="9"/>
            <color indexed="81"/>
            <rFont val="Tahoma"/>
            <family val="2"/>
          </rPr>
          <t>Page 67 of PDF, 10-K</t>
        </r>
      </text>
    </comment>
    <comment ref="H75" authorId="0" shapeId="0" xr:uid="{0E722E9D-0DAB-4A3E-AF04-686980683211}">
      <text>
        <r>
          <rPr>
            <b/>
            <sz val="9"/>
            <color indexed="81"/>
            <rFont val="Tahoma"/>
            <charset val="1"/>
          </rPr>
          <t>rev4175:</t>
        </r>
        <r>
          <rPr>
            <sz val="9"/>
            <color indexed="81"/>
            <rFont val="Tahoma"/>
            <charset val="1"/>
          </rPr>
          <t xml:space="preserve">
10k page 53 of pdf</t>
        </r>
      </text>
    </comment>
    <comment ref="I75" authorId="0" shapeId="0" xr:uid="{53C66945-7E1D-434F-B79B-7E9F600DED04}">
      <text>
        <r>
          <rPr>
            <b/>
            <sz val="9"/>
            <color indexed="81"/>
            <rFont val="Tahoma"/>
            <family val="2"/>
          </rPr>
          <t>rev4175:</t>
        </r>
        <r>
          <rPr>
            <sz val="9"/>
            <color indexed="81"/>
            <rFont val="Tahoma"/>
            <family val="2"/>
          </rPr>
          <t xml:space="preserve">
10K page 87 of pdf</t>
        </r>
      </text>
    </comment>
    <comment ref="F76" authorId="5" shapeId="0" xr:uid="{D9ED828D-9940-407B-A11D-F4A251E01887}">
      <text>
        <r>
          <rPr>
            <sz val="9"/>
            <color indexed="81"/>
            <rFont val="Tahoma"/>
            <family val="2"/>
          </rPr>
          <t>Page 47 of PDF, 10-K</t>
        </r>
      </text>
    </comment>
    <comment ref="G76" authorId="5" shapeId="0" xr:uid="{FD079ACF-160E-451C-B2D6-24D3A54126B8}">
      <text>
        <r>
          <rPr>
            <sz val="9"/>
            <color indexed="81"/>
            <rFont val="Tahoma"/>
            <family val="2"/>
          </rPr>
          <t>Page 48 of PDF, 10-K</t>
        </r>
      </text>
    </comment>
    <comment ref="H76" authorId="0" shapeId="0" xr:uid="{B7F12BEA-F9A1-41EA-A411-6106B313EC63}">
      <text>
        <r>
          <rPr>
            <b/>
            <sz val="9"/>
            <color indexed="81"/>
            <rFont val="Tahoma"/>
            <charset val="1"/>
          </rPr>
          <t>rev4175:</t>
        </r>
        <r>
          <rPr>
            <sz val="9"/>
            <color indexed="81"/>
            <rFont val="Tahoma"/>
            <charset val="1"/>
          </rPr>
          <t xml:space="preserve">
1ok page 68 of pdf
</t>
        </r>
      </text>
    </comment>
    <comment ref="I76" authorId="5" shapeId="0" xr:uid="{B4BF4E2E-F79B-482F-AFCA-A1BF4448258C}">
      <text>
        <r>
          <rPr>
            <sz val="9"/>
            <color indexed="81"/>
            <rFont val="Tahoma"/>
            <family val="2"/>
          </rPr>
          <t>Page 66 of PDF, 10-K</t>
        </r>
      </text>
    </comment>
    <comment ref="F77" authorId="5" shapeId="0" xr:uid="{9376C155-FAC8-4375-B3BD-0A81F0931E1A}">
      <text>
        <r>
          <rPr>
            <sz val="9"/>
            <color indexed="81"/>
            <rFont val="Tahoma"/>
            <family val="2"/>
          </rPr>
          <t>Page 89
 of PDF, 10-K</t>
        </r>
      </text>
    </comment>
    <comment ref="G77" authorId="5" shapeId="0" xr:uid="{BF490065-523A-4276-BDD3-FCBF8AE9CC97}">
      <text>
        <r>
          <rPr>
            <sz val="9"/>
            <color indexed="81"/>
            <rFont val="Tahoma"/>
            <family val="2"/>
          </rPr>
          <t>Page 81 of PDF, 10-K</t>
        </r>
      </text>
    </comment>
    <comment ref="H77" authorId="0" shapeId="0" xr:uid="{D9E8BFD8-BCED-4D77-B4F4-FEB564798B5D}">
      <text>
        <r>
          <rPr>
            <b/>
            <sz val="9"/>
            <color indexed="81"/>
            <rFont val="Tahoma"/>
            <charset val="1"/>
          </rPr>
          <t>rev4175:</t>
        </r>
        <r>
          <rPr>
            <sz val="9"/>
            <color indexed="81"/>
            <rFont val="Tahoma"/>
            <charset val="1"/>
          </rPr>
          <t xml:space="preserve">
10K page 116 of pdf</t>
        </r>
      </text>
    </comment>
    <comment ref="I77" authorId="0" shapeId="0" xr:uid="{DEC9F917-95E3-4131-BA9C-132CC826E34E}">
      <text>
        <r>
          <rPr>
            <b/>
            <sz val="9"/>
            <color indexed="81"/>
            <rFont val="Tahoma"/>
            <family val="2"/>
          </rPr>
          <t>rev4175:</t>
        </r>
        <r>
          <rPr>
            <sz val="9"/>
            <color indexed="81"/>
            <rFont val="Tahoma"/>
            <family val="2"/>
          </rPr>
          <t xml:space="preserve">
10K page 90 of pdf</t>
        </r>
      </text>
    </comment>
    <comment ref="F78" authorId="5" shapeId="0" xr:uid="{A13A71DD-8C51-4C78-A769-6AFCF8EE0648}">
      <text>
        <r>
          <rPr>
            <sz val="9"/>
            <color indexed="81"/>
            <rFont val="Tahoma"/>
            <family val="2"/>
          </rPr>
          <t>Page 74  of PDF, 10-K</t>
        </r>
      </text>
    </comment>
    <comment ref="G78" authorId="5" shapeId="0" xr:uid="{A52491A5-5C9D-4B7E-BB5B-52EB4C4EB558}">
      <text>
        <r>
          <rPr>
            <sz val="9"/>
            <color indexed="81"/>
            <rFont val="Tahoma"/>
            <family val="2"/>
          </rPr>
          <t>Page 74 of PDF, 10-K</t>
        </r>
      </text>
    </comment>
    <comment ref="H78" authorId="0" shapeId="0" xr:uid="{BF05E8CF-3746-476D-9A67-5456632F17F6}">
      <text>
        <r>
          <rPr>
            <b/>
            <sz val="9"/>
            <color indexed="81"/>
            <rFont val="Tahoma"/>
            <charset val="1"/>
          </rPr>
          <t>rev4175:</t>
        </r>
        <r>
          <rPr>
            <sz val="9"/>
            <color indexed="81"/>
            <rFont val="Tahoma"/>
            <charset val="1"/>
          </rPr>
          <t xml:space="preserve">
10K page 99 of pdf
</t>
        </r>
      </text>
    </comment>
    <comment ref="I78" authorId="5" shapeId="0" xr:uid="{DCAE82D5-C661-4355-AAE4-50791ACADB7B}">
      <text>
        <r>
          <rPr>
            <sz val="9"/>
            <color indexed="81"/>
            <rFont val="Tahoma"/>
            <family val="2"/>
          </rPr>
          <t>Page 72
, 10-K</t>
        </r>
      </text>
    </comment>
    <comment ref="F79" authorId="5" shapeId="0" xr:uid="{2E5B1B33-1A73-4F76-ACA0-32A326367DB3}">
      <text>
        <r>
          <rPr>
            <sz val="9"/>
            <color indexed="81"/>
            <rFont val="Tahoma"/>
            <family val="2"/>
          </rPr>
          <t>Page57
, 10-K</t>
        </r>
      </text>
    </comment>
    <comment ref="G79" authorId="5" shapeId="0" xr:uid="{BD33F519-2034-441A-8184-C2CA2FFCA766}">
      <text>
        <r>
          <rPr>
            <sz val="9"/>
            <color indexed="81"/>
            <rFont val="Tahoma"/>
            <family val="2"/>
          </rPr>
          <t>Page 58 =10-K</t>
        </r>
      </text>
    </comment>
    <comment ref="H79" authorId="0" shapeId="0" xr:uid="{1D8B04EF-759A-41DF-AD8B-64DBC7DB50ED}">
      <text>
        <r>
          <rPr>
            <b/>
            <sz val="9"/>
            <color indexed="81"/>
            <rFont val="Tahoma"/>
            <charset val="1"/>
          </rPr>
          <t>rev4175:</t>
        </r>
        <r>
          <rPr>
            <sz val="9"/>
            <color indexed="81"/>
            <rFont val="Tahoma"/>
            <charset val="1"/>
          </rPr>
          <t xml:space="preserve">
10K page 91 of pdf</t>
        </r>
      </text>
    </comment>
    <comment ref="I79" authorId="0" shapeId="0" xr:uid="{5C621B25-DF27-4786-B211-8EFA0C3C3984}">
      <text>
        <r>
          <rPr>
            <b/>
            <sz val="9"/>
            <color indexed="81"/>
            <rFont val="Tahoma"/>
            <family val="2"/>
          </rPr>
          <t>rev4175:</t>
        </r>
        <r>
          <rPr>
            <sz val="9"/>
            <color indexed="81"/>
            <rFont val="Tahoma"/>
            <family val="2"/>
          </rPr>
          <t xml:space="preserve">
10K page 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Baker, Mike A (DOR)</author>
    <author>rev4279</author>
  </authors>
  <commentList>
    <comment ref="E22" authorId="0" shapeId="0" xr:uid="{CA692DE4-4028-4613-91F2-44BDB511227B}">
      <text>
        <r>
          <rPr>
            <sz val="9"/>
            <color indexed="81"/>
            <rFont val="Tahoma"/>
            <family val="2"/>
          </rPr>
          <t xml:space="preserve">
10K page 52</t>
        </r>
      </text>
    </comment>
    <comment ref="E23" authorId="0" shapeId="0" xr:uid="{EAC976AC-68E0-4EFD-B671-A3F205FAD292}">
      <text>
        <r>
          <rPr>
            <b/>
            <sz val="9"/>
            <color indexed="81"/>
            <rFont val="Tahoma"/>
            <family val="2"/>
          </rPr>
          <t>Baker, Mike A (DOR):See 10K page 55-56</t>
        </r>
        <r>
          <rPr>
            <sz val="9"/>
            <color indexed="81"/>
            <rFont val="Tahoma"/>
            <family val="2"/>
          </rPr>
          <t xml:space="preserve">
</t>
        </r>
      </text>
    </comment>
    <comment ref="E24" authorId="0" shapeId="0" xr:uid="{11CA3627-CFC1-4CE3-9640-92C9BD17DC2B}">
      <text>
        <r>
          <rPr>
            <sz val="9"/>
            <color indexed="81"/>
            <rFont val="Tahoma"/>
            <family val="2"/>
          </rPr>
          <t>10K page 84</t>
        </r>
      </text>
    </comment>
    <comment ref="E25" authorId="0" shapeId="0" xr:uid="{A79D4ACA-7A4B-4D09-BECB-10AF5081624F}">
      <text>
        <r>
          <rPr>
            <b/>
            <sz val="9"/>
            <color indexed="81"/>
            <rFont val="Tahoma"/>
            <family val="2"/>
          </rPr>
          <t>Baker, Mike A (DOR): See 10K page 62-65</t>
        </r>
        <r>
          <rPr>
            <sz val="9"/>
            <color indexed="81"/>
            <rFont val="Tahoma"/>
            <family val="2"/>
          </rPr>
          <t xml:space="preserve">
</t>
        </r>
      </text>
    </comment>
    <comment ref="E26" authorId="0" shapeId="0" xr:uid="{7F2624AC-D266-4A3A-A016-EC91E63A4F0A}">
      <text>
        <r>
          <rPr>
            <b/>
            <sz val="9"/>
            <color indexed="81"/>
            <rFont val="Tahoma"/>
            <family val="2"/>
          </rPr>
          <t>Baker, Mike A (DOR): See 10K page 72</t>
        </r>
        <r>
          <rPr>
            <sz val="9"/>
            <color indexed="81"/>
            <rFont val="Tahoma"/>
            <family val="2"/>
          </rPr>
          <t xml:space="preserve">
</t>
        </r>
      </text>
    </comment>
    <comment ref="E27" authorId="1" shapeId="0" xr:uid="{C98106C2-0F22-4F87-8DEB-AD64D60119AA}">
      <text>
        <r>
          <rPr>
            <b/>
            <sz val="9"/>
            <color indexed="81"/>
            <rFont val="Tahoma"/>
            <family val="2"/>
          </rPr>
          <t>rev4279:</t>
        </r>
        <r>
          <rPr>
            <sz val="9"/>
            <color indexed="81"/>
            <rFont val="Tahoma"/>
            <family val="2"/>
          </rPr>
          <t xml:space="preserve">
10K PG 48</t>
        </r>
      </text>
    </comment>
    <comment ref="E28" authorId="1" shapeId="0" xr:uid="{03A58F92-EAC7-439E-954E-EDD0B8A0ED63}">
      <text>
        <r>
          <rPr>
            <b/>
            <sz val="9"/>
            <color indexed="81"/>
            <rFont val="Tahoma"/>
            <family val="2"/>
          </rPr>
          <t>rev4279:</t>
        </r>
        <r>
          <rPr>
            <sz val="9"/>
            <color indexed="81"/>
            <rFont val="Tahoma"/>
            <family val="2"/>
          </rPr>
          <t xml:space="preserve">
10K PG 88
</t>
        </r>
      </text>
    </comment>
    <comment ref="E29" authorId="1" shapeId="0" xr:uid="{E9C33CFA-4082-41CE-8F14-B5B864723F88}">
      <text>
        <r>
          <rPr>
            <b/>
            <sz val="9"/>
            <color indexed="81"/>
            <rFont val="Tahoma"/>
            <family val="2"/>
          </rPr>
          <t>rev4279:</t>
        </r>
        <r>
          <rPr>
            <sz val="9"/>
            <color indexed="81"/>
            <rFont val="Tahoma"/>
            <family val="2"/>
          </rPr>
          <t xml:space="preserve">
10K PG 74</t>
        </r>
      </text>
    </comment>
    <comment ref="E30" authorId="1" shapeId="0" xr:uid="{7BE05D0C-38AF-4182-82BC-BF030CE6A308}">
      <text>
        <r>
          <rPr>
            <b/>
            <sz val="9"/>
            <color indexed="81"/>
            <rFont val="Tahoma"/>
            <family val="2"/>
          </rPr>
          <t>rev4279:</t>
        </r>
        <r>
          <rPr>
            <sz val="9"/>
            <color indexed="81"/>
            <rFont val="Tahoma"/>
            <family val="2"/>
          </rPr>
          <t xml:space="preserve">
10K PG 58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Baker, Mike A (DOR)</author>
    <author>rev4279</author>
    <author>Sheeks, David (DOR)</author>
  </authors>
  <commentList>
    <comment ref="D20" authorId="0" shapeId="0" xr:uid="{FE20256B-BCCC-4F0B-85FD-4B5C6DB35A52}">
      <text>
        <r>
          <rPr>
            <b/>
            <sz val="9"/>
            <color indexed="81"/>
            <rFont val="Tahoma"/>
            <family val="2"/>
          </rPr>
          <t>Baker, Mike A (DOR):</t>
        </r>
        <r>
          <rPr>
            <sz val="9"/>
            <color indexed="81"/>
            <rFont val="Tahoma"/>
            <family val="2"/>
          </rPr>
          <t xml:space="preserve">
See 10K page 51-52</t>
        </r>
      </text>
    </comment>
    <comment ref="D21" authorId="1" shapeId="0" xr:uid="{A4977C29-9AA1-4DE3-9D3F-0FBF572B312C}">
      <text>
        <r>
          <rPr>
            <b/>
            <sz val="9"/>
            <color indexed="81"/>
            <rFont val="Tahoma"/>
            <family val="2"/>
          </rPr>
          <t>rev4279:</t>
        </r>
        <r>
          <rPr>
            <sz val="9"/>
            <color indexed="81"/>
            <rFont val="Tahoma"/>
            <family val="2"/>
          </rPr>
          <t xml:space="preserve">
10K pg 71 NOTE 5</t>
        </r>
      </text>
    </comment>
    <comment ref="E21" authorId="1" shapeId="0" xr:uid="{F7BCC6B1-9C3F-4F39-A503-203B40A50C73}">
      <text>
        <r>
          <rPr>
            <b/>
            <sz val="9"/>
            <color indexed="81"/>
            <rFont val="Tahoma"/>
            <family val="2"/>
          </rPr>
          <t>rev4279:</t>
        </r>
        <r>
          <rPr>
            <sz val="9"/>
            <color indexed="81"/>
            <rFont val="Tahoma"/>
            <family val="2"/>
          </rPr>
          <t xml:space="preserve">
10K pg 69</t>
        </r>
      </text>
    </comment>
    <comment ref="D22" authorId="1" shapeId="0" xr:uid="{54A24C91-C59A-48C9-9A1F-A3E5604FEC40}">
      <text>
        <r>
          <rPr>
            <b/>
            <sz val="9"/>
            <color indexed="81"/>
            <rFont val="Tahoma"/>
            <family val="2"/>
          </rPr>
          <t>rev4279:</t>
        </r>
        <r>
          <rPr>
            <sz val="9"/>
            <color indexed="81"/>
            <rFont val="Tahoma"/>
            <family val="2"/>
          </rPr>
          <t xml:space="preserve">
10K pg 84
</t>
        </r>
      </text>
    </comment>
    <comment ref="E22" authorId="1" shapeId="0" xr:uid="{1F535BCB-0EE5-4460-B305-E8F6A4E480D4}">
      <text>
        <r>
          <rPr>
            <b/>
            <sz val="9"/>
            <color indexed="81"/>
            <rFont val="Tahoma"/>
            <family val="2"/>
          </rPr>
          <t>rev4279:</t>
        </r>
        <r>
          <rPr>
            <sz val="9"/>
            <color indexed="81"/>
            <rFont val="Tahoma"/>
            <family val="2"/>
          </rPr>
          <t xml:space="preserve">
10K pg 84
</t>
        </r>
      </text>
    </comment>
    <comment ref="G22" authorId="2" shapeId="0" xr:uid="{B90284CD-B4FC-4BAE-B305-EA299B26E207}">
      <text>
        <r>
          <rPr>
            <b/>
            <sz val="9"/>
            <color indexed="81"/>
            <rFont val="Tahoma"/>
            <family val="2"/>
          </rPr>
          <t>Sheeks, David (DOR):</t>
        </r>
        <r>
          <rPr>
            <sz val="9"/>
            <color indexed="81"/>
            <rFont val="Tahoma"/>
            <family val="2"/>
          </rPr>
          <t xml:space="preserve">
10k pg 82
</t>
        </r>
      </text>
    </comment>
    <comment ref="D23" authorId="1" shapeId="0" xr:uid="{EB4684D4-69BE-4239-84CC-85DF64D053F7}">
      <text>
        <r>
          <rPr>
            <b/>
            <sz val="9"/>
            <color indexed="81"/>
            <rFont val="Tahoma"/>
            <family val="2"/>
          </rPr>
          <t>rev4279:</t>
        </r>
        <r>
          <rPr>
            <sz val="9"/>
            <color indexed="81"/>
            <rFont val="Tahoma"/>
            <family val="2"/>
          </rPr>
          <t xml:space="preserve">
10K pg 65</t>
        </r>
      </text>
    </comment>
    <comment ref="E23" authorId="1" shapeId="0" xr:uid="{3A43A178-F897-4C8E-AEDD-549AFECEBA15}">
      <text>
        <r>
          <rPr>
            <b/>
            <sz val="9"/>
            <color indexed="81"/>
            <rFont val="Tahoma"/>
            <family val="2"/>
          </rPr>
          <t>rev4279:</t>
        </r>
        <r>
          <rPr>
            <sz val="9"/>
            <color indexed="81"/>
            <rFont val="Tahoma"/>
            <family val="2"/>
          </rPr>
          <t xml:space="preserve">
10K pg 65</t>
        </r>
      </text>
    </comment>
    <comment ref="G23" authorId="1" shapeId="0" xr:uid="{4BFA4531-A51C-4989-9D9D-4859C6DF51DB}">
      <text>
        <r>
          <rPr>
            <b/>
            <sz val="9"/>
            <color indexed="81"/>
            <rFont val="Tahoma"/>
            <family val="2"/>
          </rPr>
          <t>rev4279:</t>
        </r>
        <r>
          <rPr>
            <sz val="9"/>
            <color indexed="81"/>
            <rFont val="Tahoma"/>
            <family val="2"/>
          </rPr>
          <t xml:space="preserve">
10K PG 59</t>
        </r>
      </text>
    </comment>
    <comment ref="D24" authorId="1" shapeId="0" xr:uid="{4609B879-B9B9-4746-BDE3-36D6EE1C2273}">
      <text>
        <r>
          <rPr>
            <b/>
            <sz val="9"/>
            <color indexed="81"/>
            <rFont val="Tahoma"/>
            <family val="2"/>
          </rPr>
          <t>rev4279:</t>
        </r>
        <r>
          <rPr>
            <sz val="9"/>
            <color indexed="81"/>
            <rFont val="Tahoma"/>
            <family val="2"/>
          </rPr>
          <t xml:space="preserve">
10K pg 70
</t>
        </r>
      </text>
    </comment>
    <comment ref="E24" authorId="1" shapeId="0" xr:uid="{490C8C6F-E563-47C5-882B-F35A540EEE3F}">
      <text>
        <r>
          <rPr>
            <b/>
            <sz val="9"/>
            <color indexed="81"/>
            <rFont val="Tahoma"/>
            <family val="2"/>
          </rPr>
          <t>rev4279:</t>
        </r>
        <r>
          <rPr>
            <sz val="9"/>
            <color indexed="81"/>
            <rFont val="Tahoma"/>
            <family val="2"/>
          </rPr>
          <t xml:space="preserve">
10K pg 70</t>
        </r>
      </text>
    </comment>
    <comment ref="D25" authorId="1" shapeId="0" xr:uid="{223BAE4F-23CD-420D-ADCF-5BE1D25E954E}">
      <text>
        <r>
          <rPr>
            <b/>
            <sz val="9"/>
            <color indexed="81"/>
            <rFont val="Tahoma"/>
            <family val="2"/>
          </rPr>
          <t>rev4279:</t>
        </r>
        <r>
          <rPr>
            <sz val="9"/>
            <color indexed="81"/>
            <rFont val="Tahoma"/>
            <family val="2"/>
          </rPr>
          <t xml:space="preserve">
10K pg 47</t>
        </r>
      </text>
    </comment>
    <comment ref="E25" authorId="1" shapeId="0" xr:uid="{4D3B9307-902F-441A-9745-16322DCF4FB3}">
      <text>
        <r>
          <rPr>
            <b/>
            <sz val="9"/>
            <color indexed="81"/>
            <rFont val="Tahoma"/>
            <family val="2"/>
          </rPr>
          <t>rev4279:</t>
        </r>
        <r>
          <rPr>
            <sz val="9"/>
            <color indexed="81"/>
            <rFont val="Tahoma"/>
            <family val="2"/>
          </rPr>
          <t xml:space="preserve">
10K pg 47</t>
        </r>
      </text>
    </comment>
    <comment ref="G25" authorId="1" shapeId="0" xr:uid="{10387142-1164-4674-8C8D-31502154F29C}">
      <text>
        <r>
          <rPr>
            <b/>
            <sz val="9"/>
            <color indexed="81"/>
            <rFont val="Tahoma"/>
            <family val="2"/>
          </rPr>
          <t>rev4279:</t>
        </r>
        <r>
          <rPr>
            <sz val="9"/>
            <color indexed="81"/>
            <rFont val="Tahoma"/>
            <family val="2"/>
          </rPr>
          <t xml:space="preserve">
10K PG 49</t>
        </r>
      </text>
    </comment>
    <comment ref="D26" authorId="1" shapeId="0" xr:uid="{44966192-DA8F-4B41-A56E-51A52AC55084}">
      <text>
        <r>
          <rPr>
            <b/>
            <sz val="9"/>
            <color indexed="81"/>
            <rFont val="Tahoma"/>
            <family val="2"/>
          </rPr>
          <t>rev4279:</t>
        </r>
        <r>
          <rPr>
            <sz val="9"/>
            <color indexed="81"/>
            <rFont val="Tahoma"/>
            <family val="2"/>
          </rPr>
          <t xml:space="preserve">
10K pg 88</t>
        </r>
      </text>
    </comment>
    <comment ref="E26" authorId="1" shapeId="0" xr:uid="{93048418-382C-4D1C-9EFA-F12E17ADF2A3}">
      <text>
        <r>
          <rPr>
            <b/>
            <sz val="9"/>
            <color indexed="81"/>
            <rFont val="Tahoma"/>
            <family val="2"/>
          </rPr>
          <t>rev4279:</t>
        </r>
        <r>
          <rPr>
            <sz val="9"/>
            <color indexed="81"/>
            <rFont val="Tahoma"/>
            <family val="2"/>
          </rPr>
          <t xml:space="preserve">
10K pg 88</t>
        </r>
      </text>
    </comment>
    <comment ref="G26" authorId="1" shapeId="0" xr:uid="{2675C724-CB81-4290-947F-D5C1AAED9D85}">
      <text>
        <r>
          <rPr>
            <b/>
            <sz val="9"/>
            <color indexed="81"/>
            <rFont val="Tahoma"/>
            <family val="2"/>
          </rPr>
          <t>rev4279:</t>
        </r>
        <r>
          <rPr>
            <sz val="9"/>
            <color indexed="81"/>
            <rFont val="Tahoma"/>
            <family val="2"/>
          </rPr>
          <t xml:space="preserve">
10K PG 89</t>
        </r>
      </text>
    </comment>
    <comment ref="D27" authorId="1" shapeId="0" xr:uid="{8B582AF7-954D-4A68-9548-9236C1697D7F}">
      <text>
        <r>
          <rPr>
            <b/>
            <sz val="9"/>
            <color indexed="81"/>
            <rFont val="Tahoma"/>
            <family val="2"/>
          </rPr>
          <t>rev4279:</t>
        </r>
        <r>
          <rPr>
            <sz val="9"/>
            <color indexed="81"/>
            <rFont val="Tahoma"/>
            <family val="2"/>
          </rPr>
          <t xml:space="preserve">
10K PG 74</t>
        </r>
      </text>
    </comment>
    <comment ref="G27" authorId="1" shapeId="0" xr:uid="{FE0FFB5A-B6F9-4090-8658-070815B67391}">
      <text>
        <r>
          <rPr>
            <b/>
            <sz val="9"/>
            <color indexed="81"/>
            <rFont val="Tahoma"/>
            <family val="2"/>
          </rPr>
          <t>rev4279:</t>
        </r>
        <r>
          <rPr>
            <sz val="9"/>
            <color indexed="81"/>
            <rFont val="Tahoma"/>
            <family val="2"/>
          </rPr>
          <t xml:space="preserve">
10K PG 72</t>
        </r>
      </text>
    </comment>
    <comment ref="D28" authorId="1" shapeId="0" xr:uid="{3F27CAE8-6F68-4131-A2C2-B485E9D6E513}">
      <text>
        <r>
          <rPr>
            <b/>
            <sz val="9"/>
            <color indexed="81"/>
            <rFont val="Tahoma"/>
            <family val="2"/>
          </rPr>
          <t>rev4279:</t>
        </r>
        <r>
          <rPr>
            <sz val="9"/>
            <color indexed="81"/>
            <rFont val="Tahoma"/>
            <family val="2"/>
          </rPr>
          <t xml:space="preserve">
10K pg 57</t>
        </r>
      </text>
    </comment>
    <comment ref="E28" authorId="1" shapeId="0" xr:uid="{1DE2BE34-FC74-4E2E-89E0-3CC55A6786E6}">
      <text>
        <r>
          <rPr>
            <b/>
            <sz val="9"/>
            <color indexed="81"/>
            <rFont val="Tahoma"/>
            <family val="2"/>
          </rPr>
          <t>rev4279:</t>
        </r>
        <r>
          <rPr>
            <sz val="9"/>
            <color indexed="81"/>
            <rFont val="Tahoma"/>
            <family val="2"/>
          </rPr>
          <t xml:space="preserve">
10K pg 57</t>
        </r>
      </text>
    </comment>
    <comment ref="G28" authorId="1" shapeId="0" xr:uid="{ACE3B8D4-1E18-45A4-A463-0CD3EE4BCB42}">
      <text>
        <r>
          <rPr>
            <b/>
            <sz val="9"/>
            <color indexed="81"/>
            <rFont val="Tahoma"/>
            <family val="2"/>
          </rPr>
          <t>rev4279:</t>
        </r>
        <r>
          <rPr>
            <sz val="9"/>
            <color indexed="81"/>
            <rFont val="Tahoma"/>
            <family val="2"/>
          </rPr>
          <t xml:space="preserve">
10K PG 55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rev4279</author>
    <author>Baker, Mike A (DOR)</author>
  </authors>
  <commentList>
    <comment ref="C19" authorId="0" shapeId="0" xr:uid="{FBD0FA9B-C7E5-4317-AD4C-D175BC52B944}">
      <text>
        <r>
          <rPr>
            <b/>
            <sz val="9"/>
            <color indexed="81"/>
            <rFont val="Tahoma"/>
            <family val="2"/>
          </rPr>
          <t>rev4279:</t>
        </r>
        <r>
          <rPr>
            <sz val="9"/>
            <color indexed="81"/>
            <rFont val="Tahoma"/>
            <family val="2"/>
          </rPr>
          <t xml:space="preserve">
10K PG 55</t>
        </r>
      </text>
    </comment>
    <comment ref="C20" authorId="0" shapeId="0" xr:uid="{5ABB1606-10C8-4FBB-97E6-C1C9C872DB9A}">
      <text>
        <r>
          <rPr>
            <b/>
            <sz val="9"/>
            <color indexed="81"/>
            <rFont val="Tahoma"/>
            <family val="2"/>
          </rPr>
          <t>rev4279:</t>
        </r>
        <r>
          <rPr>
            <sz val="9"/>
            <color indexed="81"/>
            <rFont val="Tahoma"/>
            <family val="2"/>
          </rPr>
          <t xml:space="preserve">
10K PG 58</t>
        </r>
      </text>
    </comment>
    <comment ref="C21" authorId="0" shapeId="0" xr:uid="{656F2DB8-541A-4CCD-A0DE-9A189B1FE029}">
      <text>
        <r>
          <rPr>
            <b/>
            <sz val="9"/>
            <color indexed="81"/>
            <rFont val="Tahoma"/>
            <family val="2"/>
          </rPr>
          <t>rev4279:</t>
        </r>
        <r>
          <rPr>
            <sz val="9"/>
            <color indexed="81"/>
            <rFont val="Tahoma"/>
            <family val="2"/>
          </rPr>
          <t xml:space="preserve">
10K PG 82</t>
        </r>
      </text>
    </comment>
    <comment ref="C22" authorId="0" shapeId="0" xr:uid="{0CFB60BA-1560-4219-8B63-13D0919084D7}">
      <text>
        <r>
          <rPr>
            <b/>
            <sz val="9"/>
            <color indexed="81"/>
            <rFont val="Tahoma"/>
            <family val="2"/>
          </rPr>
          <t>rev4279:</t>
        </r>
        <r>
          <rPr>
            <sz val="9"/>
            <color indexed="81"/>
            <rFont val="Tahoma"/>
            <family val="2"/>
          </rPr>
          <t xml:space="preserve">
10K PG 59</t>
        </r>
      </text>
    </comment>
    <comment ref="D23" authorId="1" shapeId="0" xr:uid="{D5963052-7B37-459F-848E-73C0840F74F3}">
      <text>
        <r>
          <rPr>
            <b/>
            <sz val="9"/>
            <color indexed="81"/>
            <rFont val="Tahoma"/>
            <family val="2"/>
          </rPr>
          <t>Baker, Mike A (DOR):</t>
        </r>
        <r>
          <rPr>
            <sz val="9"/>
            <color indexed="81"/>
            <rFont val="Tahoma"/>
            <family val="2"/>
          </rPr>
          <t xml:space="preserve">
See 10K page 88-89</t>
        </r>
      </text>
    </comment>
    <comment ref="C24" authorId="0" shapeId="0" xr:uid="{F2C7A44B-D699-4247-A8C6-E7141C986020}">
      <text>
        <r>
          <rPr>
            <b/>
            <sz val="9"/>
            <color indexed="81"/>
            <rFont val="Tahoma"/>
            <family val="2"/>
          </rPr>
          <t>rev4279:</t>
        </r>
        <r>
          <rPr>
            <sz val="9"/>
            <color indexed="81"/>
            <rFont val="Tahoma"/>
            <family val="2"/>
          </rPr>
          <t xml:space="preserve">
10K PG 49</t>
        </r>
      </text>
    </comment>
    <comment ref="C25" authorId="0" shapeId="0" xr:uid="{05BDC665-E7A8-47AE-BFB4-B8061269CDAD}">
      <text>
        <r>
          <rPr>
            <b/>
            <sz val="9"/>
            <color indexed="81"/>
            <rFont val="Tahoma"/>
            <family val="2"/>
          </rPr>
          <t>rev4279:</t>
        </r>
        <r>
          <rPr>
            <sz val="9"/>
            <color indexed="81"/>
            <rFont val="Tahoma"/>
            <family val="2"/>
          </rPr>
          <t xml:space="preserve">
10K PG 89</t>
        </r>
      </text>
    </comment>
    <comment ref="C26" authorId="0" shapeId="0" xr:uid="{E3AA6427-F6E4-49CB-80B0-2A4DFD504171}">
      <text>
        <r>
          <rPr>
            <b/>
            <sz val="9"/>
            <color indexed="81"/>
            <rFont val="Tahoma"/>
            <family val="2"/>
          </rPr>
          <t>rev4279:</t>
        </r>
        <r>
          <rPr>
            <sz val="9"/>
            <color indexed="81"/>
            <rFont val="Tahoma"/>
            <family val="2"/>
          </rPr>
          <t xml:space="preserve">
10K PG 72</t>
        </r>
      </text>
    </comment>
    <comment ref="D26" authorId="1" shapeId="0" xr:uid="{0A5F4275-CE8D-43E9-882D-2C0728CC0292}">
      <text>
        <r>
          <rPr>
            <b/>
            <sz val="9"/>
            <color indexed="81"/>
            <rFont val="Tahoma"/>
            <family val="2"/>
          </rPr>
          <t>Baker, Mike A (DOR): See 10K page 102</t>
        </r>
        <r>
          <rPr>
            <sz val="9"/>
            <color indexed="81"/>
            <rFont val="Tahoma"/>
            <family val="2"/>
          </rPr>
          <t xml:space="preserve">
</t>
        </r>
      </text>
    </comment>
    <comment ref="C27" authorId="0" shapeId="0" xr:uid="{7505A6F3-3B5A-4514-AA56-5AFFBC35C0DB}">
      <text>
        <r>
          <rPr>
            <b/>
            <sz val="9"/>
            <color indexed="81"/>
            <rFont val="Tahoma"/>
            <family val="2"/>
          </rPr>
          <t>rev4279:</t>
        </r>
        <r>
          <rPr>
            <sz val="9"/>
            <color indexed="81"/>
            <rFont val="Tahoma"/>
            <family val="2"/>
          </rPr>
          <t xml:space="preserve">
10K PG 55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Baker, Mike A (DOR)</author>
  </authors>
  <commentList>
    <comment ref="H20" authorId="0" shapeId="0" xr:uid="{205093B7-540D-4238-8C30-1E02F1ACF06D}">
      <text>
        <r>
          <rPr>
            <b/>
            <sz val="9"/>
            <color indexed="81"/>
            <rFont val="Tahoma"/>
            <family val="2"/>
          </rPr>
          <t>Baker, Mike A (DOR):</t>
        </r>
        <r>
          <rPr>
            <sz val="9"/>
            <color indexed="81"/>
            <rFont val="Tahoma"/>
            <family val="2"/>
          </rPr>
          <t xml:space="preserve">
See Montana study</t>
        </r>
      </text>
    </comment>
  </commentList>
</comments>
</file>

<file path=xl/sharedStrings.xml><?xml version="1.0" encoding="utf-8"?>
<sst xmlns="http://schemas.openxmlformats.org/spreadsheetml/2006/main" count="1683" uniqueCount="526">
  <si>
    <t xml:space="preserve"> </t>
  </si>
  <si>
    <t>KENTUCKY DEPARTMENT OF REVENUE</t>
  </si>
  <si>
    <t>Company</t>
  </si>
  <si>
    <t>Ticker</t>
  </si>
  <si>
    <t>Symbol</t>
  </si>
  <si>
    <t xml:space="preserve">Industry </t>
  </si>
  <si>
    <t>Group</t>
  </si>
  <si>
    <t>VL</t>
  </si>
  <si>
    <t>10K / SEC</t>
  </si>
  <si>
    <t>DIVISION OF STATE VALUATION, PUBLIC SERVICE BRANCH</t>
  </si>
  <si>
    <t>Stock Price</t>
  </si>
  <si>
    <t>Preferred Stock</t>
  </si>
  <si>
    <t>Common Stock</t>
  </si>
  <si>
    <t>4th Qtr</t>
  </si>
  <si>
    <t>FMV</t>
  </si>
  <si>
    <t>Calculated</t>
  </si>
  <si>
    <t>Total Market Value</t>
  </si>
  <si>
    <t>% Common Stock</t>
  </si>
  <si>
    <t>Median</t>
  </si>
  <si>
    <t>Average</t>
  </si>
  <si>
    <t xml:space="preserve">Financial </t>
  </si>
  <si>
    <t xml:space="preserve">Actual </t>
  </si>
  <si>
    <t>Strength</t>
  </si>
  <si>
    <t>Tax Rate</t>
  </si>
  <si>
    <t>A</t>
  </si>
  <si>
    <t>B+</t>
  </si>
  <si>
    <t>Computed</t>
  </si>
  <si>
    <t>Price</t>
  </si>
  <si>
    <t>Multiple</t>
  </si>
  <si>
    <t>Inverse</t>
  </si>
  <si>
    <t>KENTUCKY</t>
  </si>
  <si>
    <t xml:space="preserve">Source of </t>
  </si>
  <si>
    <t>Capital</t>
  </si>
  <si>
    <t>Cost of Capital</t>
  </si>
  <si>
    <t>Weighted</t>
  </si>
  <si>
    <t>Structure</t>
  </si>
  <si>
    <t>Rate</t>
  </si>
  <si>
    <t>After Tax</t>
  </si>
  <si>
    <t>Cost</t>
  </si>
  <si>
    <t>EQUITY</t>
  </si>
  <si>
    <t>-</t>
  </si>
  <si>
    <t>DEBT</t>
  </si>
  <si>
    <t>TOTAL</t>
  </si>
  <si>
    <t>A+</t>
  </si>
  <si>
    <t xml:space="preserve">  </t>
  </si>
  <si>
    <t>High</t>
  </si>
  <si>
    <t>Low</t>
  </si>
  <si>
    <t>Mergent Bond</t>
  </si>
  <si>
    <t>Rating</t>
  </si>
  <si>
    <t>Debt Rate</t>
  </si>
  <si>
    <t>S &amp; P</t>
  </si>
  <si>
    <t>% LT Debt &amp; Pref Stock</t>
  </si>
  <si>
    <t>Baa1</t>
  </si>
  <si>
    <t>Baa2</t>
  </si>
  <si>
    <t>The capital structure of this industry is a representative or typical capital structure of the group, not that of the present owner.  The capital structure selected reflects the most likely arrangement of a prospective buyer.</t>
  </si>
  <si>
    <t>A1</t>
  </si>
  <si>
    <t>Ba1</t>
  </si>
  <si>
    <t>A3</t>
  </si>
  <si>
    <t>Baa3</t>
  </si>
  <si>
    <t>A-</t>
  </si>
  <si>
    <t>Book Value</t>
  </si>
  <si>
    <t>Shares Issued less Treasury</t>
  </si>
  <si>
    <t>DIRECT CAPITALIZATION RATE CONCLUSION</t>
  </si>
  <si>
    <t>YIELD CAPITALIZATION RATE CONCLUSION</t>
  </si>
  <si>
    <t>GCF After Tax</t>
  </si>
  <si>
    <t>Capitalization Rate</t>
  </si>
  <si>
    <t>Capitalization</t>
  </si>
  <si>
    <t>Marginal</t>
  </si>
  <si>
    <t>CAP RATE</t>
  </si>
  <si>
    <t>NOI After Tax  (NOPAT)</t>
  </si>
  <si>
    <t>WACC</t>
  </si>
  <si>
    <t>Notes:</t>
  </si>
  <si>
    <t>Shares Outstanding *</t>
  </si>
  <si>
    <t>Selected</t>
  </si>
  <si>
    <t>CAPITAL STRUCTURE</t>
  </si>
  <si>
    <t>Maintenance Capital Expenditures</t>
  </si>
  <si>
    <t>Estimate using Guideline Companies</t>
  </si>
  <si>
    <t>Inflation</t>
  </si>
  <si>
    <t>Rate %</t>
  </si>
  <si>
    <t>CPI</t>
  </si>
  <si>
    <t>PP&amp;E Gross</t>
  </si>
  <si>
    <t>PP&amp;E</t>
  </si>
  <si>
    <t>Previous Year</t>
  </si>
  <si>
    <t>Current Year</t>
  </si>
  <si>
    <t>Depreciation</t>
  </si>
  <si>
    <t>Expense</t>
  </si>
  <si>
    <t xml:space="preserve">Average Life of </t>
  </si>
  <si>
    <t>Assets</t>
  </si>
  <si>
    <t>B</t>
  </si>
  <si>
    <t>C</t>
  </si>
  <si>
    <t>D</t>
  </si>
  <si>
    <t>E</t>
  </si>
  <si>
    <t>F</t>
  </si>
  <si>
    <t>G</t>
  </si>
  <si>
    <t>H</t>
  </si>
  <si>
    <t>I</t>
  </si>
  <si>
    <t>J</t>
  </si>
  <si>
    <t>K</t>
  </si>
  <si>
    <t>F/G</t>
  </si>
  <si>
    <t>C*H</t>
  </si>
  <si>
    <t>1/(1=C)^H</t>
  </si>
  <si>
    <t>Replacement</t>
  </si>
  <si>
    <t xml:space="preserve">Cost </t>
  </si>
  <si>
    <t>RC as % of</t>
  </si>
  <si>
    <t>K/G</t>
  </si>
  <si>
    <t>L</t>
  </si>
  <si>
    <t>(D+E)/2</t>
  </si>
  <si>
    <t>(G*I) / (1-J)</t>
  </si>
  <si>
    <t>*</t>
  </si>
  <si>
    <t>Gross Cash Flow</t>
  </si>
  <si>
    <t>NOPAT</t>
  </si>
  <si>
    <t>VL Projected NOI</t>
  </si>
  <si>
    <t xml:space="preserve">Year End </t>
  </si>
  <si>
    <t>VL Historic</t>
  </si>
  <si>
    <t>VL Projected</t>
  </si>
  <si>
    <t>Interest Expense</t>
  </si>
  <si>
    <t>Mkt Value LT Debt</t>
  </si>
  <si>
    <t>Book Value LT Debt</t>
  </si>
  <si>
    <t>Current</t>
  </si>
  <si>
    <t>Yield</t>
  </si>
  <si>
    <t>C/H</t>
  </si>
  <si>
    <t>(D+F)/2</t>
  </si>
  <si>
    <t>BETA SELECTION for CAPM</t>
  </si>
  <si>
    <t>SELECTED AVERAGE &gt;</t>
  </si>
  <si>
    <t>Source</t>
  </si>
  <si>
    <t>GDP</t>
  </si>
  <si>
    <t>Nominal</t>
  </si>
  <si>
    <t>Growth</t>
  </si>
  <si>
    <t>DEBT RATE for Yield Approach</t>
  </si>
  <si>
    <t>Book Ratio</t>
  </si>
  <si>
    <t>Mkt to</t>
  </si>
  <si>
    <t>Numeric</t>
  </si>
  <si>
    <t>10K / GAAP</t>
  </si>
  <si>
    <t>Caa3</t>
  </si>
  <si>
    <t>Caa2</t>
  </si>
  <si>
    <t>Caa1</t>
  </si>
  <si>
    <t>B3</t>
  </si>
  <si>
    <t>B2</t>
  </si>
  <si>
    <t>B1</t>
  </si>
  <si>
    <t>Ba3</t>
  </si>
  <si>
    <t>Ba2</t>
  </si>
  <si>
    <t>A2</t>
  </si>
  <si>
    <t>Aa3</t>
  </si>
  <si>
    <t>Aa2</t>
  </si>
  <si>
    <t>Aa1</t>
  </si>
  <si>
    <t>Bond Rating Scale</t>
  </si>
  <si>
    <t>Levered Beta</t>
  </si>
  <si>
    <t>Notes</t>
  </si>
  <si>
    <t>https://www.philadelphiafed.org/research-and-data/real-time-center/livingston-survey</t>
  </si>
  <si>
    <t>https://www.philadelphiafed.org/surveys-and-data/real-time-data-research/survey-of-professional-forecasters</t>
  </si>
  <si>
    <t>https://www.cbo.gov/about/products/budget-economic-data#4</t>
  </si>
  <si>
    <t>Preferred Stock ***</t>
  </si>
  <si>
    <t>Long Term Debt **</t>
  </si>
  <si>
    <t xml:space="preserve">** Debt includes  LT Debt , Current portion of LT Debt, and Finance leases from 10K </t>
  </si>
  <si>
    <t>*** Market value of preferred stock assumed to equal book value</t>
  </si>
  <si>
    <t>* Outstanding stock shares are generally already net of Treasury stock shares</t>
  </si>
  <si>
    <t>MODEL</t>
  </si>
  <si>
    <t>EQUITY RATES for YIELD APPROACH</t>
  </si>
  <si>
    <t>CAPM - The CFO Survey</t>
  </si>
  <si>
    <t>CAPM - Fernandez, Banuls, &amp; Acin</t>
  </si>
  <si>
    <t>CAPM - Ex Post (BVR Historical, Arithmeic)</t>
  </si>
  <si>
    <t>CAPM - Ex Post (BVR Historical, Geometric)</t>
  </si>
  <si>
    <t>Empirical CAPM - The CFO Survey</t>
  </si>
  <si>
    <t>Empirical CAPM - Fernandez, Banuls, &amp; Acin</t>
  </si>
  <si>
    <t>Empirical CAPM - Ex Post (BVR Historical, Arithmeic)</t>
  </si>
  <si>
    <t>Empirical CAPM - Ex Post (BVR Historical, Geometric)</t>
  </si>
  <si>
    <t>Stock</t>
  </si>
  <si>
    <t>Dividends</t>
  </si>
  <si>
    <t>Per Share</t>
  </si>
  <si>
    <t>Dividend</t>
  </si>
  <si>
    <t>Historic</t>
  </si>
  <si>
    <t>Dividend Data</t>
  </si>
  <si>
    <t>Earnings</t>
  </si>
  <si>
    <t>Equity</t>
  </si>
  <si>
    <t>Equity Rate</t>
  </si>
  <si>
    <t>(F+G)</t>
  </si>
  <si>
    <t>(F+H)</t>
  </si>
  <si>
    <t>Dividend Yield</t>
  </si>
  <si>
    <t xml:space="preserve">Projected Short Term </t>
  </si>
  <si>
    <t>DGM - Earnings Growth Rate &gt;</t>
  </si>
  <si>
    <t>DGM - Dividend Growth Rate &gt;</t>
  </si>
  <si>
    <t>Yield Equity Rate - DGM (Two-Stage)</t>
  </si>
  <si>
    <t>Stable</t>
  </si>
  <si>
    <t>Growth Rate</t>
  </si>
  <si>
    <t>Cost of</t>
  </si>
  <si>
    <t>g</t>
  </si>
  <si>
    <t>DY</t>
  </si>
  <si>
    <t>G1</t>
  </si>
  <si>
    <t>(G1 + g)/2</t>
  </si>
  <si>
    <t>KE = (DY X (1 + .5(G))) + .67 (G1) + .33(g)</t>
  </si>
  <si>
    <t>Kentucky</t>
  </si>
  <si>
    <r>
      <t xml:space="preserve">DEBT RATE for Direct Approach </t>
    </r>
    <r>
      <rPr>
        <b/>
        <sz val="12"/>
        <color theme="1"/>
        <rFont val="Microsoft GothicNeo"/>
        <family val="2"/>
        <charset val="129"/>
      </rPr>
      <t>(Embedded)</t>
    </r>
  </si>
  <si>
    <t>Common Equity</t>
  </si>
  <si>
    <t>.</t>
  </si>
  <si>
    <t xml:space="preserve">Obligations rated Ca are highly speculative and are likely in, or very near, default, with some prospect of recovery in principal and interest. </t>
  </si>
  <si>
    <t xml:space="preserve">Obligations rated C are the lowest-rated class of bonds and are typical­ly in default, with little prospect for recovery of principal and interest. </t>
  </si>
  <si>
    <t xml:space="preserve">Obligations rated Caa are judged to be of poor standing and are subject to very high credit risk . </t>
  </si>
  <si>
    <t>Obligations rated Aaa are judged to be of the highest quality, with minimal risk.</t>
  </si>
  <si>
    <t xml:space="preserve">Obligations rated A are considered upper-medium-grade and are sub­ject to low credit risk. </t>
  </si>
  <si>
    <t xml:space="preserve">Obligations rated B are considered speculative and are subject to high credit risk. </t>
  </si>
  <si>
    <t xml:space="preserve">Obligations rated Ba are judged to have speculative elements and are subject to substantial credit risk. </t>
  </si>
  <si>
    <t xml:space="preserve">Obligations rated Baa are subject to moderate credit risk. They are considered medium-grade and as such may possess speculative characteristics. </t>
  </si>
  <si>
    <t>D1 = Expected Dividends</t>
  </si>
  <si>
    <r>
      <t>K</t>
    </r>
    <r>
      <rPr>
        <b/>
        <sz val="10"/>
        <color theme="1"/>
        <rFont val="Microsoft GothicNeo"/>
        <family val="2"/>
        <charset val="129"/>
      </rPr>
      <t>E</t>
    </r>
    <r>
      <rPr>
        <b/>
        <sz val="16"/>
        <color theme="1"/>
        <rFont val="Microsoft GothicNeo"/>
        <family val="2"/>
        <charset val="129"/>
      </rPr>
      <t xml:space="preserve"> = (D</t>
    </r>
    <r>
      <rPr>
        <b/>
        <sz val="10"/>
        <color theme="1"/>
        <rFont val="Microsoft GothicNeo"/>
        <family val="2"/>
        <charset val="129"/>
      </rPr>
      <t>1</t>
    </r>
    <r>
      <rPr>
        <b/>
        <sz val="16"/>
        <color theme="1"/>
        <rFont val="Microsoft GothicNeo"/>
        <family val="2"/>
        <charset val="129"/>
      </rPr>
      <t xml:space="preserve"> / P</t>
    </r>
    <r>
      <rPr>
        <b/>
        <sz val="10"/>
        <color theme="1"/>
        <rFont val="Microsoft GothicNeo"/>
        <family val="2"/>
        <charset val="129"/>
      </rPr>
      <t>o</t>
    </r>
    <r>
      <rPr>
        <b/>
        <sz val="16"/>
        <color theme="1"/>
        <rFont val="Microsoft GothicNeo"/>
        <family val="2"/>
        <charset val="129"/>
      </rPr>
      <t>) + G</t>
    </r>
  </si>
  <si>
    <t>KE = Cost of Equity</t>
  </si>
  <si>
    <t>Po   = Current Price</t>
  </si>
  <si>
    <r>
      <t>Price (P</t>
    </r>
    <r>
      <rPr>
        <b/>
        <sz val="9"/>
        <color theme="1"/>
        <rFont val="Microsoft GothicNeo"/>
        <family val="2"/>
        <charset val="129"/>
      </rPr>
      <t>0</t>
    </r>
    <r>
      <rPr>
        <b/>
        <sz val="11"/>
        <color theme="1"/>
        <rFont val="Microsoft GothicNeo"/>
        <family val="2"/>
        <charset val="129"/>
      </rPr>
      <t>)</t>
    </r>
  </si>
  <si>
    <t xml:space="preserve">Dividend Growth Rate </t>
  </si>
  <si>
    <t xml:space="preserve">Earnings Per Share Growth Rate </t>
  </si>
  <si>
    <r>
      <t>Long Term Debt</t>
    </r>
    <r>
      <rPr>
        <b/>
        <sz val="10"/>
        <color theme="1"/>
        <rFont val="Microsoft GothicNeo"/>
        <family val="2"/>
        <charset val="129"/>
      </rPr>
      <t xml:space="preserve"> </t>
    </r>
  </si>
  <si>
    <t>CAPITAL ASSET PRICING MODEL (CAPM)</t>
  </si>
  <si>
    <t>Selected &gt;</t>
  </si>
  <si>
    <t>Inflation and Gross Domestic Product (GDP) Data</t>
  </si>
  <si>
    <t>INFLATION &amp; GDP</t>
  </si>
  <si>
    <t>SELECTED &gt;</t>
  </si>
  <si>
    <t>Equity Risk Premium (ERP)</t>
  </si>
  <si>
    <t>Indicated Equity Rate</t>
  </si>
  <si>
    <t>Industry Risk Premium</t>
  </si>
  <si>
    <t>Weighted Industry Risk Premium (75%)</t>
  </si>
  <si>
    <t>Weighted Equity Risk Premium (25%)</t>
  </si>
  <si>
    <t xml:space="preserve">The CFO Survey  (4) </t>
  </si>
  <si>
    <t>BVR - Historical, Arithmetic Mean  (6)</t>
  </si>
  <si>
    <t>BVR - Historical, Geometric Mean  (7)</t>
  </si>
  <si>
    <t>Empirical CAPM Models</t>
  </si>
  <si>
    <t>CAPM Models</t>
  </si>
  <si>
    <t>KE = Rf + (B  X  ERP X  75%) = (ERP  X  25%)</t>
  </si>
  <si>
    <t>KE = Rf + (B  X  ERP)</t>
  </si>
  <si>
    <t>Industry Beta (B)</t>
  </si>
  <si>
    <t>Value Line Earnings</t>
  </si>
  <si>
    <t>Value Line Dividends</t>
  </si>
  <si>
    <t>Yahoo Finance</t>
  </si>
  <si>
    <t>Return on</t>
  </si>
  <si>
    <t>Gross Revenue</t>
  </si>
  <si>
    <t>Multiplier</t>
  </si>
  <si>
    <t>NOPAT CASH FLOW MULTIPLE &amp; EQUITY RATE</t>
  </si>
  <si>
    <r>
      <t xml:space="preserve">NOPAT CASH FLOW MULTIPLE &amp; EQUITY RATE </t>
    </r>
    <r>
      <rPr>
        <b/>
        <sz val="12"/>
        <color theme="1"/>
        <rFont val="Microsoft GothicNeo"/>
        <family val="2"/>
        <charset val="129"/>
      </rPr>
      <t>(1 Yr Projected VL)</t>
    </r>
  </si>
  <si>
    <t>Long Term Debt includes LT Debt plus Current Portion of LT debt, plus Finance Leases</t>
  </si>
  <si>
    <t>Two-Stage DGM Rate &gt;</t>
  </si>
  <si>
    <t>DGM - Single Stage - Earnings Growth</t>
  </si>
  <si>
    <t>DGM - Single Stage - Dividend Growth</t>
  </si>
  <si>
    <t>DGM - Two Stage - Dividend Growth</t>
  </si>
  <si>
    <t>VL LT Projected NOI</t>
  </si>
  <si>
    <t>Indicated Rate of Debt &gt;</t>
  </si>
  <si>
    <t>Year End</t>
  </si>
  <si>
    <t>&amp; Finance Leases</t>
  </si>
  <si>
    <t>10K Income Statement</t>
  </si>
  <si>
    <t>10K Balance Sheet</t>
  </si>
  <si>
    <t>Indicated Rate of Equity Selected &gt;</t>
  </si>
  <si>
    <t>SHORT-TERM GROWTH RATES (5 years)</t>
  </si>
  <si>
    <t>INFLATION RATES</t>
  </si>
  <si>
    <t>LONG TERM GROWTH RATES</t>
  </si>
  <si>
    <t xml:space="preserve">The Federal Reserve Bank projects their "longer run" estimate of change in the U.S. real Gross Domestice Product (GDP) </t>
  </si>
  <si>
    <t>The World Bank forecasts U.S. GDP</t>
  </si>
  <si>
    <t>GROWTH &amp; INFLATION RATES</t>
  </si>
  <si>
    <t>Real LT Growth</t>
  </si>
  <si>
    <t>Federal Reserve Board members and Federal Reserve Bank presidents estimate of long run personal consumption expenditures inflation (5)</t>
  </si>
  <si>
    <t xml:space="preserve">FRB members &amp; FRB presidents opinion (5) </t>
  </si>
  <si>
    <t>Survey of Professional Forecasters Tables 8 &amp; 9   (3)</t>
  </si>
  <si>
    <t>Federal Reserve Statistical Release  10 Yr Inflation protected Treasury securities (1)</t>
  </si>
  <si>
    <t xml:space="preserve">Federal Reserve Statistical Release  20 Yr Inflation protected Treasury securities (1) </t>
  </si>
  <si>
    <t xml:space="preserve">Federal Reserve Statistical Release  30 Yr Inflation protected Treasury securities (1) </t>
  </si>
  <si>
    <t>Federal Reserve Bank of Philadelphia / Livingston Survey Mean  (2)</t>
  </si>
  <si>
    <t>Federal Reserve Bank of Philadelphia / Livingston Survey  Median (2)</t>
  </si>
  <si>
    <t>“Since no firm can grow forever at a rate higher than the growth rate of the economy in which it operates, the constant growth rate cannot be greater</t>
  </si>
  <si>
    <t xml:space="preserve">than the overall growth rate of the economy.”  Dr. Aswath Damodaran (n.d.) The Stable Growth Rate, </t>
  </si>
  <si>
    <t>http://pages.stern.nyu.edu/~adamodar/New_Home_Page/valquestions/stablegrowthrate.htm</t>
  </si>
  <si>
    <t>Trimmed Average</t>
  </si>
  <si>
    <t>*Cornell, B. &amp; Gerger, R. (2017) Estimating Terminal Values with Inflation : The Inputs Matter - It is Not a Formulaic Exercise.  Business Valuation Review, Vol.36, Number 4, 117-123.</t>
  </si>
  <si>
    <t>C1  C2  C3</t>
  </si>
  <si>
    <t>MEDIAN GROWTH RATES</t>
  </si>
  <si>
    <t>SOURCE &gt;</t>
  </si>
  <si>
    <t>SOURCES &gt;</t>
  </si>
  <si>
    <t>Vl Projected 2023</t>
  </si>
  <si>
    <t>1 Yr Projected</t>
  </si>
  <si>
    <t>3-5 Yr Projected</t>
  </si>
  <si>
    <t>Short Term</t>
  </si>
  <si>
    <t>(1)</t>
  </si>
  <si>
    <t>(1)    4 Year compound annual growth rate (CAGR)  - 3 periods</t>
  </si>
  <si>
    <t>Earnings Data</t>
  </si>
  <si>
    <r>
      <t xml:space="preserve">KY DOR                    Earnings Growth Rate                 </t>
    </r>
    <r>
      <rPr>
        <b/>
        <sz val="9"/>
        <color theme="1"/>
        <rFont val="Microsoft GothicNeo"/>
        <family val="2"/>
        <charset val="129"/>
      </rPr>
      <t xml:space="preserve"> (Median / Average)</t>
    </r>
  </si>
  <si>
    <r>
      <t xml:space="preserve">KY DOR                Dividends Growth Rate </t>
    </r>
    <r>
      <rPr>
        <b/>
        <sz val="9"/>
        <color theme="1"/>
        <rFont val="Microsoft GothicNeo"/>
        <family val="2"/>
        <charset val="129"/>
      </rPr>
      <t xml:space="preserve"> (Median / Average)</t>
    </r>
  </si>
  <si>
    <t>YIELD EQUITY RATE</t>
  </si>
  <si>
    <t>g = b X ROE</t>
  </si>
  <si>
    <t>g = LT growth rate</t>
  </si>
  <si>
    <t>b = reinvestment rate</t>
  </si>
  <si>
    <t>ROE = Return on equity (or return on investment)</t>
  </si>
  <si>
    <t>b = g  / ROE</t>
  </si>
  <si>
    <t>The plowback ratio is multiplied by Net Cash Flow to estimate the amount of additional capital expenditures needed to achieve projected results.</t>
  </si>
  <si>
    <t>Reinvestment Rate =</t>
  </si>
  <si>
    <t>EBIT (1-Tax Rate)</t>
  </si>
  <si>
    <t>Capital Expenditures - Depreciation + Change in Working Capital</t>
  </si>
  <si>
    <t>Aswath Damodaran's model to determine the Reinvesment Rate &gt;</t>
  </si>
  <si>
    <t>It is assumed that the ROE is a fixed (unchanging) rate.</t>
  </si>
  <si>
    <t>Maintenance Capital Expenditures and Change in Working Capital</t>
  </si>
  <si>
    <t>http://www.federalreserve.gov/</t>
  </si>
  <si>
    <t>Operating Leases ****</t>
  </si>
  <si>
    <t>Market Value</t>
  </si>
  <si>
    <t>10K</t>
  </si>
  <si>
    <t>Market to</t>
  </si>
  <si>
    <t>Long Term Debt</t>
  </si>
  <si>
    <t xml:space="preserve">Capital </t>
  </si>
  <si>
    <t>Market</t>
  </si>
  <si>
    <t>to Book</t>
  </si>
  <si>
    <t>Composite</t>
  </si>
  <si>
    <t>Total</t>
  </si>
  <si>
    <t>AVERAGE</t>
  </si>
  <si>
    <t>Market to Book Ratios - Obsolescence Measurement</t>
  </si>
  <si>
    <t>Common Total Equity</t>
  </si>
  <si>
    <t>FMV / PV</t>
  </si>
  <si>
    <t>GCF CASH FLOW MULTIPLE &amp; EQUITY RATE</t>
  </si>
  <si>
    <r>
      <t xml:space="preserve">GCF CASH FLOW MULTIPLE &amp; EQUITY RATE </t>
    </r>
    <r>
      <rPr>
        <b/>
        <sz val="12"/>
        <color theme="1"/>
        <rFont val="Microsoft GothicNeo"/>
        <family val="2"/>
        <charset val="129"/>
      </rPr>
      <t>(1 Yr Projected VL)</t>
    </r>
  </si>
  <si>
    <t>https://tradingeconomics.com/united-states/gdp-growth</t>
  </si>
  <si>
    <t xml:space="preserve">http://www.worldbank.org/en/publication/global-economic-prospects </t>
  </si>
  <si>
    <t>CFRA                                    S&amp;P Net Advantage</t>
  </si>
  <si>
    <t>Zacks Investment Research</t>
  </si>
  <si>
    <t>Companies excluded from the study &gt;</t>
  </si>
  <si>
    <r>
      <t>K</t>
    </r>
    <r>
      <rPr>
        <b/>
        <sz val="10"/>
        <color theme="1"/>
        <rFont val="Microsoft GothicNeo"/>
        <family val="2"/>
        <charset val="129"/>
      </rPr>
      <t>E</t>
    </r>
    <r>
      <rPr>
        <b/>
        <sz val="16"/>
        <color theme="1"/>
        <rFont val="Microsoft GothicNeo"/>
        <family val="2"/>
        <charset val="129"/>
      </rPr>
      <t xml:space="preserve"> = (DY  X  (1+ .5(G)))  + .67(G1)  +  .33(g)</t>
    </r>
  </si>
  <si>
    <t>G   = Average growth rate</t>
  </si>
  <si>
    <t>G1 = Short term growth estimate</t>
  </si>
  <si>
    <t>DY = Dividend Yield     See ValueLine</t>
  </si>
  <si>
    <t>g   = Stable Growth - Nominal growth rate</t>
  </si>
  <si>
    <t>AA+</t>
  </si>
  <si>
    <t>AAA</t>
  </si>
  <si>
    <t>AA</t>
  </si>
  <si>
    <t>Obligations rated Aa are judged to be of high quality, with minimal risk.</t>
  </si>
  <si>
    <t>AA-</t>
  </si>
  <si>
    <t>BBB+</t>
  </si>
  <si>
    <t>BBB</t>
  </si>
  <si>
    <t>BBB-</t>
  </si>
  <si>
    <t>BB+</t>
  </si>
  <si>
    <t>BB</t>
  </si>
  <si>
    <t>BB-</t>
  </si>
  <si>
    <t>B-</t>
  </si>
  <si>
    <t>CCC+</t>
  </si>
  <si>
    <t>CCC</t>
  </si>
  <si>
    <t>CCC-</t>
  </si>
  <si>
    <t>CC</t>
  </si>
  <si>
    <t>Scale</t>
  </si>
  <si>
    <t>Retained to</t>
  </si>
  <si>
    <t>Shareholders Equity</t>
  </si>
  <si>
    <t>Retained to Common Equity -- Net profit less all common and preferred dividends divided by common equity including intangible assets, expressed as a percentage.  Also known as the plowback ratio.</t>
  </si>
  <si>
    <t>Return on Shareholders Equity -- Annual net profit divided by year-end shareholders equity, expressed as a percentage.</t>
  </si>
  <si>
    <t>Ca1</t>
  </si>
  <si>
    <t>Ca2</t>
  </si>
  <si>
    <t>Ca3</t>
  </si>
  <si>
    <t>CC+</t>
  </si>
  <si>
    <t>CC-</t>
  </si>
  <si>
    <t>AAA-</t>
  </si>
  <si>
    <t>AAA+</t>
  </si>
  <si>
    <t>Aaa1</t>
  </si>
  <si>
    <t>Aaa2</t>
  </si>
  <si>
    <t>Aaa3</t>
  </si>
  <si>
    <t>Share</t>
  </si>
  <si>
    <t>Gross Revenues</t>
  </si>
  <si>
    <t>NOPAT Earnings</t>
  </si>
  <si>
    <t>The purpose of this ratio is to test whether the market price is worth more (or less) than the cost of the assets.</t>
  </si>
  <si>
    <t>If the result is greater than one(1), it indicates the market value exceeds book value and can often be used as a sign of competent management.</t>
  </si>
  <si>
    <t>The higher the return on revenue the higher the price to revenue will be.</t>
  </si>
  <si>
    <t>Cash flow is typically defined to be net income plus depreciation and amortization.</t>
  </si>
  <si>
    <t xml:space="preserve">This measure is considered relevant for companies with high non-cash charges reflected in the income statement.  Non-cash charges include depreciation &amp; amortization, goodwill impairments, asset write downs, </t>
  </si>
  <si>
    <t>stock based compensation, and deferred income taxes and investment tax credits.</t>
  </si>
  <si>
    <t>P/E Ratio - Long Term Projection NOPAT</t>
  </si>
  <si>
    <t>&amp; Op Leases</t>
  </si>
  <si>
    <t>Earnings Growth = DY + EG</t>
  </si>
  <si>
    <t>Dividend Growth = DY + DG</t>
  </si>
  <si>
    <t>EG = Earnings Growth</t>
  </si>
  <si>
    <t>DG = Dividend Growth</t>
  </si>
  <si>
    <t>DY = Dividend Yield</t>
  </si>
  <si>
    <t>G = Projected Growth (Earnings Per Share 5 Yr Growth Rate)</t>
  </si>
  <si>
    <t>G = Projected Growth (Div. 5 Yr Growth Rate)</t>
  </si>
  <si>
    <t>General Partner Units</t>
  </si>
  <si>
    <t>Gross Book Value Equity</t>
  </si>
  <si>
    <t>GROSS REVENUE &amp; GROSS BOOK (EQUITY) MULTIPLES</t>
  </si>
  <si>
    <t>Multiple *</t>
  </si>
  <si>
    <t>* This multiple is applicable to service type companies, or those with few assets.  These companies sell at prices related to their revenues.</t>
  </si>
  <si>
    <t>** The book value, or common equity, per share is total owners' equity minus preferred stock divided by the number of common shares outstanding.</t>
  </si>
  <si>
    <t>Projected</t>
  </si>
  <si>
    <t xml:space="preserve">Property, Plant &amp; Equipment includes CWIP, but should exclude intangibles and the associated amortization.  </t>
  </si>
  <si>
    <t>Common Total Equity excludes 'noncontrolling interests' equity value.</t>
  </si>
  <si>
    <t xml:space="preserve">http://www.federalreserve.gov/Releases/H15/Current/ </t>
  </si>
  <si>
    <t>Companies added to the study &gt;</t>
  </si>
  <si>
    <t>Per Share **</t>
  </si>
  <si>
    <t>Inflation is the % change in the value of the Wholesale Price Index (WPI) on a year-to-year basis.</t>
  </si>
  <si>
    <t>Federal Reserve Statistical release - Inflation Protected Treasury Indexed Securities - 10 Year  (1)</t>
  </si>
  <si>
    <t xml:space="preserve">Federal Reserve Statistical release - Inflation Protected Treasury Indexed Securities - 20 Year  (1) </t>
  </si>
  <si>
    <t xml:space="preserve">Federal Reserve Statistical release - Inflation Protected Treasury Indexed Securities - 30 Year (1) </t>
  </si>
  <si>
    <t>Mergent Rating</t>
  </si>
  <si>
    <t>Any difference between the lease liability value and lease asset value is prepayments, lease incentives, and/or other direct costs.</t>
  </si>
  <si>
    <t>Maintenance, real estate taxes,insurance and other operating expenses associated with the leases are excluded from the ROU measurement.</t>
  </si>
  <si>
    <t>Op Lease Expense</t>
  </si>
  <si>
    <t>ROU Values Assets</t>
  </si>
  <si>
    <t>ROU Values Liab.</t>
  </si>
  <si>
    <t>Air Passenger Carriers</t>
  </si>
  <si>
    <t xml:space="preserve">Alaska Air </t>
  </si>
  <si>
    <t>ALK</t>
  </si>
  <si>
    <t>AirTrans</t>
  </si>
  <si>
    <t xml:space="preserve">Allegiant Travel Co. </t>
  </si>
  <si>
    <t>ALGT</t>
  </si>
  <si>
    <t xml:space="preserve">American Airlines </t>
  </si>
  <si>
    <t>AAL</t>
  </si>
  <si>
    <t xml:space="preserve">Delta Air Lines </t>
  </si>
  <si>
    <t>DAL</t>
  </si>
  <si>
    <t xml:space="preserve">JetBlue Airways </t>
  </si>
  <si>
    <t>JBLU</t>
  </si>
  <si>
    <t>Skywest Inc</t>
  </si>
  <si>
    <t>SKYW</t>
  </si>
  <si>
    <t xml:space="preserve">Southwest Airlines </t>
  </si>
  <si>
    <t>LUV</t>
  </si>
  <si>
    <t xml:space="preserve">Spirit Airlines </t>
  </si>
  <si>
    <t>SAVE</t>
  </si>
  <si>
    <t>United Airlines Holdings Inc</t>
  </si>
  <si>
    <t>UAL</t>
  </si>
  <si>
    <t xml:space="preserve">COPA Holdings - </t>
  </si>
  <si>
    <t xml:space="preserve">Hawaiian Holdings - </t>
  </si>
  <si>
    <t>C++</t>
  </si>
  <si>
    <t>Projected 1 Yr</t>
  </si>
  <si>
    <t>Estimated 20-22 to 26-28</t>
  </si>
  <si>
    <t>Earnings Per Share Growth Rate</t>
  </si>
  <si>
    <t>No dividends being paid from 2019 - 2023</t>
  </si>
  <si>
    <t>na</t>
  </si>
  <si>
    <t>This may be OK, but I have never seen a negative before.</t>
  </si>
  <si>
    <t xml:space="preserve">Risk Free Rate (Rf) </t>
  </si>
  <si>
    <t>Yield Equity Rate - DGM (Dividend Growth) &amp; DGM (Earnings Growth)  -- Gordon Growth</t>
  </si>
  <si>
    <t>Three Stage Ex Ante  Version 1  (1) (2)</t>
  </si>
  <si>
    <t>Three Stage Ex Ante  Version 2   (1) (2)</t>
  </si>
  <si>
    <t>Empirical CAPM - Ex Ante, Three Stage - V1</t>
  </si>
  <si>
    <t>Empirical CAPM - Ex Ante, Three Stage - V2</t>
  </si>
  <si>
    <t>CAPM - Ex Ante, Three Stage - V2</t>
  </si>
  <si>
    <t>CAPM - Ex Ante, Three Stage - V1</t>
  </si>
  <si>
    <t>Mean</t>
  </si>
  <si>
    <t>Harmonic Mean</t>
  </si>
  <si>
    <t>A market to book ratio over one would be an indication of no obsolescence.</t>
  </si>
  <si>
    <t xml:space="preserve">S&amp;P Rating </t>
  </si>
  <si>
    <t>S&amp;P Global Market Intelligence (9)</t>
  </si>
  <si>
    <t xml:space="preserve">(1) &amp; (2) Three Stage Dividend Growth Model, S&amp;P 500.  The Three Stage Ex Ante calculations were performed by Minnesota and Montana.  The Equity risk premiums are shown above.  </t>
  </si>
  <si>
    <t>http://pages.stern.nyu.edu/~adamodar/New_Home_Page/datacurrent.html</t>
  </si>
  <si>
    <t>https://www.richmondfed.org/research/national_economy/cfo_survey</t>
  </si>
  <si>
    <t>https://www.bvresources.com/products/faqs/cost-of-capital-professional</t>
  </si>
  <si>
    <t>https://simplywall.st/stocks/us/transportation</t>
  </si>
  <si>
    <t>Empirical CAPM - S&amp;P Global Market Intelligence</t>
  </si>
  <si>
    <t>Damodaran Implied ERP Ex Ante   Trailing 12 mo Cash Yield (3)</t>
  </si>
  <si>
    <t>Damodaran Implied ERP Ex Ante   Net Cash Yield (3)</t>
  </si>
  <si>
    <t>Damodaran Implied ERP Ex Ante   Norm. Earnings &amp; Payout (3)</t>
  </si>
  <si>
    <t>KROLL Ex Post  - ERP Historical (8)</t>
  </si>
  <si>
    <t>KROLL Ex Post - ERP Supply Side (8)</t>
  </si>
  <si>
    <t>KROLL Ex Ante - ERP Conditional (8)</t>
  </si>
  <si>
    <t>CAPM - Ex Ante  Damodaran 12 Mo Cash Yield</t>
  </si>
  <si>
    <t>CAPM - Ex Ante  Damodaran Net Cash Yield</t>
  </si>
  <si>
    <t>CAPM - Ex Ante  Damodaran NEP</t>
  </si>
  <si>
    <t>CAPM - Ex Post KROLL ERP Historical</t>
  </si>
  <si>
    <t>CAPM - Ex Post KROLL ERP Supply Side</t>
  </si>
  <si>
    <t>CAPM - Ex Ante KROLL ERP Conditional</t>
  </si>
  <si>
    <t>Empirical CAPM - Ex Ante  Damodaran 12 Mo Cash Yield</t>
  </si>
  <si>
    <t>Empirical CAPM - Ex Ante  Damodaran Net Cash Yield</t>
  </si>
  <si>
    <t>Empirical CAPM - Ex Ante  Damodaran NEP</t>
  </si>
  <si>
    <t>Empirical CAPM - Ex Post KROLL ERP Historical</t>
  </si>
  <si>
    <t>Empirical CAPM - Ex Post KROLL ERP Supply Side</t>
  </si>
  <si>
    <t>Empirical CAPM - Ex Ante KROLL ERP Conditional</t>
  </si>
  <si>
    <t>Damodaran Implied ERP Ex Ante   Avg CF Yield Last 10 Yrs (3)</t>
  </si>
  <si>
    <t>P. Fernandez, T. Garcia de Santos &amp; J.F.Acin  (5)</t>
  </si>
  <si>
    <t>CAPM - Ex Ante  Damodaran Avg CF Yield Last 10 Yrs</t>
  </si>
  <si>
    <t>Empirical CAPM - Ex Ante  Damodaran Avg CF Yield Last 10 Yrs</t>
  </si>
  <si>
    <t xml:space="preserve">Trading Economics, United States Full Year GDP Growth Rate Forecast  </t>
  </si>
  <si>
    <t>To calculate the inflation rate, compare the inflation-indexed securities to the non-inflation indexed securities. The difference between the securities (using the 10-year, 20-year, and 30- year constant securities) provides the inflation rate.</t>
  </si>
  <si>
    <t>Federal Reserve Bank of Philadelphia  /Survey of Professional Forecasters  Mean (3)</t>
  </si>
  <si>
    <t xml:space="preserve">Congressional Budget Office Real Economic Projections (4)  </t>
  </si>
  <si>
    <t>https://www.cbo.gov/system/files/2021-02/56970-Outlook.p</t>
  </si>
  <si>
    <t>2024 Tax Year</t>
  </si>
  <si>
    <t>2024 CAPITALIZATION RATE STUDY</t>
  </si>
  <si>
    <t>YEAR END 12/31/2023</t>
  </si>
  <si>
    <t>Dec. 31, 2023</t>
  </si>
  <si>
    <t>Vl Projected 2024</t>
  </si>
  <si>
    <t xml:space="preserve">(1)  Federal Reserve Statistical Release  January 2, 2024 </t>
  </si>
  <si>
    <t xml:space="preserve">(2)  Federal Reserve Bank of Philadelphia The Livingston Survey December 15, 2023 Table 3, page 8   Inflation Rate and Real GDP mean for next 10 years </t>
  </si>
  <si>
    <t>(2)  Federal Reserve Bank of Philadelphia The Livingston Survey December 17, 2023 Table 3, page 8   Median annual CPI Rate and Real GDP Growth Rate for next 10 years</t>
  </si>
  <si>
    <t>(3)  Federal Reserve Bank of Philadelphia Survey of Professional Forecasters February 9, 2024 Table 8 and Table 9 Average over next 10-Year mean   See below.</t>
  </si>
  <si>
    <t>spfq124.pdf (philadelphiafed.org)</t>
  </si>
  <si>
    <t>(4)  Budget Office, The Budget and Economic Outlook: 2024 to 2034, Table 2-1  and 2023 to 2033, Table C-1  See bellow.</t>
  </si>
  <si>
    <t>Retrieved February 8, 2024 from</t>
  </si>
  <si>
    <t>https://www.cbo.gov/publication/59933</t>
  </si>
  <si>
    <t xml:space="preserve">(5) Board of Governors of the Federal Reserve System, Economic projections of Federal Reserve Board members and Federal Reserve Bank presidents under their individual assessments of projected appropriate monetary policy. December 2023 </t>
  </si>
  <si>
    <t>https://www.federalreserve.gov/monetarypolicy/files/fomcprojtabl20231213.pdf</t>
  </si>
  <si>
    <t>5 Yr  Jan 2 2024</t>
  </si>
  <si>
    <t>3.93 - 1.76 = 2.17</t>
  </si>
  <si>
    <t>10 Yr  Jan 2 2024</t>
  </si>
  <si>
    <t>3.95 - 1.74 = 2.21</t>
  </si>
  <si>
    <t>20 Yr  Jan 2 2024</t>
  </si>
  <si>
    <t>4.25 - 1.84 = 2.41</t>
  </si>
  <si>
    <t>30 Yr  Jan 2 2024</t>
  </si>
  <si>
    <t>4.08 - 1.91 = 2.17</t>
  </si>
  <si>
    <t>The market yield on 20 year US Treasury  Jan 2, 2024</t>
  </si>
  <si>
    <t>Board of Governors of the Federal Reserve System, H.15, Selected Interest Rates, Market Yield on U.S. Treasury Securities 20-year constant maturity quoted on investment bases, daily observations as of Jan 2, 2024.</t>
  </si>
  <si>
    <t>Board of Governors of the Federal Reserve System, Economic projections of Federal Reserve Board members and Federal Reserve Bank presidents under their individual assessments of projected appropriate monetary policy. December 2023</t>
  </si>
  <si>
    <r>
      <t xml:space="preserve">1.60% </t>
    </r>
    <r>
      <rPr>
        <b/>
        <sz val="14"/>
        <color theme="1"/>
        <rFont val="Microsoft GothicNeo"/>
        <family val="2"/>
        <charset val="129"/>
      </rPr>
      <t>in 2024</t>
    </r>
    <r>
      <rPr>
        <b/>
        <sz val="18"/>
        <color theme="1"/>
        <rFont val="Microsoft GothicNeo"/>
        <family val="2"/>
        <charset val="129"/>
      </rPr>
      <t xml:space="preserve">   &amp;  1.70%</t>
    </r>
    <r>
      <rPr>
        <b/>
        <sz val="14"/>
        <color theme="1"/>
        <rFont val="Microsoft GothicNeo"/>
        <family val="2"/>
        <charset val="129"/>
      </rPr>
      <t xml:space="preserve"> in 2025 </t>
    </r>
  </si>
  <si>
    <t>World Bank Group Flagship Report, Global Economic Prospects. January 2024-25. Page 4.</t>
  </si>
  <si>
    <t>The Trading Economics projects the U.S. GDP annual growth rate for 2025</t>
  </si>
  <si>
    <r>
      <t xml:space="preserve">1.5% in </t>
    </r>
    <r>
      <rPr>
        <b/>
        <sz val="14"/>
        <rFont val="Microsoft GothicNeo"/>
        <family val="2"/>
        <charset val="129"/>
      </rPr>
      <t>2024</t>
    </r>
    <r>
      <rPr>
        <b/>
        <sz val="18"/>
        <rFont val="Microsoft GothicNeo"/>
        <family val="2"/>
        <charset val="129"/>
      </rPr>
      <t xml:space="preserve">  &amp;  2.2% in </t>
    </r>
    <r>
      <rPr>
        <b/>
        <sz val="14"/>
        <rFont val="Microsoft GothicNeo"/>
        <family val="2"/>
        <charset val="129"/>
      </rPr>
      <t>2025&amp;2026</t>
    </r>
  </si>
  <si>
    <t>The Congressional Budget Office projects the U.S. GDP annual growth rates</t>
  </si>
  <si>
    <r>
      <t xml:space="preserve">2.1% </t>
    </r>
    <r>
      <rPr>
        <b/>
        <sz val="14"/>
        <rFont val="Microsoft GothicNeo"/>
        <family val="2"/>
        <charset val="129"/>
      </rPr>
      <t>2027 to 2028</t>
    </r>
    <r>
      <rPr>
        <b/>
        <sz val="18"/>
        <rFont val="Microsoft GothicNeo"/>
        <family val="2"/>
        <charset val="129"/>
      </rPr>
      <t xml:space="preserve">  &amp;  1.9% </t>
    </r>
    <r>
      <rPr>
        <b/>
        <sz val="14"/>
        <rFont val="Microsoft GothicNeo"/>
        <family val="2"/>
        <charset val="129"/>
      </rPr>
      <t>2029 to 2034</t>
    </r>
  </si>
  <si>
    <t>(3) Implied Equity Risk Premium on January 5, 2024 as determined by Dr. Aswath Damodaran</t>
  </si>
  <si>
    <t xml:space="preserve">(4) The CFO Survey (2023). Data &amp; Results December 20, 2023. Mean average annual S&amp;P return over next ten years (8.9%) less annual yield on 10‐year Treasury Bonds (3.96%). </t>
  </si>
  <si>
    <t>(5) Fernandez, P., Garcia D., &amp; Acin, J. F. (2023). Survey: Market Risk Premium and Risk‐Free Rate used for 80 countries in 2023. SSRN Electronic Journal.</t>
  </si>
  <si>
    <t>https://papers.ssrn.com/sol3/papers.cfm?abstract_id=4407839</t>
  </si>
  <si>
    <t xml:space="preserve">(6) &amp; (7) Business Valuation Resources, Cost of Capital Professional. (2024). Historical ERP 1928 to present, using arithmetic mean, geometric mean, and 20-Year Treasury Securities. </t>
  </si>
  <si>
    <t xml:space="preserve">(8) KROLL, Cost of Capital Navigator. (2024). </t>
  </si>
  <si>
    <t xml:space="preserve">(9) S&amp;P Global Market Intelligence ( Jan. 2024). </t>
  </si>
  <si>
    <t>Daily Tresury Par Real Yield Curve Rates  Jan 2 (1)</t>
  </si>
  <si>
    <t xml:space="preserve">Federal Reserve Bank of Philadelphia - The Livingston Survey - Inflation Mean (measured by the CPI over next 10 years) Dec. 2023  Table 3   Page 8  (2) </t>
  </si>
  <si>
    <t xml:space="preserve">Federal Reserve Bank of Philadelphia - The Livingston Survey - Inflation Median (measured by the CPI over next 10 years) Dec. 2023  Table 3  Page 8  (2)  </t>
  </si>
  <si>
    <t>Congressional Budget Office  Average % change Yr to Yr  2024-2034  Table2-1  (4)</t>
  </si>
  <si>
    <t>CS+PS+OL+VL+LTD</t>
  </si>
  <si>
    <t>Variable Leases *****</t>
  </si>
  <si>
    <t>***** Market value of variable operating leases for all companies.</t>
  </si>
  <si>
    <t>**** Market value of operating leases for all companies.</t>
  </si>
  <si>
    <t>PV of future payments</t>
  </si>
  <si>
    <t>NMF</t>
  </si>
  <si>
    <t xml:space="preserve"> CCC+ / B-</t>
  </si>
  <si>
    <t>Baa3 / Ba2</t>
  </si>
  <si>
    <t>Ba3 / B1</t>
  </si>
  <si>
    <t>Baa</t>
  </si>
  <si>
    <t>Ba2 Ba3</t>
  </si>
  <si>
    <r>
      <t xml:space="preserve">NOPAT CASH FLOW MULTIPLE &amp; EQUITY RATE </t>
    </r>
    <r>
      <rPr>
        <b/>
        <sz val="12"/>
        <color theme="1"/>
        <rFont val="Microsoft GothicNeo"/>
        <family val="2"/>
        <charset val="129"/>
      </rPr>
      <t>(LT 27-29 Yr Projected VL)</t>
    </r>
  </si>
  <si>
    <t>nil</t>
  </si>
  <si>
    <t>nmf</t>
  </si>
  <si>
    <t>Corporate                          December Avg</t>
  </si>
  <si>
    <t>Utility                                                December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</si>
</sst>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_(* #,##0.000_);_(* \(#,##0.000\);_(* &quot;-&quot;??_);_(@_)"/>
    <numFmt numFmtId="168" formatCode="0.000%"/>
    <numFmt numFmtId="169" formatCode="0.0000%"/>
  </numFmts>
  <fonts count="80">
    <font>
      <sz val="11"/>
      <color theme="1"/>
      <name val="Calibri"/>
      <family val="2"/>
      <scheme val="minor"/>
    </font>
    <font>
      <sz val="11"/>
      <color theme="1"/>
      <name val="Calibri"/>
      <family val="2"/>
      <scheme val="minor"/>
    </font>
    <font>
      <b/>
      <sz val="12"/>
      <color theme="1"/>
      <name val="Calibri"/>
      <family val="2"/>
      <scheme val="minor"/>
    </font>
    <font>
      <b/>
      <sz val="11"/>
      <color theme="1"/>
      <name val="Helvetica Narrow Bold"/>
      <family val="2"/>
    </font>
    <font>
      <sz val="12"/>
      <color theme="1"/>
      <name val="Calibri"/>
      <family val="2"/>
      <scheme val="minor"/>
    </font>
    <font>
      <b/>
      <sz val="14"/>
      <color theme="1"/>
      <name val="Calibri"/>
      <family val="2"/>
      <scheme val="minor"/>
    </font>
    <font>
      <sz val="14"/>
      <color theme="1"/>
      <name val="Calibri"/>
      <family val="2"/>
      <scheme val="minor"/>
    </font>
    <font>
      <b/>
      <sz val="22"/>
      <color theme="1"/>
      <name val="Georgia"/>
      <family val="1"/>
    </font>
    <font>
      <sz val="11"/>
      <color theme="1"/>
      <name val="Georgia"/>
      <family val="1"/>
    </font>
    <font>
      <b/>
      <i/>
      <sz val="22"/>
      <color theme="1"/>
      <name val="Georgia"/>
      <family val="1"/>
    </font>
    <font>
      <i/>
      <sz val="11"/>
      <color theme="1"/>
      <name val="Georgia"/>
      <family val="1"/>
    </font>
    <font>
      <b/>
      <sz val="11"/>
      <color theme="1"/>
      <name val="Palatino Roman"/>
      <family val="1"/>
    </font>
    <font>
      <sz val="11"/>
      <color theme="1"/>
      <name val="Palatino Roman"/>
      <family val="1"/>
    </font>
    <font>
      <b/>
      <sz val="26"/>
      <color theme="1"/>
      <name val="Calibri"/>
      <family val="2"/>
      <scheme val="minor"/>
    </font>
    <font>
      <sz val="26"/>
      <color theme="1"/>
      <name val="Calibri"/>
      <family val="2"/>
      <scheme val="minor"/>
    </font>
    <font>
      <b/>
      <sz val="11"/>
      <name val="Calibri"/>
      <family val="2"/>
      <scheme val="minor"/>
    </font>
    <font>
      <sz val="9"/>
      <color indexed="81"/>
      <name val="Tahoma"/>
      <family val="2"/>
    </font>
    <font>
      <sz val="12"/>
      <name val="TIMES"/>
    </font>
    <font>
      <u/>
      <sz val="11"/>
      <color theme="10"/>
      <name val="Calibri"/>
      <family val="2"/>
      <scheme val="minor"/>
    </font>
    <font>
      <sz val="11"/>
      <color theme="1"/>
      <name val="Microsoft GothicNeo"/>
      <family val="2"/>
      <charset val="129"/>
    </font>
    <font>
      <sz val="11"/>
      <name val="Microsoft GothicNeo"/>
      <family val="2"/>
      <charset val="129"/>
    </font>
    <font>
      <b/>
      <sz val="11"/>
      <color theme="1"/>
      <name val="Microsoft GothicNeo"/>
      <family val="2"/>
      <charset val="129"/>
    </font>
    <font>
      <b/>
      <sz val="11"/>
      <name val="Microsoft GothicNeo"/>
      <family val="2"/>
      <charset val="129"/>
    </font>
    <font>
      <b/>
      <sz val="18"/>
      <color theme="1"/>
      <name val="Microsoft GothicNeo"/>
      <family val="2"/>
      <charset val="129"/>
    </font>
    <font>
      <b/>
      <sz val="16"/>
      <color theme="1"/>
      <name val="Microsoft GothicNeo"/>
      <family val="2"/>
      <charset val="129"/>
    </font>
    <font>
      <b/>
      <sz val="12"/>
      <color indexed="8"/>
      <name val="Microsoft GothicNeo"/>
      <family val="2"/>
      <charset val="129"/>
    </font>
    <font>
      <b/>
      <sz val="11"/>
      <color indexed="8"/>
      <name val="Microsoft GothicNeo"/>
      <family val="2"/>
      <charset val="129"/>
    </font>
    <font>
      <b/>
      <sz val="11"/>
      <color rgb="FFFF0000"/>
      <name val="Microsoft GothicNeo"/>
      <family val="2"/>
      <charset val="129"/>
    </font>
    <font>
      <b/>
      <sz val="14"/>
      <color theme="1"/>
      <name val="Microsoft GothicNeo"/>
      <family val="2"/>
      <charset val="129"/>
    </font>
    <font>
      <b/>
      <sz val="10"/>
      <color theme="1"/>
      <name val="Microsoft GothicNeo"/>
      <family val="2"/>
      <charset val="129"/>
    </font>
    <font>
      <sz val="9"/>
      <color theme="1"/>
      <name val="Microsoft GothicNeo"/>
      <family val="2"/>
      <charset val="129"/>
    </font>
    <font>
      <sz val="10"/>
      <color theme="1"/>
      <name val="Microsoft GothicNeo"/>
      <family val="2"/>
      <charset val="129"/>
    </font>
    <font>
      <i/>
      <sz val="9"/>
      <color theme="1"/>
      <name val="Microsoft GothicNeo"/>
      <family val="2"/>
      <charset val="129"/>
    </font>
    <font>
      <b/>
      <sz val="9"/>
      <color theme="1"/>
      <name val="Microsoft GothicNeo"/>
      <family val="2"/>
      <charset val="129"/>
    </font>
    <font>
      <b/>
      <sz val="12"/>
      <color theme="1"/>
      <name val="Microsoft GothicNeo"/>
      <family val="2"/>
      <charset val="129"/>
    </font>
    <font>
      <b/>
      <i/>
      <sz val="10"/>
      <color theme="1"/>
      <name val="Microsoft GothicNeo"/>
      <family val="2"/>
      <charset val="129"/>
    </font>
    <font>
      <sz val="16"/>
      <color theme="1"/>
      <name val="Microsoft GothicNeo"/>
      <family val="2"/>
      <charset val="129"/>
    </font>
    <font>
      <sz val="12"/>
      <color theme="1"/>
      <name val="Microsoft GothicNeo"/>
      <family val="2"/>
      <charset val="129"/>
    </font>
    <font>
      <b/>
      <sz val="12"/>
      <name val="Microsoft GothicNeo"/>
      <family val="2"/>
      <charset val="129"/>
    </font>
    <font>
      <b/>
      <i/>
      <u/>
      <sz val="11"/>
      <color theme="1"/>
      <name val="Microsoft GothicNeo"/>
      <family val="2"/>
      <charset val="129"/>
    </font>
    <font>
      <b/>
      <i/>
      <sz val="11"/>
      <color theme="1"/>
      <name val="Microsoft GothicNeo"/>
      <family val="2"/>
      <charset val="129"/>
    </font>
    <font>
      <i/>
      <sz val="10"/>
      <color theme="1"/>
      <name val="Microsoft GothicNeo"/>
      <family val="2"/>
      <charset val="129"/>
    </font>
    <font>
      <b/>
      <sz val="16"/>
      <name val="Microsoft GothicNeo"/>
      <family val="2"/>
      <charset val="129"/>
    </font>
    <font>
      <b/>
      <sz val="16"/>
      <color rgb="FFFF0000"/>
      <name val="Microsoft GothicNeo"/>
      <family val="2"/>
      <charset val="129"/>
    </font>
    <font>
      <sz val="12"/>
      <color rgb="FFFF0000"/>
      <name val="Microsoft GothicNeo"/>
      <family val="2"/>
      <charset val="129"/>
    </font>
    <font>
      <b/>
      <sz val="12"/>
      <color rgb="FF0000CC"/>
      <name val="Microsoft GothicNeo"/>
      <family val="2"/>
      <charset val="129"/>
    </font>
    <font>
      <b/>
      <sz val="14"/>
      <name val="Microsoft GothicNeo"/>
      <family val="2"/>
      <charset val="129"/>
    </font>
    <font>
      <u/>
      <sz val="11"/>
      <color theme="10"/>
      <name val="Microsoft GothicNeo"/>
      <family val="2"/>
      <charset val="129"/>
    </font>
    <font>
      <sz val="10"/>
      <name val="Microsoft GothicNeo"/>
      <family val="2"/>
      <charset val="129"/>
    </font>
    <font>
      <b/>
      <sz val="12"/>
      <color rgb="FFFF0000"/>
      <name val="Microsoft GothicNeo"/>
      <family val="2"/>
      <charset val="129"/>
    </font>
    <font>
      <b/>
      <sz val="14"/>
      <color rgb="FFFF0000"/>
      <name val="Microsoft GothicNeo"/>
      <family val="2"/>
      <charset val="129"/>
    </font>
    <font>
      <b/>
      <sz val="18"/>
      <color rgb="FFFF0000"/>
      <name val="Microsoft GothicNeo"/>
      <family val="2"/>
      <charset val="129"/>
    </font>
    <font>
      <b/>
      <sz val="11"/>
      <color theme="1"/>
      <name val="Calibri"/>
      <family val="2"/>
      <scheme val="minor"/>
    </font>
    <font>
      <sz val="14"/>
      <color theme="1"/>
      <name val="Microsoft GothicNeo"/>
      <family val="2"/>
      <charset val="129"/>
    </font>
    <font>
      <sz val="11"/>
      <color rgb="FFFF0000"/>
      <name val="Microsoft GothicNeo"/>
      <family val="2"/>
      <charset val="129"/>
    </font>
    <font>
      <sz val="18"/>
      <color theme="1"/>
      <name val="Microsoft GothicNeo"/>
      <family val="2"/>
      <charset val="129"/>
    </font>
    <font>
      <sz val="20"/>
      <color theme="1"/>
      <name val="Microsoft GothicNeo"/>
      <family val="2"/>
      <charset val="129"/>
    </font>
    <font>
      <b/>
      <sz val="20"/>
      <color theme="1"/>
      <name val="Microsoft GothicNeo"/>
      <family val="2"/>
      <charset val="129"/>
    </font>
    <font>
      <b/>
      <sz val="11"/>
      <color indexed="81"/>
      <name val="Tahoma"/>
      <family val="2"/>
    </font>
    <font>
      <sz val="11"/>
      <color indexed="81"/>
      <name val="Tahoma"/>
      <family val="2"/>
    </font>
    <font>
      <b/>
      <i/>
      <sz val="18"/>
      <color rgb="FF0000CC"/>
      <name val="Microsoft GothicNeo"/>
      <family val="2"/>
      <charset val="129"/>
    </font>
    <font>
      <b/>
      <sz val="9"/>
      <color indexed="81"/>
      <name val="Tahoma"/>
      <family val="2"/>
    </font>
    <font>
      <sz val="11"/>
      <name val="Calibri"/>
      <family val="2"/>
      <scheme val="minor"/>
    </font>
    <font>
      <b/>
      <i/>
      <sz val="18"/>
      <name val="Calibri"/>
      <family val="2"/>
      <scheme val="minor"/>
    </font>
    <font>
      <b/>
      <i/>
      <sz val="10"/>
      <color rgb="FF0000CC"/>
      <name val="Microsoft GothicNeo"/>
      <family val="2"/>
      <charset val="129"/>
    </font>
    <font>
      <b/>
      <sz val="20"/>
      <name val="Microsoft GothicNeo"/>
      <family val="2"/>
      <charset val="129"/>
    </font>
    <font>
      <b/>
      <i/>
      <sz val="14"/>
      <color theme="1"/>
      <name val="Calibri"/>
      <family val="2"/>
      <scheme val="minor"/>
    </font>
    <font>
      <b/>
      <sz val="9"/>
      <name val="Microsoft GothicNeo"/>
      <family val="2"/>
      <charset val="129"/>
    </font>
    <font>
      <b/>
      <sz val="12"/>
      <color rgb="FF000000"/>
      <name val="Microsoft GothicNeo"/>
      <family val="2"/>
      <charset val="129"/>
    </font>
    <font>
      <sz val="12"/>
      <color indexed="81"/>
      <name val="Tahoma"/>
      <family val="2"/>
    </font>
    <font>
      <b/>
      <sz val="14"/>
      <color theme="9" tint="-0.499984740745262"/>
      <name val="Microsoft GothicNeo"/>
      <family val="2"/>
      <charset val="129"/>
    </font>
    <font>
      <b/>
      <sz val="11"/>
      <color theme="9" tint="-0.499984740745262"/>
      <name val="Microsoft GothicNeo"/>
      <family val="2"/>
      <charset val="129"/>
    </font>
    <font>
      <i/>
      <sz val="11"/>
      <color theme="1"/>
      <name val="Microsoft GothicNeo"/>
      <family val="2"/>
      <charset val="129"/>
    </font>
    <font>
      <b/>
      <sz val="18"/>
      <name val="Microsoft GothicNeo"/>
      <family val="2"/>
      <charset val="129"/>
    </font>
    <font>
      <sz val="11"/>
      <name val="Microsoft GothicNeo Light"/>
      <family val="2"/>
      <charset val="129"/>
    </font>
    <font>
      <sz val="11"/>
      <color rgb="FF0000CC"/>
      <name val="Microsoft GothicNeo"/>
      <family val="2"/>
      <charset val="129"/>
    </font>
    <font>
      <b/>
      <sz val="11"/>
      <color theme="1"/>
      <name val="Cordia New"/>
      <family val="2"/>
      <charset val="222"/>
    </font>
    <font>
      <b/>
      <sz val="12"/>
      <color theme="1"/>
      <name val="Cordia New"/>
      <family val="2"/>
      <charset val="222"/>
    </font>
    <font>
      <sz val="9"/>
      <color indexed="81"/>
      <name val="Tahoma"/>
      <charset val="1"/>
    </font>
    <font>
      <b/>
      <sz val="9"/>
      <color indexed="81"/>
      <name val="Tahoma"/>
      <charset val="1"/>
    </font>
  </fonts>
  <fills count="5">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s>
  <borders count="44">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7" fillId="0" borderId="0"/>
    <xf numFmtId="0" fontId="17" fillId="0" borderId="0"/>
    <xf numFmtId="0" fontId="18" fillId="0" borderId="0" applyNumberFormat="0" applyFill="0" applyBorder="0" applyAlignment="0" applyProtection="0"/>
  </cellStyleXfs>
  <cellXfs count="509">
    <xf numFmtId="0" fontId="0" fillId="0" borderId="0" xfId="0"/>
    <xf numFmtId="0" fontId="2" fillId="0" borderId="0" xfId="0" applyFont="1"/>
    <xf numFmtId="0" fontId="3" fillId="0" borderId="0" xfId="0" applyFont="1"/>
    <xf numFmtId="164" fontId="3" fillId="0" borderId="0" xfId="1" applyNumberFormat="1" applyFont="1"/>
    <xf numFmtId="0" fontId="4" fillId="0" borderId="0" xfId="0" applyFont="1"/>
    <xf numFmtId="0" fontId="2"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9" fillId="0" borderId="0" xfId="0" applyFont="1"/>
    <xf numFmtId="0" fontId="19" fillId="0" borderId="0" xfId="0" applyFont="1" applyAlignment="1">
      <alignment horizontal="center"/>
    </xf>
    <xf numFmtId="0" fontId="21" fillId="0" borderId="0" xfId="0" applyFont="1" applyAlignment="1">
      <alignment horizontal="right"/>
    </xf>
    <xf numFmtId="43" fontId="22" fillId="0" borderId="0" xfId="1" applyFont="1" applyAlignment="1">
      <alignment horizontal="right" vertical="center"/>
    </xf>
    <xf numFmtId="43" fontId="22" fillId="0" borderId="0" xfId="1" applyFont="1" applyFill="1" applyAlignment="1">
      <alignment horizontal="right" vertical="center"/>
    </xf>
    <xf numFmtId="43" fontId="21" fillId="0" borderId="0" xfId="1" applyFont="1" applyFill="1" applyAlignment="1">
      <alignment horizontal="right"/>
    </xf>
    <xf numFmtId="43" fontId="21" fillId="0" borderId="0" xfId="1" applyFont="1" applyFill="1" applyAlignment="1">
      <alignment horizontal="center"/>
    </xf>
    <xf numFmtId="43" fontId="21" fillId="0" borderId="0" xfId="1" applyFont="1" applyFill="1" applyAlignment="1">
      <alignment horizontal="center" vertical="center"/>
    </xf>
    <xf numFmtId="43" fontId="21" fillId="0" borderId="0" xfId="1" applyFont="1" applyFill="1" applyBorder="1" applyAlignment="1">
      <alignment horizontal="center" vertical="center"/>
    </xf>
    <xf numFmtId="43" fontId="21" fillId="0" borderId="0" xfId="1" applyFont="1" applyFill="1"/>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xf numFmtId="0" fontId="28" fillId="0" borderId="14" xfId="0" applyFont="1" applyBorder="1"/>
    <xf numFmtId="0" fontId="19" fillId="0" borderId="2" xfId="0" applyFont="1" applyBorder="1"/>
    <xf numFmtId="0" fontId="27" fillId="0" borderId="2" xfId="0" applyFont="1" applyBorder="1"/>
    <xf numFmtId="0" fontId="28" fillId="0" borderId="0" xfId="0" applyFont="1"/>
    <xf numFmtId="0" fontId="24" fillId="0" borderId="0" xfId="0" applyFont="1" applyAlignment="1">
      <alignment horizontal="center"/>
    </xf>
    <xf numFmtId="0" fontId="29" fillId="0" borderId="2" xfId="0" applyFont="1" applyBorder="1" applyAlignment="1">
      <alignment horizontal="center"/>
    </xf>
    <xf numFmtId="0" fontId="30" fillId="0" borderId="2" xfId="0" applyFont="1" applyBorder="1" applyAlignment="1">
      <alignment horizontal="center"/>
    </xf>
    <xf numFmtId="0" fontId="21" fillId="0" borderId="0" xfId="0" applyFont="1" applyAlignment="1">
      <alignment horizontal="center"/>
    </xf>
    <xf numFmtId="0" fontId="29" fillId="0" borderId="0" xfId="0" applyFont="1" applyAlignment="1">
      <alignment horizontal="center"/>
    </xf>
    <xf numFmtId="0" fontId="21" fillId="0" borderId="2" xfId="0" applyFont="1" applyBorder="1" applyAlignment="1">
      <alignment horizontal="center"/>
    </xf>
    <xf numFmtId="0" fontId="31" fillId="0" borderId="2" xfId="0" applyFont="1" applyBorder="1" applyAlignment="1">
      <alignment horizontal="center"/>
    </xf>
    <xf numFmtId="0" fontId="30" fillId="0" borderId="1" xfId="0" applyFont="1" applyBorder="1" applyAlignment="1">
      <alignment horizontal="center"/>
    </xf>
    <xf numFmtId="0" fontId="32" fillId="0" borderId="1" xfId="0" applyFont="1" applyBorder="1" applyAlignment="1">
      <alignment horizontal="center"/>
    </xf>
    <xf numFmtId="0" fontId="30" fillId="0" borderId="0" xfId="0" applyFont="1" applyAlignment="1">
      <alignment horizontal="center"/>
    </xf>
    <xf numFmtId="0" fontId="33" fillId="0" borderId="2" xfId="0" applyFont="1" applyBorder="1" applyAlignment="1">
      <alignment horizontal="center"/>
    </xf>
    <xf numFmtId="0" fontId="35" fillId="0" borderId="1" xfId="0" applyFont="1" applyBorder="1" applyAlignment="1">
      <alignment horizontal="center"/>
    </xf>
    <xf numFmtId="0" fontId="21" fillId="0" borderId="0" xfId="0" applyFont="1"/>
    <xf numFmtId="166" fontId="22" fillId="0" borderId="0" xfId="1" applyNumberFormat="1" applyFont="1" applyFill="1" applyAlignment="1">
      <alignment horizontal="center"/>
    </xf>
    <xf numFmtId="166" fontId="22" fillId="0" borderId="0" xfId="1" applyNumberFormat="1" applyFont="1" applyFill="1"/>
    <xf numFmtId="0" fontId="21" fillId="0" borderId="4" xfId="0" applyFont="1" applyBorder="1"/>
    <xf numFmtId="0" fontId="22" fillId="0" borderId="0" xfId="0" applyFont="1" applyAlignment="1">
      <alignment horizontal="center" vertical="center"/>
    </xf>
    <xf numFmtId="166" fontId="21" fillId="0" borderId="0" xfId="1" applyNumberFormat="1" applyFont="1" applyFill="1" applyAlignment="1">
      <alignment horizontal="center"/>
    </xf>
    <xf numFmtId="0" fontId="24" fillId="0" borderId="0" xfId="0" applyFont="1" applyAlignment="1">
      <alignment horizontal="right"/>
    </xf>
    <xf numFmtId="10" fontId="21" fillId="0" borderId="0" xfId="2" applyNumberFormat="1" applyFont="1" applyFill="1" applyAlignment="1">
      <alignment horizontal="center" vertical="center"/>
    </xf>
    <xf numFmtId="10" fontId="21" fillId="0" borderId="0" xfId="2" applyNumberFormat="1" applyFont="1" applyFill="1" applyBorder="1" applyAlignment="1">
      <alignment horizontal="center" vertical="center"/>
    </xf>
    <xf numFmtId="10" fontId="22" fillId="0" borderId="0" xfId="2" applyNumberFormat="1" applyFont="1" applyAlignment="1">
      <alignment horizontal="right" vertical="center"/>
    </xf>
    <xf numFmtId="10" fontId="22" fillId="0" borderId="0" xfId="2" applyNumberFormat="1" applyFont="1" applyFill="1" applyAlignment="1">
      <alignment horizontal="right"/>
    </xf>
    <xf numFmtId="10" fontId="21" fillId="0" borderId="0" xfId="2" applyNumberFormat="1" applyFont="1" applyFill="1" applyAlignment="1">
      <alignment horizontal="right"/>
    </xf>
    <xf numFmtId="10" fontId="21" fillId="0" borderId="0" xfId="2" applyNumberFormat="1" applyFont="1" applyFill="1" applyAlignment="1">
      <alignment horizontal="center"/>
    </xf>
    <xf numFmtId="10" fontId="21" fillId="0" borderId="0" xfId="2" applyNumberFormat="1" applyFont="1" applyFill="1"/>
    <xf numFmtId="0" fontId="19" fillId="2" borderId="18" xfId="0" applyFont="1" applyFill="1" applyBorder="1" applyAlignment="1">
      <alignment horizontal="center"/>
    </xf>
    <xf numFmtId="0" fontId="19" fillId="2" borderId="20" xfId="0" applyFont="1" applyFill="1" applyBorder="1" applyAlignment="1">
      <alignment horizontal="center"/>
    </xf>
    <xf numFmtId="2" fontId="38" fillId="0" borderId="0" xfId="0" applyNumberFormat="1" applyFont="1" applyAlignment="1">
      <alignment horizontal="center"/>
    </xf>
    <xf numFmtId="164" fontId="38" fillId="0" borderId="0" xfId="1" applyNumberFormat="1" applyFont="1" applyAlignment="1"/>
    <xf numFmtId="2" fontId="22" fillId="0" borderId="0" xfId="0" applyNumberFormat="1" applyFont="1" applyAlignment="1">
      <alignment horizontal="center"/>
    </xf>
    <xf numFmtId="0" fontId="34" fillId="0" borderId="0" xfId="0" applyFont="1"/>
    <xf numFmtId="43" fontId="24" fillId="0" borderId="0" xfId="1" applyFont="1" applyFill="1"/>
    <xf numFmtId="2" fontId="38" fillId="0" borderId="4" xfId="0" applyNumberFormat="1" applyFont="1" applyBorder="1" applyAlignment="1">
      <alignment horizontal="center"/>
    </xf>
    <xf numFmtId="10" fontId="22" fillId="0" borderId="0" xfId="2" applyNumberFormat="1" applyFont="1" applyFill="1" applyAlignment="1">
      <alignment horizontal="center"/>
    </xf>
    <xf numFmtId="0" fontId="19" fillId="0" borderId="2" xfId="0" applyFont="1" applyBorder="1" applyAlignment="1">
      <alignment horizontal="center"/>
    </xf>
    <xf numFmtId="0" fontId="31" fillId="0" borderId="15" xfId="0" applyFont="1" applyBorder="1" applyAlignment="1">
      <alignment horizontal="center"/>
    </xf>
    <xf numFmtId="0" fontId="24" fillId="0" borderId="0" xfId="0" applyFont="1" applyAlignment="1">
      <alignment horizontal="center" vertical="center"/>
    </xf>
    <xf numFmtId="2" fontId="21" fillId="0" borderId="0" xfId="0" applyNumberFormat="1" applyFont="1" applyAlignment="1">
      <alignment horizontal="center"/>
    </xf>
    <xf numFmtId="0" fontId="19" fillId="0" borderId="4" xfId="0" applyFont="1" applyBorder="1"/>
    <xf numFmtId="2" fontId="21" fillId="0" borderId="0" xfId="0" applyNumberFormat="1" applyFont="1" applyAlignment="1">
      <alignment horizontal="right"/>
    </xf>
    <xf numFmtId="10" fontId="21" fillId="0" borderId="0" xfId="0" applyNumberFormat="1" applyFont="1"/>
    <xf numFmtId="0" fontId="39" fillId="0" borderId="0" xfId="0" applyFont="1" applyAlignment="1">
      <alignment horizontal="center"/>
    </xf>
    <xf numFmtId="0" fontId="40" fillId="0" borderId="0" xfId="0" applyFont="1"/>
    <xf numFmtId="0" fontId="41" fillId="0" borderId="15" xfId="0" applyFont="1" applyBorder="1" applyAlignment="1">
      <alignment horizontal="center"/>
    </xf>
    <xf numFmtId="0" fontId="36" fillId="0" borderId="0" xfId="0" applyFont="1" applyAlignment="1">
      <alignment horizontal="right"/>
    </xf>
    <xf numFmtId="0" fontId="28" fillId="0" borderId="0" xfId="0" applyFont="1" applyAlignment="1">
      <alignment horizontal="center"/>
    </xf>
    <xf numFmtId="0" fontId="21" fillId="0" borderId="22" xfId="0" applyFont="1" applyBorder="1" applyAlignment="1">
      <alignment horizontal="center"/>
    </xf>
    <xf numFmtId="0" fontId="21" fillId="0" borderId="9" xfId="0" applyFont="1" applyBorder="1" applyAlignment="1">
      <alignment horizontal="center"/>
    </xf>
    <xf numFmtId="0" fontId="21" fillId="0" borderId="3" xfId="0" applyFont="1" applyBorder="1" applyAlignment="1">
      <alignment horizontal="center"/>
    </xf>
    <xf numFmtId="10" fontId="21" fillId="0" borderId="0" xfId="2" applyNumberFormat="1" applyFont="1"/>
    <xf numFmtId="10" fontId="21" fillId="0" borderId="0" xfId="1" applyNumberFormat="1" applyFont="1" applyFill="1"/>
    <xf numFmtId="10" fontId="43" fillId="0" borderId="0" xfId="2" applyNumberFormat="1" applyFont="1" applyFill="1" applyAlignment="1">
      <alignment horizontal="center"/>
    </xf>
    <xf numFmtId="164" fontId="21" fillId="0" borderId="0" xfId="1" applyNumberFormat="1" applyFont="1"/>
    <xf numFmtId="0" fontId="19" fillId="0" borderId="0" xfId="0" applyFont="1" applyAlignment="1">
      <alignment horizontal="left"/>
    </xf>
    <xf numFmtId="0" fontId="21" fillId="0" borderId="2" xfId="0" applyFont="1" applyBorder="1"/>
    <xf numFmtId="0" fontId="34" fillId="0" borderId="7" xfId="0" applyFont="1" applyBorder="1" applyAlignment="1">
      <alignment horizontal="center"/>
    </xf>
    <xf numFmtId="0" fontId="34" fillId="0" borderId="9" xfId="0" applyFont="1" applyBorder="1" applyAlignment="1">
      <alignment horizontal="center"/>
    </xf>
    <xf numFmtId="0" fontId="34" fillId="0" borderId="0" xfId="0" applyFont="1" applyAlignment="1">
      <alignment horizontal="center"/>
    </xf>
    <xf numFmtId="15" fontId="34" fillId="0" borderId="9" xfId="0" applyNumberFormat="1" applyFont="1" applyBorder="1" applyAlignment="1">
      <alignment horizontal="center"/>
    </xf>
    <xf numFmtId="15" fontId="34" fillId="0" borderId="0" xfId="0" quotePrefix="1" applyNumberFormat="1" applyFont="1" applyAlignment="1">
      <alignment horizontal="center"/>
    </xf>
    <xf numFmtId="0" fontId="22" fillId="0" borderId="9" xfId="0" applyFont="1" applyBorder="1" applyAlignment="1">
      <alignment horizontal="center"/>
    </xf>
    <xf numFmtId="0" fontId="38" fillId="0" borderId="9" xfId="0" applyFont="1" applyBorder="1" applyAlignment="1">
      <alignment horizontal="center"/>
    </xf>
    <xf numFmtId="0" fontId="34" fillId="0" borderId="8" xfId="0" applyFont="1" applyBorder="1" applyAlignment="1">
      <alignment horizontal="center"/>
    </xf>
    <xf numFmtId="0" fontId="34" fillId="0" borderId="3" xfId="0" applyFont="1" applyBorder="1" applyAlignment="1">
      <alignment horizontal="center"/>
    </xf>
    <xf numFmtId="0" fontId="34" fillId="0" borderId="2" xfId="0" applyFont="1" applyBorder="1" applyAlignment="1">
      <alignment horizontal="center"/>
    </xf>
    <xf numFmtId="0" fontId="35" fillId="0" borderId="3" xfId="0" applyFont="1" applyBorder="1" applyAlignment="1">
      <alignment horizontal="center"/>
    </xf>
    <xf numFmtId="0" fontId="35" fillId="0" borderId="2" xfId="0" applyFont="1" applyBorder="1" applyAlignment="1">
      <alignment horizontal="center"/>
    </xf>
    <xf numFmtId="0" fontId="35" fillId="0" borderId="10" xfId="0" applyFont="1" applyBorder="1" applyAlignment="1">
      <alignment horizontal="center"/>
    </xf>
    <xf numFmtId="0" fontId="34" fillId="0" borderId="9" xfId="0" applyFont="1" applyBorder="1"/>
    <xf numFmtId="0" fontId="34" fillId="0" borderId="7" xfId="0" applyFont="1" applyBorder="1"/>
    <xf numFmtId="0" fontId="38" fillId="0" borderId="0" xfId="0" applyFont="1" applyAlignment="1">
      <alignment horizontal="center"/>
    </xf>
    <xf numFmtId="2" fontId="38" fillId="0" borderId="9" xfId="0" applyNumberFormat="1" applyFont="1" applyBorder="1" applyAlignment="1">
      <alignment horizontal="center"/>
    </xf>
    <xf numFmtId="3" fontId="38" fillId="0" borderId="0" xfId="0" applyNumberFormat="1" applyFont="1"/>
    <xf numFmtId="0" fontId="37" fillId="0" borderId="0" xfId="0" applyFont="1"/>
    <xf numFmtId="0" fontId="44" fillId="0" borderId="2" xfId="0" applyFont="1" applyBorder="1"/>
    <xf numFmtId="0" fontId="37" fillId="0" borderId="2" xfId="0" applyFont="1" applyBorder="1"/>
    <xf numFmtId="0" fontId="37" fillId="0" borderId="5" xfId="0" applyFont="1" applyBorder="1"/>
    <xf numFmtId="0" fontId="19" fillId="0" borderId="6" xfId="0" applyFont="1" applyBorder="1"/>
    <xf numFmtId="0" fontId="37" fillId="0" borderId="11" xfId="0" applyFont="1" applyBorder="1"/>
    <xf numFmtId="15" fontId="34" fillId="0" borderId="12" xfId="0" quotePrefix="1" applyNumberFormat="1" applyFont="1" applyBorder="1" applyAlignment="1">
      <alignment horizontal="center"/>
    </xf>
    <xf numFmtId="0" fontId="38" fillId="0" borderId="12" xfId="0" applyFont="1" applyBorder="1" applyAlignment="1">
      <alignment horizontal="center"/>
    </xf>
    <xf numFmtId="0" fontId="34" fillId="0" borderId="13" xfId="0" applyFont="1" applyBorder="1" applyAlignment="1">
      <alignment horizontal="center"/>
    </xf>
    <xf numFmtId="0" fontId="34" fillId="0" borderId="12" xfId="0" applyFont="1" applyBorder="1"/>
    <xf numFmtId="10" fontId="38" fillId="0" borderId="12" xfId="2" applyNumberFormat="1" applyFont="1" applyFill="1" applyBorder="1"/>
    <xf numFmtId="0" fontId="37" fillId="0" borderId="8" xfId="0" applyFont="1" applyBorder="1"/>
    <xf numFmtId="0" fontId="37" fillId="0" borderId="13" xfId="0" applyFont="1" applyBorder="1"/>
    <xf numFmtId="0" fontId="34" fillId="0" borderId="0" xfId="0" applyFont="1" applyAlignment="1">
      <alignment horizontal="right"/>
    </xf>
    <xf numFmtId="164" fontId="21" fillId="0" borderId="0" xfId="0" applyNumberFormat="1" applyFont="1"/>
    <xf numFmtId="10" fontId="34" fillId="0" borderId="0" xfId="0" applyNumberFormat="1" applyFont="1" applyAlignment="1">
      <alignment horizontal="right"/>
    </xf>
    <xf numFmtId="10" fontId="34" fillId="0" borderId="0" xfId="2" applyNumberFormat="1" applyFont="1" applyFill="1"/>
    <xf numFmtId="10" fontId="34" fillId="0" borderId="0" xfId="2" applyNumberFormat="1" applyFont="1"/>
    <xf numFmtId="2" fontId="19" fillId="0" borderId="0" xfId="0" applyNumberFormat="1" applyFont="1"/>
    <xf numFmtId="0" fontId="21" fillId="0" borderId="1" xfId="0" applyFont="1" applyBorder="1" applyAlignment="1">
      <alignment horizontal="center"/>
    </xf>
    <xf numFmtId="0" fontId="28" fillId="0" borderId="0" xfId="0" applyFont="1" applyAlignment="1">
      <alignment horizontal="right"/>
    </xf>
    <xf numFmtId="0" fontId="22" fillId="0" borderId="0" xfId="0" applyFont="1"/>
    <xf numFmtId="0" fontId="20" fillId="0" borderId="0" xfId="0" applyFont="1"/>
    <xf numFmtId="0" fontId="20" fillId="0" borderId="0" xfId="0" applyFont="1" applyAlignment="1">
      <alignment horizontal="left"/>
    </xf>
    <xf numFmtId="0" fontId="47" fillId="0" borderId="0" xfId="6" applyFont="1" applyFill="1" applyAlignment="1" applyProtection="1">
      <alignment horizontal="left" vertical="top"/>
    </xf>
    <xf numFmtId="0" fontId="20" fillId="0" borderId="0" xfId="0" applyFont="1" applyAlignment="1">
      <alignment horizontal="left" vertical="top"/>
    </xf>
    <xf numFmtId="0" fontId="20" fillId="0" borderId="0" xfId="0" applyFont="1" applyAlignment="1">
      <alignment vertical="top"/>
    </xf>
    <xf numFmtId="0" fontId="48" fillId="0" borderId="0" xfId="0" applyFont="1" applyAlignment="1">
      <alignment horizontal="left" vertical="top"/>
    </xf>
    <xf numFmtId="0" fontId="48" fillId="0" borderId="0" xfId="0" applyFont="1"/>
    <xf numFmtId="165" fontId="21" fillId="0" borderId="0" xfId="3" applyNumberFormat="1" applyFont="1" applyFill="1" applyAlignment="1">
      <alignment horizontal="center"/>
    </xf>
    <xf numFmtId="164" fontId="22" fillId="0" borderId="0" xfId="1" applyNumberFormat="1" applyFont="1" applyFill="1"/>
    <xf numFmtId="10" fontId="22" fillId="0" borderId="0" xfId="2" applyNumberFormat="1" applyFont="1" applyFill="1"/>
    <xf numFmtId="0" fontId="28" fillId="0" borderId="2" xfId="0" applyFont="1" applyBorder="1" applyAlignment="1">
      <alignment horizontal="center"/>
    </xf>
    <xf numFmtId="10" fontId="38" fillId="0" borderId="0" xfId="2" applyNumberFormat="1" applyFont="1" applyFill="1" applyAlignment="1">
      <alignment horizontal="center"/>
    </xf>
    <xf numFmtId="10" fontId="38" fillId="0" borderId="0" xfId="2" applyNumberFormat="1" applyFont="1" applyFill="1"/>
    <xf numFmtId="2" fontId="49" fillId="0" borderId="0" xfId="0" applyNumberFormat="1" applyFont="1" applyAlignment="1">
      <alignment horizontal="center"/>
    </xf>
    <xf numFmtId="2" fontId="34" fillId="0" borderId="2" xfId="0" applyNumberFormat="1" applyFont="1" applyBorder="1" applyAlignment="1">
      <alignment horizontal="center"/>
    </xf>
    <xf numFmtId="10" fontId="34" fillId="0" borderId="2" xfId="2" applyNumberFormat="1" applyFont="1" applyBorder="1"/>
    <xf numFmtId="10" fontId="34" fillId="0" borderId="0" xfId="0" applyNumberFormat="1" applyFont="1" applyAlignment="1">
      <alignment horizontal="center"/>
    </xf>
    <xf numFmtId="2" fontId="34" fillId="0" borderId="0" xfId="0" applyNumberFormat="1" applyFont="1" applyAlignment="1">
      <alignment horizontal="center"/>
    </xf>
    <xf numFmtId="0" fontId="38" fillId="0" borderId="0" xfId="0" applyFont="1"/>
    <xf numFmtId="0" fontId="34" fillId="0" borderId="0" xfId="0" applyFont="1" applyAlignment="1">
      <alignment horizontal="left"/>
    </xf>
    <xf numFmtId="10" fontId="19" fillId="0" borderId="0" xfId="0" applyNumberFormat="1" applyFont="1"/>
    <xf numFmtId="0" fontId="18" fillId="0" borderId="0" xfId="6"/>
    <xf numFmtId="0" fontId="50" fillId="0" borderId="2" xfId="0" applyFont="1" applyBorder="1"/>
    <xf numFmtId="0" fontId="0" fillId="0" borderId="2" xfId="0" applyBorder="1"/>
    <xf numFmtId="0" fontId="28" fillId="0" borderId="2" xfId="0" applyFont="1" applyBorder="1"/>
    <xf numFmtId="0" fontId="19" fillId="0" borderId="5" xfId="0" applyFont="1" applyBorder="1"/>
    <xf numFmtId="0" fontId="19" fillId="0" borderId="11" xfId="0" applyFont="1" applyBorder="1"/>
    <xf numFmtId="0" fontId="21" fillId="0" borderId="8" xfId="0" applyFont="1" applyBorder="1" applyAlignment="1">
      <alignment horizontal="center" vertical="center"/>
    </xf>
    <xf numFmtId="0" fontId="28" fillId="0" borderId="32" xfId="0" applyFont="1" applyBorder="1" applyAlignment="1">
      <alignment horizontal="center" vertical="center" wrapText="1"/>
    </xf>
    <xf numFmtId="0" fontId="28" fillId="0" borderId="14" xfId="0" applyFont="1" applyBorder="1" applyAlignment="1">
      <alignment horizontal="center" vertical="center"/>
    </xf>
    <xf numFmtId="0" fontId="28" fillId="0" borderId="14" xfId="0" applyFont="1" applyBorder="1" applyAlignment="1">
      <alignment horizontal="center" vertical="center" wrapText="1"/>
    </xf>
    <xf numFmtId="0" fontId="28" fillId="0" borderId="30" xfId="0" applyFont="1" applyBorder="1" applyAlignment="1">
      <alignment horizontal="center" vertical="center"/>
    </xf>
    <xf numFmtId="0" fontId="34" fillId="0" borderId="14" xfId="0" applyFont="1" applyBorder="1" applyAlignment="1">
      <alignment horizontal="center" vertical="center"/>
    </xf>
    <xf numFmtId="0" fontId="52" fillId="0" borderId="0" xfId="0" applyFont="1"/>
    <xf numFmtId="0" fontId="28" fillId="0" borderId="7" xfId="0" applyFont="1" applyBorder="1" applyAlignment="1">
      <alignment horizontal="center" vertical="center"/>
    </xf>
    <xf numFmtId="0" fontId="34" fillId="0" borderId="2" xfId="0" applyFont="1" applyBorder="1" applyAlignment="1">
      <alignment horizontal="center" vertical="center"/>
    </xf>
    <xf numFmtId="0" fontId="50" fillId="0" borderId="31" xfId="0" applyFont="1" applyBorder="1"/>
    <xf numFmtId="0" fontId="19" fillId="0" borderId="25" xfId="0" applyFont="1" applyBorder="1"/>
    <xf numFmtId="0" fontId="19" fillId="0" borderId="24" xfId="0" applyFont="1" applyBorder="1"/>
    <xf numFmtId="0" fontId="34" fillId="0" borderId="27" xfId="0" applyFont="1" applyBorder="1"/>
    <xf numFmtId="0" fontId="34" fillId="0" borderId="29" xfId="0" applyFont="1" applyBorder="1"/>
    <xf numFmtId="10" fontId="38" fillId="0" borderId="23" xfId="2" applyNumberFormat="1" applyFont="1" applyFill="1" applyBorder="1" applyAlignment="1">
      <alignment horizontal="center"/>
    </xf>
    <xf numFmtId="0" fontId="34" fillId="0" borderId="18" xfId="0" applyFont="1" applyBorder="1"/>
    <xf numFmtId="10" fontId="38" fillId="0" borderId="24" xfId="2" applyNumberFormat="1" applyFont="1" applyFill="1" applyBorder="1" applyAlignment="1">
      <alignment horizontal="center"/>
    </xf>
    <xf numFmtId="0" fontId="34" fillId="0" borderId="20" xfId="0" applyFont="1" applyBorder="1"/>
    <xf numFmtId="0" fontId="34" fillId="0" borderId="1" xfId="0" applyFont="1" applyBorder="1"/>
    <xf numFmtId="10" fontId="38" fillId="0" borderId="25" xfId="2" applyNumberFormat="1" applyFont="1" applyFill="1" applyBorder="1" applyAlignment="1">
      <alignment horizontal="center"/>
    </xf>
    <xf numFmtId="10" fontId="38" fillId="0" borderId="24" xfId="2" applyNumberFormat="1" applyFont="1" applyBorder="1" applyAlignment="1">
      <alignment horizontal="center" vertical="center"/>
    </xf>
    <xf numFmtId="10" fontId="34" fillId="0" borderId="23" xfId="2" applyNumberFormat="1" applyFont="1" applyFill="1" applyBorder="1" applyAlignment="1">
      <alignment horizontal="center"/>
    </xf>
    <xf numFmtId="10" fontId="34" fillId="0" borderId="25" xfId="2" applyNumberFormat="1" applyFont="1" applyFill="1" applyBorder="1" applyAlignment="1">
      <alignment horizontal="center"/>
    </xf>
    <xf numFmtId="10" fontId="38" fillId="0" borderId="0" xfId="2" applyNumberFormat="1" applyFont="1" applyAlignment="1">
      <alignment horizontal="right" vertical="center"/>
    </xf>
    <xf numFmtId="10" fontId="34" fillId="0" borderId="0" xfId="2" applyNumberFormat="1" applyFont="1" applyFill="1" applyAlignment="1">
      <alignment horizontal="right"/>
    </xf>
    <xf numFmtId="43" fontId="34" fillId="0" borderId="0" xfId="1" applyFont="1" applyFill="1" applyAlignment="1">
      <alignment horizontal="right"/>
    </xf>
    <xf numFmtId="43" fontId="34" fillId="0" borderId="0" xfId="1" applyFont="1" applyFill="1"/>
    <xf numFmtId="0" fontId="34" fillId="0" borderId="0" xfId="0" applyFont="1" applyAlignment="1">
      <alignment horizontal="center" vertical="center"/>
    </xf>
    <xf numFmtId="0" fontId="22" fillId="0" borderId="23" xfId="0" applyFont="1" applyBorder="1" applyAlignment="1">
      <alignment horizontal="center"/>
    </xf>
    <xf numFmtId="0" fontId="22" fillId="0" borderId="25" xfId="0" applyFont="1" applyBorder="1" applyAlignment="1">
      <alignment horizontal="center"/>
    </xf>
    <xf numFmtId="44" fontId="38" fillId="0" borderId="0" xfId="3" applyFont="1" applyAlignment="1">
      <alignment horizontal="center"/>
    </xf>
    <xf numFmtId="165" fontId="21" fillId="0" borderId="0" xfId="0" applyNumberFormat="1" applyFont="1" applyAlignment="1">
      <alignment horizontal="center"/>
    </xf>
    <xf numFmtId="0" fontId="29" fillId="0" borderId="0" xfId="0" applyFont="1"/>
    <xf numFmtId="0" fontId="33" fillId="0" borderId="0" xfId="0" applyFont="1"/>
    <xf numFmtId="0" fontId="21" fillId="0" borderId="0" xfId="0" applyFont="1" applyAlignment="1">
      <alignment horizontal="right" vertical="center"/>
    </xf>
    <xf numFmtId="0" fontId="0" fillId="0" borderId="32" xfId="0" applyBorder="1"/>
    <xf numFmtId="0" fontId="19" fillId="0" borderId="30" xfId="0" applyFont="1" applyBorder="1"/>
    <xf numFmtId="0" fontId="24" fillId="0" borderId="32" xfId="0" applyFont="1" applyBorder="1" applyAlignment="1">
      <alignment horizontal="right"/>
    </xf>
    <xf numFmtId="0" fontId="23" fillId="0" borderId="30" xfId="0" applyFont="1" applyBorder="1"/>
    <xf numFmtId="0" fontId="23" fillId="0" borderId="32" xfId="0" applyFont="1" applyBorder="1" applyAlignment="1">
      <alignment horizontal="right"/>
    </xf>
    <xf numFmtId="0" fontId="23" fillId="0" borderId="32" xfId="0" applyFont="1" applyBorder="1"/>
    <xf numFmtId="0" fontId="19" fillId="0" borderId="32" xfId="0" applyFont="1" applyBorder="1"/>
    <xf numFmtId="0" fontId="34" fillId="0" borderId="7" xfId="0" applyFont="1" applyBorder="1" applyAlignment="1">
      <alignment horizontal="center" vertical="center"/>
    </xf>
    <xf numFmtId="10" fontId="34" fillId="0" borderId="0" xfId="2" applyNumberFormat="1" applyFont="1" applyBorder="1" applyAlignment="1">
      <alignment horizontal="center" vertical="center"/>
    </xf>
    <xf numFmtId="10" fontId="34" fillId="0" borderId="12" xfId="2" applyNumberFormat="1" applyFont="1" applyBorder="1" applyAlignment="1">
      <alignment horizontal="center" vertical="center"/>
    </xf>
    <xf numFmtId="0" fontId="37" fillId="0" borderId="7" xfId="0" applyFont="1" applyBorder="1"/>
    <xf numFmtId="0" fontId="37" fillId="0" borderId="12" xfId="0" applyFont="1" applyBorder="1"/>
    <xf numFmtId="0" fontId="24" fillId="0" borderId="14" xfId="0" applyFont="1" applyBorder="1" applyAlignment="1">
      <alignment horizontal="center" vertical="center"/>
    </xf>
    <xf numFmtId="0" fontId="54" fillId="0" borderId="0" xfId="0" applyFont="1"/>
    <xf numFmtId="0" fontId="24" fillId="0" borderId="14" xfId="0" applyFont="1" applyBorder="1" applyAlignment="1">
      <alignment horizontal="right"/>
    </xf>
    <xf numFmtId="2" fontId="34" fillId="0" borderId="14" xfId="0" applyNumberFormat="1" applyFont="1" applyBorder="1" applyAlignment="1">
      <alignment horizontal="center"/>
    </xf>
    <xf numFmtId="43" fontId="34" fillId="0" borderId="0" xfId="1" applyFont="1" applyBorder="1" applyAlignment="1">
      <alignment horizontal="center" vertical="center"/>
    </xf>
    <xf numFmtId="43" fontId="34" fillId="0" borderId="0" xfId="1" applyFont="1" applyBorder="1" applyAlignment="1">
      <alignment vertical="center"/>
    </xf>
    <xf numFmtId="10" fontId="34" fillId="0" borderId="0" xfId="2" applyNumberFormat="1" applyFont="1" applyBorder="1" applyAlignment="1">
      <alignment vertical="center"/>
    </xf>
    <xf numFmtId="10" fontId="0" fillId="0" borderId="0" xfId="2" applyNumberFormat="1" applyFont="1"/>
    <xf numFmtId="10" fontId="34" fillId="0" borderId="0" xfId="2" applyNumberFormat="1" applyFont="1" applyFill="1" applyBorder="1" applyAlignment="1">
      <alignment horizontal="center" vertical="center"/>
    </xf>
    <xf numFmtId="0" fontId="34" fillId="0" borderId="28" xfId="0" applyFont="1" applyBorder="1"/>
    <xf numFmtId="0" fontId="34" fillId="0" borderId="19" xfId="0" applyFont="1" applyBorder="1"/>
    <xf numFmtId="0" fontId="34" fillId="0" borderId="21" xfId="0" applyFont="1" applyBorder="1"/>
    <xf numFmtId="0" fontId="19" fillId="0" borderId="22" xfId="0" applyFont="1" applyBorder="1"/>
    <xf numFmtId="10" fontId="28" fillId="0" borderId="3" xfId="2" applyNumberFormat="1" applyFont="1" applyBorder="1" applyAlignment="1">
      <alignment horizontal="center" vertical="center"/>
    </xf>
    <xf numFmtId="10" fontId="23" fillId="0" borderId="0" xfId="2" applyNumberFormat="1" applyFont="1" applyAlignment="1">
      <alignment horizontal="center"/>
    </xf>
    <xf numFmtId="0" fontId="55" fillId="0" borderId="0" xfId="0" applyFont="1"/>
    <xf numFmtId="0" fontId="31" fillId="0" borderId="0" xfId="0" applyFont="1"/>
    <xf numFmtId="164" fontId="21" fillId="0" borderId="0" xfId="1" applyNumberFormat="1" applyFont="1" applyFill="1" applyAlignment="1">
      <alignment horizontal="center"/>
    </xf>
    <xf numFmtId="164" fontId="21" fillId="0" borderId="0" xfId="1" applyNumberFormat="1" applyFont="1" applyFill="1" applyAlignment="1"/>
    <xf numFmtId="10" fontId="38" fillId="0" borderId="25" xfId="2" applyNumberFormat="1" applyFont="1" applyBorder="1" applyAlignment="1">
      <alignment horizontal="center" vertical="center"/>
    </xf>
    <xf numFmtId="0" fontId="21" fillId="0" borderId="0" xfId="0" applyFont="1" applyAlignment="1">
      <alignment horizontal="center" vertical="center"/>
    </xf>
    <xf numFmtId="10" fontId="28" fillId="0" borderId="0" xfId="2" applyNumberFormat="1" applyFont="1" applyBorder="1" applyAlignment="1">
      <alignment horizontal="center" vertical="center"/>
    </xf>
    <xf numFmtId="0" fontId="28" fillId="0" borderId="8" xfId="0" applyFont="1" applyBorder="1" applyAlignment="1">
      <alignment horizontal="right" vertical="center"/>
    </xf>
    <xf numFmtId="0" fontId="30" fillId="0" borderId="15" xfId="0" applyFont="1" applyBorder="1" applyAlignment="1">
      <alignment horizontal="center"/>
    </xf>
    <xf numFmtId="10" fontId="21" fillId="0" borderId="0" xfId="0" applyNumberFormat="1" applyFont="1" applyAlignment="1">
      <alignment horizontal="center"/>
    </xf>
    <xf numFmtId="0" fontId="21" fillId="0" borderId="2" xfId="0" quotePrefix="1" applyFont="1" applyBorder="1" applyAlignment="1">
      <alignment horizontal="center"/>
    </xf>
    <xf numFmtId="0" fontId="6" fillId="0" borderId="0" xfId="0" applyFont="1"/>
    <xf numFmtId="0" fontId="56" fillId="0" borderId="0" xfId="0" applyFont="1" applyAlignment="1">
      <alignment horizontal="center"/>
    </xf>
    <xf numFmtId="0" fontId="37" fillId="0" borderId="0" xfId="0" applyFont="1" applyAlignment="1">
      <alignment horizontal="left"/>
    </xf>
    <xf numFmtId="0" fontId="53" fillId="0" borderId="0" xfId="0" applyFont="1" applyAlignment="1">
      <alignment horizontal="left"/>
    </xf>
    <xf numFmtId="0" fontId="57" fillId="0" borderId="0" xfId="0" applyFont="1"/>
    <xf numFmtId="0" fontId="37" fillId="0" borderId="0" xfId="0" applyFont="1" applyAlignment="1">
      <alignment horizontal="right"/>
    </xf>
    <xf numFmtId="0" fontId="37" fillId="0" borderId="2" xfId="0" applyFont="1" applyBorder="1" applyAlignment="1">
      <alignment horizontal="center"/>
    </xf>
    <xf numFmtId="0" fontId="53" fillId="0" borderId="0" xfId="0" applyFont="1"/>
    <xf numFmtId="10" fontId="28" fillId="0" borderId="9" xfId="2" applyNumberFormat="1" applyFont="1" applyFill="1" applyBorder="1" applyAlignment="1">
      <alignment horizontal="center" vertical="center"/>
    </xf>
    <xf numFmtId="167" fontId="38" fillId="0" borderId="14" xfId="1" applyNumberFormat="1" applyFont="1" applyFill="1" applyBorder="1"/>
    <xf numFmtId="15" fontId="34" fillId="0" borderId="22" xfId="0" applyNumberFormat="1" applyFont="1" applyBorder="1" applyAlignment="1">
      <alignment horizontal="center"/>
    </xf>
    <xf numFmtId="15" fontId="34" fillId="0" borderId="11" xfId="0" applyNumberFormat="1" applyFont="1" applyBorder="1" applyAlignment="1">
      <alignment horizontal="center"/>
    </xf>
    <xf numFmtId="15" fontId="34" fillId="0" borderId="12" xfId="0" applyNumberFormat="1" applyFont="1" applyBorder="1" applyAlignment="1">
      <alignment horizontal="center"/>
    </xf>
    <xf numFmtId="0" fontId="34" fillId="0" borderId="12" xfId="0" applyFont="1" applyBorder="1" applyAlignment="1">
      <alignment horizontal="center"/>
    </xf>
    <xf numFmtId="0" fontId="52" fillId="0" borderId="0" xfId="0" applyFont="1" applyAlignment="1">
      <alignment horizontal="center" vertical="center"/>
    </xf>
    <xf numFmtId="0" fontId="52" fillId="0" borderId="1" xfId="0" applyFont="1" applyBorder="1" applyAlignment="1">
      <alignment horizontal="center" vertical="center"/>
    </xf>
    <xf numFmtId="0" fontId="0" fillId="0" borderId="1" xfId="0" applyBorder="1"/>
    <xf numFmtId="0" fontId="34" fillId="0" borderId="1" xfId="0" applyFont="1" applyBorder="1" applyAlignment="1">
      <alignment horizontal="center"/>
    </xf>
    <xf numFmtId="10" fontId="38" fillId="0" borderId="1" xfId="2" applyNumberFormat="1" applyFont="1" applyFill="1" applyBorder="1" applyAlignment="1">
      <alignment horizontal="center"/>
    </xf>
    <xf numFmtId="43" fontId="38" fillId="0" borderId="1" xfId="1" applyFont="1" applyFill="1" applyBorder="1" applyAlignment="1">
      <alignment horizontal="center"/>
    </xf>
    <xf numFmtId="43" fontId="38" fillId="0" borderId="0" xfId="1" applyFont="1" applyAlignment="1">
      <alignment horizontal="center"/>
    </xf>
    <xf numFmtId="43" fontId="38" fillId="0" borderId="0" xfId="1" applyFont="1" applyFill="1" applyAlignment="1">
      <alignment horizontal="center"/>
    </xf>
    <xf numFmtId="0" fontId="52" fillId="0" borderId="0" xfId="0" applyFont="1" applyAlignment="1">
      <alignment horizontal="right"/>
    </xf>
    <xf numFmtId="43" fontId="52" fillId="0" borderId="0" xfId="0" applyNumberFormat="1" applyFont="1"/>
    <xf numFmtId="2" fontId="52" fillId="0" borderId="0" xfId="0" applyNumberFormat="1" applyFont="1"/>
    <xf numFmtId="0" fontId="34" fillId="0" borderId="5" xfId="0" applyFont="1" applyBorder="1" applyAlignment="1">
      <alignment horizontal="center"/>
    </xf>
    <xf numFmtId="0" fontId="34" fillId="0" borderId="22" xfId="0" applyFont="1" applyBorder="1" applyAlignment="1">
      <alignment horizontal="center"/>
    </xf>
    <xf numFmtId="0" fontId="34" fillId="0" borderId="6" xfId="0" applyFont="1" applyBorder="1" applyAlignment="1">
      <alignment horizontal="center"/>
    </xf>
    <xf numFmtId="164" fontId="38" fillId="0" borderId="9" xfId="1" applyNumberFormat="1" applyFont="1" applyFill="1" applyBorder="1" applyAlignment="1">
      <alignment horizontal="center"/>
    </xf>
    <xf numFmtId="164" fontId="38" fillId="0" borderId="12" xfId="1" applyNumberFormat="1" applyFont="1" applyFill="1" applyBorder="1" applyAlignment="1">
      <alignment horizontal="center"/>
    </xf>
    <xf numFmtId="0" fontId="22" fillId="0" borderId="0" xfId="0" applyFont="1" applyAlignment="1">
      <alignment horizontal="center"/>
    </xf>
    <xf numFmtId="10" fontId="38" fillId="0" borderId="0" xfId="2" applyNumberFormat="1" applyFont="1" applyFill="1" applyBorder="1" applyAlignment="1">
      <alignment horizontal="center"/>
    </xf>
    <xf numFmtId="10" fontId="38" fillId="0" borderId="0" xfId="2" applyNumberFormat="1" applyFont="1" applyBorder="1" applyAlignment="1">
      <alignment horizontal="center" vertical="center"/>
    </xf>
    <xf numFmtId="10" fontId="28" fillId="0" borderId="3" xfId="2" applyNumberFormat="1" applyFont="1" applyFill="1" applyBorder="1" applyAlignment="1">
      <alignment horizontal="center" vertical="center"/>
    </xf>
    <xf numFmtId="0" fontId="24" fillId="0" borderId="17" xfId="0" applyFont="1" applyBorder="1" applyAlignment="1">
      <alignment horizontal="center" vertical="center"/>
    </xf>
    <xf numFmtId="0" fontId="28" fillId="0" borderId="30" xfId="0" applyFont="1" applyBorder="1"/>
    <xf numFmtId="0" fontId="19" fillId="0" borderId="31" xfId="0" applyFont="1" applyBorder="1"/>
    <xf numFmtId="0" fontId="34" fillId="0" borderId="30" xfId="0" applyFont="1" applyBorder="1"/>
    <xf numFmtId="0" fontId="34" fillId="0" borderId="32" xfId="0" applyFont="1" applyBorder="1"/>
    <xf numFmtId="15" fontId="34" fillId="0" borderId="6" xfId="0" applyNumberFormat="1" applyFont="1" applyBorder="1" applyAlignment="1">
      <alignment horizontal="center"/>
    </xf>
    <xf numFmtId="15" fontId="34" fillId="0" borderId="22" xfId="0" quotePrefix="1" applyNumberFormat="1" applyFont="1" applyBorder="1" applyAlignment="1">
      <alignment horizontal="center"/>
    </xf>
    <xf numFmtId="15" fontId="34" fillId="0" borderId="0" xfId="0" applyNumberFormat="1" applyFont="1" applyAlignment="1">
      <alignment horizontal="center"/>
    </xf>
    <xf numFmtId="0" fontId="60" fillId="0" borderId="0" xfId="0" applyFont="1"/>
    <xf numFmtId="0" fontId="34" fillId="0" borderId="11" xfId="0" applyFont="1" applyBorder="1" applyAlignment="1">
      <alignment horizontal="center"/>
    </xf>
    <xf numFmtId="0" fontId="35" fillId="0" borderId="33" xfId="0" applyFont="1" applyBorder="1" applyAlignment="1">
      <alignment horizontal="center"/>
    </xf>
    <xf numFmtId="10" fontId="36" fillId="0" borderId="0" xfId="2" applyNumberFormat="1" applyFont="1" applyFill="1" applyBorder="1"/>
    <xf numFmtId="0" fontId="34" fillId="4" borderId="18" xfId="0" applyFont="1" applyFill="1" applyBorder="1"/>
    <xf numFmtId="0" fontId="28" fillId="0" borderId="26" xfId="0" applyFont="1" applyBorder="1" applyAlignment="1">
      <alignment horizontal="center"/>
    </xf>
    <xf numFmtId="0" fontId="37" fillId="2" borderId="24" xfId="0" applyFont="1" applyFill="1" applyBorder="1" applyAlignment="1">
      <alignment horizontal="center"/>
    </xf>
    <xf numFmtId="0" fontId="19" fillId="2" borderId="24" xfId="0" applyFont="1" applyFill="1" applyBorder="1" applyAlignment="1">
      <alignment horizontal="center"/>
    </xf>
    <xf numFmtId="0" fontId="37" fillId="2" borderId="25" xfId="0" applyFont="1" applyFill="1" applyBorder="1" applyAlignment="1">
      <alignment horizontal="center"/>
    </xf>
    <xf numFmtId="0" fontId="19" fillId="2" borderId="25" xfId="0" applyFont="1" applyFill="1" applyBorder="1" applyAlignment="1">
      <alignment horizontal="center"/>
    </xf>
    <xf numFmtId="43" fontId="24" fillId="0" borderId="0" xfId="1" applyFont="1" applyFill="1" applyBorder="1" applyAlignment="1">
      <alignment horizontal="center" vertical="center"/>
    </xf>
    <xf numFmtId="0" fontId="19" fillId="2" borderId="27" xfId="0" applyFont="1" applyFill="1" applyBorder="1" applyAlignment="1">
      <alignment horizontal="center"/>
    </xf>
    <xf numFmtId="0" fontId="19" fillId="2" borderId="28" xfId="0" applyFont="1" applyFill="1" applyBorder="1" applyAlignment="1">
      <alignment horizontal="center"/>
    </xf>
    <xf numFmtId="0" fontId="19" fillId="2" borderId="19" xfId="0" applyFont="1" applyFill="1" applyBorder="1" applyAlignment="1">
      <alignment horizontal="center"/>
    </xf>
    <xf numFmtId="0" fontId="19" fillId="2" borderId="21" xfId="0" applyFont="1" applyFill="1" applyBorder="1" applyAlignment="1">
      <alignment horizontal="center"/>
    </xf>
    <xf numFmtId="0" fontId="37" fillId="2" borderId="23" xfId="0" applyFont="1" applyFill="1" applyBorder="1" applyAlignment="1">
      <alignment horizontal="center"/>
    </xf>
    <xf numFmtId="1" fontId="22" fillId="0" borderId="0" xfId="0" applyNumberFormat="1" applyFont="1" applyAlignment="1">
      <alignment horizontal="center"/>
    </xf>
    <xf numFmtId="164" fontId="22" fillId="0" borderId="0" xfId="1" applyNumberFormat="1" applyFont="1" applyFill="1" applyAlignment="1">
      <alignment horizontal="center"/>
    </xf>
    <xf numFmtId="164" fontId="22" fillId="0" borderId="1" xfId="1" applyNumberFormat="1" applyFont="1" applyFill="1" applyBorder="1" applyAlignment="1">
      <alignment horizontal="center"/>
    </xf>
    <xf numFmtId="0" fontId="40" fillId="0" borderId="13" xfId="0" applyFont="1" applyBorder="1" applyAlignment="1">
      <alignment horizontal="center"/>
    </xf>
    <xf numFmtId="0" fontId="40" fillId="0" borderId="3" xfId="0" applyFont="1" applyBorder="1" applyAlignment="1">
      <alignment horizontal="center"/>
    </xf>
    <xf numFmtId="0" fontId="35" fillId="0" borderId="34" xfId="0" applyFont="1" applyBorder="1" applyAlignment="1">
      <alignment horizontal="center"/>
    </xf>
    <xf numFmtId="0" fontId="35" fillId="0" borderId="15" xfId="0" applyFont="1" applyBorder="1" applyAlignment="1">
      <alignment horizontal="center"/>
    </xf>
    <xf numFmtId="0" fontId="0" fillId="0" borderId="8" xfId="0" applyBorder="1"/>
    <xf numFmtId="0" fontId="0" fillId="0" borderId="13" xfId="0" applyBorder="1"/>
    <xf numFmtId="0" fontId="34" fillId="0" borderId="8" xfId="0" applyFont="1" applyBorder="1"/>
    <xf numFmtId="164" fontId="38" fillId="0" borderId="3" xfId="1" applyNumberFormat="1" applyFont="1" applyFill="1" applyBorder="1" applyAlignment="1">
      <alignment horizontal="center"/>
    </xf>
    <xf numFmtId="2" fontId="15" fillId="0" borderId="4" xfId="0" applyNumberFormat="1" applyFont="1" applyBorder="1" applyAlignment="1">
      <alignment horizontal="center"/>
    </xf>
    <xf numFmtId="0" fontId="35" fillId="0" borderId="35" xfId="0" applyFont="1" applyBorder="1" applyAlignment="1">
      <alignment horizontal="center"/>
    </xf>
    <xf numFmtId="164" fontId="21" fillId="0" borderId="0" xfId="0" applyNumberFormat="1" applyFont="1" applyAlignment="1">
      <alignment horizontal="right"/>
    </xf>
    <xf numFmtId="0" fontId="0" fillId="0" borderId="6" xfId="0" applyBorder="1"/>
    <xf numFmtId="10" fontId="38" fillId="0" borderId="0" xfId="2" applyNumberFormat="1" applyFont="1" applyFill="1" applyBorder="1" applyAlignment="1">
      <alignment horizontal="right"/>
    </xf>
    <xf numFmtId="10" fontId="22" fillId="0" borderId="0" xfId="2" applyNumberFormat="1" applyFont="1" applyFill="1" applyAlignment="1">
      <alignment horizontal="center" vertical="center"/>
    </xf>
    <xf numFmtId="10" fontId="22" fillId="0" borderId="1" xfId="2" applyNumberFormat="1" applyFont="1" applyFill="1" applyBorder="1" applyAlignment="1">
      <alignment horizontal="center" vertical="center"/>
    </xf>
    <xf numFmtId="10" fontId="21" fillId="0" borderId="0" xfId="2" applyNumberFormat="1" applyFont="1" applyFill="1" applyAlignment="1">
      <alignment horizontal="right" vertical="center"/>
    </xf>
    <xf numFmtId="10" fontId="21" fillId="0" borderId="0" xfId="2" applyNumberFormat="1" applyFont="1" applyFill="1" applyBorder="1" applyAlignment="1">
      <alignment horizontal="right" vertical="center"/>
    </xf>
    <xf numFmtId="0" fontId="19" fillId="0" borderId="21" xfId="0" applyFont="1" applyBorder="1"/>
    <xf numFmtId="0" fontId="0" fillId="0" borderId="31" xfId="0" applyBorder="1"/>
    <xf numFmtId="10" fontId="22" fillId="0" borderId="0" xfId="2" applyNumberFormat="1" applyFont="1" applyAlignment="1">
      <alignment horizontal="right"/>
    </xf>
    <xf numFmtId="164" fontId="22" fillId="0" borderId="0" xfId="1" applyNumberFormat="1" applyFont="1" applyFill="1" applyAlignment="1"/>
    <xf numFmtId="164" fontId="22" fillId="0" borderId="1" xfId="1" applyNumberFormat="1" applyFont="1" applyFill="1" applyBorder="1" applyAlignment="1"/>
    <xf numFmtId="43" fontId="22" fillId="0" borderId="1" xfId="1" applyFont="1" applyFill="1" applyBorder="1" applyAlignment="1">
      <alignment horizontal="right" vertical="center"/>
    </xf>
    <xf numFmtId="0" fontId="21" fillId="0" borderId="1" xfId="0" applyFont="1" applyBorder="1" applyAlignment="1">
      <alignment horizontal="right"/>
    </xf>
    <xf numFmtId="10" fontId="22" fillId="0" borderId="1" xfId="2" applyNumberFormat="1" applyFont="1" applyBorder="1" applyAlignment="1">
      <alignment horizontal="right" vertical="center"/>
    </xf>
    <xf numFmtId="0" fontId="34" fillId="0" borderId="1" xfId="0" applyFont="1" applyBorder="1" applyAlignment="1">
      <alignment horizontal="right"/>
    </xf>
    <xf numFmtId="0" fontId="28" fillId="0" borderId="8" xfId="0" applyFont="1" applyBorder="1" applyAlignment="1">
      <alignment horizontal="center" vertical="center"/>
    </xf>
    <xf numFmtId="0" fontId="19" fillId="0" borderId="0" xfId="0" applyFont="1" applyAlignment="1">
      <alignment horizontal="right"/>
    </xf>
    <xf numFmtId="0" fontId="38" fillId="0" borderId="7" xfId="0" applyFont="1" applyBorder="1"/>
    <xf numFmtId="164" fontId="19" fillId="0" borderId="0" xfId="1" applyNumberFormat="1" applyFont="1"/>
    <xf numFmtId="164" fontId="52" fillId="0" borderId="0" xfId="0" applyNumberFormat="1" applyFont="1"/>
    <xf numFmtId="0" fontId="63" fillId="0" borderId="0" xfId="0" applyFont="1"/>
    <xf numFmtId="0" fontId="64" fillId="0" borderId="0" xfId="0" applyFont="1"/>
    <xf numFmtId="0" fontId="34" fillId="0" borderId="3" xfId="0" applyFont="1" applyBorder="1" applyAlignment="1">
      <alignment horizontal="right"/>
    </xf>
    <xf numFmtId="164" fontId="38" fillId="0" borderId="13" xfId="1" applyNumberFormat="1" applyFont="1" applyFill="1" applyBorder="1" applyAlignment="1">
      <alignment horizontal="center"/>
    </xf>
    <xf numFmtId="10" fontId="22" fillId="0" borderId="4" xfId="2" applyNumberFormat="1" applyFont="1" applyFill="1" applyBorder="1" applyAlignment="1">
      <alignment horizontal="center"/>
    </xf>
    <xf numFmtId="10" fontId="28" fillId="0" borderId="2" xfId="2" applyNumberFormat="1" applyFont="1" applyBorder="1" applyAlignment="1">
      <alignment horizontal="center" vertical="center"/>
    </xf>
    <xf numFmtId="0" fontId="19" fillId="0" borderId="19" xfId="0" applyFont="1" applyBorder="1"/>
    <xf numFmtId="10" fontId="23" fillId="0" borderId="0" xfId="2" applyNumberFormat="1" applyFont="1" applyFill="1" applyAlignment="1">
      <alignment horizontal="center"/>
    </xf>
    <xf numFmtId="10" fontId="34" fillId="0" borderId="24" xfId="2" applyNumberFormat="1" applyFont="1" applyFill="1" applyBorder="1" applyAlignment="1">
      <alignment horizontal="center"/>
    </xf>
    <xf numFmtId="0" fontId="65" fillId="0" borderId="0" xfId="0" applyFont="1" applyAlignment="1">
      <alignment horizontal="left" vertical="top" wrapText="1"/>
    </xf>
    <xf numFmtId="0" fontId="66" fillId="0" borderId="0" xfId="0" applyFont="1"/>
    <xf numFmtId="168" fontId="34" fillId="0" borderId="25" xfId="2" applyNumberFormat="1" applyFont="1" applyFill="1" applyBorder="1" applyAlignment="1">
      <alignment horizontal="center"/>
    </xf>
    <xf numFmtId="10" fontId="46" fillId="0" borderId="14" xfId="2" applyNumberFormat="1" applyFont="1" applyFill="1" applyBorder="1" applyAlignment="1">
      <alignment horizontal="center"/>
    </xf>
    <xf numFmtId="3" fontId="38" fillId="0" borderId="2" xfId="0" applyNumberFormat="1" applyFont="1" applyBorder="1"/>
    <xf numFmtId="10" fontId="38" fillId="0" borderId="13" xfId="2" applyNumberFormat="1" applyFont="1" applyFill="1" applyBorder="1"/>
    <xf numFmtId="10" fontId="38" fillId="0" borderId="0" xfId="2" applyNumberFormat="1" applyFont="1" applyFill="1" applyAlignment="1">
      <alignment horizontal="right"/>
    </xf>
    <xf numFmtId="0" fontId="34" fillId="0" borderId="4" xfId="0" applyFont="1" applyBorder="1" applyAlignment="1">
      <alignment horizontal="center"/>
    </xf>
    <xf numFmtId="2" fontId="38" fillId="0" borderId="36" xfId="0" applyNumberFormat="1" applyFont="1" applyBorder="1" applyAlignment="1">
      <alignment horizontal="center"/>
    </xf>
    <xf numFmtId="10" fontId="21" fillId="0" borderId="4" xfId="0" applyNumberFormat="1" applyFont="1" applyBorder="1" applyAlignment="1">
      <alignment horizontal="center"/>
    </xf>
    <xf numFmtId="3" fontId="38" fillId="0" borderId="9" xfId="0" applyNumberFormat="1" applyFont="1" applyBorder="1"/>
    <xf numFmtId="3" fontId="68" fillId="0" borderId="9" xfId="0" applyNumberFormat="1" applyFont="1" applyBorder="1"/>
    <xf numFmtId="3" fontId="68" fillId="0" borderId="3" xfId="0" applyNumberFormat="1" applyFont="1" applyBorder="1"/>
    <xf numFmtId="3" fontId="38" fillId="0" borderId="3" xfId="0" applyNumberFormat="1" applyFont="1" applyBorder="1"/>
    <xf numFmtId="164" fontId="38" fillId="0" borderId="9" xfId="1" applyNumberFormat="1" applyFont="1" applyFill="1" applyBorder="1"/>
    <xf numFmtId="164" fontId="38" fillId="0" borderId="3" xfId="1" applyNumberFormat="1" applyFont="1" applyFill="1" applyBorder="1"/>
    <xf numFmtId="0" fontId="20" fillId="0" borderId="18" xfId="0" applyFont="1" applyBorder="1"/>
    <xf numFmtId="0" fontId="37" fillId="0" borderId="9" xfId="0" applyFont="1" applyBorder="1"/>
    <xf numFmtId="0" fontId="34" fillId="0" borderId="3" xfId="0" applyFont="1" applyBorder="1"/>
    <xf numFmtId="2" fontId="34" fillId="0" borderId="3" xfId="0" applyNumberFormat="1" applyFont="1" applyBorder="1" applyAlignment="1">
      <alignment horizontal="center"/>
    </xf>
    <xf numFmtId="2" fontId="38" fillId="0" borderId="3" xfId="0" applyNumberFormat="1" applyFont="1" applyBorder="1" applyAlignment="1">
      <alignment horizontal="center"/>
    </xf>
    <xf numFmtId="2" fontId="22" fillId="0" borderId="4" xfId="0" applyNumberFormat="1" applyFont="1" applyBorder="1" applyAlignment="1">
      <alignment horizontal="center"/>
    </xf>
    <xf numFmtId="10" fontId="49" fillId="0" borderId="0" xfId="2" applyNumberFormat="1" applyFont="1" applyFill="1" applyAlignment="1">
      <alignment horizontal="right"/>
    </xf>
    <xf numFmtId="10" fontId="49" fillId="0" borderId="0" xfId="2" applyNumberFormat="1" applyFont="1" applyFill="1" applyAlignment="1">
      <alignment horizontal="center"/>
    </xf>
    <xf numFmtId="43" fontId="38" fillId="0" borderId="0" xfId="1" applyFont="1" applyFill="1" applyAlignment="1">
      <alignment horizontal="right" vertical="center"/>
    </xf>
    <xf numFmtId="43" fontId="38" fillId="0" borderId="1" xfId="1" applyFont="1" applyFill="1" applyBorder="1" applyAlignment="1">
      <alignment horizontal="right" vertical="center"/>
    </xf>
    <xf numFmtId="10" fontId="27" fillId="0" borderId="0" xfId="2" applyNumberFormat="1" applyFont="1" applyFill="1" applyAlignment="1">
      <alignment horizontal="right"/>
    </xf>
    <xf numFmtId="1" fontId="22" fillId="0" borderId="0" xfId="0" quotePrefix="1" applyNumberFormat="1" applyFont="1" applyAlignment="1">
      <alignment horizontal="center"/>
    </xf>
    <xf numFmtId="164" fontId="45" fillId="0" borderId="9" xfId="1" applyNumberFormat="1" applyFont="1" applyFill="1" applyBorder="1"/>
    <xf numFmtId="10" fontId="22" fillId="0" borderId="1" xfId="2" applyNumberFormat="1" applyFont="1" applyFill="1" applyBorder="1" applyAlignment="1">
      <alignment horizontal="right" vertical="center"/>
    </xf>
    <xf numFmtId="10" fontId="22" fillId="0" borderId="0" xfId="2" applyNumberFormat="1" applyFont="1" applyFill="1" applyAlignment="1">
      <alignment horizontal="right" vertical="center"/>
    </xf>
    <xf numFmtId="2" fontId="22" fillId="0" borderId="0" xfId="0" applyNumberFormat="1" applyFont="1" applyAlignment="1">
      <alignment horizontal="right" vertical="center"/>
    </xf>
    <xf numFmtId="2" fontId="22" fillId="0" borderId="1" xfId="0" applyNumberFormat="1" applyFont="1" applyBorder="1" applyAlignment="1">
      <alignment horizontal="right" vertical="center"/>
    </xf>
    <xf numFmtId="165" fontId="22" fillId="0" borderId="0" xfId="3" applyNumberFormat="1" applyFont="1" applyFill="1" applyAlignment="1">
      <alignment horizontal="center"/>
    </xf>
    <xf numFmtId="165" fontId="22" fillId="0" borderId="0" xfId="3" applyNumberFormat="1" applyFont="1" applyFill="1" applyAlignment="1">
      <alignment horizontal="right"/>
    </xf>
    <xf numFmtId="10" fontId="34" fillId="0" borderId="1" xfId="2" applyNumberFormat="1" applyFont="1" applyFill="1" applyBorder="1"/>
    <xf numFmtId="2" fontId="27" fillId="0" borderId="0" xfId="0" applyNumberFormat="1" applyFont="1" applyAlignment="1">
      <alignment horizontal="center"/>
    </xf>
    <xf numFmtId="166" fontId="22" fillId="0" borderId="0" xfId="1" applyNumberFormat="1" applyFont="1" applyFill="1" applyAlignment="1">
      <alignment horizontal="center" vertical="center"/>
    </xf>
    <xf numFmtId="166" fontId="22" fillId="0" borderId="1" xfId="1" applyNumberFormat="1" applyFont="1" applyFill="1" applyBorder="1" applyAlignment="1">
      <alignment horizontal="center" vertical="center"/>
    </xf>
    <xf numFmtId="10" fontId="27" fillId="0" borderId="0" xfId="2" applyNumberFormat="1" applyFont="1" applyFill="1" applyAlignment="1">
      <alignment horizontal="center"/>
    </xf>
    <xf numFmtId="10" fontId="27" fillId="0" borderId="4" xfId="2" applyNumberFormat="1" applyFont="1" applyFill="1" applyBorder="1" applyAlignment="1">
      <alignment horizontal="center"/>
    </xf>
    <xf numFmtId="0" fontId="38" fillId="0" borderId="16" xfId="0" applyFont="1" applyBorder="1"/>
    <xf numFmtId="10" fontId="38" fillId="0" borderId="26" xfId="2" applyNumberFormat="1" applyFont="1" applyFill="1" applyBorder="1" applyAlignment="1">
      <alignment horizontal="center"/>
    </xf>
    <xf numFmtId="2" fontId="36" fillId="0" borderId="16" xfId="0" applyNumberFormat="1" applyFont="1" applyBorder="1"/>
    <xf numFmtId="10" fontId="36" fillId="0" borderId="26" xfId="2" applyNumberFormat="1" applyFont="1" applyFill="1" applyBorder="1"/>
    <xf numFmtId="43" fontId="36" fillId="0" borderId="26" xfId="1" applyFont="1" applyFill="1" applyBorder="1"/>
    <xf numFmtId="0" fontId="36" fillId="0" borderId="26" xfId="0" applyFont="1" applyBorder="1"/>
    <xf numFmtId="2" fontId="36" fillId="0" borderId="26" xfId="0" applyNumberFormat="1" applyFont="1" applyBorder="1"/>
    <xf numFmtId="10" fontId="70" fillId="0" borderId="9" xfId="2" applyNumberFormat="1" applyFont="1" applyFill="1" applyBorder="1" applyAlignment="1">
      <alignment horizontal="center" vertical="center"/>
    </xf>
    <xf numFmtId="10" fontId="70" fillId="0" borderId="0" xfId="2" applyNumberFormat="1" applyFont="1" applyFill="1" applyBorder="1" applyAlignment="1">
      <alignment horizontal="center" vertical="center"/>
    </xf>
    <xf numFmtId="168" fontId="71" fillId="0" borderId="24" xfId="0" applyNumberFormat="1" applyFont="1" applyBorder="1" applyAlignment="1">
      <alignment horizontal="center" vertical="center"/>
    </xf>
    <xf numFmtId="2" fontId="38" fillId="0" borderId="2" xfId="0" applyNumberFormat="1" applyFont="1" applyBorder="1" applyAlignment="1">
      <alignment horizontal="center"/>
    </xf>
    <xf numFmtId="0" fontId="38" fillId="0" borderId="2" xfId="0" applyFont="1" applyBorder="1" applyAlignment="1">
      <alignment horizontal="center"/>
    </xf>
    <xf numFmtId="0" fontId="38" fillId="0" borderId="3" xfId="0" applyFont="1" applyBorder="1" applyAlignment="1">
      <alignment horizontal="center"/>
    </xf>
    <xf numFmtId="2" fontId="22" fillId="0" borderId="0" xfId="0" applyNumberFormat="1" applyFont="1" applyAlignment="1">
      <alignment horizontal="right"/>
    </xf>
    <xf numFmtId="2" fontId="22" fillId="0" borderId="4" xfId="0" applyNumberFormat="1" applyFont="1" applyBorder="1" applyAlignment="1">
      <alignment horizontal="right"/>
    </xf>
    <xf numFmtId="0" fontId="38" fillId="2" borderId="18" xfId="0" applyFont="1" applyFill="1" applyBorder="1"/>
    <xf numFmtId="10" fontId="38" fillId="2" borderId="24" xfId="2" applyNumberFormat="1" applyFont="1" applyFill="1" applyBorder="1" applyAlignment="1">
      <alignment horizontal="center"/>
    </xf>
    <xf numFmtId="0" fontId="28" fillId="0" borderId="3" xfId="0" applyFont="1" applyBorder="1" applyAlignment="1">
      <alignment horizontal="center"/>
    </xf>
    <xf numFmtId="10" fontId="27" fillId="0" borderId="0" xfId="2" applyNumberFormat="1" applyFont="1" applyAlignment="1">
      <alignment horizontal="right"/>
    </xf>
    <xf numFmtId="10" fontId="27" fillId="0" borderId="4" xfId="2" applyNumberFormat="1" applyFont="1" applyBorder="1" applyAlignment="1">
      <alignment horizontal="right"/>
    </xf>
    <xf numFmtId="10" fontId="27" fillId="0" borderId="4" xfId="2" applyNumberFormat="1" applyFont="1" applyFill="1" applyBorder="1" applyAlignment="1">
      <alignment horizontal="right"/>
    </xf>
    <xf numFmtId="0" fontId="21" fillId="0" borderId="37" xfId="0" applyFont="1" applyBorder="1" applyAlignment="1">
      <alignment horizontal="center"/>
    </xf>
    <xf numFmtId="0" fontId="21" fillId="0" borderId="38" xfId="0" applyFont="1" applyBorder="1" applyAlignment="1">
      <alignment horizontal="center"/>
    </xf>
    <xf numFmtId="0" fontId="30" fillId="0" borderId="20" xfId="0" applyFont="1" applyBorder="1" applyAlignment="1">
      <alignment horizontal="center"/>
    </xf>
    <xf numFmtId="0" fontId="21" fillId="0" borderId="18" xfId="0" applyFont="1" applyBorder="1" applyAlignment="1">
      <alignment horizontal="center"/>
    </xf>
    <xf numFmtId="0" fontId="19" fillId="0" borderId="18" xfId="0" applyFont="1" applyBorder="1"/>
    <xf numFmtId="44" fontId="22" fillId="0" borderId="18" xfId="3" applyFont="1" applyFill="1" applyBorder="1" applyAlignment="1">
      <alignment horizontal="center"/>
    </xf>
    <xf numFmtId="44" fontId="22" fillId="0" borderId="39" xfId="3" applyFont="1" applyFill="1" applyBorder="1" applyAlignment="1">
      <alignment horizontal="center"/>
    </xf>
    <xf numFmtId="2" fontId="22" fillId="0" borderId="18" xfId="0" applyNumberFormat="1" applyFont="1" applyBorder="1" applyAlignment="1">
      <alignment horizontal="right" vertical="center"/>
    </xf>
    <xf numFmtId="2" fontId="22" fillId="0" borderId="20" xfId="0" applyNumberFormat="1" applyFont="1" applyBorder="1" applyAlignment="1">
      <alignment horizontal="right" vertical="center"/>
    </xf>
    <xf numFmtId="2" fontId="21" fillId="0" borderId="18" xfId="0" applyNumberFormat="1" applyFont="1" applyBorder="1" applyAlignment="1">
      <alignment horizontal="right"/>
    </xf>
    <xf numFmtId="43" fontId="21" fillId="0" borderId="18" xfId="1" applyFont="1" applyFill="1" applyBorder="1" applyAlignment="1">
      <alignment horizontal="right"/>
    </xf>
    <xf numFmtId="10" fontId="21" fillId="0" borderId="40" xfId="2" applyNumberFormat="1" applyFont="1" applyFill="1" applyBorder="1"/>
    <xf numFmtId="10" fontId="21" fillId="0" borderId="4" xfId="2" applyNumberFormat="1" applyFont="1" applyFill="1" applyBorder="1"/>
    <xf numFmtId="43" fontId="24" fillId="0" borderId="14" xfId="1" applyFont="1" applyFill="1" applyBorder="1" applyAlignment="1">
      <alignment horizontal="center" vertical="center"/>
    </xf>
    <xf numFmtId="0" fontId="34" fillId="4" borderId="37" xfId="0" applyFont="1" applyFill="1" applyBorder="1"/>
    <xf numFmtId="10" fontId="38" fillId="4" borderId="37" xfId="2" applyNumberFormat="1" applyFont="1" applyFill="1" applyBorder="1" applyAlignment="1">
      <alignment horizontal="center"/>
    </xf>
    <xf numFmtId="10" fontId="38" fillId="4" borderId="18" xfId="2" applyNumberFormat="1" applyFont="1" applyFill="1" applyBorder="1" applyAlignment="1">
      <alignment horizontal="center"/>
    </xf>
    <xf numFmtId="10" fontId="19" fillId="0" borderId="18" xfId="2" applyNumberFormat="1" applyFont="1" applyFill="1" applyBorder="1"/>
    <xf numFmtId="10" fontId="19" fillId="0" borderId="18" xfId="0" applyNumberFormat="1" applyFont="1" applyBorder="1"/>
    <xf numFmtId="0" fontId="38" fillId="2" borderId="20" xfId="0" applyFont="1" applyFill="1" applyBorder="1"/>
    <xf numFmtId="10" fontId="38" fillId="2" borderId="25" xfId="2" applyNumberFormat="1" applyFont="1" applyFill="1" applyBorder="1" applyAlignment="1">
      <alignment horizontal="center"/>
    </xf>
    <xf numFmtId="0" fontId="72" fillId="0" borderId="0" xfId="0" applyFont="1"/>
    <xf numFmtId="0" fontId="19" fillId="0" borderId="8" xfId="0" applyFont="1" applyBorder="1"/>
    <xf numFmtId="0" fontId="19" fillId="0" borderId="13" xfId="0" applyFont="1" applyBorder="1"/>
    <xf numFmtId="2" fontId="38" fillId="0" borderId="0" xfId="0" applyNumberFormat="1" applyFont="1" applyAlignment="1">
      <alignment horizontal="right"/>
    </xf>
    <xf numFmtId="10" fontId="38" fillId="2" borderId="18" xfId="2" applyNumberFormat="1" applyFont="1" applyFill="1" applyBorder="1" applyAlignment="1">
      <alignment horizontal="center"/>
    </xf>
    <xf numFmtId="0" fontId="34" fillId="4" borderId="24" xfId="0" applyFont="1" applyFill="1" applyBorder="1"/>
    <xf numFmtId="0" fontId="38" fillId="4" borderId="24" xfId="0" applyFont="1" applyFill="1" applyBorder="1"/>
    <xf numFmtId="10" fontId="51" fillId="0" borderId="14" xfId="2" applyNumberFormat="1" applyFont="1" applyFill="1" applyBorder="1" applyAlignment="1">
      <alignment horizontal="center"/>
    </xf>
    <xf numFmtId="10" fontId="23" fillId="0" borderId="14" xfId="2" applyNumberFormat="1" applyFont="1" applyFill="1" applyBorder="1"/>
    <xf numFmtId="10" fontId="23" fillId="0" borderId="14" xfId="2" applyNumberFormat="1" applyFont="1" applyFill="1" applyBorder="1" applyAlignment="1">
      <alignment horizontal="right"/>
    </xf>
    <xf numFmtId="2" fontId="24" fillId="0" borderId="14" xfId="0" applyNumberFormat="1" applyFont="1" applyBorder="1" applyAlignment="1">
      <alignment horizontal="center" vertical="center"/>
    </xf>
    <xf numFmtId="10" fontId="24" fillId="0" borderId="14" xfId="2" applyNumberFormat="1" applyFont="1" applyFill="1" applyBorder="1" applyAlignment="1">
      <alignment horizontal="center" vertical="center"/>
    </xf>
    <xf numFmtId="2" fontId="24" fillId="0" borderId="14" xfId="0" applyNumberFormat="1" applyFont="1" applyBorder="1" applyAlignment="1">
      <alignment horizontal="center"/>
    </xf>
    <xf numFmtId="10" fontId="24" fillId="0" borderId="14" xfId="2" applyNumberFormat="1" applyFont="1" applyFill="1" applyBorder="1" applyAlignment="1">
      <alignment horizontal="center"/>
    </xf>
    <xf numFmtId="0" fontId="36" fillId="0" borderId="14" xfId="0" applyFont="1" applyBorder="1" applyAlignment="1">
      <alignment horizontal="center"/>
    </xf>
    <xf numFmtId="10" fontId="38" fillId="0" borderId="14" xfId="2" applyNumberFormat="1" applyFont="1" applyFill="1" applyBorder="1"/>
    <xf numFmtId="10" fontId="73" fillId="0" borderId="0" xfId="2" applyNumberFormat="1" applyFont="1" applyFill="1" applyAlignment="1">
      <alignment horizontal="center"/>
    </xf>
    <xf numFmtId="10" fontId="28" fillId="0" borderId="0" xfId="2" applyNumberFormat="1" applyFont="1" applyAlignment="1">
      <alignment horizontal="left"/>
    </xf>
    <xf numFmtId="0" fontId="21" fillId="0" borderId="0" xfId="0" applyFont="1" applyAlignment="1">
      <alignment horizontal="left"/>
    </xf>
    <xf numFmtId="168" fontId="34" fillId="0" borderId="23" xfId="2" applyNumberFormat="1" applyFont="1" applyFill="1" applyBorder="1" applyAlignment="1">
      <alignment horizontal="center"/>
    </xf>
    <xf numFmtId="10" fontId="24" fillId="0" borderId="30" xfId="2" applyNumberFormat="1" applyFont="1" applyFill="1" applyBorder="1" applyAlignment="1">
      <alignment horizontal="right"/>
    </xf>
    <xf numFmtId="10" fontId="24" fillId="0" borderId="32" xfId="0" applyNumberFormat="1" applyFont="1" applyBorder="1"/>
    <xf numFmtId="10" fontId="42" fillId="0" borderId="14" xfId="2" applyNumberFormat="1" applyFont="1" applyFill="1" applyBorder="1" applyAlignment="1">
      <alignment horizontal="center"/>
    </xf>
    <xf numFmtId="169" fontId="28" fillId="0" borderId="14" xfId="2" applyNumberFormat="1" applyFont="1" applyFill="1" applyBorder="1" applyAlignment="1">
      <alignment horizontal="center"/>
    </xf>
    <xf numFmtId="0" fontId="0" fillId="0" borderId="18" xfId="0" applyBorder="1"/>
    <xf numFmtId="43" fontId="0" fillId="0" borderId="0" xfId="1" applyFont="1"/>
    <xf numFmtId="43" fontId="0" fillId="0" borderId="0" xfId="0" applyNumberFormat="1"/>
    <xf numFmtId="10" fontId="28" fillId="0" borderId="14" xfId="2" applyNumberFormat="1" applyFont="1" applyFill="1" applyBorder="1" applyAlignment="1">
      <alignment horizontal="center"/>
    </xf>
    <xf numFmtId="0" fontId="22" fillId="0" borderId="27" xfId="0" applyFont="1" applyBorder="1" applyAlignment="1">
      <alignment horizontal="right"/>
    </xf>
    <xf numFmtId="0" fontId="22" fillId="0" borderId="28" xfId="0" applyFont="1" applyBorder="1" applyAlignment="1">
      <alignment horizontal="left"/>
    </xf>
    <xf numFmtId="0" fontId="22" fillId="0" borderId="18" xfId="0" applyFont="1" applyBorder="1" applyAlignment="1">
      <alignment horizontal="right"/>
    </xf>
    <xf numFmtId="0" fontId="22" fillId="0" borderId="19" xfId="0" applyFont="1" applyBorder="1" applyAlignment="1">
      <alignment horizontal="left"/>
    </xf>
    <xf numFmtId="0" fontId="22" fillId="0" borderId="20" xfId="0" applyFont="1" applyBorder="1" applyAlignment="1">
      <alignment horizontal="right"/>
    </xf>
    <xf numFmtId="0" fontId="22" fillId="0" borderId="21" xfId="0" applyFont="1" applyBorder="1" applyAlignment="1">
      <alignment horizontal="left"/>
    </xf>
    <xf numFmtId="10" fontId="73" fillId="0" borderId="0" xfId="2" applyNumberFormat="1" applyFont="1" applyAlignment="1">
      <alignment horizontal="center"/>
    </xf>
    <xf numFmtId="0" fontId="46" fillId="0" borderId="0" xfId="0" applyFont="1"/>
    <xf numFmtId="0" fontId="47" fillId="0" borderId="0" xfId="6" applyFont="1"/>
    <xf numFmtId="0" fontId="74" fillId="0" borderId="28" xfId="0" applyFont="1" applyBorder="1" applyAlignment="1">
      <alignment horizontal="left"/>
    </xf>
    <xf numFmtId="0" fontId="74" fillId="0" borderId="19" xfId="0" applyFont="1" applyBorder="1" applyAlignment="1">
      <alignment horizontal="left"/>
    </xf>
    <xf numFmtId="0" fontId="74" fillId="0" borderId="21" xfId="0" applyFont="1" applyBorder="1" applyAlignment="1">
      <alignment horizontal="left"/>
    </xf>
    <xf numFmtId="0" fontId="47" fillId="0" borderId="0" xfId="6" applyFont="1" applyFill="1" applyAlignment="1" applyProtection="1"/>
    <xf numFmtId="0" fontId="45" fillId="0" borderId="7" xfId="0" applyFont="1" applyBorder="1" applyAlignment="1">
      <alignment horizontal="center" vertical="center"/>
    </xf>
    <xf numFmtId="10" fontId="45" fillId="0" borderId="0" xfId="2" applyNumberFormat="1" applyFont="1" applyFill="1" applyBorder="1" applyAlignment="1">
      <alignment horizontal="center" vertical="center"/>
    </xf>
    <xf numFmtId="0" fontId="45" fillId="4" borderId="25" xfId="0" applyFont="1" applyFill="1" applyBorder="1"/>
    <xf numFmtId="10" fontId="45" fillId="4" borderId="20" xfId="2" applyNumberFormat="1" applyFont="1" applyFill="1" applyBorder="1" applyAlignment="1">
      <alignment horizontal="center"/>
    </xf>
    <xf numFmtId="0" fontId="75" fillId="0" borderId="0" xfId="0" applyFont="1" applyAlignment="1">
      <alignment horizontal="left"/>
    </xf>
    <xf numFmtId="0" fontId="37" fillId="0" borderId="22" xfId="0" applyFont="1" applyBorder="1"/>
    <xf numFmtId="15" fontId="34" fillId="0" borderId="9" xfId="0" quotePrefix="1" applyNumberFormat="1" applyFont="1" applyBorder="1" applyAlignment="1">
      <alignment horizontal="center"/>
    </xf>
    <xf numFmtId="164" fontId="38" fillId="0" borderId="7" xfId="1" applyNumberFormat="1" applyFont="1" applyFill="1" applyBorder="1"/>
    <xf numFmtId="3" fontId="38" fillId="0" borderId="7" xfId="0" applyNumberFormat="1" applyFont="1" applyBorder="1"/>
    <xf numFmtId="3" fontId="38" fillId="0" borderId="8" xfId="0" applyNumberFormat="1" applyFont="1" applyBorder="1"/>
    <xf numFmtId="15" fontId="34" fillId="0" borderId="7" xfId="0" quotePrefix="1" applyNumberFormat="1" applyFont="1" applyBorder="1" applyAlignment="1">
      <alignment horizontal="center"/>
    </xf>
    <xf numFmtId="10" fontId="38" fillId="0" borderId="9" xfId="2" applyNumberFormat="1" applyFont="1" applyFill="1" applyBorder="1"/>
    <xf numFmtId="10" fontId="38" fillId="0" borderId="3" xfId="2" applyNumberFormat="1" applyFont="1" applyFill="1" applyBorder="1"/>
    <xf numFmtId="0" fontId="76" fillId="0" borderId="26" xfId="0" applyFont="1" applyBorder="1" applyAlignment="1">
      <alignment horizontal="center"/>
    </xf>
    <xf numFmtId="0" fontId="76" fillId="0" borderId="17" xfId="0" applyFont="1" applyBorder="1" applyAlignment="1">
      <alignment horizontal="center"/>
    </xf>
    <xf numFmtId="0" fontId="77" fillId="0" borderId="26" xfId="0" applyFont="1" applyBorder="1"/>
    <xf numFmtId="164" fontId="76" fillId="0" borderId="17" xfId="1" applyNumberFormat="1" applyFont="1" applyFill="1" applyBorder="1"/>
    <xf numFmtId="164" fontId="76" fillId="0" borderId="26" xfId="1" applyNumberFormat="1" applyFont="1" applyFill="1" applyBorder="1"/>
    <xf numFmtId="164" fontId="76" fillId="0" borderId="17" xfId="1" applyNumberFormat="1" applyFont="1" applyFill="1" applyBorder="1" applyAlignment="1">
      <alignment horizontal="center"/>
    </xf>
    <xf numFmtId="164" fontId="76" fillId="3" borderId="26" xfId="1" applyNumberFormat="1" applyFont="1" applyFill="1" applyBorder="1"/>
    <xf numFmtId="164" fontId="76" fillId="0" borderId="21" xfId="1" applyNumberFormat="1" applyFont="1" applyFill="1" applyBorder="1"/>
    <xf numFmtId="164" fontId="76" fillId="0" borderId="25" xfId="1" applyNumberFormat="1" applyFont="1" applyFill="1" applyBorder="1"/>
    <xf numFmtId="164" fontId="76" fillId="3" borderId="25" xfId="1" applyNumberFormat="1" applyFont="1" applyFill="1" applyBorder="1"/>
    <xf numFmtId="164" fontId="76" fillId="3" borderId="21" xfId="1" applyNumberFormat="1" applyFont="1" applyFill="1" applyBorder="1"/>
    <xf numFmtId="0" fontId="28" fillId="2" borderId="23" xfId="0" applyFont="1" applyFill="1" applyBorder="1" applyAlignment="1">
      <alignment horizontal="center"/>
    </xf>
    <xf numFmtId="10" fontId="22" fillId="2" borderId="22" xfId="2" applyNumberFormat="1" applyFont="1" applyFill="1" applyBorder="1" applyAlignment="1">
      <alignment horizontal="center"/>
    </xf>
    <xf numFmtId="10" fontId="22" fillId="2" borderId="9" xfId="2" applyNumberFormat="1" applyFont="1" applyFill="1" applyBorder="1" applyAlignment="1">
      <alignment horizontal="center"/>
    </xf>
    <xf numFmtId="10" fontId="22" fillId="2" borderId="3" xfId="2" applyNumberFormat="1" applyFont="1" applyFill="1" applyBorder="1" applyAlignment="1">
      <alignment horizontal="center"/>
    </xf>
    <xf numFmtId="10" fontId="22" fillId="2" borderId="3" xfId="1" applyNumberFormat="1" applyFont="1" applyFill="1" applyBorder="1" applyAlignment="1">
      <alignment horizontal="center"/>
    </xf>
    <xf numFmtId="10" fontId="22" fillId="2" borderId="22" xfId="1" applyNumberFormat="1" applyFont="1" applyFill="1" applyBorder="1" applyAlignment="1">
      <alignment horizontal="center"/>
    </xf>
    <xf numFmtId="10" fontId="22" fillId="2" borderId="9" xfId="1" applyNumberFormat="1" applyFont="1" applyFill="1" applyBorder="1" applyAlignment="1">
      <alignment horizontal="center"/>
    </xf>
    <xf numFmtId="0" fontId="19" fillId="2" borderId="41" xfId="0" applyFont="1" applyFill="1" applyBorder="1" applyAlignment="1">
      <alignment horizontal="center"/>
    </xf>
    <xf numFmtId="0" fontId="37" fillId="2" borderId="0" xfId="0" applyFont="1" applyFill="1" applyAlignment="1">
      <alignment horizontal="center"/>
    </xf>
    <xf numFmtId="0" fontId="37" fillId="2" borderId="27" xfId="0" applyFont="1" applyFill="1" applyBorder="1" applyAlignment="1">
      <alignment horizontal="center"/>
    </xf>
    <xf numFmtId="0" fontId="19" fillId="2" borderId="42" xfId="0" applyFont="1" applyFill="1" applyBorder="1" applyAlignment="1">
      <alignment horizontal="center"/>
    </xf>
    <xf numFmtId="0" fontId="62" fillId="2" borderId="22" xfId="0" applyFont="1" applyFill="1" applyBorder="1"/>
    <xf numFmtId="0" fontId="37" fillId="2" borderId="18" xfId="0" applyFont="1" applyFill="1" applyBorder="1" applyAlignment="1">
      <alignment horizontal="center"/>
    </xf>
    <xf numFmtId="0" fontId="19" fillId="2" borderId="43" xfId="0" applyFont="1" applyFill="1" applyBorder="1" applyAlignment="1">
      <alignment horizontal="center"/>
    </xf>
    <xf numFmtId="0" fontId="62" fillId="2" borderId="9" xfId="0" applyFont="1" applyFill="1" applyBorder="1"/>
    <xf numFmtId="0" fontId="37" fillId="2" borderId="1" xfId="0" applyFont="1" applyFill="1" applyBorder="1" applyAlignment="1">
      <alignment horizontal="center"/>
    </xf>
    <xf numFmtId="0" fontId="37" fillId="2" borderId="20" xfId="0" applyFont="1" applyFill="1" applyBorder="1" applyAlignment="1">
      <alignment horizontal="center"/>
    </xf>
    <xf numFmtId="0" fontId="62" fillId="2" borderId="3" xfId="0" applyFont="1" applyFill="1" applyBorder="1"/>
    <xf numFmtId="0" fontId="62" fillId="2" borderId="14" xfId="0" applyFont="1" applyFill="1" applyBorder="1"/>
    <xf numFmtId="10" fontId="22" fillId="0" borderId="1" xfId="1" applyNumberFormat="1" applyFont="1" applyFill="1" applyBorder="1" applyAlignment="1"/>
    <xf numFmtId="10" fontId="22" fillId="0" borderId="0" xfId="1" applyNumberFormat="1" applyFont="1" applyFill="1" applyAlignment="1"/>
    <xf numFmtId="164" fontId="76" fillId="0" borderId="0" xfId="1" applyNumberFormat="1" applyFont="1" applyFill="1" applyBorder="1"/>
    <xf numFmtId="0" fontId="67" fillId="2" borderId="22" xfId="0" applyFont="1" applyFill="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20" fillId="0" borderId="0" xfId="0" applyFont="1" applyAlignment="1">
      <alignment horizontal="left" vertical="top" wrapText="1"/>
    </xf>
  </cellXfs>
  <cellStyles count="7">
    <cellStyle name="Comma" xfId="1" builtinId="3"/>
    <cellStyle name="Comma0 - Style5" xfId="4" xr:uid="{1397E544-7A5D-4627-82CA-446E9A855C6D}"/>
    <cellStyle name="Currency" xfId="3" builtinId="4"/>
    <cellStyle name="Hyperlink" xfId="6" builtinId="8"/>
    <cellStyle name="Normal" xfId="0" builtinId="0"/>
    <cellStyle name="Percen - Style2" xfId="5" xr:uid="{A055BC95-278A-4F04-A738-FFE257F1BA8F}"/>
    <cellStyle name="Percent" xfId="2"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447674</xdr:colOff>
      <xdr:row>33</xdr:row>
      <xdr:rowOff>53975</xdr:rowOff>
    </xdr:from>
    <xdr:to>
      <xdr:col>6</xdr:col>
      <xdr:colOff>177799</xdr:colOff>
      <xdr:row>35</xdr:row>
      <xdr:rowOff>149225</xdr:rowOff>
    </xdr:to>
    <xdr:pic>
      <xdr:nvPicPr>
        <xdr:cNvPr id="3" name="Picture 2" descr="Horse.bmp">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24074" y="7235825"/>
          <a:ext cx="1781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190499</xdr:rowOff>
    </xdr:from>
    <xdr:to>
      <xdr:col>11</xdr:col>
      <xdr:colOff>85725</xdr:colOff>
      <xdr:row>43</xdr:row>
      <xdr:rowOff>167266</xdr:rowOff>
    </xdr:to>
    <xdr:pic>
      <xdr:nvPicPr>
        <xdr:cNvPr id="2" name="Picture 1">
          <a:extLst>
            <a:ext uri="{FF2B5EF4-FFF2-40B4-BE49-F238E27FC236}">
              <a16:creationId xmlns:a16="http://schemas.microsoft.com/office/drawing/2014/main" id="{4FE7E59B-259E-69B7-71B8-CE22ECF28CA7}"/>
            </a:ext>
          </a:extLst>
        </xdr:cNvPr>
        <xdr:cNvPicPr>
          <a:picLocks noChangeAspect="1"/>
        </xdr:cNvPicPr>
      </xdr:nvPicPr>
      <xdr:blipFill>
        <a:blip xmlns:r="http://schemas.openxmlformats.org/officeDocument/2006/relationships" r:embed="rId1"/>
        <a:stretch>
          <a:fillRect/>
        </a:stretch>
      </xdr:blipFill>
      <xdr:spPr>
        <a:xfrm>
          <a:off x="609600" y="380999"/>
          <a:ext cx="6181725" cy="79777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cbo.gov/system/files/2021-02/56970-Outlook.p" TargetMode="External"/><Relationship Id="rId13" Type="http://schemas.openxmlformats.org/officeDocument/2006/relationships/hyperlink" Target="http://www.federalreserve.gov/" TargetMode="External"/><Relationship Id="rId3" Type="http://schemas.openxmlformats.org/officeDocument/2006/relationships/hyperlink" Target="https://www.cbo.gov/about/products/budget-economic-data" TargetMode="External"/><Relationship Id="rId7" Type="http://schemas.openxmlformats.org/officeDocument/2006/relationships/hyperlink" Target="https://www.federalreserve.gov/datadownload/Preview.aspx?pi=400&amp;rel=H15&amp;preview=%20H15/H15/RIFLGFCY05_N.WF" TargetMode="External"/><Relationship Id="rId12" Type="http://schemas.openxmlformats.org/officeDocument/2006/relationships/hyperlink" Target="https://www.cbo.gov/publication/59933" TargetMode="External"/><Relationship Id="rId2" Type="http://schemas.openxmlformats.org/officeDocument/2006/relationships/hyperlink" Target="https://www.philadelphiafed.org/research-and-data/real-time-center/livingston-survey" TargetMode="External"/><Relationship Id="rId16" Type="http://schemas.openxmlformats.org/officeDocument/2006/relationships/printerSettings" Target="../printerSettings/printerSettings14.bin"/><Relationship Id="rId1" Type="http://schemas.openxmlformats.org/officeDocument/2006/relationships/hyperlink" Target="http://pages.stern.nyu.edu/~adamodar/New_Home_Page/valquestions/stablegrowthrate.htm" TargetMode="External"/><Relationship Id="rId6" Type="http://schemas.openxmlformats.org/officeDocument/2006/relationships/hyperlink" Target="http://www.federalreserve.gov/Releases/H15/Current/" TargetMode="External"/><Relationship Id="rId11" Type="http://schemas.openxmlformats.org/officeDocument/2006/relationships/hyperlink" Target="https://www.philadelphiafed.org/-/media/frbp/assets/surveys-and-data/survey-of-professional-forecasters/2024/spfq124.pdf" TargetMode="External"/><Relationship Id="rId5" Type="http://schemas.openxmlformats.org/officeDocument/2006/relationships/hyperlink" Target="https://www.philadelphiafed.org/research-and-data/real-time-center/livingston-survey" TargetMode="External"/><Relationship Id="rId15" Type="http://schemas.openxmlformats.org/officeDocument/2006/relationships/hyperlink" Target="https://www.cbo.gov/publication/59933" TargetMode="External"/><Relationship Id="rId10" Type="http://schemas.openxmlformats.org/officeDocument/2006/relationships/hyperlink" Target="https://www.federalreserve.gov/monetarypolicy/files/fomcprojtabl20231213.pdf" TargetMode="External"/><Relationship Id="rId4" Type="http://schemas.openxmlformats.org/officeDocument/2006/relationships/hyperlink" Target="https://www.philadelphiafed.org/surveys-and-data/real-time-data-research/survey-of-professional-forecasters" TargetMode="External"/><Relationship Id="rId9" Type="http://schemas.openxmlformats.org/officeDocument/2006/relationships/hyperlink" Target="https://www.federalreserve.gov/monetarypolicy/files/fomcprojtabl20231213.pdf" TargetMode="External"/><Relationship Id="rId14" Type="http://schemas.openxmlformats.org/officeDocument/2006/relationships/hyperlink" Target="http://www.worldbank.org/en/publication/global-economic-prospect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pages.stern.nyu.edu/~adamodar/New_Home_Page/datacurrent.html" TargetMode="External"/><Relationship Id="rId2" Type="http://schemas.openxmlformats.org/officeDocument/2006/relationships/hyperlink" Target="https://www.bvresources.com/products/faqs/cost-of-capital-professional" TargetMode="External"/><Relationship Id="rId1" Type="http://schemas.openxmlformats.org/officeDocument/2006/relationships/hyperlink" Target="https://simplywall.st/stocks/us/transportation" TargetMode="External"/><Relationship Id="rId6" Type="http://schemas.openxmlformats.org/officeDocument/2006/relationships/printerSettings" Target="../printerSettings/printerSettings16.bin"/><Relationship Id="rId5" Type="http://schemas.openxmlformats.org/officeDocument/2006/relationships/hyperlink" Target="https://papers.ssrn.com/sol3/papers.cfm?abstract_id=4407839" TargetMode="External"/><Relationship Id="rId4" Type="http://schemas.openxmlformats.org/officeDocument/2006/relationships/hyperlink" Target="https://www.richmondfed.org/research/national_economy/cfo_surve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37"/>
  <sheetViews>
    <sheetView view="pageBreakPreview" topLeftCell="A8" zoomScale="60" zoomScaleNormal="100" workbookViewId="0">
      <selection activeCell="A10" sqref="A10"/>
    </sheetView>
  </sheetViews>
  <sheetFormatPr defaultRowHeight="15"/>
  <cols>
    <col min="5" max="5" width="12.28515625" customWidth="1"/>
    <col min="9" max="9" width="16.42578125" customWidth="1"/>
  </cols>
  <sheetData>
    <row r="1" spans="1:13" ht="18.75">
      <c r="A1" s="502" t="s">
        <v>0</v>
      </c>
      <c r="B1" s="503"/>
      <c r="C1" s="503"/>
      <c r="D1" s="503"/>
      <c r="E1" s="503"/>
      <c r="F1" s="503"/>
      <c r="G1" s="503"/>
      <c r="H1" s="503"/>
      <c r="I1" s="503"/>
    </row>
    <row r="5" spans="1:13" ht="27">
      <c r="E5" s="504" t="s">
        <v>0</v>
      </c>
      <c r="F5" s="505"/>
      <c r="G5" s="505"/>
      <c r="H5" s="505"/>
      <c r="I5" s="505"/>
      <c r="J5" s="505"/>
      <c r="K5" s="505"/>
      <c r="L5" s="505"/>
      <c r="M5" s="505"/>
    </row>
    <row r="7" spans="1:13" ht="27">
      <c r="A7" s="506" t="s">
        <v>30</v>
      </c>
      <c r="B7" s="507"/>
      <c r="C7" s="507"/>
      <c r="D7" s="507"/>
      <c r="E7" s="507"/>
      <c r="F7" s="507"/>
      <c r="G7" s="507"/>
      <c r="H7" s="507"/>
      <c r="I7" s="507"/>
    </row>
    <row r="8" spans="1:13" ht="27">
      <c r="A8" s="6"/>
      <c r="B8" s="7"/>
      <c r="C8" s="7"/>
      <c r="D8" s="7"/>
      <c r="E8" s="504" t="s">
        <v>0</v>
      </c>
      <c r="F8" s="505"/>
      <c r="G8" s="505"/>
      <c r="H8" s="505"/>
      <c r="I8" s="505"/>
      <c r="J8" s="505"/>
      <c r="K8" s="505"/>
      <c r="L8" s="505"/>
      <c r="M8" s="505"/>
    </row>
    <row r="9" spans="1:13" ht="27">
      <c r="A9" s="504" t="s">
        <v>468</v>
      </c>
      <c r="B9" s="505"/>
      <c r="C9" s="505"/>
      <c r="D9" s="505"/>
      <c r="E9" s="505"/>
      <c r="F9" s="505"/>
      <c r="G9" s="505"/>
      <c r="H9" s="505"/>
      <c r="I9" s="505"/>
    </row>
    <row r="15" spans="1:13">
      <c r="A15" s="499" t="s">
        <v>0</v>
      </c>
      <c r="B15" s="500"/>
      <c r="C15" s="500"/>
      <c r="D15" s="500"/>
      <c r="E15" s="500"/>
      <c r="F15" s="500"/>
      <c r="G15" s="500"/>
      <c r="H15" s="500"/>
      <c r="I15" s="500"/>
    </row>
    <row r="16" spans="1:13" ht="33.75">
      <c r="A16" s="497" t="str">
        <f>+'S&amp;D'!A12</f>
        <v>Air Passenger Carriers</v>
      </c>
      <c r="B16" s="498"/>
      <c r="C16" s="498"/>
      <c r="D16" s="498"/>
      <c r="E16" s="498"/>
      <c r="F16" s="498"/>
      <c r="G16" s="498"/>
      <c r="H16" s="498"/>
      <c r="I16" s="498"/>
    </row>
    <row r="17" spans="1:9">
      <c r="A17" s="499" t="s">
        <v>0</v>
      </c>
      <c r="B17" s="500"/>
      <c r="C17" s="500"/>
      <c r="D17" s="500"/>
      <c r="E17" s="500"/>
      <c r="F17" s="500"/>
      <c r="G17" s="500"/>
      <c r="H17" s="500"/>
      <c r="I17" s="500"/>
    </row>
    <row r="18" spans="1:9">
      <c r="A18" s="8"/>
      <c r="B18" s="9"/>
      <c r="C18" s="9"/>
      <c r="D18" s="9"/>
      <c r="E18" s="9"/>
      <c r="F18" s="9"/>
      <c r="G18" s="9"/>
      <c r="H18" s="9"/>
      <c r="I18" s="9"/>
    </row>
    <row r="19" spans="1:9">
      <c r="A19" s="8"/>
      <c r="B19" s="9"/>
      <c r="C19" s="9"/>
      <c r="D19" s="9"/>
      <c r="E19" s="9"/>
      <c r="F19" s="9"/>
      <c r="G19" s="9"/>
      <c r="H19" s="9"/>
      <c r="I19" s="9"/>
    </row>
    <row r="20" spans="1:9">
      <c r="A20" s="8"/>
      <c r="B20" s="9"/>
      <c r="C20" s="9"/>
      <c r="D20" s="9"/>
      <c r="E20" s="9"/>
      <c r="F20" s="9"/>
      <c r="G20" s="9"/>
      <c r="H20" s="9"/>
      <c r="I20" s="9"/>
    </row>
    <row r="21" spans="1:9">
      <c r="A21" s="8"/>
      <c r="B21" s="9"/>
      <c r="C21" s="9"/>
      <c r="D21" s="9"/>
      <c r="E21" s="9"/>
      <c r="F21" s="9"/>
      <c r="G21" s="9"/>
      <c r="H21" s="9"/>
      <c r="I21" s="9"/>
    </row>
    <row r="22" spans="1:9">
      <c r="A22" s="8"/>
      <c r="B22" s="9"/>
      <c r="C22" s="9"/>
      <c r="D22" s="9"/>
      <c r="E22" s="9"/>
      <c r="F22" s="9"/>
      <c r="G22" s="9"/>
      <c r="H22" s="9"/>
      <c r="I22" s="9"/>
    </row>
    <row r="23" spans="1:9">
      <c r="A23" s="8"/>
      <c r="B23" s="9"/>
      <c r="C23" s="9"/>
      <c r="D23" s="9"/>
      <c r="E23" s="9"/>
      <c r="F23" s="9"/>
      <c r="G23" s="9"/>
      <c r="H23" s="9"/>
      <c r="I23" s="9"/>
    </row>
    <row r="24" spans="1:9">
      <c r="A24" s="8"/>
      <c r="B24" s="9"/>
      <c r="C24" s="9"/>
      <c r="D24" s="9"/>
      <c r="E24" s="9"/>
      <c r="F24" s="9"/>
      <c r="G24" s="9"/>
      <c r="H24" s="9"/>
      <c r="I24" s="9"/>
    </row>
    <row r="25" spans="1:9">
      <c r="A25" s="8"/>
      <c r="B25" s="9"/>
      <c r="C25" s="9"/>
      <c r="D25" s="9"/>
      <c r="E25" s="9"/>
      <c r="F25" s="9"/>
      <c r="G25" s="9"/>
      <c r="H25" s="9"/>
      <c r="I25" s="9"/>
    </row>
    <row r="26" spans="1:9">
      <c r="A26" s="8"/>
      <c r="B26" s="9"/>
      <c r="C26" s="9"/>
      <c r="D26" s="9"/>
      <c r="E26" s="9"/>
      <c r="F26" s="9"/>
      <c r="G26" s="9"/>
      <c r="H26" s="9"/>
      <c r="I26" s="9"/>
    </row>
    <row r="27" spans="1:9">
      <c r="A27" s="8"/>
      <c r="B27" s="9"/>
      <c r="C27" s="9"/>
      <c r="D27" s="9"/>
      <c r="E27" s="9"/>
      <c r="F27" s="9"/>
      <c r="G27" s="9"/>
      <c r="H27" s="9"/>
      <c r="I27" s="9"/>
    </row>
    <row r="28" spans="1:9">
      <c r="A28" s="8"/>
      <c r="B28" s="9"/>
      <c r="C28" s="9"/>
      <c r="D28" s="9"/>
      <c r="E28" s="9"/>
      <c r="F28" s="9"/>
      <c r="G28" s="9"/>
      <c r="H28" s="9"/>
      <c r="I28" s="9"/>
    </row>
    <row r="29" spans="1:9">
      <c r="A29" s="499" t="s">
        <v>0</v>
      </c>
      <c r="B29" s="500"/>
      <c r="C29" s="500"/>
      <c r="D29" s="500"/>
      <c r="E29" s="500"/>
      <c r="F29" s="500"/>
      <c r="G29" s="500"/>
      <c r="H29" s="500"/>
      <c r="I29" s="500"/>
    </row>
    <row r="34" spans="1:9">
      <c r="A34" s="501"/>
      <c r="B34" s="501"/>
      <c r="C34" s="501"/>
      <c r="D34" s="501"/>
      <c r="E34" s="501"/>
      <c r="F34" s="501"/>
      <c r="G34" s="501"/>
      <c r="H34" s="501"/>
      <c r="I34" s="501"/>
    </row>
    <row r="35" spans="1:9">
      <c r="A35" s="501"/>
      <c r="B35" s="501"/>
      <c r="C35" s="501"/>
      <c r="D35" s="501"/>
      <c r="E35" s="501"/>
      <c r="F35" s="501"/>
      <c r="G35" s="501"/>
      <c r="H35" s="501"/>
      <c r="I35" s="501"/>
    </row>
    <row r="36" spans="1:9">
      <c r="A36" s="501"/>
      <c r="B36" s="501"/>
      <c r="C36" s="501"/>
      <c r="D36" s="501"/>
      <c r="E36" s="501"/>
      <c r="F36" s="501"/>
      <c r="G36" s="501"/>
      <c r="H36" s="501"/>
      <c r="I36" s="501"/>
    </row>
    <row r="37" spans="1:9">
      <c r="A37" s="501"/>
      <c r="B37" s="501"/>
      <c r="C37" s="501"/>
      <c r="D37" s="501"/>
      <c r="E37" s="501"/>
      <c r="F37" s="501"/>
      <c r="G37" s="501"/>
      <c r="H37" s="501"/>
      <c r="I37" s="501"/>
    </row>
  </sheetData>
  <mergeCells count="10">
    <mergeCell ref="A16:I16"/>
    <mergeCell ref="A17:I17"/>
    <mergeCell ref="A29:I29"/>
    <mergeCell ref="A34:I37"/>
    <mergeCell ref="A1:I1"/>
    <mergeCell ref="E5:M5"/>
    <mergeCell ref="A7:I7"/>
    <mergeCell ref="E8:M8"/>
    <mergeCell ref="A9:I9"/>
    <mergeCell ref="A15:I15"/>
  </mergeCell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977D-79F8-4597-B6CD-EDBA2BDD7D4C}">
  <sheetPr>
    <tabColor rgb="FF92D050"/>
  </sheetPr>
  <dimension ref="A1:L37"/>
  <sheetViews>
    <sheetView view="pageBreakPreview" topLeftCell="A7" zoomScale="70" zoomScaleNormal="80" zoomScaleSheetLayoutView="70" workbookViewId="0">
      <selection activeCell="J36" sqref="J36"/>
    </sheetView>
  </sheetViews>
  <sheetFormatPr defaultRowHeight="15"/>
  <cols>
    <col min="1" max="1" width="48.28515625" customWidth="1"/>
    <col min="2" max="2" width="10.85546875" bestFit="1" customWidth="1"/>
    <col min="3" max="3" width="23" customWidth="1"/>
    <col min="4" max="4" width="21.7109375" customWidth="1"/>
    <col min="5" max="5" width="24.140625" customWidth="1"/>
    <col min="6" max="6" width="22.28515625" customWidth="1"/>
    <col min="7" max="7" width="23.85546875" customWidth="1"/>
    <col min="8" max="8" width="22.7109375" customWidth="1"/>
    <col min="9" max="9" width="15" customWidth="1"/>
    <col min="10" max="10" width="14.140625" bestFit="1" customWidth="1"/>
    <col min="12" max="12" width="14.85546875" bestFit="1" customWidth="1"/>
  </cols>
  <sheetData>
    <row r="1" spans="1:11" ht="26.25">
      <c r="A1" s="21" t="s">
        <v>1</v>
      </c>
      <c r="B1" s="10"/>
      <c r="C1" s="10"/>
      <c r="D1" s="10"/>
      <c r="E1" s="10"/>
      <c r="F1" s="10"/>
      <c r="G1" s="10"/>
      <c r="H1" s="10"/>
      <c r="I1" s="10"/>
      <c r="J1" s="10"/>
      <c r="K1" s="10"/>
    </row>
    <row r="2" spans="1:11" ht="17.25">
      <c r="A2" s="22" t="s">
        <v>9</v>
      </c>
      <c r="B2" s="10"/>
      <c r="C2" s="10"/>
      <c r="D2" s="10"/>
      <c r="E2" s="10"/>
      <c r="F2" s="10"/>
      <c r="G2" s="10"/>
      <c r="H2" s="10"/>
      <c r="I2" s="10"/>
      <c r="J2" s="10"/>
      <c r="K2" s="10"/>
    </row>
    <row r="3" spans="1:11" ht="16.5">
      <c r="A3" s="23" t="s">
        <v>467</v>
      </c>
      <c r="B3" s="10"/>
      <c r="C3" s="10"/>
      <c r="D3" s="10"/>
      <c r="E3" s="10"/>
      <c r="F3" s="10"/>
      <c r="G3" s="10"/>
      <c r="H3" s="10"/>
      <c r="I3" s="10"/>
      <c r="J3" s="10"/>
      <c r="K3" s="10"/>
    </row>
    <row r="4" spans="1:11" ht="16.5">
      <c r="A4" s="23"/>
      <c r="B4" s="10"/>
      <c r="C4" s="10"/>
      <c r="D4" s="10"/>
      <c r="E4" s="10"/>
      <c r="F4" s="10"/>
      <c r="G4" s="10"/>
      <c r="H4" s="10"/>
      <c r="I4" s="10"/>
      <c r="J4" s="10"/>
      <c r="K4" s="10"/>
    </row>
    <row r="5" spans="1:11" ht="17.25" thickBot="1">
      <c r="A5" s="10"/>
      <c r="B5" s="10"/>
      <c r="C5" s="10"/>
      <c r="D5" s="10"/>
      <c r="E5" s="10"/>
      <c r="F5" s="24" t="s">
        <v>0</v>
      </c>
      <c r="G5" s="24"/>
      <c r="H5" s="10"/>
      <c r="I5" s="10"/>
      <c r="J5" s="10"/>
      <c r="K5" s="10"/>
    </row>
    <row r="6" spans="1:11" ht="21" thickBot="1">
      <c r="A6" s="260" t="str">
        <f>+'S&amp;D'!A12</f>
        <v>Air Passenger Carriers</v>
      </c>
      <c r="B6" s="193"/>
      <c r="C6" s="10"/>
      <c r="D6" s="26"/>
      <c r="E6" s="26"/>
      <c r="F6" s="26"/>
      <c r="G6" s="10"/>
      <c r="H6" s="10"/>
      <c r="I6" s="10"/>
      <c r="J6" s="10"/>
      <c r="K6" s="10"/>
    </row>
    <row r="7" spans="1:11" ht="26.25">
      <c r="A7" s="28"/>
      <c r="B7" s="10"/>
      <c r="C7" s="10"/>
      <c r="D7" s="10"/>
      <c r="E7" s="29" t="s">
        <v>191</v>
      </c>
      <c r="F7" s="10"/>
      <c r="G7" s="10"/>
      <c r="H7" s="10"/>
      <c r="I7" s="10"/>
      <c r="J7" s="10"/>
      <c r="K7" s="10"/>
    </row>
    <row r="8" spans="1:11" ht="17.25" thickBot="1">
      <c r="A8" s="38" t="s">
        <v>0</v>
      </c>
      <c r="B8" s="38" t="s">
        <v>0</v>
      </c>
      <c r="C8" s="38" t="s">
        <v>0</v>
      </c>
      <c r="D8" s="31" t="s">
        <v>0</v>
      </c>
      <c r="E8" s="30" t="s">
        <v>469</v>
      </c>
      <c r="F8" s="31" t="s">
        <v>0</v>
      </c>
      <c r="G8" s="38"/>
      <c r="H8" s="38" t="s">
        <v>0</v>
      </c>
      <c r="I8" s="38" t="s">
        <v>0</v>
      </c>
      <c r="J8" s="10"/>
      <c r="K8" s="10"/>
    </row>
    <row r="9" spans="1:11" ht="16.5">
      <c r="A9" s="38"/>
      <c r="B9" s="38"/>
      <c r="H9" s="38"/>
      <c r="I9" s="38"/>
      <c r="J9" s="10"/>
      <c r="K9" s="10"/>
    </row>
    <row r="10" spans="1:11" ht="16.5">
      <c r="A10" s="38"/>
      <c r="B10" s="38"/>
      <c r="E10" s="11" t="s">
        <v>0</v>
      </c>
      <c r="H10" s="38"/>
      <c r="I10" s="38"/>
      <c r="J10" s="10"/>
      <c r="K10" s="10"/>
    </row>
    <row r="11" spans="1:11" ht="16.5">
      <c r="A11" s="38"/>
      <c r="B11" s="38"/>
      <c r="E11" t="s">
        <v>0</v>
      </c>
      <c r="H11" s="38"/>
      <c r="I11" s="38"/>
      <c r="J11" s="10"/>
      <c r="K11" s="10"/>
    </row>
    <row r="12" spans="1:11" ht="17.25" thickBot="1">
      <c r="A12" s="31"/>
      <c r="B12" s="31"/>
      <c r="C12" s="148"/>
      <c r="D12" s="148"/>
      <c r="E12" s="148"/>
      <c r="F12" s="148"/>
      <c r="G12" s="148"/>
      <c r="H12" s="31"/>
      <c r="I12" s="31"/>
      <c r="J12" s="26"/>
      <c r="K12" s="10"/>
    </row>
    <row r="13" spans="1:11" ht="11.25" customHeight="1" thickBot="1">
      <c r="A13" s="31" t="s">
        <v>24</v>
      </c>
      <c r="B13" s="31" t="s">
        <v>88</v>
      </c>
      <c r="C13" s="31" t="s">
        <v>89</v>
      </c>
      <c r="D13" s="39" t="s">
        <v>90</v>
      </c>
      <c r="E13" s="31" t="s">
        <v>91</v>
      </c>
      <c r="F13" s="31" t="s">
        <v>92</v>
      </c>
      <c r="G13" s="31" t="s">
        <v>93</v>
      </c>
      <c r="H13" s="31" t="s">
        <v>94</v>
      </c>
      <c r="I13" s="31" t="s">
        <v>95</v>
      </c>
      <c r="J13" s="31" t="s">
        <v>96</v>
      </c>
      <c r="K13" s="10"/>
    </row>
    <row r="14" spans="1:11" ht="16.5">
      <c r="A14" s="32" t="s">
        <v>0</v>
      </c>
      <c r="B14" s="32" t="s">
        <v>3</v>
      </c>
      <c r="C14" s="32" t="s">
        <v>83</v>
      </c>
      <c r="D14" s="32" t="s">
        <v>116</v>
      </c>
      <c r="E14" s="32" t="s">
        <v>117</v>
      </c>
      <c r="F14" s="32" t="s">
        <v>116</v>
      </c>
      <c r="G14" s="32" t="s">
        <v>117</v>
      </c>
      <c r="H14" s="32" t="s">
        <v>19</v>
      </c>
      <c r="I14" s="32" t="s">
        <v>118</v>
      </c>
      <c r="J14" s="32" t="s">
        <v>130</v>
      </c>
      <c r="K14" s="10"/>
    </row>
    <row r="15" spans="1:11" ht="17.25" thickBot="1">
      <c r="A15" s="34" t="s">
        <v>2</v>
      </c>
      <c r="B15" s="34" t="s">
        <v>4</v>
      </c>
      <c r="C15" s="34" t="s">
        <v>115</v>
      </c>
      <c r="D15" s="34" t="s">
        <v>82</v>
      </c>
      <c r="E15" s="34" t="s">
        <v>82</v>
      </c>
      <c r="F15" s="34" t="s">
        <v>83</v>
      </c>
      <c r="G15" s="34" t="s">
        <v>83</v>
      </c>
      <c r="H15" s="34" t="s">
        <v>116</v>
      </c>
      <c r="I15" s="34" t="s">
        <v>119</v>
      </c>
      <c r="J15" s="34" t="s">
        <v>129</v>
      </c>
      <c r="K15" s="10"/>
    </row>
    <row r="16" spans="1:11" ht="16.5">
      <c r="A16" s="40" t="s">
        <v>7</v>
      </c>
      <c r="B16" s="40" t="s">
        <v>7</v>
      </c>
      <c r="C16" s="40" t="s">
        <v>132</v>
      </c>
      <c r="D16" s="40" t="s">
        <v>132</v>
      </c>
      <c r="E16" s="40" t="s">
        <v>132</v>
      </c>
      <c r="F16" s="40" t="s">
        <v>132</v>
      </c>
      <c r="G16" s="40" t="s">
        <v>132</v>
      </c>
      <c r="H16" s="40" t="s">
        <v>121</v>
      </c>
      <c r="I16" s="40" t="s">
        <v>120</v>
      </c>
      <c r="J16" s="40" t="s">
        <v>98</v>
      </c>
      <c r="K16" s="10"/>
    </row>
    <row r="17" spans="1:12" ht="16.5">
      <c r="A17" s="32"/>
      <c r="B17" s="32"/>
      <c r="C17" s="32"/>
      <c r="D17" s="32"/>
      <c r="E17" s="32"/>
      <c r="F17" s="32"/>
      <c r="G17" s="32"/>
      <c r="H17" s="32"/>
      <c r="I17" s="32"/>
      <c r="J17" s="32"/>
      <c r="K17" s="10"/>
    </row>
    <row r="18" spans="1:12" ht="16.5">
      <c r="A18" s="10"/>
      <c r="B18" s="10"/>
      <c r="C18" s="10"/>
      <c r="D18" s="10"/>
      <c r="E18" s="10"/>
      <c r="F18" s="10"/>
      <c r="G18" s="10"/>
      <c r="H18" s="10"/>
      <c r="I18" s="10"/>
      <c r="J18" s="10"/>
      <c r="K18" s="10"/>
    </row>
    <row r="19" spans="1:12" ht="17.25">
      <c r="A19" s="60" t="str">
        <f>+'S&amp;D'!A22</f>
        <v xml:space="preserve">Alaska Air </v>
      </c>
      <c r="B19" s="87" t="str">
        <f>+'S&amp;D'!B22</f>
        <v>ALK</v>
      </c>
      <c r="C19" s="359">
        <v>121000000</v>
      </c>
      <c r="D19" s="360">
        <v>1915787349.3975904</v>
      </c>
      <c r="E19" s="132">
        <v>2159000000</v>
      </c>
      <c r="F19" s="132">
        <f>+'S&amp;D'!H40</f>
        <v>2249430722.8915663</v>
      </c>
      <c r="G19" s="132">
        <f>+'S&amp;D'!J22</f>
        <v>2535000000</v>
      </c>
      <c r="H19" s="183">
        <f>(D19+F19)/2</f>
        <v>2082609036.1445785</v>
      </c>
      <c r="I19" s="63">
        <f>C19/H19</f>
        <v>5.810019926927848E-2</v>
      </c>
      <c r="J19" s="43">
        <f>F19/G19</f>
        <v>0.88734939759036147</v>
      </c>
      <c r="K19" s="10"/>
    </row>
    <row r="20" spans="1:12" ht="17.25">
      <c r="A20" s="60" t="str">
        <f>+'S&amp;D'!A23</f>
        <v xml:space="preserve">Allegiant Travel Co. </v>
      </c>
      <c r="B20" s="87" t="str">
        <f>+'S&amp;D'!B23</f>
        <v>ALGT</v>
      </c>
      <c r="C20" s="359">
        <v>153186000</v>
      </c>
      <c r="D20" s="360">
        <v>2014220233.2321105</v>
      </c>
      <c r="E20" s="132">
        <v>2096978000</v>
      </c>
      <c r="F20" s="132">
        <f>+'S&amp;D'!H41</f>
        <v>2170476183.7767835</v>
      </c>
      <c r="G20" s="132">
        <f>+'S&amp;D'!J23</f>
        <v>2259654000</v>
      </c>
      <c r="H20" s="183">
        <f t="shared" ref="H20:H21" si="0">(D20+F20)/2</f>
        <v>2092348208.504447</v>
      </c>
      <c r="I20" s="63">
        <f t="shared" ref="I20:I21" si="1">C20/H20</f>
        <v>7.3212479346109E-2</v>
      </c>
      <c r="J20" s="43">
        <f t="shared" ref="J20:J21" si="2">F20/G20</f>
        <v>0.96053474725634258</v>
      </c>
      <c r="K20" s="10"/>
    </row>
    <row r="21" spans="1:12" ht="17.25">
      <c r="A21" s="60" t="str">
        <f>+'S&amp;D'!A24</f>
        <v xml:space="preserve">American Airlines </v>
      </c>
      <c r="B21" s="87" t="str">
        <f>+'S&amp;D'!B24</f>
        <v>AAL</v>
      </c>
      <c r="C21" s="359">
        <v>2145000000</v>
      </c>
      <c r="D21" s="360">
        <v>33278178007.62112</v>
      </c>
      <c r="E21" s="132">
        <v>35663000000</v>
      </c>
      <c r="F21" s="132">
        <f>+'S&amp;D'!H42</f>
        <v>30701808956.250179</v>
      </c>
      <c r="G21" s="132">
        <f>+'S&amp;D'!J24</f>
        <v>32902000000</v>
      </c>
      <c r="H21" s="183">
        <f t="shared" si="0"/>
        <v>31989993481.93565</v>
      </c>
      <c r="I21" s="63">
        <f t="shared" si="1"/>
        <v>6.7052217475794568E-2</v>
      </c>
      <c r="J21" s="43">
        <f t="shared" si="2"/>
        <v>0.93312895739621238</v>
      </c>
      <c r="K21" s="10"/>
      <c r="L21" t="s">
        <v>0</v>
      </c>
    </row>
    <row r="22" spans="1:12" ht="17.25">
      <c r="A22" s="60" t="str">
        <f>+'S&amp;D'!A25</f>
        <v xml:space="preserve">Delta Air Lines </v>
      </c>
      <c r="B22" s="87" t="str">
        <f>+'S&amp;D'!B25</f>
        <v>DAL</v>
      </c>
      <c r="C22" s="359">
        <v>834000000</v>
      </c>
      <c r="D22" s="360">
        <v>22296478181.563068</v>
      </c>
      <c r="E22" s="132">
        <v>23030000000</v>
      </c>
      <c r="F22" s="132">
        <f>+'S&amp;D'!H43</f>
        <v>19415265890.276413</v>
      </c>
      <c r="G22" s="132">
        <f>+'S&amp;D'!J25</f>
        <v>20054000000</v>
      </c>
      <c r="H22" s="183">
        <f t="shared" ref="H22:H27" si="3">(D22+F22)/2</f>
        <v>20855872035.919739</v>
      </c>
      <c r="I22" s="63">
        <f t="shared" ref="I22:I27" si="4">C22/H22</f>
        <v>3.9988737875050966E-2</v>
      </c>
      <c r="J22" s="43">
        <f t="shared" ref="J22:J27" si="5">F22/G22</f>
        <v>0.96814929142696782</v>
      </c>
      <c r="K22" s="10"/>
    </row>
    <row r="23" spans="1:12" ht="17.25">
      <c r="A23" s="60" t="str">
        <f>+'S&amp;D'!A26</f>
        <v xml:space="preserve">JetBlue Airways </v>
      </c>
      <c r="B23" s="87" t="str">
        <f>+'S&amp;D'!B26</f>
        <v>JBLU</v>
      </c>
      <c r="C23" s="359">
        <v>210000000</v>
      </c>
      <c r="D23" s="360">
        <v>2849562688.6145406</v>
      </c>
      <c r="E23" s="132">
        <v>3647000000</v>
      </c>
      <c r="F23" s="132">
        <f>+'S&amp;D'!H44</f>
        <v>3684819753.0864196</v>
      </c>
      <c r="G23" s="132">
        <f>+'S&amp;D'!J26</f>
        <v>4716000000</v>
      </c>
      <c r="H23" s="183">
        <f t="shared" si="3"/>
        <v>3267191220.8504801</v>
      </c>
      <c r="I23" s="63">
        <f t="shared" si="4"/>
        <v>6.4275393083767854E-2</v>
      </c>
      <c r="J23" s="43">
        <f t="shared" si="5"/>
        <v>0.78134430727023318</v>
      </c>
      <c r="K23" s="10"/>
    </row>
    <row r="24" spans="1:12" ht="17.25">
      <c r="A24" s="60" t="str">
        <f>+'S&amp;D'!A27</f>
        <v>Skywest Inc</v>
      </c>
      <c r="B24" s="87" t="str">
        <f>+'S&amp;D'!B27</f>
        <v>SKYW</v>
      </c>
      <c r="C24" s="359">
        <v>130930000</v>
      </c>
      <c r="D24" s="360">
        <v>3236898613.5016723</v>
      </c>
      <c r="E24" s="132">
        <v>3380274000</v>
      </c>
      <c r="F24" s="132">
        <f>+'S&amp;D'!H45</f>
        <v>2878549357.5118256</v>
      </c>
      <c r="G24" s="132">
        <f>+'S&amp;D'!J27</f>
        <v>3006052000</v>
      </c>
      <c r="H24" s="183">
        <f t="shared" si="3"/>
        <v>3057723985.5067492</v>
      </c>
      <c r="I24" s="63">
        <f t="shared" si="4"/>
        <v>4.2819430602825094E-2</v>
      </c>
      <c r="J24" s="43">
        <f t="shared" si="5"/>
        <v>0.95758468499940308</v>
      </c>
      <c r="K24" s="10"/>
    </row>
    <row r="25" spans="1:12" ht="17.25">
      <c r="A25" s="60" t="str">
        <f>+'S&amp;D'!A28</f>
        <v xml:space="preserve">Southwest Airlines </v>
      </c>
      <c r="B25" s="87" t="str">
        <f>+'S&amp;D'!B28</f>
        <v>LUV</v>
      </c>
      <c r="C25" s="359">
        <v>259000000</v>
      </c>
      <c r="D25" s="360">
        <v>8987390289.0731945</v>
      </c>
      <c r="E25" s="132">
        <v>8088000000</v>
      </c>
      <c r="F25" s="132">
        <f>+'S&amp;D'!H46</f>
        <v>8897383042.1128922</v>
      </c>
      <c r="G25" s="132">
        <f>+'S&amp;D'!J28</f>
        <v>8007000000</v>
      </c>
      <c r="H25" s="183">
        <f t="shared" si="3"/>
        <v>8942386665.5930443</v>
      </c>
      <c r="I25" s="63">
        <f t="shared" si="4"/>
        <v>2.8963185074129597E-2</v>
      </c>
      <c r="J25" s="43">
        <f t="shared" si="5"/>
        <v>1.1112005797568243</v>
      </c>
      <c r="K25" s="10"/>
    </row>
    <row r="26" spans="1:12" ht="17.25">
      <c r="A26" s="60" t="str">
        <f>+'S&amp;D'!A29</f>
        <v xml:space="preserve">Spirit Airlines </v>
      </c>
      <c r="B26" s="87" t="str">
        <f>+'S&amp;D'!B29</f>
        <v>SAVE</v>
      </c>
      <c r="C26" s="359">
        <v>169191000</v>
      </c>
      <c r="D26" s="360">
        <v>3267370612.7827806</v>
      </c>
      <c r="E26" s="132">
        <v>3547264000</v>
      </c>
      <c r="F26" s="132">
        <f>+'S&amp;D'!H47</f>
        <v>3104831252.7454424</v>
      </c>
      <c r="G26" s="132">
        <f>+'S&amp;D'!J29</f>
        <v>3370801000</v>
      </c>
      <c r="H26" s="183">
        <f t="shared" si="3"/>
        <v>3186100932.7641115</v>
      </c>
      <c r="I26" s="63">
        <f t="shared" si="4"/>
        <v>5.3102837471384758E-2</v>
      </c>
      <c r="J26" s="43">
        <f t="shared" si="5"/>
        <v>0.92109598067208431</v>
      </c>
      <c r="K26" s="10"/>
    </row>
    <row r="27" spans="1:12" ht="17.25">
      <c r="A27" s="60" t="str">
        <f>+'S&amp;D'!A30</f>
        <v>United Airlines Holdings Inc</v>
      </c>
      <c r="B27" s="87" t="str">
        <f>+'S&amp;D'!B30</f>
        <v>UAL</v>
      </c>
      <c r="C27" s="359">
        <v>1956000000</v>
      </c>
      <c r="D27" s="360">
        <v>29577201481.05405</v>
      </c>
      <c r="E27" s="132">
        <v>31413000000</v>
      </c>
      <c r="F27" s="132">
        <f>+'S&amp;D'!H48</f>
        <v>27623465987.048794</v>
      </c>
      <c r="G27" s="132">
        <f>+'S&amp;D'!J30</f>
        <v>29338000000</v>
      </c>
      <c r="H27" s="183">
        <f t="shared" si="3"/>
        <v>28600333734.051422</v>
      </c>
      <c r="I27" s="63">
        <f t="shared" si="4"/>
        <v>6.8390810337684821E-2</v>
      </c>
      <c r="J27" s="43">
        <f t="shared" si="5"/>
        <v>0.94155927421940122</v>
      </c>
      <c r="K27" s="10"/>
    </row>
    <row r="28" spans="1:12" ht="17.25" thickBot="1">
      <c r="A28" s="10"/>
      <c r="B28" s="10"/>
      <c r="C28" s="44"/>
      <c r="D28" s="44"/>
      <c r="E28" s="44"/>
      <c r="F28" s="44"/>
      <c r="G28" s="44" t="s">
        <v>44</v>
      </c>
      <c r="H28" s="44"/>
      <c r="I28" s="44" t="s">
        <v>44</v>
      </c>
      <c r="J28" s="44"/>
      <c r="K28" s="10"/>
    </row>
    <row r="29" spans="1:12" ht="17.25" thickTop="1">
      <c r="A29" s="10"/>
      <c r="B29" s="10"/>
      <c r="C29" s="45" t="s">
        <v>0</v>
      </c>
      <c r="D29" s="45" t="s">
        <v>0</v>
      </c>
      <c r="E29" s="32" t="s">
        <v>0</v>
      </c>
      <c r="F29" s="32"/>
      <c r="G29" s="45" t="s">
        <v>0</v>
      </c>
      <c r="H29" s="12" t="s">
        <v>45</v>
      </c>
      <c r="I29" s="299">
        <v>7.3200000000000001E-2</v>
      </c>
      <c r="J29" s="363">
        <v>1.1112</v>
      </c>
      <c r="K29" s="10"/>
    </row>
    <row r="30" spans="1:12" ht="16.5">
      <c r="A30" s="184" t="s">
        <v>71</v>
      </c>
      <c r="B30" s="10"/>
      <c r="C30" s="45"/>
      <c r="D30" s="45" t="s">
        <v>0</v>
      </c>
      <c r="F30" s="32"/>
      <c r="G30" s="32" t="s">
        <v>0</v>
      </c>
      <c r="H30" s="309" t="s">
        <v>46</v>
      </c>
      <c r="I30" s="300">
        <v>2.9000000000000001E-2</v>
      </c>
      <c r="J30" s="364">
        <v>0.78129999999999999</v>
      </c>
      <c r="K30" s="10"/>
    </row>
    <row r="31" spans="1:12" ht="16.5">
      <c r="A31" s="185" t="s">
        <v>267</v>
      </c>
      <c r="B31" s="10"/>
      <c r="C31" s="10"/>
      <c r="D31" s="10"/>
      <c r="E31" s="10"/>
      <c r="F31" s="10"/>
      <c r="G31" s="10"/>
      <c r="H31" s="12" t="s">
        <v>18</v>
      </c>
      <c r="I31" s="53">
        <f>MEDIAN(I19:I27)</f>
        <v>5.810019926927848E-2</v>
      </c>
      <c r="J31" s="46">
        <f>MEDIAN(J19:J27)</f>
        <v>0.94155927421940122</v>
      </c>
      <c r="K31" s="10"/>
    </row>
    <row r="32" spans="1:12" ht="16.5">
      <c r="A32" s="185" t="s">
        <v>236</v>
      </c>
      <c r="B32" s="10"/>
      <c r="C32" s="10"/>
      <c r="D32" s="10"/>
      <c r="E32" s="10"/>
      <c r="F32" s="10"/>
      <c r="G32" s="10"/>
      <c r="H32" s="12" t="s">
        <v>429</v>
      </c>
      <c r="I32" s="53">
        <f>AVERAGE(I19:I27)</f>
        <v>5.510058783733613E-2</v>
      </c>
      <c r="J32" s="46">
        <f>AVERAGE(J19:J27)</f>
        <v>0.9402163578430921</v>
      </c>
      <c r="K32" s="10"/>
    </row>
    <row r="33" spans="1:11" ht="16.5">
      <c r="A33" s="185"/>
      <c r="B33" s="10"/>
      <c r="C33" s="10"/>
      <c r="D33" s="10"/>
      <c r="E33" s="10"/>
      <c r="F33" s="10"/>
      <c r="G33" s="10"/>
      <c r="H33" s="12" t="s">
        <v>430</v>
      </c>
      <c r="I33" s="53">
        <f>HARMEAN(I19:I27)</f>
        <v>5.0651984277178028E-2</v>
      </c>
      <c r="J33" s="46">
        <f>HARMEAN(J19:J27)</f>
        <v>0.93318415368332774</v>
      </c>
      <c r="K33" s="10"/>
    </row>
    <row r="34" spans="1:11" ht="17.25" thickBot="1">
      <c r="A34" s="10"/>
      <c r="B34" s="10"/>
      <c r="C34" s="10"/>
      <c r="D34" s="10"/>
      <c r="E34" s="10"/>
      <c r="F34" s="10"/>
      <c r="G34" s="10"/>
      <c r="H34" s="10"/>
      <c r="I34" s="10"/>
      <c r="J34" s="11"/>
      <c r="K34" s="10"/>
    </row>
    <row r="35" spans="1:11" ht="27" thickBot="1">
      <c r="A35" s="10"/>
      <c r="B35" s="10"/>
      <c r="C35" s="10"/>
      <c r="D35" s="10"/>
      <c r="E35" s="10"/>
      <c r="F35" s="10"/>
      <c r="G35" s="188"/>
      <c r="H35" s="189" t="s">
        <v>242</v>
      </c>
      <c r="I35" s="422">
        <v>5.5100000000000003E-2</v>
      </c>
      <c r="J35" s="432">
        <v>9.4020000000000006E-3</v>
      </c>
      <c r="K35" s="10"/>
    </row>
    <row r="36" spans="1:11" ht="16.5">
      <c r="A36" s="10"/>
      <c r="B36" s="10"/>
      <c r="C36" s="10"/>
      <c r="D36" s="10"/>
      <c r="E36" s="10"/>
      <c r="F36" s="10"/>
      <c r="G36" s="10"/>
      <c r="H36" s="10"/>
      <c r="I36" s="10"/>
      <c r="J36" s="10"/>
      <c r="K36" s="10"/>
    </row>
    <row r="37" spans="1:11" ht="16.5">
      <c r="A37" s="10"/>
      <c r="B37" s="10"/>
      <c r="C37" s="10"/>
      <c r="D37" s="10"/>
      <c r="E37" s="10"/>
      <c r="F37" s="10"/>
      <c r="G37" s="10"/>
      <c r="H37" s="10"/>
      <c r="I37" s="10"/>
      <c r="J37" s="10"/>
      <c r="K37" s="10"/>
    </row>
  </sheetData>
  <pageMargins left="0.25" right="0.25" top="0.75" bottom="0.75" header="0.3" footer="0.3"/>
  <pageSetup scale="56"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60"/>
  <sheetViews>
    <sheetView view="pageBreakPreview" topLeftCell="A24" zoomScale="60" zoomScaleNormal="80" workbookViewId="0">
      <selection activeCell="L37" sqref="L37"/>
    </sheetView>
  </sheetViews>
  <sheetFormatPr defaultRowHeight="15"/>
  <cols>
    <col min="1" max="1" width="36.140625" customWidth="1"/>
    <col min="2" max="2" width="13.42578125" customWidth="1"/>
    <col min="3" max="3" width="19.140625" bestFit="1" customWidth="1"/>
    <col min="4" max="4" width="20.85546875" customWidth="1"/>
    <col min="5" max="5" width="21.85546875" customWidth="1"/>
    <col min="6" max="6" width="16.140625" customWidth="1"/>
    <col min="7" max="7" width="12.140625" customWidth="1"/>
    <col min="8" max="8" width="18.5703125" customWidth="1"/>
    <col min="9" max="9" width="19.28515625" customWidth="1"/>
    <col min="10" max="11" width="20.5703125" customWidth="1"/>
    <col min="12" max="12" width="26.5703125" customWidth="1"/>
    <col min="13" max="13" width="6.5703125" customWidth="1"/>
  </cols>
  <sheetData>
    <row r="1" spans="1:13" ht="26.25">
      <c r="A1" s="21" t="s">
        <v>1</v>
      </c>
      <c r="B1" s="10"/>
      <c r="C1" s="10"/>
      <c r="D1" s="10"/>
      <c r="E1" s="10"/>
      <c r="F1" s="10"/>
      <c r="G1" s="10"/>
      <c r="H1" s="10"/>
      <c r="I1" s="10"/>
      <c r="J1" s="10"/>
      <c r="K1" s="10"/>
      <c r="L1" s="10"/>
      <c r="M1" s="10"/>
    </row>
    <row r="2" spans="1:13" ht="17.25">
      <c r="A2" s="22" t="s">
        <v>9</v>
      </c>
      <c r="B2" s="10"/>
      <c r="C2" s="10"/>
      <c r="D2" s="10"/>
      <c r="E2" s="10"/>
      <c r="F2" s="10"/>
      <c r="G2" s="10"/>
      <c r="H2" s="10"/>
      <c r="I2" s="10"/>
      <c r="J2" s="10"/>
      <c r="K2" s="10"/>
      <c r="L2" s="10"/>
      <c r="M2" s="10"/>
    </row>
    <row r="3" spans="1:13" ht="16.5">
      <c r="A3" s="23" t="s">
        <v>467</v>
      </c>
      <c r="B3" s="10"/>
      <c r="C3" s="10"/>
      <c r="D3" s="10"/>
      <c r="E3" s="10"/>
      <c r="F3" s="10"/>
      <c r="G3" s="10"/>
      <c r="H3" s="10"/>
      <c r="I3" s="10"/>
      <c r="J3" s="10"/>
      <c r="K3" s="10"/>
      <c r="L3" s="10"/>
      <c r="M3" s="10"/>
    </row>
    <row r="4" spans="1:13" ht="16.5">
      <c r="A4" s="23"/>
      <c r="B4" s="10"/>
      <c r="C4" s="10"/>
      <c r="D4" s="10"/>
      <c r="E4" s="10"/>
      <c r="F4" s="10"/>
      <c r="G4" s="10"/>
      <c r="H4" s="10"/>
      <c r="I4" s="10"/>
      <c r="J4" s="10"/>
      <c r="K4" s="10"/>
      <c r="L4" s="10"/>
      <c r="M4" s="10"/>
    </row>
    <row r="5" spans="1:13" ht="17.25" thickBot="1">
      <c r="A5" s="10"/>
      <c r="B5" s="10"/>
      <c r="C5" s="10"/>
      <c r="D5" s="10"/>
      <c r="E5" s="10"/>
      <c r="F5" s="10"/>
      <c r="G5" s="24"/>
      <c r="H5" s="24"/>
      <c r="I5" s="10"/>
      <c r="J5" s="10"/>
      <c r="K5" s="10"/>
      <c r="L5" s="10"/>
      <c r="M5" s="10"/>
    </row>
    <row r="6" spans="1:13" ht="21" thickBot="1">
      <c r="A6" s="260" t="str">
        <f>+'S&amp;D'!A12</f>
        <v>Air Passenger Carriers</v>
      </c>
      <c r="B6" s="193"/>
      <c r="C6" s="10"/>
      <c r="D6" s="26"/>
      <c r="E6" s="26"/>
      <c r="F6" s="27" t="s">
        <v>0</v>
      </c>
      <c r="G6" s="10"/>
      <c r="H6" s="10"/>
      <c r="I6" s="10"/>
      <c r="J6" s="10"/>
      <c r="K6" s="10"/>
      <c r="L6" s="10"/>
      <c r="M6" s="10"/>
    </row>
    <row r="7" spans="1:13" ht="26.25">
      <c r="A7" s="28"/>
      <c r="B7" s="10"/>
      <c r="C7" s="10"/>
      <c r="D7" s="10"/>
      <c r="E7" s="29" t="s">
        <v>128</v>
      </c>
      <c r="F7" s="10"/>
      <c r="G7" s="10"/>
      <c r="H7" s="10"/>
      <c r="I7" s="10"/>
      <c r="J7" s="10"/>
      <c r="K7" s="10"/>
      <c r="L7" s="10"/>
      <c r="M7" s="10"/>
    </row>
    <row r="8" spans="1:13" ht="21" thickBot="1">
      <c r="A8" s="28"/>
      <c r="B8" s="10"/>
      <c r="C8" s="10"/>
      <c r="D8" s="26"/>
      <c r="E8" s="30" t="s">
        <v>469</v>
      </c>
      <c r="F8" s="26"/>
      <c r="G8" s="10"/>
      <c r="H8" s="10"/>
      <c r="I8" s="10"/>
      <c r="J8" s="10"/>
      <c r="K8" s="10"/>
      <c r="L8" s="10"/>
      <c r="M8" s="10"/>
    </row>
    <row r="9" spans="1:13" ht="17.25" thickBot="1">
      <c r="A9" s="31" t="s">
        <v>0</v>
      </c>
      <c r="B9" s="31" t="s">
        <v>0</v>
      </c>
      <c r="C9" s="31" t="s">
        <v>0</v>
      </c>
      <c r="D9" s="31" t="s">
        <v>0</v>
      </c>
      <c r="E9" s="31" t="s">
        <v>0</v>
      </c>
      <c r="F9" s="31" t="s">
        <v>0</v>
      </c>
      <c r="G9" s="31"/>
      <c r="H9" s="31"/>
      <c r="I9" s="31" t="s">
        <v>0</v>
      </c>
      <c r="J9" s="26"/>
      <c r="L9" s="10"/>
      <c r="M9" s="10"/>
    </row>
    <row r="10" spans="1:13" ht="16.5">
      <c r="A10" s="32" t="s">
        <v>0</v>
      </c>
      <c r="B10" s="32" t="s">
        <v>3</v>
      </c>
      <c r="C10" s="32" t="s">
        <v>5</v>
      </c>
      <c r="D10" s="32" t="s">
        <v>21</v>
      </c>
      <c r="E10" s="32" t="s">
        <v>20</v>
      </c>
      <c r="F10" s="32" t="s">
        <v>50</v>
      </c>
      <c r="G10" s="32" t="s">
        <v>131</v>
      </c>
      <c r="H10" s="32" t="s">
        <v>47</v>
      </c>
      <c r="I10" s="32" t="s">
        <v>131</v>
      </c>
      <c r="J10" s="32" t="s">
        <v>47</v>
      </c>
      <c r="L10" s="10"/>
      <c r="M10" s="10"/>
    </row>
    <row r="11" spans="1:13" ht="17.25" thickBot="1">
      <c r="A11" s="34" t="s">
        <v>2</v>
      </c>
      <c r="B11" s="34" t="s">
        <v>4</v>
      </c>
      <c r="C11" s="34" t="s">
        <v>6</v>
      </c>
      <c r="D11" s="34" t="s">
        <v>23</v>
      </c>
      <c r="E11" s="34" t="s">
        <v>22</v>
      </c>
      <c r="F11" s="34" t="s">
        <v>48</v>
      </c>
      <c r="G11" s="34" t="s">
        <v>48</v>
      </c>
      <c r="H11" s="34" t="s">
        <v>48</v>
      </c>
      <c r="I11" s="34" t="s">
        <v>48</v>
      </c>
      <c r="J11" s="34" t="s">
        <v>49</v>
      </c>
      <c r="L11" s="10"/>
      <c r="M11" s="10"/>
    </row>
    <row r="12" spans="1:13" ht="16.5">
      <c r="A12" s="36" t="s">
        <v>7</v>
      </c>
      <c r="B12" s="36" t="s">
        <v>7</v>
      </c>
      <c r="C12" s="36" t="s">
        <v>7</v>
      </c>
      <c r="D12" s="36" t="s">
        <v>7</v>
      </c>
      <c r="E12" s="36" t="s">
        <v>7</v>
      </c>
      <c r="F12" s="36" t="s">
        <v>0</v>
      </c>
      <c r="G12" s="36" t="s">
        <v>0</v>
      </c>
      <c r="H12" s="36" t="s">
        <v>0</v>
      </c>
      <c r="I12" s="36" t="s">
        <v>0</v>
      </c>
      <c r="J12" s="36" t="s">
        <v>0</v>
      </c>
      <c r="L12" s="10"/>
      <c r="M12" s="10"/>
    </row>
    <row r="13" spans="1:13" ht="16.5">
      <c r="A13" s="32"/>
      <c r="B13" s="32"/>
      <c r="C13" s="32"/>
      <c r="D13" s="32"/>
      <c r="E13" s="32"/>
      <c r="F13" s="32"/>
      <c r="G13" s="32"/>
      <c r="H13" s="32"/>
      <c r="I13" s="32"/>
      <c r="J13" s="32"/>
      <c r="L13" s="10"/>
      <c r="M13" s="10"/>
    </row>
    <row r="14" spans="1:13" ht="16.5">
      <c r="A14" s="10"/>
      <c r="B14" s="10"/>
      <c r="C14" s="10"/>
      <c r="D14" s="10"/>
      <c r="E14" s="10"/>
      <c r="F14" s="10"/>
      <c r="G14" s="10"/>
      <c r="H14" s="10"/>
      <c r="I14" s="10"/>
      <c r="J14" s="10"/>
      <c r="L14" s="10"/>
      <c r="M14" s="10"/>
    </row>
    <row r="15" spans="1:13" ht="17.25">
      <c r="A15" s="60" t="str">
        <f>+'S&amp;D'!A22</f>
        <v xml:space="preserve">Alaska Air </v>
      </c>
      <c r="B15" s="87" t="str">
        <f>+'S&amp;D'!B22</f>
        <v>ALK</v>
      </c>
      <c r="C15" s="32" t="str">
        <f>+'S&amp;D'!C22</f>
        <v>AirTrans</v>
      </c>
      <c r="D15" s="51">
        <f>+'Beta for CAPM'!D18</f>
        <v>0.25</v>
      </c>
      <c r="E15" s="32" t="str">
        <f>+'Beta for CAPM'!G18</f>
        <v>B</v>
      </c>
      <c r="F15" s="32" t="s">
        <v>329</v>
      </c>
      <c r="G15" s="283">
        <v>13</v>
      </c>
      <c r="H15" s="59" t="s">
        <v>517</v>
      </c>
      <c r="I15" s="353">
        <v>12</v>
      </c>
      <c r="J15" s="63">
        <v>5.6399999999999999E-2</v>
      </c>
      <c r="L15" s="10"/>
      <c r="M15" s="10"/>
    </row>
    <row r="16" spans="1:13" ht="17.25">
      <c r="A16" s="60" t="str">
        <f>+'S&amp;D'!A23</f>
        <v xml:space="preserve">Allegiant Travel Co. </v>
      </c>
      <c r="B16" s="87" t="str">
        <f>+'S&amp;D'!B23</f>
        <v>ALGT</v>
      </c>
      <c r="C16" s="32" t="str">
        <f>+'S&amp;D'!C23</f>
        <v>AirTrans</v>
      </c>
      <c r="D16" s="51">
        <f>+'Beta for CAPM'!D19</f>
        <v>0.27</v>
      </c>
      <c r="E16" s="32" t="str">
        <f>+'Beta for CAPM'!G19</f>
        <v>B+</v>
      </c>
      <c r="F16" s="32" t="s">
        <v>25</v>
      </c>
      <c r="G16" s="283">
        <v>16</v>
      </c>
      <c r="H16" s="59" t="s">
        <v>518</v>
      </c>
      <c r="I16" s="283">
        <v>15</v>
      </c>
      <c r="J16" s="63">
        <v>6.8500000000000005E-2</v>
      </c>
      <c r="L16" s="10"/>
      <c r="M16" s="10"/>
    </row>
    <row r="17" spans="1:13" ht="17.25">
      <c r="A17" s="60" t="str">
        <f>+'S&amp;D'!A24</f>
        <v xml:space="preserve">American Airlines </v>
      </c>
      <c r="B17" s="87" t="str">
        <f>+'S&amp;D'!B24</f>
        <v>AAL</v>
      </c>
      <c r="C17" s="32" t="str">
        <f>+'S&amp;D'!C24</f>
        <v>AirTrans</v>
      </c>
      <c r="D17" s="352">
        <f>+'Beta for CAPM'!D20</f>
        <v>0.23</v>
      </c>
      <c r="E17" s="32" t="str">
        <f>+'Beta for CAPM'!G20</f>
        <v>C++</v>
      </c>
      <c r="F17" s="32" t="s">
        <v>332</v>
      </c>
      <c r="G17" s="283">
        <v>18</v>
      </c>
      <c r="H17" s="59" t="s">
        <v>138</v>
      </c>
      <c r="I17" s="353">
        <v>16</v>
      </c>
      <c r="J17" s="63">
        <v>7.46E-2</v>
      </c>
      <c r="L17" s="10"/>
      <c r="M17" s="10"/>
    </row>
    <row r="18" spans="1:13" ht="17.25">
      <c r="A18" s="60" t="str">
        <f>+'S&amp;D'!A25</f>
        <v xml:space="preserve">Delta Air Lines </v>
      </c>
      <c r="B18" s="87" t="str">
        <f>+'S&amp;D'!B25</f>
        <v>DAL</v>
      </c>
      <c r="C18" s="32" t="str">
        <f>+'S&amp;D'!C25</f>
        <v>AirTrans</v>
      </c>
      <c r="D18" s="51">
        <f>+'Beta for CAPM'!D21</f>
        <v>0.24</v>
      </c>
      <c r="E18" s="32" t="str">
        <f>+'Beta for CAPM'!G21</f>
        <v>B+</v>
      </c>
      <c r="F18" s="32" t="s">
        <v>331</v>
      </c>
      <c r="G18" s="283">
        <v>15</v>
      </c>
      <c r="H18" s="59" t="s">
        <v>58</v>
      </c>
      <c r="I18" s="283">
        <v>12</v>
      </c>
      <c r="J18" s="63">
        <v>5.6399999999999999E-2</v>
      </c>
      <c r="L18" s="10"/>
      <c r="M18" s="10"/>
    </row>
    <row r="19" spans="1:13" ht="17.25">
      <c r="A19" s="60" t="str">
        <f>+'S&amp;D'!A26</f>
        <v xml:space="preserve">JetBlue Airways </v>
      </c>
      <c r="B19" s="87" t="str">
        <f>+'S&amp;D'!B26</f>
        <v>JBLU</v>
      </c>
      <c r="C19" s="32" t="str">
        <f>+'S&amp;D'!C26</f>
        <v>AirTrans</v>
      </c>
      <c r="D19" s="352" t="str">
        <f>+'Beta for CAPM'!D22</f>
        <v>NMF</v>
      </c>
      <c r="E19" s="32" t="str">
        <f>+'Beta for CAPM'!G22</f>
        <v>C++</v>
      </c>
      <c r="F19" s="32" t="s">
        <v>88</v>
      </c>
      <c r="G19" s="283">
        <v>17</v>
      </c>
      <c r="H19" s="59" t="s">
        <v>138</v>
      </c>
      <c r="I19" s="283">
        <v>16</v>
      </c>
      <c r="J19" s="63">
        <v>7.46E-2</v>
      </c>
      <c r="L19" s="10"/>
      <c r="M19" s="10"/>
    </row>
    <row r="20" spans="1:13" ht="17.25">
      <c r="A20" s="60" t="str">
        <f>+'S&amp;D'!A27</f>
        <v>Skywest Inc</v>
      </c>
      <c r="B20" s="87" t="str">
        <f>+'S&amp;D'!B27</f>
        <v>SKYW</v>
      </c>
      <c r="C20" s="32" t="str">
        <f>+'S&amp;D'!C27</f>
        <v>AirTrans</v>
      </c>
      <c r="D20" s="51">
        <f>+'Beta for CAPM'!D23</f>
        <v>0.25</v>
      </c>
      <c r="E20" s="32" t="str">
        <f>+'Beta for CAPM'!G23</f>
        <v>B+</v>
      </c>
      <c r="F20" s="32" t="s">
        <v>0</v>
      </c>
      <c r="G20" s="283"/>
      <c r="H20" s="59" t="s">
        <v>519</v>
      </c>
      <c r="I20" s="283">
        <v>11</v>
      </c>
      <c r="J20" s="63">
        <v>5.6399999999999999E-2</v>
      </c>
      <c r="L20" s="10"/>
      <c r="M20" s="10"/>
    </row>
    <row r="21" spans="1:13" ht="17.25">
      <c r="A21" s="60" t="str">
        <f>+'S&amp;D'!A28</f>
        <v xml:space="preserve">Southwest Airlines </v>
      </c>
      <c r="B21" s="87" t="str">
        <f>+'S&amp;D'!B28</f>
        <v>LUV</v>
      </c>
      <c r="C21" s="32" t="str">
        <f>+'S&amp;D'!C28</f>
        <v>AirTrans</v>
      </c>
      <c r="D21" s="51">
        <f>+'Beta for CAPM'!D24</f>
        <v>0.23499999999999999</v>
      </c>
      <c r="E21" s="32" t="str">
        <f>+'Beta for CAPM'!G24</f>
        <v>B+</v>
      </c>
      <c r="F21" s="32" t="s">
        <v>327</v>
      </c>
      <c r="G21" s="283">
        <v>11</v>
      </c>
      <c r="H21" s="59" t="s">
        <v>52</v>
      </c>
      <c r="I21" s="283">
        <v>10</v>
      </c>
      <c r="J21" s="63">
        <v>5.6399999999999999E-2</v>
      </c>
      <c r="L21" s="10"/>
      <c r="M21" s="10"/>
    </row>
    <row r="22" spans="1:13" ht="17.25">
      <c r="A22" s="60" t="str">
        <f>+'S&amp;D'!A29</f>
        <v xml:space="preserve">Spirit Airlines </v>
      </c>
      <c r="B22" s="87" t="str">
        <f>+'S&amp;D'!B29</f>
        <v>SAVE</v>
      </c>
      <c r="C22" s="32" t="str">
        <f>+'S&amp;D'!C29</f>
        <v>AirTrans</v>
      </c>
      <c r="D22" s="352" t="str">
        <f>+'Beta for CAPM'!D25</f>
        <v>NMF</v>
      </c>
      <c r="E22" s="32" t="str">
        <f>+'Beta for CAPM'!G25</f>
        <v>C</v>
      </c>
      <c r="F22" s="32" t="s">
        <v>516</v>
      </c>
      <c r="G22" s="283">
        <v>19</v>
      </c>
      <c r="H22" s="59" t="s">
        <v>134</v>
      </c>
      <c r="I22" s="283">
        <v>20</v>
      </c>
      <c r="J22" s="63">
        <v>8.0699999999999994E-2</v>
      </c>
      <c r="L22" s="10"/>
      <c r="M22" s="10"/>
    </row>
    <row r="23" spans="1:13" ht="17.25">
      <c r="A23" s="60" t="str">
        <f>+'S&amp;D'!A30</f>
        <v>United Airlines Holdings Inc</v>
      </c>
      <c r="B23" s="87" t="str">
        <f>+'S&amp;D'!B30</f>
        <v>UAL</v>
      </c>
      <c r="C23" s="32" t="str">
        <f>+'S&amp;D'!C30</f>
        <v>AirTrans</v>
      </c>
      <c r="D23" s="51">
        <f>+'Beta for CAPM'!D26</f>
        <v>0.23</v>
      </c>
      <c r="E23" s="32" t="str">
        <f>+'Beta for CAPM'!G26</f>
        <v>C++</v>
      </c>
      <c r="F23" s="32" t="s">
        <v>331</v>
      </c>
      <c r="G23" s="283">
        <v>15</v>
      </c>
      <c r="H23" s="59" t="s">
        <v>520</v>
      </c>
      <c r="I23" s="283">
        <v>14</v>
      </c>
      <c r="J23" s="63">
        <v>6.8500000000000005E-2</v>
      </c>
      <c r="L23" s="10"/>
      <c r="M23" s="10"/>
    </row>
    <row r="24" spans="1:13" ht="17.25" thickBot="1">
      <c r="A24" s="10"/>
      <c r="B24" s="10"/>
      <c r="C24" s="41"/>
      <c r="D24" s="44"/>
      <c r="E24" s="44"/>
      <c r="F24" s="44"/>
      <c r="G24" s="44"/>
      <c r="H24" s="44" t="s">
        <v>44</v>
      </c>
      <c r="I24" s="44"/>
      <c r="J24" s="44"/>
      <c r="L24" s="10"/>
      <c r="M24" s="10"/>
    </row>
    <row r="25" spans="1:13" ht="17.25" thickTop="1">
      <c r="A25" s="10"/>
      <c r="B25" s="10"/>
      <c r="E25" s="12" t="s">
        <v>45</v>
      </c>
      <c r="G25" s="284">
        <f>MAX(G15:G23)</f>
        <v>19</v>
      </c>
      <c r="H25" s="299"/>
      <c r="I25" s="306">
        <f t="shared" ref="I25:J25" si="0">MAX(I15:I23)</f>
        <v>20</v>
      </c>
      <c r="J25" s="299">
        <f t="shared" si="0"/>
        <v>8.0699999999999994E-2</v>
      </c>
      <c r="L25" s="10"/>
      <c r="M25" s="10"/>
    </row>
    <row r="26" spans="1:13" ht="16.5">
      <c r="A26" s="10"/>
      <c r="B26" s="10"/>
      <c r="E26" s="309" t="s">
        <v>46</v>
      </c>
      <c r="F26" s="241"/>
      <c r="G26" s="285">
        <f>MIN(G15:G23)</f>
        <v>11</v>
      </c>
      <c r="H26" s="300"/>
      <c r="I26" s="307">
        <f t="shared" ref="I26:J26" si="1">MIN(I15:I23)</f>
        <v>10</v>
      </c>
      <c r="J26" s="300">
        <f t="shared" si="1"/>
        <v>5.6399999999999999E-2</v>
      </c>
      <c r="L26" s="10"/>
      <c r="M26" s="10"/>
    </row>
    <row r="27" spans="1:13" ht="16.5">
      <c r="A27" s="10"/>
      <c r="B27" s="10"/>
      <c r="E27" s="12" t="s">
        <v>18</v>
      </c>
      <c r="G27" s="216">
        <f>MEDIAN(G15:G23)</f>
        <v>15.5</v>
      </c>
      <c r="H27" s="53" t="s">
        <v>0</v>
      </c>
      <c r="I27" s="217">
        <f>MEDIAN(I15:I23)</f>
        <v>14</v>
      </c>
      <c r="J27" s="53">
        <f>MEDIAN(J15:J23)</f>
        <v>6.8500000000000005E-2</v>
      </c>
      <c r="L27" s="10"/>
      <c r="M27" s="10"/>
    </row>
    <row r="28" spans="1:13" ht="16.5">
      <c r="A28" s="10"/>
      <c r="B28" s="10"/>
      <c r="D28" s="12" t="s">
        <v>0</v>
      </c>
      <c r="E28" s="12" t="s">
        <v>429</v>
      </c>
      <c r="G28" s="217">
        <f>AVERAGE(G15:G23)</f>
        <v>15.5</v>
      </c>
      <c r="H28" s="53" t="s">
        <v>0</v>
      </c>
      <c r="I28" s="217">
        <f>AVERAGE(I15:I23)</f>
        <v>14</v>
      </c>
      <c r="J28" s="53">
        <f>AVERAGE(J15:J23)</f>
        <v>6.5833333333333341E-2</v>
      </c>
      <c r="L28" s="10"/>
      <c r="M28" s="10"/>
    </row>
    <row r="29" spans="1:13" ht="16.5">
      <c r="A29" s="10"/>
      <c r="B29" s="10"/>
      <c r="D29" s="54" t="s">
        <v>0</v>
      </c>
      <c r="E29" s="12" t="s">
        <v>266</v>
      </c>
      <c r="G29" s="217">
        <f>TRIMMEAN(G15:G23,(2/COUNT(G15:G23)))</f>
        <v>15.666666666666666</v>
      </c>
      <c r="H29" s="53" t="s">
        <v>0</v>
      </c>
      <c r="I29" s="217">
        <f>TRIMMEAN(I15:I23,(2/COUNT(I15:I23)))</f>
        <v>13.714285714285714</v>
      </c>
      <c r="J29" s="53">
        <f>TRIMMEAN(J15:J23,(2/COUNT(J15:J23)))</f>
        <v>6.5057142857142855E-2</v>
      </c>
      <c r="L29" s="10"/>
      <c r="M29" s="10"/>
    </row>
    <row r="30" spans="1:13" ht="17.25" thickBot="1">
      <c r="A30" s="10"/>
      <c r="B30" s="10"/>
      <c r="C30" s="10"/>
      <c r="D30" s="10"/>
      <c r="E30" s="12"/>
      <c r="F30" s="54"/>
      <c r="H30" s="10"/>
      <c r="I30" s="10"/>
      <c r="J30" s="10"/>
      <c r="K30" s="10"/>
      <c r="L30" s="10"/>
      <c r="M30" s="10"/>
    </row>
    <row r="31" spans="1:13" ht="27" thickBot="1">
      <c r="A31" s="10"/>
      <c r="B31" s="10"/>
      <c r="C31" s="10"/>
      <c r="D31" s="10"/>
      <c r="E31" s="10"/>
      <c r="F31" s="188"/>
      <c r="G31" s="304"/>
      <c r="H31" s="189" t="s">
        <v>242</v>
      </c>
      <c r="I31" s="423">
        <v>14</v>
      </c>
      <c r="J31" s="422">
        <v>6.5799999999999997E-2</v>
      </c>
      <c r="K31" s="10"/>
      <c r="L31" s="10"/>
      <c r="M31" s="10"/>
    </row>
    <row r="32" spans="1:13" ht="16.5">
      <c r="A32" s="10"/>
      <c r="B32" s="10"/>
      <c r="C32" s="10"/>
      <c r="D32" s="10"/>
      <c r="E32" s="10"/>
      <c r="F32" s="10"/>
      <c r="G32" s="10"/>
      <c r="H32" s="10"/>
      <c r="I32" s="10"/>
      <c r="J32" s="10"/>
      <c r="K32" s="10"/>
      <c r="L32" s="10"/>
      <c r="M32" s="10"/>
    </row>
    <row r="33" spans="1:13" ht="16.5">
      <c r="A33" s="10"/>
      <c r="B33" s="10"/>
      <c r="C33" s="10"/>
      <c r="D33" s="10"/>
      <c r="E33" s="10"/>
      <c r="F33" s="10"/>
      <c r="G33" s="10"/>
      <c r="H33" s="10"/>
      <c r="I33" s="10"/>
      <c r="J33" s="10"/>
      <c r="K33" s="10"/>
      <c r="L33" s="10"/>
      <c r="M33" s="10"/>
    </row>
    <row r="34" spans="1:13" ht="21" thickBot="1">
      <c r="A34" s="272" t="s">
        <v>145</v>
      </c>
      <c r="B34" s="10"/>
      <c r="G34" s="10"/>
      <c r="H34" s="10"/>
      <c r="I34" s="10"/>
      <c r="J34" s="10"/>
      <c r="K34" s="10"/>
      <c r="L34" s="10"/>
      <c r="M34" s="10"/>
    </row>
    <row r="35" spans="1:13" ht="24.75" thickBot="1">
      <c r="A35" s="474" t="s">
        <v>386</v>
      </c>
      <c r="B35" s="474" t="s">
        <v>337</v>
      </c>
      <c r="C35" s="474" t="s">
        <v>432</v>
      </c>
      <c r="D35" s="496" t="s">
        <v>524</v>
      </c>
      <c r="E35" s="496" t="s">
        <v>525</v>
      </c>
      <c r="F35" s="10"/>
      <c r="G35" s="10"/>
      <c r="H35" s="10"/>
      <c r="I35" s="10"/>
      <c r="M35" s="10"/>
    </row>
    <row r="36" spans="1:13" ht="17.25">
      <c r="A36" s="278" t="s">
        <v>349</v>
      </c>
      <c r="B36" s="282">
        <v>1</v>
      </c>
      <c r="C36" s="279" t="s">
        <v>348</v>
      </c>
      <c r="D36" s="475" t="s">
        <v>0</v>
      </c>
      <c r="E36" s="475" t="s">
        <v>0</v>
      </c>
      <c r="F36" s="10"/>
      <c r="G36" s="10"/>
      <c r="H36" s="10"/>
      <c r="I36" s="10"/>
      <c r="M36" s="10"/>
    </row>
    <row r="37" spans="1:13" ht="17.25">
      <c r="A37" s="55" t="s">
        <v>350</v>
      </c>
      <c r="B37" s="273">
        <v>2</v>
      </c>
      <c r="C37" s="280" t="s">
        <v>322</v>
      </c>
      <c r="D37" s="476">
        <v>4.7399999999999998E-2</v>
      </c>
      <c r="E37" s="476">
        <v>4.7399999999999998E-2</v>
      </c>
      <c r="F37" s="10" t="s">
        <v>197</v>
      </c>
      <c r="H37" s="10"/>
      <c r="I37" s="10"/>
      <c r="M37" s="10"/>
    </row>
    <row r="38" spans="1:13" ht="18" thickBot="1">
      <c r="A38" s="56" t="s">
        <v>351</v>
      </c>
      <c r="B38" s="275">
        <v>3</v>
      </c>
      <c r="C38" s="281" t="s">
        <v>347</v>
      </c>
      <c r="D38" s="477"/>
      <c r="E38" s="477"/>
      <c r="F38" s="10"/>
      <c r="H38" s="10"/>
      <c r="I38" s="10"/>
      <c r="M38" s="10"/>
    </row>
    <row r="39" spans="1:13" ht="17.25">
      <c r="A39" s="55" t="s">
        <v>144</v>
      </c>
      <c r="B39" s="273">
        <v>4</v>
      </c>
      <c r="C39" s="274" t="s">
        <v>321</v>
      </c>
      <c r="D39" s="476"/>
      <c r="E39" s="476"/>
      <c r="F39" s="10"/>
      <c r="H39" s="10"/>
      <c r="I39" s="10"/>
      <c r="M39" s="10"/>
    </row>
    <row r="40" spans="1:13" ht="17.25">
      <c r="A40" s="55" t="s">
        <v>143</v>
      </c>
      <c r="B40" s="273">
        <v>5</v>
      </c>
      <c r="C40" s="274" t="s">
        <v>323</v>
      </c>
      <c r="D40" s="476">
        <v>5.0500000000000003E-2</v>
      </c>
      <c r="E40" s="476">
        <v>5.2699999999999997E-2</v>
      </c>
      <c r="F40" s="10" t="s">
        <v>324</v>
      </c>
      <c r="H40" s="10"/>
      <c r="I40" s="10"/>
      <c r="M40" s="10"/>
    </row>
    <row r="41" spans="1:13" ht="18" thickBot="1">
      <c r="A41" s="56" t="s">
        <v>142</v>
      </c>
      <c r="B41" s="275">
        <v>6</v>
      </c>
      <c r="C41" s="276" t="s">
        <v>325</v>
      </c>
      <c r="D41" s="478" t="s">
        <v>0</v>
      </c>
      <c r="E41" s="478" t="s">
        <v>0</v>
      </c>
      <c r="F41" s="10"/>
      <c r="H41" s="10"/>
      <c r="I41" s="10"/>
      <c r="M41" s="10"/>
    </row>
    <row r="42" spans="1:13" ht="17.25">
      <c r="A42" s="55" t="s">
        <v>55</v>
      </c>
      <c r="B42" s="273">
        <v>7</v>
      </c>
      <c r="C42" s="274" t="s">
        <v>43</v>
      </c>
      <c r="D42" s="479" t="s">
        <v>0</v>
      </c>
      <c r="E42" s="479" t="s">
        <v>0</v>
      </c>
      <c r="H42" s="10"/>
      <c r="I42" s="10"/>
      <c r="M42" s="10"/>
    </row>
    <row r="43" spans="1:13" ht="17.25">
      <c r="A43" s="55" t="s">
        <v>141</v>
      </c>
      <c r="B43" s="273">
        <v>8</v>
      </c>
      <c r="C43" s="274" t="s">
        <v>24</v>
      </c>
      <c r="D43" s="480">
        <v>5.2499999999999998E-2</v>
      </c>
      <c r="E43" s="480">
        <v>5.4199999999999998E-2</v>
      </c>
      <c r="F43" s="10" t="s">
        <v>198</v>
      </c>
      <c r="H43" s="10"/>
      <c r="I43" s="10"/>
      <c r="M43" s="10"/>
    </row>
    <row r="44" spans="1:13" ht="18" thickBot="1">
      <c r="A44" s="56" t="s">
        <v>57</v>
      </c>
      <c r="B44" s="275">
        <v>9</v>
      </c>
      <c r="C44" s="276" t="s">
        <v>59</v>
      </c>
      <c r="D44" s="478"/>
      <c r="E44" s="478"/>
      <c r="F44" s="10"/>
      <c r="H44" s="10"/>
      <c r="I44" s="10"/>
      <c r="M44" s="10"/>
    </row>
    <row r="45" spans="1:13" ht="17.25">
      <c r="A45" s="55" t="s">
        <v>52</v>
      </c>
      <c r="B45" s="273">
        <v>10</v>
      </c>
      <c r="C45" s="274" t="s">
        <v>326</v>
      </c>
      <c r="D45" s="480"/>
      <c r="E45" s="480"/>
      <c r="H45" s="10"/>
      <c r="I45" s="10"/>
      <c r="J45" s="10"/>
      <c r="K45" s="10"/>
      <c r="L45" s="10"/>
      <c r="M45" s="10"/>
    </row>
    <row r="46" spans="1:13" ht="17.25">
      <c r="A46" s="55" t="s">
        <v>53</v>
      </c>
      <c r="B46" s="273">
        <v>11</v>
      </c>
      <c r="C46" s="274" t="s">
        <v>327</v>
      </c>
      <c r="D46" s="480">
        <v>5.6399999999999999E-2</v>
      </c>
      <c r="E46" s="480">
        <v>5.6800000000000003E-2</v>
      </c>
      <c r="F46" s="10" t="s">
        <v>201</v>
      </c>
      <c r="H46" s="10"/>
      <c r="I46" s="10"/>
      <c r="J46" s="10"/>
      <c r="K46" s="10"/>
      <c r="L46" s="10"/>
      <c r="M46" s="10"/>
    </row>
    <row r="47" spans="1:13" ht="18" thickBot="1">
      <c r="A47" s="56" t="s">
        <v>58</v>
      </c>
      <c r="B47" s="275">
        <v>12</v>
      </c>
      <c r="C47" s="276" t="s">
        <v>328</v>
      </c>
      <c r="D47" s="480" t="s">
        <v>0</v>
      </c>
      <c r="E47" s="480" t="s">
        <v>0</v>
      </c>
      <c r="F47" s="10"/>
      <c r="H47" s="10"/>
      <c r="I47" s="10"/>
      <c r="J47" s="10"/>
      <c r="K47" s="10"/>
      <c r="L47" s="10"/>
      <c r="M47" s="10"/>
    </row>
    <row r="48" spans="1:13" ht="17.25">
      <c r="A48" s="55" t="s">
        <v>56</v>
      </c>
      <c r="B48" s="273">
        <v>13</v>
      </c>
      <c r="C48" s="274" t="s">
        <v>329</v>
      </c>
      <c r="D48" s="479" t="s">
        <v>0</v>
      </c>
      <c r="E48" s="479" t="s">
        <v>0</v>
      </c>
      <c r="H48" s="10"/>
      <c r="I48" s="10"/>
      <c r="J48" s="10"/>
      <c r="K48" s="10"/>
      <c r="L48" s="10"/>
      <c r="M48" s="10"/>
    </row>
    <row r="49" spans="1:13" ht="17.25">
      <c r="A49" s="55" t="s">
        <v>140</v>
      </c>
      <c r="B49" s="273">
        <v>14</v>
      </c>
      <c r="C49" s="274" t="s">
        <v>330</v>
      </c>
      <c r="D49" s="476">
        <v>6.8500000000000005E-2</v>
      </c>
      <c r="E49" s="476">
        <v>6.9000000000000006E-2</v>
      </c>
      <c r="F49" s="10" t="s">
        <v>200</v>
      </c>
      <c r="H49" s="10"/>
      <c r="I49" s="10"/>
      <c r="J49" s="10"/>
      <c r="K49" s="10"/>
      <c r="L49" s="10"/>
      <c r="M49" s="10"/>
    </row>
    <row r="50" spans="1:13" ht="18" thickBot="1">
      <c r="A50" s="56" t="s">
        <v>139</v>
      </c>
      <c r="B50" s="275">
        <v>15</v>
      </c>
      <c r="C50" s="276" t="s">
        <v>331</v>
      </c>
      <c r="D50" s="477" t="s">
        <v>0</v>
      </c>
      <c r="E50" s="477" t="s">
        <v>0</v>
      </c>
      <c r="F50" s="10"/>
      <c r="H50" s="10"/>
      <c r="I50" s="10"/>
      <c r="J50" s="10"/>
      <c r="K50" s="10"/>
      <c r="L50" s="10"/>
      <c r="M50" s="10"/>
    </row>
    <row r="51" spans="1:13" ht="17.25">
      <c r="A51" s="55" t="s">
        <v>138</v>
      </c>
      <c r="B51" s="273">
        <v>16</v>
      </c>
      <c r="C51" s="274" t="s">
        <v>25</v>
      </c>
      <c r="D51" s="479"/>
      <c r="E51" s="479"/>
      <c r="H51" s="10"/>
      <c r="I51" s="10"/>
      <c r="J51" s="10"/>
      <c r="K51" s="10"/>
      <c r="L51" s="10"/>
      <c r="M51" s="10"/>
    </row>
    <row r="52" spans="1:13" ht="17.25">
      <c r="A52" s="55" t="s">
        <v>137</v>
      </c>
      <c r="B52" s="273">
        <v>17</v>
      </c>
      <c r="C52" s="274" t="s">
        <v>88</v>
      </c>
      <c r="D52" s="480">
        <v>7.46E-2</v>
      </c>
      <c r="E52" s="480">
        <v>7.6499999999999999E-2</v>
      </c>
      <c r="F52" s="10" t="s">
        <v>199</v>
      </c>
      <c r="H52" s="10"/>
      <c r="I52" s="10"/>
      <c r="J52" s="10"/>
      <c r="K52" s="10"/>
      <c r="L52" s="10"/>
      <c r="M52" s="10"/>
    </row>
    <row r="53" spans="1:13" ht="18" thickBot="1">
      <c r="A53" s="56" t="s">
        <v>136</v>
      </c>
      <c r="B53" s="275">
        <v>18</v>
      </c>
      <c r="C53" s="276" t="s">
        <v>332</v>
      </c>
      <c r="D53" s="477"/>
      <c r="E53" s="477"/>
      <c r="F53" s="10"/>
      <c r="H53" s="10"/>
      <c r="I53" s="10"/>
      <c r="J53" s="10"/>
      <c r="K53" s="10"/>
      <c r="L53" s="10"/>
      <c r="M53" s="10"/>
    </row>
    <row r="54" spans="1:13" ht="17.25">
      <c r="A54" s="55" t="s">
        <v>135</v>
      </c>
      <c r="B54" s="273">
        <v>19</v>
      </c>
      <c r="C54" s="274" t="s">
        <v>333</v>
      </c>
      <c r="D54" s="480"/>
      <c r="E54" s="480"/>
      <c r="H54" s="10"/>
      <c r="I54" s="10"/>
      <c r="J54" s="10"/>
      <c r="K54" s="10"/>
      <c r="L54" s="10"/>
      <c r="M54" s="10"/>
    </row>
    <row r="55" spans="1:13" ht="17.25">
      <c r="A55" s="55" t="s">
        <v>134</v>
      </c>
      <c r="B55" s="273">
        <v>20</v>
      </c>
      <c r="C55" s="274" t="s">
        <v>334</v>
      </c>
      <c r="D55" s="480">
        <v>8.0699999999999994E-2</v>
      </c>
      <c r="E55" s="480">
        <v>8.2799999999999999E-2</v>
      </c>
      <c r="F55" s="10" t="s">
        <v>196</v>
      </c>
      <c r="H55" s="10"/>
      <c r="I55" s="10"/>
      <c r="J55" s="10"/>
      <c r="K55" s="10"/>
      <c r="L55" s="10"/>
      <c r="M55" s="10"/>
    </row>
    <row r="56" spans="1:13" ht="18" thickBot="1">
      <c r="A56" s="56" t="s">
        <v>133</v>
      </c>
      <c r="B56" s="275">
        <v>21</v>
      </c>
      <c r="C56" s="481" t="s">
        <v>335</v>
      </c>
      <c r="D56" s="478"/>
      <c r="E56" s="478"/>
      <c r="F56" s="10"/>
      <c r="H56" s="10"/>
      <c r="I56" s="10"/>
      <c r="J56" s="10"/>
      <c r="K56" s="10"/>
      <c r="L56" s="10"/>
      <c r="M56" s="10"/>
    </row>
    <row r="57" spans="1:13" ht="17.25">
      <c r="A57" s="482" t="s">
        <v>342</v>
      </c>
      <c r="B57" s="483">
        <v>22</v>
      </c>
      <c r="C57" s="484" t="s">
        <v>345</v>
      </c>
      <c r="D57" s="485"/>
      <c r="E57" s="485"/>
      <c r="H57" s="10"/>
      <c r="I57" s="10"/>
      <c r="J57" s="10"/>
      <c r="K57" s="10"/>
      <c r="L57" s="10"/>
      <c r="M57" s="10"/>
    </row>
    <row r="58" spans="1:13" ht="17.25">
      <c r="A58" s="482" t="s">
        <v>343</v>
      </c>
      <c r="B58" s="486">
        <v>23</v>
      </c>
      <c r="C58" s="487" t="s">
        <v>336</v>
      </c>
      <c r="D58" s="488"/>
      <c r="E58" s="488"/>
      <c r="F58" s="10" t="s">
        <v>194</v>
      </c>
      <c r="H58" s="10"/>
      <c r="I58" s="10"/>
      <c r="J58" s="10"/>
      <c r="K58" s="10"/>
      <c r="L58" s="10"/>
      <c r="M58" s="10"/>
    </row>
    <row r="59" spans="1:13" ht="18" thickBot="1">
      <c r="A59" s="489" t="s">
        <v>344</v>
      </c>
      <c r="B59" s="490">
        <v>24</v>
      </c>
      <c r="C59" s="481" t="s">
        <v>346</v>
      </c>
      <c r="D59" s="491"/>
      <c r="E59" s="491"/>
      <c r="F59" s="10"/>
      <c r="H59" s="10"/>
      <c r="I59" s="10"/>
      <c r="J59" s="10"/>
      <c r="K59" s="10"/>
      <c r="L59" s="10"/>
      <c r="M59" s="10"/>
    </row>
    <row r="60" spans="1:13" ht="18" thickBot="1">
      <c r="A60" s="56" t="s">
        <v>268</v>
      </c>
      <c r="B60" s="275">
        <v>25</v>
      </c>
      <c r="C60" s="56" t="s">
        <v>89</v>
      </c>
      <c r="D60" s="492"/>
      <c r="E60" s="492"/>
      <c r="F60" s="10" t="s">
        <v>195</v>
      </c>
      <c r="H60" s="10"/>
      <c r="I60" s="10"/>
      <c r="J60" s="10"/>
      <c r="K60" s="10"/>
      <c r="L60" s="10"/>
    </row>
  </sheetData>
  <pageMargins left="0.25" right="0.25" top="0.75" bottom="0.75" header="0.3" footer="0.3"/>
  <pageSetup scale="44"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40"/>
  <sheetViews>
    <sheetView view="pageBreakPreview" zoomScale="60" zoomScaleNormal="80" workbookViewId="0">
      <selection activeCell="F33" sqref="F33"/>
    </sheetView>
  </sheetViews>
  <sheetFormatPr defaultRowHeight="15"/>
  <cols>
    <col min="1" max="1" width="48.85546875" customWidth="1"/>
    <col min="2" max="2" width="13.140625" customWidth="1"/>
    <col min="3" max="3" width="19.85546875" customWidth="1"/>
    <col min="4" max="4" width="24.7109375" customWidth="1"/>
    <col min="5" max="5" width="22.7109375" customWidth="1"/>
    <col min="6" max="7" width="21.28515625" customWidth="1"/>
    <col min="8" max="8" width="12.42578125" customWidth="1"/>
    <col min="9" max="9" width="18.42578125" customWidth="1"/>
    <col min="10" max="10" width="21.28515625" customWidth="1"/>
    <col min="11" max="11" width="2.28515625" customWidth="1"/>
    <col min="12" max="12" width="22.7109375" customWidth="1"/>
    <col min="13" max="13" width="17.28515625" customWidth="1"/>
  </cols>
  <sheetData>
    <row r="1" spans="1:14" ht="26.25">
      <c r="A1" s="21" t="s">
        <v>1</v>
      </c>
      <c r="B1" s="10"/>
      <c r="C1" s="10"/>
      <c r="D1" s="10"/>
      <c r="E1" s="10"/>
      <c r="F1" s="10"/>
      <c r="G1" s="10"/>
      <c r="H1" s="10"/>
      <c r="I1" s="10"/>
      <c r="J1" s="10"/>
      <c r="K1" s="10"/>
      <c r="L1" s="10"/>
      <c r="M1" s="10"/>
      <c r="N1" s="10"/>
    </row>
    <row r="2" spans="1:14" ht="17.25">
      <c r="A2" s="60" t="s">
        <v>9</v>
      </c>
      <c r="B2" s="10"/>
      <c r="C2" s="10"/>
      <c r="D2" s="10"/>
      <c r="E2" s="10"/>
      <c r="F2" s="10"/>
      <c r="G2" s="10"/>
      <c r="H2" s="10"/>
      <c r="I2" s="10"/>
      <c r="J2" s="10"/>
      <c r="K2" s="10"/>
      <c r="L2" s="10"/>
      <c r="M2" s="10"/>
      <c r="N2" s="10"/>
    </row>
    <row r="3" spans="1:14" ht="16.5">
      <c r="A3" s="23" t="s">
        <v>467</v>
      </c>
      <c r="B3" s="10"/>
      <c r="C3" s="10"/>
      <c r="D3" s="10"/>
      <c r="E3" s="10"/>
      <c r="F3" s="10"/>
      <c r="G3" s="10"/>
      <c r="H3" s="10"/>
      <c r="I3" s="10"/>
      <c r="J3" s="10"/>
      <c r="K3" s="10"/>
      <c r="L3" s="10"/>
      <c r="M3" s="10"/>
      <c r="N3" s="10"/>
    </row>
    <row r="4" spans="1:14" ht="16.5">
      <c r="A4" s="10"/>
      <c r="B4" s="10"/>
      <c r="C4" s="10"/>
      <c r="D4" s="24" t="s">
        <v>0</v>
      </c>
      <c r="E4" s="10"/>
      <c r="F4" s="10"/>
      <c r="G4" s="10"/>
      <c r="H4" s="10"/>
      <c r="I4" s="10"/>
      <c r="J4" s="10"/>
      <c r="K4" s="10"/>
      <c r="L4" s="10"/>
      <c r="M4" s="10"/>
      <c r="N4" s="10"/>
    </row>
    <row r="5" spans="1:14" ht="18" thickBot="1">
      <c r="A5" s="60"/>
      <c r="B5" s="10"/>
      <c r="C5" s="10"/>
      <c r="D5" s="10"/>
      <c r="E5" s="10"/>
      <c r="F5" s="10"/>
      <c r="G5" s="10"/>
      <c r="H5" s="10"/>
      <c r="I5" s="10"/>
      <c r="J5" s="10"/>
      <c r="K5" s="10"/>
      <c r="L5" s="10"/>
      <c r="M5" s="10"/>
      <c r="N5" s="10"/>
    </row>
    <row r="6" spans="1:14" ht="18" thickBot="1">
      <c r="A6" s="262" t="str">
        <f>+'S&amp;D'!A12</f>
        <v>Air Passenger Carriers</v>
      </c>
      <c r="B6" s="193"/>
      <c r="C6" s="10"/>
      <c r="D6" s="10"/>
      <c r="E6" s="10"/>
      <c r="F6" s="10"/>
      <c r="G6" s="10"/>
      <c r="H6" s="10"/>
      <c r="I6" s="10"/>
      <c r="J6" s="10"/>
      <c r="K6" s="10"/>
      <c r="L6" s="10"/>
      <c r="M6" s="10"/>
      <c r="N6" s="10"/>
    </row>
    <row r="7" spans="1:14" ht="17.25">
      <c r="A7" s="60"/>
      <c r="B7" s="10"/>
      <c r="C7" s="10"/>
      <c r="D7" s="10"/>
      <c r="E7" s="10"/>
      <c r="F7" s="10"/>
      <c r="G7" s="10"/>
      <c r="H7" s="10"/>
      <c r="I7" s="10"/>
      <c r="J7" s="10"/>
      <c r="K7" s="10"/>
      <c r="L7" s="10"/>
      <c r="M7" s="10"/>
      <c r="N7" s="10"/>
    </row>
    <row r="8" spans="1:14" ht="18" thickBot="1">
      <c r="A8" s="60"/>
      <c r="B8" s="10"/>
      <c r="C8" s="26"/>
      <c r="D8" s="26"/>
      <c r="E8" s="26"/>
      <c r="F8" s="10"/>
      <c r="G8" s="10"/>
      <c r="H8" s="26"/>
      <c r="I8" s="26"/>
      <c r="J8" s="26"/>
      <c r="K8" s="26"/>
      <c r="L8" s="26"/>
      <c r="M8" s="26"/>
      <c r="N8" s="10"/>
    </row>
    <row r="9" spans="1:14" ht="26.25">
      <c r="B9" s="10"/>
      <c r="C9" s="10"/>
      <c r="D9" s="29" t="s">
        <v>309</v>
      </c>
      <c r="E9" s="10"/>
      <c r="F9" s="10"/>
      <c r="G9" s="10"/>
      <c r="H9" s="10"/>
      <c r="I9" s="10"/>
      <c r="J9" s="10"/>
      <c r="K9" s="66" t="s">
        <v>310</v>
      </c>
      <c r="L9" s="10"/>
      <c r="M9" s="10"/>
      <c r="N9" s="10"/>
    </row>
    <row r="10" spans="1:14" ht="21" thickBot="1">
      <c r="A10" s="28"/>
      <c r="B10" s="10"/>
      <c r="C10" s="26"/>
      <c r="D10" s="30" t="s">
        <v>469</v>
      </c>
      <c r="E10" s="26"/>
      <c r="F10" s="10"/>
      <c r="G10" s="10"/>
      <c r="H10" s="26"/>
      <c r="I10" s="26"/>
      <c r="J10" s="26"/>
      <c r="K10" s="30" t="s">
        <v>469</v>
      </c>
      <c r="L10" s="26"/>
      <c r="M10" s="26"/>
      <c r="N10" s="10"/>
    </row>
    <row r="11" spans="1:14" ht="17.25" thickBot="1">
      <c r="A11" s="31" t="s">
        <v>0</v>
      </c>
      <c r="B11" s="31" t="s">
        <v>0</v>
      </c>
      <c r="C11" s="31" t="s">
        <v>0</v>
      </c>
      <c r="D11" s="31" t="s">
        <v>0</v>
      </c>
      <c r="E11" s="31" t="s">
        <v>0</v>
      </c>
      <c r="F11" s="31" t="s">
        <v>0</v>
      </c>
      <c r="G11" s="38"/>
      <c r="H11" s="26"/>
      <c r="I11" s="31" t="s">
        <v>0</v>
      </c>
      <c r="J11" s="26"/>
      <c r="K11" s="26"/>
      <c r="L11" s="26"/>
      <c r="M11" s="26"/>
      <c r="N11" s="10"/>
    </row>
    <row r="12" spans="1:14" ht="16.5">
      <c r="A12" s="32" t="s">
        <v>0</v>
      </c>
      <c r="B12" s="32" t="s">
        <v>3</v>
      </c>
      <c r="C12" s="32" t="s">
        <v>352</v>
      </c>
      <c r="D12" s="32" t="s">
        <v>109</v>
      </c>
      <c r="E12" s="32" t="s">
        <v>109</v>
      </c>
      <c r="F12" s="32" t="s">
        <v>26</v>
      </c>
      <c r="G12" s="32"/>
      <c r="H12" s="32" t="s">
        <v>3</v>
      </c>
      <c r="I12" s="32" t="s">
        <v>352</v>
      </c>
      <c r="J12" s="32" t="s">
        <v>109</v>
      </c>
      <c r="K12" s="32"/>
      <c r="L12" s="32" t="s">
        <v>109</v>
      </c>
      <c r="M12" s="32" t="s">
        <v>26</v>
      </c>
      <c r="N12" s="10"/>
    </row>
    <row r="13" spans="1:14" ht="17.25" thickBot="1">
      <c r="A13" s="34" t="s">
        <v>2</v>
      </c>
      <c r="B13" s="34" t="s">
        <v>4</v>
      </c>
      <c r="C13" s="34" t="s">
        <v>27</v>
      </c>
      <c r="D13" s="34" t="s">
        <v>168</v>
      </c>
      <c r="E13" s="34" t="s">
        <v>28</v>
      </c>
      <c r="F13" s="34" t="s">
        <v>29</v>
      </c>
      <c r="G13" s="32"/>
      <c r="H13" s="34" t="s">
        <v>4</v>
      </c>
      <c r="I13" s="34" t="s">
        <v>27</v>
      </c>
      <c r="J13" s="34" t="s">
        <v>168</v>
      </c>
      <c r="K13" s="34"/>
      <c r="L13" s="34" t="s">
        <v>28</v>
      </c>
      <c r="M13" s="34" t="s">
        <v>29</v>
      </c>
      <c r="N13" s="10"/>
    </row>
    <row r="14" spans="1:14" ht="16.5">
      <c r="A14" s="36" t="s">
        <v>0</v>
      </c>
      <c r="B14" s="36" t="s">
        <v>0</v>
      </c>
      <c r="C14" s="37" t="s">
        <v>112</v>
      </c>
      <c r="D14" s="36" t="s">
        <v>113</v>
      </c>
      <c r="E14" s="36" t="s">
        <v>0</v>
      </c>
      <c r="F14" s="36" t="s">
        <v>0</v>
      </c>
      <c r="G14" s="38"/>
      <c r="H14" s="36" t="s">
        <v>0</v>
      </c>
      <c r="I14" s="37" t="s">
        <v>112</v>
      </c>
      <c r="J14" s="36" t="s">
        <v>114</v>
      </c>
      <c r="K14" s="36"/>
      <c r="L14" s="36" t="s">
        <v>0</v>
      </c>
      <c r="M14" s="36" t="s">
        <v>0</v>
      </c>
      <c r="N14" s="10"/>
    </row>
    <row r="15" spans="1:14" ht="16.5">
      <c r="A15" s="32"/>
      <c r="B15" s="32"/>
      <c r="C15" s="32"/>
      <c r="D15" s="32"/>
      <c r="E15" s="32"/>
      <c r="F15" s="32"/>
      <c r="G15" s="32"/>
      <c r="H15" s="32"/>
      <c r="I15" s="32"/>
      <c r="J15" s="32"/>
      <c r="K15" s="32"/>
      <c r="L15" s="32"/>
      <c r="M15" s="32"/>
      <c r="N15" s="10"/>
    </row>
    <row r="16" spans="1:14" ht="16.5">
      <c r="A16" s="10"/>
      <c r="B16" s="10"/>
      <c r="C16" s="10"/>
      <c r="D16" s="10"/>
      <c r="E16" s="10"/>
      <c r="F16" s="10"/>
      <c r="G16" s="10"/>
      <c r="H16" s="10"/>
      <c r="I16" s="10"/>
      <c r="J16" s="10"/>
      <c r="K16" s="10"/>
      <c r="L16" s="10"/>
      <c r="M16" s="10"/>
      <c r="N16" s="10"/>
    </row>
    <row r="17" spans="1:14" ht="17.25">
      <c r="A17" s="60" t="str">
        <f>+'S&amp;D'!A22</f>
        <v xml:space="preserve">Alaska Air </v>
      </c>
      <c r="B17" s="87" t="str">
        <f>+'S&amp;D'!B22</f>
        <v>ALK</v>
      </c>
      <c r="C17" s="57">
        <f>+'S&amp;D'!G22</f>
        <v>39.07</v>
      </c>
      <c r="D17" s="59">
        <v>8.1</v>
      </c>
      <c r="E17" s="67">
        <f>C17/D17</f>
        <v>4.8234567901234566</v>
      </c>
      <c r="F17" s="54">
        <f t="shared" ref="F17" si="0">1/E17</f>
        <v>0.20732019452265166</v>
      </c>
      <c r="G17" s="54"/>
      <c r="H17" s="87" t="str">
        <f>+B17</f>
        <v>ALK</v>
      </c>
      <c r="I17" s="57">
        <f>+C17</f>
        <v>39.07</v>
      </c>
      <c r="J17" s="59">
        <v>8.35</v>
      </c>
      <c r="K17" s="59"/>
      <c r="L17" s="67">
        <f>I17/J17</f>
        <v>4.6790419161676651</v>
      </c>
      <c r="M17" s="54">
        <f t="shared" ref="M17" si="1">1/L17</f>
        <v>0.21371896595853596</v>
      </c>
      <c r="N17" s="10"/>
    </row>
    <row r="18" spans="1:14" ht="17.25">
      <c r="A18" s="60" t="str">
        <f>+'S&amp;D'!A23</f>
        <v xml:space="preserve">Allegiant Travel Co. </v>
      </c>
      <c r="B18" s="87" t="str">
        <f>+'S&amp;D'!B23</f>
        <v>ALGT</v>
      </c>
      <c r="C18" s="57">
        <f>+'S&amp;D'!G23</f>
        <v>82.61</v>
      </c>
      <c r="D18" s="59">
        <v>19.8</v>
      </c>
      <c r="E18" s="67">
        <f t="shared" ref="E18:E19" si="2">C18/D18</f>
        <v>4.1722222222222216</v>
      </c>
      <c r="F18" s="54">
        <f t="shared" ref="F18:F19" si="3">1/E18</f>
        <v>0.23968042609853532</v>
      </c>
      <c r="G18" s="54"/>
      <c r="H18" s="87" t="str">
        <f t="shared" ref="H18:H19" si="4">+B18</f>
        <v>ALGT</v>
      </c>
      <c r="I18" s="57">
        <f t="shared" ref="I18:I19" si="5">+C18</f>
        <v>82.61</v>
      </c>
      <c r="J18" s="59">
        <v>22.1</v>
      </c>
      <c r="K18" s="59"/>
      <c r="L18" s="67">
        <f t="shared" ref="L18:L19" si="6">I18/J18</f>
        <v>3.7380090497737553</v>
      </c>
      <c r="M18" s="54">
        <f t="shared" ref="M18:M19" si="7">1/L18</f>
        <v>0.26752209175644598</v>
      </c>
      <c r="N18" s="10"/>
    </row>
    <row r="19" spans="1:14" ht="17.25">
      <c r="A19" s="60" t="str">
        <f>+'S&amp;D'!A24</f>
        <v xml:space="preserve">American Airlines </v>
      </c>
      <c r="B19" s="87" t="str">
        <f>+'S&amp;D'!B24</f>
        <v>AAL</v>
      </c>
      <c r="C19" s="57">
        <f>+'S&amp;D'!G24</f>
        <v>13.74</v>
      </c>
      <c r="D19" s="59">
        <v>6.41</v>
      </c>
      <c r="E19" s="67">
        <f t="shared" si="2"/>
        <v>2.1435257410296411</v>
      </c>
      <c r="F19" s="54">
        <f t="shared" si="3"/>
        <v>0.46652110625909754</v>
      </c>
      <c r="G19" s="54"/>
      <c r="H19" s="87" t="str">
        <f t="shared" si="4"/>
        <v>AAL</v>
      </c>
      <c r="I19" s="57">
        <f t="shared" si="5"/>
        <v>13.74</v>
      </c>
      <c r="J19" s="59">
        <v>5.9</v>
      </c>
      <c r="K19" s="59"/>
      <c r="L19" s="67">
        <f t="shared" si="6"/>
        <v>2.3288135593220338</v>
      </c>
      <c r="M19" s="54">
        <f t="shared" si="7"/>
        <v>0.42940320232896656</v>
      </c>
      <c r="N19" s="10"/>
    </row>
    <row r="20" spans="1:14" ht="17.25">
      <c r="A20" s="60" t="str">
        <f>+'S&amp;D'!A25</f>
        <v xml:space="preserve">Delta Air Lines </v>
      </c>
      <c r="B20" s="87" t="str">
        <f>+'S&amp;D'!B25</f>
        <v>DAL</v>
      </c>
      <c r="C20" s="57">
        <f>+'S&amp;D'!G25</f>
        <v>40.229999999999997</v>
      </c>
      <c r="D20" s="59">
        <v>9.9</v>
      </c>
      <c r="E20" s="67">
        <f t="shared" ref="E20:E25" si="8">C20/D20</f>
        <v>4.0636363636363635</v>
      </c>
      <c r="F20" s="54">
        <f t="shared" ref="F20:F25" si="9">1/E20</f>
        <v>0.24608501118568232</v>
      </c>
      <c r="G20" s="54"/>
      <c r="H20" s="87" t="str">
        <f t="shared" ref="H20:H25" si="10">+B20</f>
        <v>DAL</v>
      </c>
      <c r="I20" s="57">
        <f t="shared" ref="I20:I25" si="11">+C20</f>
        <v>40.229999999999997</v>
      </c>
      <c r="J20" s="59">
        <v>10.199999999999999</v>
      </c>
      <c r="K20" s="59"/>
      <c r="L20" s="67">
        <f t="shared" ref="L20:L25" si="12">I20/J20</f>
        <v>3.9441176470588233</v>
      </c>
      <c r="M20" s="54">
        <f t="shared" ref="M20:M25" si="13">1/L20</f>
        <v>0.25354213273676363</v>
      </c>
      <c r="N20" s="10"/>
    </row>
    <row r="21" spans="1:14" ht="17.25">
      <c r="A21" s="60" t="str">
        <f>+'S&amp;D'!A26</f>
        <v xml:space="preserve">JetBlue Airways </v>
      </c>
      <c r="B21" s="87" t="str">
        <f>+'S&amp;D'!B26</f>
        <v>JBLU</v>
      </c>
      <c r="C21" s="57">
        <f>+'S&amp;D'!G26</f>
        <v>5.55</v>
      </c>
      <c r="D21" s="59">
        <v>1.4</v>
      </c>
      <c r="E21" s="67">
        <f t="shared" si="8"/>
        <v>3.9642857142857144</v>
      </c>
      <c r="F21" s="54">
        <f t="shared" si="9"/>
        <v>0.25225225225225223</v>
      </c>
      <c r="G21" s="54"/>
      <c r="H21" s="87" t="str">
        <f t="shared" si="10"/>
        <v>JBLU</v>
      </c>
      <c r="I21" s="57">
        <f t="shared" si="11"/>
        <v>5.55</v>
      </c>
      <c r="J21" s="59">
        <v>1.3</v>
      </c>
      <c r="K21" s="59"/>
      <c r="L21" s="67">
        <f t="shared" si="12"/>
        <v>4.2692307692307692</v>
      </c>
      <c r="M21" s="54">
        <f t="shared" si="13"/>
        <v>0.23423423423423423</v>
      </c>
      <c r="N21" s="10"/>
    </row>
    <row r="22" spans="1:14" ht="17.25">
      <c r="A22" s="60" t="str">
        <f>+'S&amp;D'!A27</f>
        <v>Skywest Inc</v>
      </c>
      <c r="B22" s="87" t="str">
        <f>+'S&amp;D'!B27</f>
        <v>SKYW</v>
      </c>
      <c r="C22" s="57">
        <f>+'S&amp;D'!G27</f>
        <v>52.2</v>
      </c>
      <c r="D22" s="59">
        <v>10.38</v>
      </c>
      <c r="E22" s="67">
        <f t="shared" si="8"/>
        <v>5.0289017341040463</v>
      </c>
      <c r="F22" s="54">
        <f t="shared" si="9"/>
        <v>0.19885057471264367</v>
      </c>
      <c r="G22" s="54"/>
      <c r="H22" s="87" t="str">
        <f t="shared" si="10"/>
        <v>SKYW</v>
      </c>
      <c r="I22" s="57">
        <f t="shared" si="11"/>
        <v>52.2</v>
      </c>
      <c r="J22" s="59">
        <v>13.75</v>
      </c>
      <c r="K22" s="59"/>
      <c r="L22" s="67">
        <f t="shared" si="12"/>
        <v>3.7963636363636364</v>
      </c>
      <c r="M22" s="54">
        <f t="shared" si="13"/>
        <v>0.26340996168582376</v>
      </c>
      <c r="N22" s="10"/>
    </row>
    <row r="23" spans="1:14" ht="17.25">
      <c r="A23" s="60" t="str">
        <f>+'S&amp;D'!A28</f>
        <v xml:space="preserve">Southwest Airlines </v>
      </c>
      <c r="B23" s="87" t="str">
        <f>+'S&amp;D'!B28</f>
        <v>LUV</v>
      </c>
      <c r="C23" s="57">
        <f>+'S&amp;D'!G28</f>
        <v>28.88</v>
      </c>
      <c r="D23" s="59">
        <v>4.21</v>
      </c>
      <c r="E23" s="67">
        <f t="shared" si="8"/>
        <v>6.8598574821852729</v>
      </c>
      <c r="F23" s="54">
        <f t="shared" si="9"/>
        <v>0.14577562326869806</v>
      </c>
      <c r="G23" s="54"/>
      <c r="H23" s="87" t="str">
        <f t="shared" si="10"/>
        <v>LUV</v>
      </c>
      <c r="I23" s="57">
        <f t="shared" si="11"/>
        <v>28.88</v>
      </c>
      <c r="J23" s="59">
        <v>4.5999999999999996</v>
      </c>
      <c r="K23" s="59"/>
      <c r="L23" s="67">
        <f t="shared" si="12"/>
        <v>6.2782608695652176</v>
      </c>
      <c r="M23" s="54">
        <f t="shared" si="13"/>
        <v>0.15927977839335181</v>
      </c>
      <c r="N23" s="10"/>
    </row>
    <row r="24" spans="1:14" ht="17.25">
      <c r="A24" s="60" t="str">
        <f>+'S&amp;D'!A29</f>
        <v xml:space="preserve">Spirit Airlines </v>
      </c>
      <c r="B24" s="87" t="str">
        <f>+'S&amp;D'!B29</f>
        <v>SAVE</v>
      </c>
      <c r="C24" s="57">
        <f>+'S&amp;D'!G29</f>
        <v>15.94</v>
      </c>
      <c r="D24" s="59">
        <v>0.35</v>
      </c>
      <c r="E24" s="67">
        <f t="shared" si="8"/>
        <v>45.542857142857144</v>
      </c>
      <c r="F24" s="54">
        <f t="shared" si="9"/>
        <v>2.1957340025094103E-2</v>
      </c>
      <c r="G24" s="54"/>
      <c r="H24" s="87" t="str">
        <f t="shared" si="10"/>
        <v>SAVE</v>
      </c>
      <c r="I24" s="57">
        <f t="shared" si="11"/>
        <v>15.94</v>
      </c>
      <c r="J24" s="59">
        <v>0.05</v>
      </c>
      <c r="K24" s="59"/>
      <c r="L24" s="67">
        <f t="shared" si="12"/>
        <v>318.79999999999995</v>
      </c>
      <c r="M24" s="54">
        <f t="shared" si="13"/>
        <v>3.1367628607277295E-3</v>
      </c>
      <c r="N24" s="10"/>
    </row>
    <row r="25" spans="1:14" ht="17.25">
      <c r="A25" s="60" t="str">
        <f>+'S&amp;D'!A30</f>
        <v>United Airlines Holdings Inc</v>
      </c>
      <c r="B25" s="87" t="str">
        <f>+'S&amp;D'!B30</f>
        <v>UAL</v>
      </c>
      <c r="C25" s="57">
        <f>+'S&amp;D'!G30</f>
        <v>41.26</v>
      </c>
      <c r="D25" s="59">
        <v>18.3</v>
      </c>
      <c r="E25" s="67">
        <f t="shared" si="8"/>
        <v>2.2546448087431692</v>
      </c>
      <c r="F25" s="54">
        <f t="shared" si="9"/>
        <v>0.44352884149297145</v>
      </c>
      <c r="G25" s="54"/>
      <c r="H25" s="87" t="str">
        <f t="shared" si="10"/>
        <v>UAL</v>
      </c>
      <c r="I25" s="57">
        <f t="shared" si="11"/>
        <v>41.26</v>
      </c>
      <c r="J25" s="59">
        <v>18.55</v>
      </c>
      <c r="K25" s="59"/>
      <c r="L25" s="67">
        <f t="shared" si="12"/>
        <v>2.2242587601078165</v>
      </c>
      <c r="M25" s="54">
        <f t="shared" si="13"/>
        <v>0.44958797867183714</v>
      </c>
      <c r="N25" s="10"/>
    </row>
    <row r="26" spans="1:14" ht="17.25" thickBot="1">
      <c r="A26" s="10"/>
      <c r="B26" s="68"/>
      <c r="C26" s="68"/>
      <c r="D26" s="68"/>
      <c r="E26" s="68"/>
      <c r="F26" s="68"/>
      <c r="G26" s="10"/>
      <c r="H26" s="68"/>
      <c r="I26" s="68"/>
      <c r="J26" s="294" t="s">
        <v>0</v>
      </c>
      <c r="K26" s="68"/>
      <c r="L26" s="68"/>
      <c r="M26" s="68"/>
      <c r="N26" s="10"/>
    </row>
    <row r="27" spans="1:14" ht="17.25" thickTop="1">
      <c r="A27" s="10"/>
      <c r="C27" s="12" t="s">
        <v>45</v>
      </c>
      <c r="D27" s="357">
        <f>MAX(D17:D25)</f>
        <v>19.8</v>
      </c>
      <c r="E27" s="357">
        <f t="shared" ref="E27:F27" si="14">MAX(E17:E25)</f>
        <v>45.542857142857144</v>
      </c>
      <c r="F27" s="356">
        <f t="shared" si="14"/>
        <v>0.46652110625909754</v>
      </c>
      <c r="I27" s="12" t="s">
        <v>45</v>
      </c>
      <c r="J27" s="357">
        <f>MAX(J17:J25)</f>
        <v>22.1</v>
      </c>
      <c r="K27" s="357"/>
      <c r="L27" s="357">
        <f t="shared" ref="L27:M27" si="15">MAX(L17:L25)</f>
        <v>318.79999999999995</v>
      </c>
      <c r="M27" s="356">
        <f t="shared" si="15"/>
        <v>0.44958797867183714</v>
      </c>
      <c r="N27" s="10"/>
    </row>
    <row r="28" spans="1:14" ht="16.5">
      <c r="A28" s="10"/>
      <c r="C28" s="309" t="s">
        <v>46</v>
      </c>
      <c r="D28" s="358">
        <f>MIN(D17:D25)</f>
        <v>0.35</v>
      </c>
      <c r="E28" s="358">
        <f t="shared" ref="E28:F28" si="16">MIN(E17:E25)</f>
        <v>2.1435257410296411</v>
      </c>
      <c r="F28" s="355">
        <f t="shared" si="16"/>
        <v>2.1957340025094103E-2</v>
      </c>
      <c r="I28" s="309" t="s">
        <v>46</v>
      </c>
      <c r="J28" s="358">
        <f>MIN(J17:J25)</f>
        <v>0.05</v>
      </c>
      <c r="K28" s="358"/>
      <c r="L28" s="358">
        <f t="shared" ref="L28:M28" si="17">MIN(L17:L25)</f>
        <v>2.2242587601078165</v>
      </c>
      <c r="M28" s="355">
        <f t="shared" si="17"/>
        <v>3.1367628607277295E-3</v>
      </c>
      <c r="N28" s="10"/>
    </row>
    <row r="29" spans="1:14" ht="16.5">
      <c r="A29" s="10"/>
      <c r="C29" s="12" t="s">
        <v>18</v>
      </c>
      <c r="D29" s="69"/>
      <c r="E29" s="19">
        <f>MEDIAN(E17:E25)</f>
        <v>4.1722222222222216</v>
      </c>
      <c r="F29" s="54">
        <f>MEDIAN(F17:F25)</f>
        <v>0.23968042609853532</v>
      </c>
      <c r="G29" s="54"/>
      <c r="I29" s="12" t="s">
        <v>18</v>
      </c>
      <c r="J29" s="69">
        <f>MEDIAN(J17:J25)</f>
        <v>8.35</v>
      </c>
      <c r="K29" s="69"/>
      <c r="L29" s="19">
        <f>MEDIAN(L17:L25)</f>
        <v>3.9441176470588233</v>
      </c>
      <c r="M29" s="54">
        <f>MEDIAN(M17:M25)</f>
        <v>0.25354213273676363</v>
      </c>
      <c r="N29" s="10"/>
    </row>
    <row r="30" spans="1:14" ht="16.5">
      <c r="A30" s="10"/>
      <c r="C30" s="12" t="s">
        <v>429</v>
      </c>
      <c r="D30" s="15"/>
      <c r="E30" s="19">
        <f>AVERAGE(E17:E25)</f>
        <v>8.7614875554652247</v>
      </c>
      <c r="F30" s="70">
        <f>AVERAGE(F17:F25)</f>
        <v>0.24688570775751403</v>
      </c>
      <c r="G30" s="70"/>
      <c r="I30" s="12" t="s">
        <v>429</v>
      </c>
      <c r="J30" s="15">
        <f>AVERAGE(J17:J25)</f>
        <v>9.4222222222222207</v>
      </c>
      <c r="K30" s="15"/>
      <c r="L30" s="19">
        <f>AVERAGE(L17:L25)</f>
        <v>38.895344023065519</v>
      </c>
      <c r="M30" s="70">
        <f>AVERAGE(M17:M25)</f>
        <v>0.25264834540296521</v>
      </c>
      <c r="N30" s="10"/>
    </row>
    <row r="31" spans="1:14" ht="16.5">
      <c r="A31" s="10"/>
      <c r="B31" s="10"/>
      <c r="C31" s="10"/>
      <c r="D31" s="10"/>
      <c r="E31" s="10"/>
      <c r="F31" s="10"/>
      <c r="G31" s="10"/>
      <c r="H31" s="10"/>
      <c r="I31" s="10"/>
      <c r="J31" s="10"/>
      <c r="K31" s="10"/>
      <c r="L31" s="10"/>
      <c r="M31" s="10"/>
      <c r="N31" s="10"/>
    </row>
    <row r="32" spans="1:14" ht="26.25">
      <c r="A32" s="10"/>
      <c r="B32" s="10"/>
      <c r="C32" s="10"/>
      <c r="D32" s="74" t="s">
        <v>73</v>
      </c>
      <c r="E32" s="369">
        <v>8.76</v>
      </c>
      <c r="F32" s="370">
        <v>0.24690000000000001</v>
      </c>
      <c r="G32" s="270"/>
      <c r="H32" s="10"/>
      <c r="I32" s="10"/>
      <c r="J32" s="74" t="s">
        <v>73</v>
      </c>
      <c r="K32" s="47"/>
      <c r="L32" s="371">
        <v>38.9</v>
      </c>
      <c r="M32" s="370">
        <v>0.25259999999999999</v>
      </c>
      <c r="N32" s="10"/>
    </row>
    <row r="33" spans="1:14" ht="30" customHeight="1" thickBot="1">
      <c r="A33" s="10"/>
      <c r="B33" s="10"/>
      <c r="C33" s="10"/>
      <c r="D33" s="10"/>
      <c r="E33" s="10"/>
      <c r="G33" s="71"/>
      <c r="H33" s="10"/>
      <c r="I33" s="10"/>
      <c r="J33" s="10"/>
      <c r="K33" s="10"/>
      <c r="L33" s="10"/>
      <c r="M33" s="10"/>
      <c r="N33" s="10"/>
    </row>
    <row r="34" spans="1:14" ht="27" thickBot="1">
      <c r="A34" s="72" t="s">
        <v>0</v>
      </c>
      <c r="B34" s="10"/>
      <c r="C34" s="10"/>
      <c r="D34" s="10"/>
      <c r="E34" s="21" t="s">
        <v>123</v>
      </c>
      <c r="F34" s="21"/>
      <c r="G34" s="421">
        <f>(+E32+L32)/2</f>
        <v>23.83</v>
      </c>
      <c r="H34" s="422">
        <f>(+F32+M32)/2</f>
        <v>0.24975</v>
      </c>
      <c r="K34" s="10"/>
      <c r="N34" s="10"/>
    </row>
    <row r="35" spans="1:14" ht="16.5">
      <c r="A35" s="72" t="s">
        <v>0</v>
      </c>
      <c r="B35" s="10"/>
      <c r="C35" s="10"/>
      <c r="D35" s="10"/>
      <c r="E35" s="10"/>
      <c r="F35" s="10"/>
      <c r="G35" s="10"/>
      <c r="H35" s="10"/>
      <c r="I35" s="10"/>
      <c r="J35" s="10"/>
      <c r="K35" s="10"/>
      <c r="L35" s="10"/>
      <c r="M35" s="10"/>
      <c r="N35" s="10"/>
    </row>
    <row r="36" spans="1:14" ht="16.5">
      <c r="A36" s="10"/>
      <c r="B36" s="10"/>
      <c r="C36" s="10"/>
      <c r="D36" s="10"/>
      <c r="E36" s="10"/>
      <c r="F36" s="10"/>
      <c r="G36" s="10"/>
      <c r="H36" s="10"/>
      <c r="I36" s="10"/>
      <c r="J36" s="10"/>
      <c r="K36" s="10"/>
      <c r="L36" s="10"/>
      <c r="M36" s="10"/>
      <c r="N36" s="10"/>
    </row>
    <row r="37" spans="1:14" ht="16.5">
      <c r="A37" s="10"/>
      <c r="B37" s="10"/>
      <c r="C37" s="10"/>
      <c r="D37" s="10"/>
      <c r="E37" s="10"/>
      <c r="F37" s="10"/>
      <c r="G37" s="10"/>
      <c r="H37" s="10"/>
      <c r="I37" s="10"/>
      <c r="J37" s="10"/>
      <c r="K37" s="10"/>
      <c r="L37" s="10"/>
      <c r="M37" s="10"/>
      <c r="N37" s="10"/>
    </row>
    <row r="38" spans="1:14" ht="17.25">
      <c r="A38" s="103" t="s">
        <v>358</v>
      </c>
    </row>
    <row r="39" spans="1:14" ht="17.25">
      <c r="A39" s="103" t="s">
        <v>359</v>
      </c>
    </row>
    <row r="40" spans="1:14" ht="17.25">
      <c r="A40" s="103" t="s">
        <v>360</v>
      </c>
    </row>
  </sheetData>
  <pageMargins left="0.25" right="0.25" top="0.75" bottom="0.75" header="0.3" footer="0.3"/>
  <pageSetup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AAB1-5671-4283-A0D0-11DDA5DBBF04}">
  <sheetPr>
    <tabColor rgb="FF92D050"/>
  </sheetPr>
  <dimension ref="A1:O63"/>
  <sheetViews>
    <sheetView view="pageBreakPreview" topLeftCell="A10" zoomScale="60" zoomScaleNormal="80" workbookViewId="0">
      <selection activeCell="G64" sqref="G64"/>
    </sheetView>
  </sheetViews>
  <sheetFormatPr defaultRowHeight="15"/>
  <cols>
    <col min="1" max="1" width="53.85546875" customWidth="1"/>
    <col min="2" max="2" width="8" customWidth="1"/>
    <col min="3" max="3" width="12.28515625" bestFit="1" customWidth="1"/>
    <col min="4" max="4" width="20.140625" customWidth="1"/>
    <col min="5" max="5" width="18.85546875" customWidth="1"/>
    <col min="6" max="6" width="19" customWidth="1"/>
    <col min="7" max="7" width="16.42578125" customWidth="1"/>
    <col min="8" max="10" width="19.28515625" customWidth="1"/>
    <col min="11" max="12" width="21.5703125" customWidth="1"/>
    <col min="13" max="13" width="18.28515625" customWidth="1"/>
  </cols>
  <sheetData>
    <row r="1" spans="1:15" ht="26.25">
      <c r="A1" s="21" t="s">
        <v>1</v>
      </c>
      <c r="B1" s="21"/>
      <c r="C1" s="10"/>
      <c r="D1" s="10"/>
      <c r="E1" s="10"/>
      <c r="F1" s="10"/>
      <c r="G1" s="10"/>
      <c r="H1" s="10"/>
      <c r="I1" s="10"/>
      <c r="J1" s="10"/>
      <c r="K1" s="10"/>
      <c r="L1" s="10"/>
      <c r="M1" s="10"/>
      <c r="N1" s="10"/>
      <c r="O1" s="10"/>
    </row>
    <row r="2" spans="1:15" ht="17.25">
      <c r="A2" s="60" t="s">
        <v>9</v>
      </c>
      <c r="B2" s="60"/>
      <c r="C2" s="10"/>
      <c r="D2" s="10"/>
      <c r="E2" s="10"/>
      <c r="F2" s="10"/>
      <c r="G2" s="10"/>
      <c r="H2" s="10"/>
      <c r="I2" s="10"/>
      <c r="J2" s="10"/>
      <c r="K2" s="10"/>
      <c r="L2" s="10"/>
      <c r="M2" s="10"/>
      <c r="N2" s="10"/>
      <c r="O2" s="10"/>
    </row>
    <row r="3" spans="1:15" ht="16.5">
      <c r="A3" s="23" t="s">
        <v>467</v>
      </c>
      <c r="B3" s="41"/>
      <c r="C3" s="10"/>
      <c r="D3" s="10"/>
      <c r="E3" s="10"/>
      <c r="F3" s="10"/>
      <c r="G3" s="10"/>
      <c r="H3" s="10"/>
      <c r="I3" s="10"/>
      <c r="J3" s="10"/>
      <c r="K3" s="10"/>
      <c r="L3" s="10"/>
      <c r="M3" s="10"/>
      <c r="N3" s="10"/>
      <c r="O3" s="10"/>
    </row>
    <row r="4" spans="1:15" ht="16.5">
      <c r="A4" s="10"/>
      <c r="B4" s="10"/>
      <c r="C4" s="10"/>
      <c r="D4" s="10"/>
      <c r="E4" s="24" t="s">
        <v>0</v>
      </c>
      <c r="F4" s="10"/>
      <c r="G4" s="10"/>
      <c r="H4" s="10"/>
      <c r="I4" s="10"/>
      <c r="J4" s="10"/>
      <c r="K4" s="10"/>
      <c r="L4" s="10"/>
      <c r="M4" s="10"/>
      <c r="N4" s="10"/>
      <c r="O4" s="10"/>
    </row>
    <row r="5" spans="1:15" ht="18" thickBot="1">
      <c r="A5" s="60"/>
      <c r="B5" s="60"/>
      <c r="C5" s="10"/>
      <c r="D5" s="10"/>
      <c r="E5" s="10"/>
      <c r="F5" s="10"/>
      <c r="G5" s="10"/>
      <c r="H5" s="10"/>
      <c r="I5" s="10"/>
      <c r="J5" s="10"/>
      <c r="K5" s="10"/>
      <c r="L5" s="10"/>
      <c r="M5" s="10"/>
      <c r="N5" s="10"/>
      <c r="O5" s="10"/>
    </row>
    <row r="6" spans="1:15" ht="21" thickBot="1">
      <c r="A6" s="260" t="str">
        <f>+'S&amp;D'!A12</f>
        <v>Air Passenger Carriers</v>
      </c>
      <c r="B6" s="263"/>
      <c r="C6" s="10"/>
      <c r="D6" s="10"/>
      <c r="E6" s="10"/>
      <c r="F6" s="10"/>
      <c r="G6" s="10"/>
      <c r="H6" s="10"/>
      <c r="I6" s="10"/>
      <c r="J6" s="10"/>
      <c r="K6" s="10"/>
      <c r="L6" s="10"/>
      <c r="M6" s="10"/>
      <c r="N6" s="10"/>
      <c r="O6" s="10"/>
    </row>
    <row r="7" spans="1:15" ht="18" thickBot="1">
      <c r="A7" s="60"/>
      <c r="B7" s="60"/>
      <c r="C7" s="26"/>
      <c r="D7" s="26"/>
      <c r="E7" s="26"/>
      <c r="F7" s="26"/>
      <c r="G7" s="26"/>
      <c r="H7" s="10"/>
      <c r="I7" s="26"/>
      <c r="J7" s="26"/>
      <c r="K7" s="26"/>
      <c r="L7" s="26"/>
      <c r="M7" s="26"/>
      <c r="N7" s="10"/>
      <c r="O7" s="10"/>
    </row>
    <row r="8" spans="1:15" ht="26.25">
      <c r="B8" s="28"/>
      <c r="C8" s="10"/>
      <c r="D8" s="10"/>
      <c r="E8" s="29" t="s">
        <v>234</v>
      </c>
      <c r="F8" s="10"/>
      <c r="G8" s="10"/>
      <c r="H8" s="10"/>
      <c r="I8" s="10"/>
      <c r="J8" s="10"/>
      <c r="K8" s="29" t="s">
        <v>235</v>
      </c>
      <c r="L8" s="10"/>
      <c r="M8" s="10"/>
      <c r="N8" s="10"/>
      <c r="O8" s="10"/>
    </row>
    <row r="9" spans="1:15" ht="21" thickBot="1">
      <c r="A9" s="28"/>
      <c r="B9" s="28"/>
      <c r="C9" s="26"/>
      <c r="D9" s="26"/>
      <c r="E9" s="34" t="s">
        <v>469</v>
      </c>
      <c r="F9" s="26"/>
      <c r="G9" s="26"/>
      <c r="H9" s="10"/>
      <c r="I9" s="26"/>
      <c r="J9" s="26"/>
      <c r="K9" s="34" t="s">
        <v>469</v>
      </c>
      <c r="L9" s="26"/>
      <c r="M9" s="26"/>
      <c r="N9" s="10"/>
      <c r="O9" s="10"/>
    </row>
    <row r="10" spans="1:15" ht="17.25" thickBot="1">
      <c r="A10" s="31" t="s">
        <v>0</v>
      </c>
      <c r="B10" s="31"/>
      <c r="C10" s="31" t="s">
        <v>0</v>
      </c>
      <c r="D10" s="31" t="s">
        <v>0</v>
      </c>
      <c r="E10" s="31" t="s">
        <v>0</v>
      </c>
      <c r="F10" s="31" t="s">
        <v>0</v>
      </c>
      <c r="G10" s="31" t="s">
        <v>0</v>
      </c>
      <c r="H10" s="10"/>
      <c r="I10" s="26"/>
      <c r="J10" s="26"/>
      <c r="K10" s="26"/>
      <c r="L10" s="26"/>
      <c r="M10" s="26"/>
      <c r="N10" s="10"/>
      <c r="O10" s="10"/>
    </row>
    <row r="11" spans="1:15" ht="16.5">
      <c r="A11" s="32" t="s">
        <v>0</v>
      </c>
      <c r="B11" s="32"/>
      <c r="C11" s="32" t="s">
        <v>3</v>
      </c>
      <c r="D11" s="32" t="s">
        <v>352</v>
      </c>
      <c r="E11" s="32" t="s">
        <v>354</v>
      </c>
      <c r="F11" s="32" t="s">
        <v>110</v>
      </c>
      <c r="G11" s="32" t="s">
        <v>26</v>
      </c>
      <c r="H11" s="10"/>
      <c r="I11" s="32" t="s">
        <v>3</v>
      </c>
      <c r="J11" s="32" t="s">
        <v>352</v>
      </c>
      <c r="K11" s="32" t="s">
        <v>354</v>
      </c>
      <c r="L11" s="32" t="s">
        <v>110</v>
      </c>
      <c r="M11" s="32" t="s">
        <v>26</v>
      </c>
      <c r="N11" s="10"/>
      <c r="O11" s="10"/>
    </row>
    <row r="12" spans="1:15" ht="17.25" thickBot="1">
      <c r="A12" s="34" t="s">
        <v>2</v>
      </c>
      <c r="B12" s="34"/>
      <c r="C12" s="34" t="s">
        <v>4</v>
      </c>
      <c r="D12" s="34" t="s">
        <v>27</v>
      </c>
      <c r="E12" s="34" t="s">
        <v>168</v>
      </c>
      <c r="F12" s="34" t="s">
        <v>28</v>
      </c>
      <c r="G12" s="34" t="s">
        <v>29</v>
      </c>
      <c r="H12" s="10"/>
      <c r="I12" s="34" t="s">
        <v>4</v>
      </c>
      <c r="J12" s="34" t="s">
        <v>27</v>
      </c>
      <c r="K12" s="34" t="s">
        <v>168</v>
      </c>
      <c r="L12" s="34" t="s">
        <v>28</v>
      </c>
      <c r="M12" s="34" t="s">
        <v>29</v>
      </c>
      <c r="N12" s="10"/>
      <c r="O12" s="10"/>
    </row>
    <row r="13" spans="1:15" ht="16.5">
      <c r="A13" s="36" t="s">
        <v>0</v>
      </c>
      <c r="B13" s="36"/>
      <c r="C13" s="36" t="s">
        <v>0</v>
      </c>
      <c r="D13" s="37" t="s">
        <v>112</v>
      </c>
      <c r="E13" s="73" t="s">
        <v>113</v>
      </c>
      <c r="F13" s="36" t="s">
        <v>0</v>
      </c>
      <c r="G13" s="36" t="s">
        <v>0</v>
      </c>
      <c r="H13" s="10"/>
      <c r="I13" s="36" t="s">
        <v>0</v>
      </c>
      <c r="J13" s="37" t="s">
        <v>112</v>
      </c>
      <c r="K13" s="73" t="s">
        <v>111</v>
      </c>
      <c r="L13" s="36" t="s">
        <v>0</v>
      </c>
      <c r="M13" s="36" t="s">
        <v>0</v>
      </c>
      <c r="N13" s="10"/>
      <c r="O13" s="10"/>
    </row>
    <row r="14" spans="1:15" ht="16.5">
      <c r="A14" s="32"/>
      <c r="B14" s="32"/>
      <c r="C14" s="32"/>
      <c r="D14" s="32"/>
      <c r="E14" s="32"/>
      <c r="F14" s="32"/>
      <c r="G14" s="32"/>
      <c r="H14" s="10"/>
      <c r="I14" s="32"/>
      <c r="J14" s="32"/>
      <c r="K14" s="32"/>
      <c r="L14" s="32"/>
      <c r="M14" s="32"/>
      <c r="N14" s="10"/>
      <c r="O14" s="10"/>
    </row>
    <row r="15" spans="1:15" ht="16.5">
      <c r="A15" s="10"/>
      <c r="B15" s="10"/>
      <c r="C15" s="10"/>
      <c r="D15" s="10"/>
      <c r="E15" s="10"/>
      <c r="F15" s="10"/>
      <c r="G15" s="10"/>
      <c r="H15" s="10"/>
      <c r="I15" s="10"/>
      <c r="J15" s="10"/>
      <c r="K15" s="10"/>
      <c r="L15" s="10"/>
      <c r="M15" s="10"/>
      <c r="N15" s="10"/>
      <c r="O15" s="10"/>
    </row>
    <row r="16" spans="1:15" ht="17.25">
      <c r="A16" s="60" t="str">
        <f>+'S&amp;D'!A22</f>
        <v xml:space="preserve">Alaska Air </v>
      </c>
      <c r="B16" s="60"/>
      <c r="C16" s="87" t="str">
        <f>+'S&amp;D'!B22</f>
        <v>ALK</v>
      </c>
      <c r="D16" s="57">
        <f>'S&amp;D'!G22</f>
        <v>39.07</v>
      </c>
      <c r="E16" s="59">
        <v>4.53</v>
      </c>
      <c r="F16" s="67">
        <f>D16/E16</f>
        <v>8.6247240618101539</v>
      </c>
      <c r="G16" s="54">
        <f t="shared" ref="G16" si="0">1/F16</f>
        <v>0.11594573841822371</v>
      </c>
      <c r="H16" s="10"/>
      <c r="I16" s="32" t="str">
        <f>+C16</f>
        <v>ALK</v>
      </c>
      <c r="J16" s="57">
        <f>+D16</f>
        <v>39.07</v>
      </c>
      <c r="K16" s="59">
        <v>4.55</v>
      </c>
      <c r="L16" s="67">
        <f>J16/K16</f>
        <v>8.5868131868131865</v>
      </c>
      <c r="M16" s="54">
        <f t="shared" ref="M16" si="1">1/L16</f>
        <v>0.11645764013309445</v>
      </c>
      <c r="N16" s="10"/>
      <c r="O16" s="10"/>
    </row>
    <row r="17" spans="1:15" ht="17.25">
      <c r="A17" s="60" t="str">
        <f>+'S&amp;D'!A23</f>
        <v xml:space="preserve">Allegiant Travel Co. </v>
      </c>
      <c r="B17" s="60"/>
      <c r="C17" s="87" t="str">
        <f>+'S&amp;D'!B23</f>
        <v>ALGT</v>
      </c>
      <c r="D17" s="57">
        <f>'S&amp;D'!G23</f>
        <v>82.61</v>
      </c>
      <c r="E17" s="59">
        <v>7.31</v>
      </c>
      <c r="F17" s="67">
        <f t="shared" ref="F17:F18" si="2">D17/E17</f>
        <v>11.300957592339262</v>
      </c>
      <c r="G17" s="54">
        <f t="shared" ref="G17:G18" si="3">1/F17</f>
        <v>8.8488076504055185E-2</v>
      </c>
      <c r="H17" s="10"/>
      <c r="I17" s="32" t="str">
        <f t="shared" ref="I17:I18" si="4">+C17</f>
        <v>ALGT</v>
      </c>
      <c r="J17" s="57">
        <f t="shared" ref="J17:J18" si="5">+D17</f>
        <v>82.61</v>
      </c>
      <c r="K17" s="59">
        <v>8.5500000000000007</v>
      </c>
      <c r="L17" s="67">
        <f t="shared" ref="L17:L18" si="6">J17/K17</f>
        <v>9.6619883040935672</v>
      </c>
      <c r="M17" s="54">
        <f t="shared" ref="M17:M18" si="7">1/L17</f>
        <v>0.10349836581527661</v>
      </c>
      <c r="N17" s="10"/>
      <c r="O17" s="10"/>
    </row>
    <row r="18" spans="1:15" ht="17.25">
      <c r="A18" s="60" t="str">
        <f>+'S&amp;D'!A24</f>
        <v xml:space="preserve">American Airlines </v>
      </c>
      <c r="B18" s="60"/>
      <c r="C18" s="87" t="str">
        <f>+'S&amp;D'!B24</f>
        <v>AAL</v>
      </c>
      <c r="D18" s="57">
        <f>'S&amp;D'!G24</f>
        <v>13.74</v>
      </c>
      <c r="E18" s="59">
        <v>2.65</v>
      </c>
      <c r="F18" s="67">
        <f t="shared" si="2"/>
        <v>5.1849056603773587</v>
      </c>
      <c r="G18" s="54">
        <f t="shared" si="3"/>
        <v>0.19286754002911208</v>
      </c>
      <c r="H18" s="10"/>
      <c r="I18" s="32" t="str">
        <f t="shared" si="4"/>
        <v>AAL</v>
      </c>
      <c r="J18" s="57">
        <f t="shared" si="5"/>
        <v>13.74</v>
      </c>
      <c r="K18" s="59">
        <v>2.25</v>
      </c>
      <c r="L18" s="67">
        <f t="shared" si="6"/>
        <v>6.1066666666666665</v>
      </c>
      <c r="M18" s="54">
        <f t="shared" si="7"/>
        <v>0.16375545851528384</v>
      </c>
      <c r="N18" s="10"/>
      <c r="O18" s="10"/>
    </row>
    <row r="19" spans="1:15" ht="17.25">
      <c r="A19" s="60" t="str">
        <f>+'S&amp;D'!A25</f>
        <v xml:space="preserve">Delta Air Lines </v>
      </c>
      <c r="B19" s="60"/>
      <c r="C19" s="87" t="str">
        <f>+'S&amp;D'!B25</f>
        <v>DAL</v>
      </c>
      <c r="D19" s="57">
        <f>'S&amp;D'!G25</f>
        <v>40.229999999999997</v>
      </c>
      <c r="E19" s="59">
        <v>6.25</v>
      </c>
      <c r="F19" s="67">
        <f t="shared" ref="F19:F24" si="8">D19/E19</f>
        <v>6.4367999999999999</v>
      </c>
      <c r="G19" s="54">
        <f t="shared" ref="G19:G24" si="9">1/F19</f>
        <v>0.15535669898086005</v>
      </c>
      <c r="H19" s="10"/>
      <c r="I19" s="32" t="str">
        <f t="shared" ref="I19:I24" si="10">+C19</f>
        <v>DAL</v>
      </c>
      <c r="J19" s="57">
        <f t="shared" ref="J19:J24" si="11">+D19</f>
        <v>40.229999999999997</v>
      </c>
      <c r="K19" s="59">
        <v>6.45</v>
      </c>
      <c r="L19" s="67">
        <f t="shared" ref="L19:L24" si="12">J19/K19</f>
        <v>6.2372093023255806</v>
      </c>
      <c r="M19" s="54">
        <f t="shared" ref="M19:M24" si="13">1/L19</f>
        <v>0.16032811334824759</v>
      </c>
      <c r="N19" s="10"/>
      <c r="O19" s="10"/>
    </row>
    <row r="20" spans="1:15" ht="17.25">
      <c r="A20" s="60" t="str">
        <f>+'S&amp;D'!A26</f>
        <v xml:space="preserve">JetBlue Airways </v>
      </c>
      <c r="B20" s="60"/>
      <c r="C20" s="87" t="str">
        <f>+'S&amp;D'!B26</f>
        <v>JBLU</v>
      </c>
      <c r="D20" s="57">
        <f>'S&amp;D'!G26</f>
        <v>5.55</v>
      </c>
      <c r="E20" s="59">
        <v>0.45</v>
      </c>
      <c r="F20" s="67">
        <f t="shared" si="8"/>
        <v>12.333333333333332</v>
      </c>
      <c r="G20" s="54">
        <f t="shared" si="9"/>
        <v>8.1081081081081086E-2</v>
      </c>
      <c r="H20" s="10"/>
      <c r="I20" s="32" t="str">
        <f t="shared" si="10"/>
        <v>JBLU</v>
      </c>
      <c r="J20" s="57">
        <f t="shared" si="11"/>
        <v>5.55</v>
      </c>
      <c r="K20" s="59">
        <v>0.6</v>
      </c>
      <c r="L20" s="67">
        <f t="shared" si="12"/>
        <v>9.25</v>
      </c>
      <c r="M20" s="54">
        <f t="shared" si="13"/>
        <v>0.10810810810810811</v>
      </c>
      <c r="N20" s="10"/>
      <c r="O20" s="10"/>
    </row>
    <row r="21" spans="1:15" ht="17.25">
      <c r="A21" s="60" t="str">
        <f>+'S&amp;D'!A27</f>
        <v>Skywest Inc</v>
      </c>
      <c r="B21" s="60"/>
      <c r="C21" s="87" t="str">
        <f>+'S&amp;D'!B27</f>
        <v>SKYW</v>
      </c>
      <c r="D21" s="57">
        <f>'S&amp;D'!G27</f>
        <v>52.2</v>
      </c>
      <c r="E21" s="59">
        <v>0.87</v>
      </c>
      <c r="F21" s="67">
        <f t="shared" si="8"/>
        <v>60.000000000000007</v>
      </c>
      <c r="G21" s="54">
        <f t="shared" si="9"/>
        <v>1.6666666666666663E-2</v>
      </c>
      <c r="H21" s="10"/>
      <c r="I21" s="32" t="str">
        <f t="shared" si="10"/>
        <v>SKYW</v>
      </c>
      <c r="J21" s="57">
        <f t="shared" si="11"/>
        <v>52.2</v>
      </c>
      <c r="K21" s="59">
        <v>4.5</v>
      </c>
      <c r="L21" s="67">
        <f t="shared" si="12"/>
        <v>11.600000000000001</v>
      </c>
      <c r="M21" s="54">
        <f t="shared" si="13"/>
        <v>8.620689655172413E-2</v>
      </c>
      <c r="N21" s="10"/>
      <c r="O21" s="10"/>
    </row>
    <row r="22" spans="1:15" ht="17.25">
      <c r="A22" s="60" t="str">
        <f>+'S&amp;D'!A28</f>
        <v xml:space="preserve">Southwest Airlines </v>
      </c>
      <c r="B22" s="60"/>
      <c r="C22" s="87" t="str">
        <f>+'S&amp;D'!B28</f>
        <v>LUV</v>
      </c>
      <c r="D22" s="57">
        <f>'S&amp;D'!G28</f>
        <v>28.88</v>
      </c>
      <c r="E22" s="59">
        <v>1.57</v>
      </c>
      <c r="F22" s="67">
        <f t="shared" si="8"/>
        <v>18.394904458598724</v>
      </c>
      <c r="G22" s="54">
        <f t="shared" si="9"/>
        <v>5.4362880886426601E-2</v>
      </c>
      <c r="H22" s="10"/>
      <c r="I22" s="32" t="str">
        <f t="shared" si="10"/>
        <v>LUV</v>
      </c>
      <c r="J22" s="57">
        <f t="shared" si="11"/>
        <v>28.88</v>
      </c>
      <c r="K22" s="59">
        <v>2.2999999999999998</v>
      </c>
      <c r="L22" s="67">
        <f t="shared" si="12"/>
        <v>12.556521739130435</v>
      </c>
      <c r="M22" s="54">
        <f t="shared" si="13"/>
        <v>7.9639889196675903E-2</v>
      </c>
      <c r="N22" s="10"/>
      <c r="O22" s="10"/>
    </row>
    <row r="23" spans="1:15" ht="17.25">
      <c r="A23" s="60" t="str">
        <f>+'S&amp;D'!A29</f>
        <v xml:space="preserve">Spirit Airlines </v>
      </c>
      <c r="B23" s="60"/>
      <c r="C23" s="87" t="str">
        <f>+'S&amp;D'!B29</f>
        <v>SAVE</v>
      </c>
      <c r="D23" s="57">
        <f>'S&amp;D'!G29</f>
        <v>15.94</v>
      </c>
      <c r="E23" s="59">
        <v>3.3</v>
      </c>
      <c r="F23" s="67">
        <f t="shared" si="8"/>
        <v>4.8303030303030301</v>
      </c>
      <c r="G23" s="54">
        <f t="shared" si="9"/>
        <v>0.20702634880803011</v>
      </c>
      <c r="H23" s="10"/>
      <c r="I23" s="32" t="str">
        <f t="shared" si="10"/>
        <v>SAVE</v>
      </c>
      <c r="J23" s="57">
        <f t="shared" si="11"/>
        <v>15.94</v>
      </c>
      <c r="K23" s="59">
        <v>3</v>
      </c>
      <c r="L23" s="67">
        <f t="shared" si="12"/>
        <v>5.3133333333333335</v>
      </c>
      <c r="M23" s="54">
        <f t="shared" si="13"/>
        <v>0.18820577164366373</v>
      </c>
      <c r="N23" s="10"/>
      <c r="O23" s="10"/>
    </row>
    <row r="24" spans="1:15" ht="17.25">
      <c r="A24" s="60" t="str">
        <f>+'S&amp;D'!A30</f>
        <v>United Airlines Holdings Inc</v>
      </c>
      <c r="B24" s="60"/>
      <c r="C24" s="87" t="str">
        <f>+'S&amp;D'!B30</f>
        <v>UAL</v>
      </c>
      <c r="D24" s="57">
        <f>'S&amp;D'!G30</f>
        <v>41.26</v>
      </c>
      <c r="E24" s="59">
        <v>10.050000000000001</v>
      </c>
      <c r="F24" s="67">
        <f t="shared" si="8"/>
        <v>4.1054726368159198</v>
      </c>
      <c r="G24" s="54">
        <f t="shared" si="9"/>
        <v>0.24357731459040236</v>
      </c>
      <c r="H24" s="10"/>
      <c r="I24" s="32" t="str">
        <f t="shared" si="10"/>
        <v>UAL</v>
      </c>
      <c r="J24" s="57">
        <f t="shared" si="11"/>
        <v>41.26</v>
      </c>
      <c r="K24" s="59">
        <v>9.6</v>
      </c>
      <c r="L24" s="67">
        <f t="shared" si="12"/>
        <v>4.2979166666666666</v>
      </c>
      <c r="M24" s="54">
        <f t="shared" si="13"/>
        <v>0.23267086766844403</v>
      </c>
      <c r="N24" s="10"/>
      <c r="O24" s="10"/>
    </row>
    <row r="25" spans="1:15" ht="18" thickBot="1">
      <c r="A25" s="10"/>
      <c r="B25" s="10"/>
      <c r="C25" s="68"/>
      <c r="D25" s="68"/>
      <c r="E25" s="68"/>
      <c r="F25" s="68"/>
      <c r="G25" s="68"/>
      <c r="H25" s="10"/>
      <c r="I25" s="68"/>
      <c r="J25" s="62" t="s">
        <v>0</v>
      </c>
      <c r="K25" s="68"/>
      <c r="L25" s="68"/>
      <c r="M25" s="68"/>
      <c r="N25" s="10"/>
      <c r="O25" s="10"/>
    </row>
    <row r="26" spans="1:15" ht="17.25" thickTop="1">
      <c r="A26" s="10"/>
      <c r="B26" s="10"/>
      <c r="D26" s="12" t="s">
        <v>45</v>
      </c>
      <c r="E26" s="357">
        <f>MAX(E16:E24)</f>
        <v>10.050000000000001</v>
      </c>
      <c r="F26" s="357">
        <f t="shared" ref="F26:G26" si="14">MAX(F16:F24)</f>
        <v>60.000000000000007</v>
      </c>
      <c r="G26" s="356">
        <f t="shared" si="14"/>
        <v>0.24357731459040236</v>
      </c>
      <c r="H26" s="10"/>
      <c r="J26" s="12" t="s">
        <v>45</v>
      </c>
      <c r="K26" s="357">
        <f t="shared" ref="K26:M26" si="15">MAX(K16:K24)</f>
        <v>9.6</v>
      </c>
      <c r="L26" s="357">
        <f t="shared" si="15"/>
        <v>12.556521739130435</v>
      </c>
      <c r="M26" s="356">
        <f t="shared" si="15"/>
        <v>0.23267086766844403</v>
      </c>
      <c r="N26" s="10"/>
      <c r="O26" s="10"/>
    </row>
    <row r="27" spans="1:15" ht="16.5">
      <c r="A27" s="10"/>
      <c r="B27" s="10"/>
      <c r="D27" s="309" t="s">
        <v>46</v>
      </c>
      <c r="E27" s="358">
        <f>MIN(E16:E24)</f>
        <v>0.45</v>
      </c>
      <c r="F27" s="358">
        <f t="shared" ref="F27:G27" si="16">MIN(F16:F24)</f>
        <v>4.1054726368159198</v>
      </c>
      <c r="G27" s="355">
        <f t="shared" si="16"/>
        <v>1.6666666666666663E-2</v>
      </c>
      <c r="H27" s="10"/>
      <c r="J27" s="309" t="s">
        <v>46</v>
      </c>
      <c r="K27" s="358">
        <f t="shared" ref="K27:M27" si="17">MIN(K16:K24)</f>
        <v>0.6</v>
      </c>
      <c r="L27" s="358">
        <f t="shared" si="17"/>
        <v>4.2979166666666666</v>
      </c>
      <c r="M27" s="355">
        <f t="shared" si="17"/>
        <v>7.9639889196675903E-2</v>
      </c>
      <c r="N27" s="10"/>
      <c r="O27" s="10"/>
    </row>
    <row r="28" spans="1:15" ht="16.5">
      <c r="A28" s="10"/>
      <c r="B28" s="10"/>
      <c r="D28" s="12" t="s">
        <v>18</v>
      </c>
      <c r="E28" s="69"/>
      <c r="F28" s="19">
        <f>MEDIAN(F16:F24)</f>
        <v>8.6247240618101539</v>
      </c>
      <c r="G28" s="54">
        <f>MEDIAN(G16:G24)</f>
        <v>0.11594573841822371</v>
      </c>
      <c r="H28" s="10"/>
      <c r="J28" s="12" t="s">
        <v>18</v>
      </c>
      <c r="K28" s="69"/>
      <c r="L28" s="19">
        <f>MEDIAN(L16:L24)</f>
        <v>8.5868131868131865</v>
      </c>
      <c r="M28" s="54">
        <f>MEDIAN(M16:M24)</f>
        <v>0.11645764013309445</v>
      </c>
      <c r="N28" s="10"/>
      <c r="O28" s="10"/>
    </row>
    <row r="29" spans="1:15" ht="16.5">
      <c r="A29" s="10"/>
      <c r="B29" s="10"/>
      <c r="D29" s="12" t="s">
        <v>429</v>
      </c>
      <c r="E29" s="15"/>
      <c r="F29" s="19">
        <f>AVERAGE(F16:F24)</f>
        <v>14.57904453039753</v>
      </c>
      <c r="G29" s="70">
        <f>AVERAGE(G16:G24)</f>
        <v>0.12837470510720642</v>
      </c>
      <c r="H29" s="10"/>
      <c r="J29" s="12" t="s">
        <v>429</v>
      </c>
      <c r="K29" s="15"/>
      <c r="L29" s="19">
        <f>AVERAGE(L16:L24)</f>
        <v>8.1789387998921583</v>
      </c>
      <c r="M29" s="70">
        <f>AVERAGE(M16:M24)</f>
        <v>0.13765234566450202</v>
      </c>
      <c r="N29" s="10"/>
      <c r="O29" s="10"/>
    </row>
    <row r="30" spans="1:15" ht="16.5">
      <c r="A30" s="10"/>
      <c r="B30" s="10"/>
      <c r="C30" s="10"/>
      <c r="D30" s="10"/>
      <c r="E30" s="10"/>
      <c r="F30" s="10"/>
      <c r="G30" s="10"/>
      <c r="H30" s="10"/>
      <c r="I30" s="10"/>
      <c r="J30" s="10"/>
      <c r="K30" s="10"/>
      <c r="L30" s="10"/>
      <c r="M30" s="10"/>
      <c r="N30" s="10"/>
      <c r="O30" s="10"/>
    </row>
    <row r="31" spans="1:15" ht="26.25">
      <c r="A31" s="10"/>
      <c r="B31" s="10"/>
      <c r="C31" s="10"/>
      <c r="D31" s="10"/>
      <c r="E31" s="74" t="s">
        <v>73</v>
      </c>
      <c r="F31" s="372">
        <v>14.58</v>
      </c>
      <c r="G31" s="370">
        <v>0.12839999999999999</v>
      </c>
      <c r="H31" s="10"/>
      <c r="I31" s="10"/>
      <c r="J31" s="10"/>
      <c r="K31" s="74" t="s">
        <v>73</v>
      </c>
      <c r="L31" s="373">
        <v>8.18</v>
      </c>
      <c r="M31" s="370">
        <v>0.13769999999999999</v>
      </c>
      <c r="N31" s="10"/>
      <c r="O31" s="10"/>
    </row>
    <row r="32" spans="1:15" ht="16.5">
      <c r="A32" s="10"/>
      <c r="B32" s="10"/>
      <c r="C32" s="10"/>
      <c r="D32" s="10"/>
      <c r="E32" s="10"/>
      <c r="F32" s="10"/>
      <c r="K32" s="10"/>
      <c r="L32" s="10"/>
      <c r="M32" s="10"/>
      <c r="N32" s="10"/>
      <c r="O32" s="10"/>
    </row>
    <row r="33" spans="1:15" ht="30" customHeight="1" thickBot="1">
      <c r="A33" s="10"/>
      <c r="B33" s="10"/>
      <c r="C33" s="10"/>
      <c r="D33" s="10"/>
      <c r="E33" s="10"/>
      <c r="F33" s="10"/>
      <c r="K33" s="10"/>
      <c r="L33" s="10"/>
      <c r="M33" s="10"/>
      <c r="N33" s="10"/>
      <c r="O33" s="10"/>
    </row>
    <row r="34" spans="1:15" ht="27" thickBot="1">
      <c r="A34" s="10"/>
      <c r="B34" s="10"/>
      <c r="C34" s="10"/>
      <c r="D34" s="10"/>
      <c r="E34" s="10"/>
      <c r="F34" s="10"/>
      <c r="G34" s="21" t="s">
        <v>123</v>
      </c>
      <c r="I34" s="419">
        <f>(+F31+L31)/2</f>
        <v>11.379999999999999</v>
      </c>
      <c r="J34" s="420">
        <f>(+G31+M31)/2</f>
        <v>0.13305</v>
      </c>
      <c r="K34" s="10"/>
      <c r="L34" s="10"/>
      <c r="M34" s="10"/>
      <c r="N34" s="10"/>
      <c r="O34" s="10"/>
    </row>
    <row r="35" spans="1:15" ht="30.75" customHeight="1">
      <c r="A35" s="72" t="s">
        <v>0</v>
      </c>
      <c r="B35" s="72"/>
      <c r="C35" s="10"/>
      <c r="D35" s="10"/>
      <c r="E35" s="10"/>
      <c r="N35" s="10"/>
      <c r="O35" s="10"/>
    </row>
    <row r="36" spans="1:15" ht="16.5">
      <c r="A36" s="72" t="s">
        <v>0</v>
      </c>
      <c r="B36" s="72"/>
      <c r="C36" s="10"/>
      <c r="D36" s="10"/>
      <c r="E36" s="10"/>
      <c r="F36" s="10"/>
      <c r="G36" s="10"/>
      <c r="H36" s="10"/>
      <c r="I36" s="10"/>
      <c r="J36" s="10"/>
      <c r="K36" s="10"/>
      <c r="L36" s="10"/>
      <c r="M36" s="10"/>
      <c r="N36" s="10"/>
      <c r="O36" s="10"/>
    </row>
    <row r="37" spans="1:15" ht="16.5">
      <c r="A37" s="10"/>
      <c r="B37" s="10"/>
      <c r="C37" s="10"/>
      <c r="D37" s="10"/>
      <c r="E37" s="10"/>
      <c r="F37" s="10"/>
      <c r="G37" s="10"/>
      <c r="H37" s="10"/>
      <c r="I37" s="10"/>
      <c r="J37" s="10"/>
      <c r="K37" s="10"/>
      <c r="L37" s="10"/>
      <c r="M37" s="10"/>
      <c r="N37" s="10"/>
      <c r="O37" s="10"/>
    </row>
    <row r="38" spans="1:15" ht="16.5">
      <c r="A38" s="10"/>
      <c r="B38" s="10"/>
      <c r="C38" s="10"/>
      <c r="D38" s="10"/>
      <c r="E38" s="10"/>
      <c r="F38" s="10"/>
      <c r="G38" s="10"/>
      <c r="H38" s="10"/>
      <c r="I38" s="10"/>
      <c r="J38" s="10"/>
      <c r="K38" s="10"/>
      <c r="L38" s="10"/>
      <c r="M38" s="10"/>
      <c r="N38" s="10"/>
      <c r="O38" s="10"/>
    </row>
    <row r="39" spans="1:15" ht="15.75" thickBot="1">
      <c r="B39" s="148"/>
      <c r="C39" s="148"/>
      <c r="D39" s="148"/>
      <c r="E39" s="148"/>
      <c r="F39" s="148"/>
      <c r="G39" s="148"/>
    </row>
    <row r="40" spans="1:15" ht="26.25">
      <c r="C40" s="10"/>
      <c r="D40" s="10"/>
      <c r="E40" s="29" t="s">
        <v>521</v>
      </c>
      <c r="F40" s="10"/>
      <c r="G40" s="10"/>
    </row>
    <row r="41" spans="1:15" ht="21" thickBot="1">
      <c r="A41" s="28"/>
      <c r="B41" s="148"/>
      <c r="C41" s="26"/>
      <c r="D41" s="26"/>
      <c r="E41" s="34" t="s">
        <v>469</v>
      </c>
      <c r="F41" s="26"/>
      <c r="G41" s="26"/>
    </row>
    <row r="42" spans="1:15" ht="15.75" thickBot="1">
      <c r="A42" s="31" t="s">
        <v>0</v>
      </c>
      <c r="B42" s="148"/>
      <c r="C42" s="31" t="s">
        <v>0</v>
      </c>
      <c r="D42" s="31" t="s">
        <v>0</v>
      </c>
      <c r="E42" s="31" t="s">
        <v>0</v>
      </c>
      <c r="F42" s="31" t="s">
        <v>0</v>
      </c>
      <c r="G42" s="31" t="s">
        <v>0</v>
      </c>
    </row>
    <row r="43" spans="1:15" ht="16.5">
      <c r="A43" s="32" t="s">
        <v>0</v>
      </c>
      <c r="C43" s="32" t="s">
        <v>3</v>
      </c>
      <c r="D43" s="32" t="s">
        <v>352</v>
      </c>
      <c r="E43" s="32" t="s">
        <v>354</v>
      </c>
      <c r="F43" s="32" t="s">
        <v>110</v>
      </c>
      <c r="G43" s="32" t="s">
        <v>26</v>
      </c>
    </row>
    <row r="44" spans="1:15" ht="17.25" thickBot="1">
      <c r="A44" s="34" t="s">
        <v>2</v>
      </c>
      <c r="B44" s="148"/>
      <c r="C44" s="34" t="s">
        <v>4</v>
      </c>
      <c r="D44" s="34" t="s">
        <v>27</v>
      </c>
      <c r="E44" s="34" t="s">
        <v>168</v>
      </c>
      <c r="F44" s="34" t="s">
        <v>28</v>
      </c>
      <c r="G44" s="34" t="s">
        <v>29</v>
      </c>
    </row>
    <row r="45" spans="1:15">
      <c r="A45" s="36" t="s">
        <v>0</v>
      </c>
      <c r="C45" s="36" t="s">
        <v>0</v>
      </c>
      <c r="D45" s="37" t="s">
        <v>112</v>
      </c>
      <c r="E45" s="73" t="s">
        <v>241</v>
      </c>
      <c r="F45" s="36" t="s">
        <v>0</v>
      </c>
      <c r="G45" s="36" t="s">
        <v>0</v>
      </c>
    </row>
    <row r="46" spans="1:15" ht="16.5">
      <c r="A46" s="32"/>
      <c r="C46" s="32"/>
      <c r="D46" s="32"/>
      <c r="E46" s="32"/>
      <c r="F46" s="32"/>
      <c r="G46" s="32"/>
    </row>
    <row r="47" spans="1:15" ht="16.5">
      <c r="A47" s="10"/>
      <c r="C47" s="10"/>
      <c r="D47" s="10"/>
      <c r="E47" s="10"/>
      <c r="F47" s="10"/>
      <c r="G47" s="10"/>
    </row>
    <row r="48" spans="1:15" ht="17.25">
      <c r="A48" s="60" t="str">
        <f>+'S&amp;D'!A22</f>
        <v xml:space="preserve">Alaska Air </v>
      </c>
      <c r="C48" s="87" t="str">
        <f>+'S&amp;D'!B22</f>
        <v>ALK</v>
      </c>
      <c r="D48" s="57">
        <f>'S&amp;D'!G22</f>
        <v>39.07</v>
      </c>
      <c r="E48" s="59">
        <v>13.45</v>
      </c>
      <c r="F48" s="67">
        <f t="shared" ref="F48:F50" si="18">D48/E48</f>
        <v>2.9048327137546468</v>
      </c>
      <c r="G48" s="54">
        <f t="shared" ref="G48:G50" si="19">1/F48</f>
        <v>0.34425390325057592</v>
      </c>
    </row>
    <row r="49" spans="1:7" ht="17.25">
      <c r="A49" s="60" t="str">
        <f>+'S&amp;D'!A23</f>
        <v xml:space="preserve">Allegiant Travel Co. </v>
      </c>
      <c r="C49" s="87" t="str">
        <f>+'S&amp;D'!B23</f>
        <v>ALGT</v>
      </c>
      <c r="D49" s="57">
        <f>'S&amp;D'!G23</f>
        <v>82.61</v>
      </c>
      <c r="E49" s="59">
        <v>28.75</v>
      </c>
      <c r="F49" s="67">
        <f t="shared" si="18"/>
        <v>2.8733913043478259</v>
      </c>
      <c r="G49" s="54">
        <f t="shared" si="19"/>
        <v>0.34802082072388335</v>
      </c>
    </row>
    <row r="50" spans="1:7" ht="17.25">
      <c r="A50" s="60" t="str">
        <f>+'S&amp;D'!A24</f>
        <v xml:space="preserve">American Airlines </v>
      </c>
      <c r="C50" s="87" t="str">
        <f>+'S&amp;D'!B24</f>
        <v>AAL</v>
      </c>
      <c r="D50" s="57">
        <f>'S&amp;D'!G24</f>
        <v>13.74</v>
      </c>
      <c r="E50" s="59">
        <v>3.2</v>
      </c>
      <c r="F50" s="67">
        <f t="shared" si="18"/>
        <v>4.2937500000000002</v>
      </c>
      <c r="G50" s="54">
        <f t="shared" si="19"/>
        <v>0.23289665211062591</v>
      </c>
    </row>
    <row r="51" spans="1:7" ht="17.25">
      <c r="A51" s="60" t="str">
        <f>+'S&amp;D'!A25</f>
        <v xml:space="preserve">Delta Air Lines </v>
      </c>
      <c r="C51" s="87" t="str">
        <f>+'S&amp;D'!B25</f>
        <v>DAL</v>
      </c>
      <c r="D51" s="57">
        <f>'S&amp;D'!G25</f>
        <v>40.229999999999997</v>
      </c>
      <c r="E51" s="59">
        <v>9</v>
      </c>
      <c r="F51" s="67">
        <f t="shared" ref="F51:F56" si="20">D51/E51</f>
        <v>4.47</v>
      </c>
      <c r="G51" s="54">
        <f t="shared" ref="G51:G56" si="21">1/F51</f>
        <v>0.2237136465324385</v>
      </c>
    </row>
    <row r="52" spans="1:7" ht="17.25">
      <c r="A52" s="60" t="str">
        <f>+'S&amp;D'!A26</f>
        <v xml:space="preserve">JetBlue Airways </v>
      </c>
      <c r="C52" s="87" t="str">
        <f>+'S&amp;D'!B26</f>
        <v>JBLU</v>
      </c>
      <c r="D52" s="57">
        <f>'S&amp;D'!G26</f>
        <v>5.55</v>
      </c>
      <c r="E52" s="59">
        <v>1.25</v>
      </c>
      <c r="F52" s="67">
        <f t="shared" si="20"/>
        <v>4.4399999999999995</v>
      </c>
      <c r="G52" s="54">
        <f t="shared" si="21"/>
        <v>0.22522522522522526</v>
      </c>
    </row>
    <row r="53" spans="1:7" ht="17.25">
      <c r="A53" s="60" t="str">
        <f>+'S&amp;D'!A27</f>
        <v>Skywest Inc</v>
      </c>
      <c r="C53" s="87" t="str">
        <f>+'S&amp;D'!B27</f>
        <v>SKYW</v>
      </c>
      <c r="D53" s="57">
        <f>'S&amp;D'!G27</f>
        <v>52.2</v>
      </c>
      <c r="E53" s="59">
        <v>7</v>
      </c>
      <c r="F53" s="67">
        <f t="shared" si="20"/>
        <v>7.4571428571428573</v>
      </c>
      <c r="G53" s="54">
        <f t="shared" si="21"/>
        <v>0.13409961685823754</v>
      </c>
    </row>
    <row r="54" spans="1:7" ht="17.25">
      <c r="A54" s="60" t="str">
        <f>+'S&amp;D'!A28</f>
        <v xml:space="preserve">Southwest Airlines </v>
      </c>
      <c r="C54" s="87" t="str">
        <f>+'S&amp;D'!B28</f>
        <v>LUV</v>
      </c>
      <c r="D54" s="57">
        <f>'S&amp;D'!G28</f>
        <v>28.88</v>
      </c>
      <c r="E54" s="59">
        <v>3.7</v>
      </c>
      <c r="F54" s="67">
        <f t="shared" si="20"/>
        <v>7.8054054054054047</v>
      </c>
      <c r="G54" s="54">
        <f t="shared" si="21"/>
        <v>0.12811634349030471</v>
      </c>
    </row>
    <row r="55" spans="1:7" ht="17.25">
      <c r="A55" s="60" t="str">
        <f>+'S&amp;D'!A29</f>
        <v xml:space="preserve">Spirit Airlines </v>
      </c>
      <c r="C55" s="87" t="str">
        <f>+'S&amp;D'!B29</f>
        <v>SAVE</v>
      </c>
      <c r="D55" s="57">
        <f>'S&amp;D'!G29</f>
        <v>15.94</v>
      </c>
      <c r="E55" s="59">
        <v>1.25</v>
      </c>
      <c r="F55" s="67">
        <f t="shared" si="20"/>
        <v>12.751999999999999</v>
      </c>
      <c r="G55" s="54">
        <f t="shared" si="21"/>
        <v>7.8419071518193231E-2</v>
      </c>
    </row>
    <row r="56" spans="1:7" ht="17.25">
      <c r="A56" s="60" t="str">
        <f>+'S&amp;D'!A30</f>
        <v>United Airlines Holdings Inc</v>
      </c>
      <c r="C56" s="87" t="str">
        <f>+'S&amp;D'!B30</f>
        <v>UAL</v>
      </c>
      <c r="D56" s="57">
        <f>'S&amp;D'!G30</f>
        <v>41.26</v>
      </c>
      <c r="E56" s="59">
        <v>15.5</v>
      </c>
      <c r="F56" s="67">
        <f t="shared" si="20"/>
        <v>2.6619354838709675</v>
      </c>
      <c r="G56" s="54">
        <f t="shared" si="21"/>
        <v>0.37566650508967525</v>
      </c>
    </row>
    <row r="57" spans="1:7" ht="17.25" thickBot="1">
      <c r="A57" s="10"/>
      <c r="D57" s="68"/>
      <c r="E57" s="68"/>
      <c r="F57" s="68"/>
      <c r="G57" s="68"/>
    </row>
    <row r="58" spans="1:7" ht="17.25" thickTop="1">
      <c r="A58" s="10"/>
      <c r="D58" s="12" t="s">
        <v>45</v>
      </c>
      <c r="E58" s="357">
        <f>MAX(E48:E56)</f>
        <v>28.75</v>
      </c>
      <c r="F58" s="357">
        <f t="shared" ref="F58:G58" si="22">MAX(F48:F56)</f>
        <v>12.751999999999999</v>
      </c>
      <c r="G58" s="356">
        <f t="shared" si="22"/>
        <v>0.37566650508967525</v>
      </c>
    </row>
    <row r="59" spans="1:7" ht="16.5">
      <c r="A59" s="10"/>
      <c r="D59" s="12" t="s">
        <v>46</v>
      </c>
      <c r="E59" s="358">
        <f t="shared" ref="E59:G59" si="23">MIN(E48:E56)</f>
        <v>1.25</v>
      </c>
      <c r="F59" s="358">
        <f t="shared" si="23"/>
        <v>2.6619354838709675</v>
      </c>
      <c r="G59" s="355">
        <f t="shared" si="23"/>
        <v>7.8419071518193231E-2</v>
      </c>
    </row>
    <row r="60" spans="1:7" ht="16.5">
      <c r="A60" s="10"/>
      <c r="D60" s="12" t="s">
        <v>18</v>
      </c>
      <c r="E60" s="69"/>
      <c r="F60" s="19">
        <f>MEDIAN(F48:F56)</f>
        <v>4.4399999999999995</v>
      </c>
      <c r="G60" s="54">
        <f>MEDIAN(G48:G56)</f>
        <v>0.22522522522522526</v>
      </c>
    </row>
    <row r="61" spans="1:7" ht="16.5">
      <c r="A61" s="10"/>
      <c r="D61" s="12" t="s">
        <v>429</v>
      </c>
      <c r="E61" s="15"/>
      <c r="F61" s="19">
        <f>AVERAGE(F48:F56)</f>
        <v>5.5176064182801881</v>
      </c>
      <c r="G61" s="70">
        <f>AVERAGE(G48:G56)</f>
        <v>0.23226797608879549</v>
      </c>
    </row>
    <row r="62" spans="1:7" ht="16.5">
      <c r="A62" s="10"/>
      <c r="C62" s="10"/>
      <c r="D62" s="10"/>
      <c r="E62" s="10"/>
      <c r="F62" s="10"/>
      <c r="G62" s="10"/>
    </row>
    <row r="63" spans="1:7" ht="26.25">
      <c r="A63" s="10"/>
      <c r="C63" s="10"/>
      <c r="D63" s="10"/>
      <c r="E63" s="74" t="s">
        <v>73</v>
      </c>
      <c r="F63" s="373">
        <v>5.52</v>
      </c>
      <c r="G63" s="370">
        <v>0.23230000000000001</v>
      </c>
    </row>
  </sheetData>
  <pageMargins left="0.25" right="0.25" top="0.75" bottom="0.75" header="0.3" footer="0.3"/>
  <pageSetup scale="3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A241-0A64-46CC-9E60-C6F323522AA0}">
  <sheetPr>
    <tabColor rgb="FF92D050"/>
  </sheetPr>
  <dimension ref="A1:K174"/>
  <sheetViews>
    <sheetView view="pageBreakPreview" topLeftCell="A64" zoomScale="60" zoomScaleNormal="80" workbookViewId="0">
      <selection activeCell="A104" sqref="A104:H104"/>
    </sheetView>
  </sheetViews>
  <sheetFormatPr defaultRowHeight="15"/>
  <cols>
    <col min="1" max="1" width="62.42578125" customWidth="1"/>
    <col min="2" max="2" width="25.7109375" customWidth="1"/>
    <col min="3" max="3" width="30.28515625" customWidth="1"/>
    <col min="4" max="5" width="30.5703125" customWidth="1"/>
    <col min="6" max="6" width="28.140625" customWidth="1"/>
    <col min="7" max="7" width="32.7109375" customWidth="1"/>
    <col min="8" max="8" width="37.7109375" customWidth="1"/>
    <col min="9" max="9" width="50.85546875" customWidth="1"/>
    <col min="10" max="10" width="13.85546875" customWidth="1"/>
    <col min="11" max="12" width="14.140625" bestFit="1" customWidth="1"/>
  </cols>
  <sheetData>
    <row r="1" spans="1:11" ht="26.25">
      <c r="A1" s="21" t="s">
        <v>1</v>
      </c>
      <c r="C1" s="21"/>
      <c r="D1" s="21"/>
      <c r="E1" s="10"/>
      <c r="F1" s="10"/>
      <c r="G1" s="10"/>
      <c r="H1" s="10"/>
      <c r="I1" s="10"/>
      <c r="J1" s="10"/>
      <c r="K1" s="10"/>
    </row>
    <row r="2" spans="1:11" ht="17.25">
      <c r="A2" s="22" t="s">
        <v>9</v>
      </c>
      <c r="C2" s="22"/>
      <c r="D2" s="22"/>
      <c r="E2" s="10"/>
      <c r="F2" s="10"/>
      <c r="G2" s="10"/>
      <c r="H2" s="10"/>
      <c r="I2" s="10"/>
      <c r="J2" s="10"/>
      <c r="K2" s="10"/>
    </row>
    <row r="3" spans="1:11" ht="16.5">
      <c r="A3" s="23" t="s">
        <v>467</v>
      </c>
      <c r="C3" s="23"/>
      <c r="D3" s="23"/>
      <c r="E3" s="10"/>
      <c r="F3" s="10"/>
      <c r="G3" s="10"/>
      <c r="H3" s="10"/>
      <c r="I3" s="10"/>
      <c r="J3" s="10"/>
      <c r="K3" s="10"/>
    </row>
    <row r="4" spans="1:11" ht="16.5">
      <c r="B4" s="23"/>
      <c r="C4" s="23"/>
      <c r="D4" s="23"/>
      <c r="E4" s="10"/>
      <c r="F4" s="10"/>
      <c r="G4" s="10"/>
      <c r="H4" s="10"/>
      <c r="I4" s="10"/>
      <c r="J4" s="10"/>
      <c r="K4" s="10"/>
    </row>
    <row r="5" spans="1:11" ht="16.5">
      <c r="B5" s="10"/>
      <c r="C5" s="10"/>
      <c r="D5" s="10"/>
      <c r="E5" s="10"/>
      <c r="F5" s="10"/>
      <c r="G5" s="10"/>
      <c r="H5" s="10"/>
      <c r="I5" s="24" t="s">
        <v>0</v>
      </c>
      <c r="J5" s="24"/>
      <c r="K5" s="10"/>
    </row>
    <row r="6" spans="1:11" ht="17.25" thickBot="1">
      <c r="B6" s="10"/>
      <c r="C6" s="10"/>
      <c r="D6" s="26"/>
      <c r="E6" s="26"/>
      <c r="F6" s="148"/>
      <c r="H6" s="10"/>
      <c r="I6" s="10"/>
      <c r="J6" s="10"/>
      <c r="K6" s="10"/>
    </row>
    <row r="7" spans="1:11" ht="27" thickBot="1">
      <c r="A7" s="25" t="str">
        <f>+'S&amp;D'!A12</f>
        <v>Air Passenger Carriers</v>
      </c>
      <c r="C7" s="28"/>
      <c r="D7" s="28"/>
      <c r="E7" s="29" t="s">
        <v>253</v>
      </c>
      <c r="H7" s="10"/>
      <c r="I7" s="10"/>
      <c r="J7" s="10"/>
      <c r="K7" s="10"/>
    </row>
    <row r="8" spans="1:11" ht="21" thickBot="1">
      <c r="B8" s="28"/>
      <c r="C8" s="28"/>
      <c r="D8" s="149"/>
      <c r="E8" s="34" t="s">
        <v>469</v>
      </c>
      <c r="F8" s="148"/>
      <c r="H8" s="10"/>
      <c r="I8" s="10"/>
      <c r="J8" s="10"/>
      <c r="K8" s="10"/>
    </row>
    <row r="9" spans="1:11" ht="20.25">
      <c r="B9" s="28"/>
      <c r="C9" s="28"/>
      <c r="D9" s="28"/>
      <c r="E9" s="32"/>
      <c r="H9" s="10"/>
      <c r="I9" s="10"/>
      <c r="J9" s="10"/>
      <c r="K9" s="10"/>
    </row>
    <row r="10" spans="1:11" ht="21" thickBot="1">
      <c r="A10" s="149"/>
      <c r="B10" s="28"/>
      <c r="I10" s="10"/>
      <c r="J10" s="10"/>
      <c r="K10" s="10"/>
    </row>
    <row r="11" spans="1:11" ht="22.5" customHeight="1" thickBot="1">
      <c r="A11" s="161" t="s">
        <v>248</v>
      </c>
      <c r="B11" s="28"/>
      <c r="I11" s="10"/>
      <c r="J11" s="10"/>
      <c r="K11" s="10"/>
    </row>
    <row r="12" spans="1:11" ht="26.25" customHeight="1" thickBot="1">
      <c r="A12" s="160" t="s">
        <v>0</v>
      </c>
      <c r="B12" s="10"/>
      <c r="C12" s="10"/>
      <c r="D12" s="10"/>
      <c r="E12" s="10"/>
      <c r="F12" s="10"/>
      <c r="G12" s="10"/>
      <c r="H12" s="10"/>
      <c r="I12" s="10"/>
      <c r="J12" s="10"/>
      <c r="K12" s="10"/>
    </row>
    <row r="13" spans="1:11" ht="66.75" customHeight="1" thickBot="1">
      <c r="A13" s="221" t="s">
        <v>270</v>
      </c>
      <c r="B13" s="155" t="s">
        <v>314</v>
      </c>
      <c r="C13" s="155" t="s">
        <v>280</v>
      </c>
      <c r="D13" s="155" t="s">
        <v>279</v>
      </c>
      <c r="I13" s="10"/>
      <c r="J13" s="10"/>
      <c r="K13" s="10"/>
    </row>
    <row r="14" spans="1:11" ht="16.5">
      <c r="A14" s="150"/>
      <c r="B14" s="211"/>
      <c r="C14" s="211"/>
      <c r="D14" s="211"/>
      <c r="I14" s="10"/>
      <c r="J14" s="10"/>
      <c r="K14" s="10"/>
    </row>
    <row r="15" spans="1:11" ht="20.25">
      <c r="A15" s="159" t="str">
        <f>+A7</f>
        <v>Air Passenger Carriers</v>
      </c>
      <c r="B15" s="374">
        <v>0</v>
      </c>
      <c r="C15" s="233">
        <f>+'Dividends '!K28</f>
        <v>0.1089182339303882</v>
      </c>
      <c r="D15" s="233">
        <f>+Earnings!K27</f>
        <v>0.17172212176389359</v>
      </c>
      <c r="I15" s="10"/>
      <c r="J15" s="10"/>
      <c r="K15" s="10"/>
    </row>
    <row r="16" spans="1:11" ht="21" thickBot="1">
      <c r="A16" s="152" t="s">
        <v>0</v>
      </c>
      <c r="B16" s="212" t="s">
        <v>0</v>
      </c>
      <c r="C16" s="258">
        <f>+'Dividends '!K29</f>
        <v>0.2078845675487393</v>
      </c>
      <c r="D16" s="258">
        <f>+Earnings!K28</f>
        <v>0.18922043738844119</v>
      </c>
      <c r="I16" s="10"/>
      <c r="J16" s="10"/>
      <c r="K16" s="10"/>
    </row>
    <row r="17" spans="1:11" ht="20.25">
      <c r="A17" s="219"/>
      <c r="B17" s="220"/>
      <c r="I17" s="10"/>
      <c r="J17" s="10"/>
      <c r="K17" s="10"/>
    </row>
    <row r="18" spans="1:11" ht="16.5">
      <c r="A18" s="10"/>
      <c r="B18" s="10"/>
      <c r="C18" s="10"/>
      <c r="D18" s="10"/>
      <c r="E18" s="10"/>
      <c r="F18" s="10"/>
      <c r="G18" s="10"/>
      <c r="H18" s="10"/>
      <c r="I18" s="10"/>
      <c r="J18" s="10"/>
      <c r="K18" s="10"/>
    </row>
    <row r="19" spans="1:11" ht="17.25" thickBot="1">
      <c r="A19" s="10"/>
      <c r="B19" s="10"/>
      <c r="C19" s="10"/>
      <c r="D19" s="10"/>
      <c r="E19" s="10"/>
      <c r="F19" s="10"/>
      <c r="G19" s="10"/>
      <c r="H19" s="10"/>
      <c r="I19" s="10"/>
      <c r="J19" s="10"/>
      <c r="K19" s="10"/>
    </row>
    <row r="20" spans="1:11" ht="21" thickBot="1">
      <c r="A20" s="161" t="s">
        <v>269</v>
      </c>
      <c r="B20" s="28"/>
      <c r="I20" s="10"/>
      <c r="J20" s="10"/>
      <c r="K20" s="10"/>
    </row>
    <row r="21" spans="1:11" ht="18" thickBot="1">
      <c r="A21" s="160" t="s">
        <v>0</v>
      </c>
      <c r="B21" s="10"/>
      <c r="C21" s="10"/>
      <c r="D21" s="10"/>
      <c r="E21" s="10"/>
      <c r="F21" s="10"/>
      <c r="G21" s="10"/>
      <c r="H21" s="10"/>
      <c r="I21" s="10"/>
      <c r="J21" s="10"/>
      <c r="K21" s="10"/>
    </row>
    <row r="22" spans="1:11" ht="64.5" customHeight="1" thickBot="1">
      <c r="A22" s="221" t="s">
        <v>271</v>
      </c>
      <c r="B22" s="155" t="s">
        <v>313</v>
      </c>
      <c r="C22" s="154" t="s">
        <v>228</v>
      </c>
      <c r="D22" s="155" t="s">
        <v>229</v>
      </c>
      <c r="E22" s="155" t="s">
        <v>230</v>
      </c>
      <c r="F22" s="155" t="s">
        <v>314</v>
      </c>
      <c r="G22" s="259" t="s">
        <v>18</v>
      </c>
      <c r="H22" s="259" t="s">
        <v>19</v>
      </c>
      <c r="I22" s="10"/>
      <c r="J22" s="10"/>
      <c r="K22" s="10"/>
    </row>
    <row r="23" spans="1:11" ht="16.5">
      <c r="A23" s="150"/>
      <c r="B23" s="211"/>
      <c r="C23" s="107"/>
      <c r="D23" s="211"/>
      <c r="E23" s="107"/>
      <c r="F23" s="211"/>
      <c r="G23" s="323"/>
      <c r="H23" s="163"/>
      <c r="I23" s="10"/>
      <c r="J23" s="10"/>
      <c r="K23" s="10"/>
    </row>
    <row r="24" spans="1:11" ht="20.25">
      <c r="A24" s="159" t="str">
        <f>+A7</f>
        <v>Air Passenger Carriers</v>
      </c>
      <c r="B24" s="374">
        <v>0</v>
      </c>
      <c r="C24" s="375">
        <v>0</v>
      </c>
      <c r="D24" s="374">
        <v>0</v>
      </c>
      <c r="E24" s="375">
        <v>0</v>
      </c>
      <c r="F24" s="374">
        <v>0</v>
      </c>
      <c r="G24" s="376">
        <f>MEDIAN(B24:F24)</f>
        <v>0</v>
      </c>
      <c r="H24" s="376">
        <f t="shared" ref="H24" si="0">AVERAGE(B24:F24)</f>
        <v>0</v>
      </c>
      <c r="I24" s="10"/>
      <c r="J24" s="10"/>
      <c r="K24" s="10"/>
    </row>
    <row r="25" spans="1:11" ht="21" thickBot="1">
      <c r="A25" s="312" t="s">
        <v>0</v>
      </c>
      <c r="B25" s="212" t="s">
        <v>0</v>
      </c>
      <c r="C25" s="322" t="s">
        <v>0</v>
      </c>
      <c r="D25" s="212" t="s">
        <v>0</v>
      </c>
      <c r="E25" s="322" t="s">
        <v>0</v>
      </c>
      <c r="F25" s="212" t="s">
        <v>0</v>
      </c>
      <c r="G25" s="303"/>
      <c r="H25" s="162"/>
      <c r="I25" s="10"/>
      <c r="J25" s="10"/>
      <c r="K25" s="10"/>
    </row>
    <row r="26" spans="1:11" ht="16.5">
      <c r="A26" s="10"/>
      <c r="B26" s="10"/>
      <c r="C26" s="10"/>
      <c r="D26" s="10"/>
      <c r="E26" s="10"/>
      <c r="F26" s="10"/>
      <c r="G26" s="10"/>
      <c r="H26" s="10"/>
      <c r="I26" s="10"/>
      <c r="J26" s="10"/>
      <c r="K26" s="10"/>
    </row>
    <row r="27" spans="1:11" ht="16.5">
      <c r="A27" s="10"/>
      <c r="B27" s="10"/>
      <c r="C27" s="10"/>
      <c r="D27" s="10"/>
      <c r="E27" s="10"/>
      <c r="F27" s="10"/>
      <c r="G27" s="10"/>
      <c r="H27" s="10"/>
      <c r="I27" s="10"/>
      <c r="J27" s="10"/>
      <c r="K27" s="10"/>
    </row>
    <row r="28" spans="1:11" ht="16.5">
      <c r="A28" s="10"/>
      <c r="B28" s="10" t="s">
        <v>0</v>
      </c>
      <c r="C28" s="10"/>
      <c r="D28" s="10"/>
      <c r="E28" s="10"/>
      <c r="F28" s="10"/>
      <c r="G28" s="10"/>
      <c r="H28" s="10"/>
      <c r="I28" s="10"/>
      <c r="J28" s="10"/>
      <c r="K28" s="10"/>
    </row>
    <row r="29" spans="1:11" ht="17.25" thickBot="1">
      <c r="A29" s="10"/>
      <c r="B29" s="10"/>
      <c r="C29" s="10"/>
      <c r="D29" s="10"/>
      <c r="E29" s="10"/>
      <c r="F29" s="10"/>
      <c r="G29" s="10"/>
      <c r="H29" s="10"/>
      <c r="I29" s="10"/>
      <c r="J29" s="10"/>
      <c r="K29" s="10"/>
    </row>
    <row r="30" spans="1:11" ht="21" thickBot="1">
      <c r="A30" s="161" t="s">
        <v>250</v>
      </c>
      <c r="B30" s="10"/>
      <c r="C30" s="10"/>
      <c r="D30" s="10"/>
      <c r="E30" s="10"/>
      <c r="F30" s="10"/>
      <c r="G30" s="10"/>
      <c r="H30" s="10"/>
      <c r="I30" s="10"/>
      <c r="J30" s="10"/>
      <c r="K30" s="10"/>
    </row>
    <row r="31" spans="1:11" ht="16.5">
      <c r="A31" s="10"/>
      <c r="B31" s="10"/>
      <c r="C31" s="10"/>
      <c r="D31" s="10"/>
      <c r="E31" s="10"/>
      <c r="F31" s="10"/>
      <c r="G31" s="10"/>
      <c r="H31" s="10"/>
      <c r="I31" s="10"/>
      <c r="J31" s="10"/>
      <c r="K31" s="10"/>
    </row>
    <row r="32" spans="1:11" ht="16.5">
      <c r="A32" s="10"/>
      <c r="B32" s="10"/>
      <c r="C32" s="10"/>
      <c r="D32" s="10"/>
      <c r="E32" s="10"/>
      <c r="F32" s="10"/>
      <c r="G32" s="10"/>
      <c r="H32" s="10"/>
      <c r="I32" s="10"/>
      <c r="J32" s="10"/>
      <c r="K32" s="10"/>
    </row>
    <row r="33" spans="1:11" ht="26.25">
      <c r="A33" s="425">
        <v>1.84E-2</v>
      </c>
      <c r="B33" s="28" t="s">
        <v>490</v>
      </c>
      <c r="C33" s="10"/>
      <c r="E33" s="200" t="s">
        <v>0</v>
      </c>
      <c r="F33" s="10"/>
      <c r="G33" s="10"/>
      <c r="H33" s="10"/>
      <c r="I33" s="10"/>
      <c r="J33" s="10"/>
      <c r="K33" s="10"/>
    </row>
    <row r="34" spans="1:11" ht="26.25">
      <c r="A34" s="214"/>
      <c r="B34" s="10" t="s">
        <v>491</v>
      </c>
      <c r="C34" s="10"/>
      <c r="D34" s="10"/>
      <c r="E34" s="10"/>
      <c r="F34" s="10"/>
      <c r="G34" s="10"/>
      <c r="H34" s="10"/>
      <c r="I34" s="10"/>
      <c r="J34" s="10"/>
      <c r="K34" s="10"/>
    </row>
    <row r="35" spans="1:11" ht="26.25">
      <c r="A35" s="214"/>
      <c r="B35" s="445" t="s">
        <v>294</v>
      </c>
      <c r="C35" s="10"/>
      <c r="D35" s="10"/>
      <c r="E35" s="10"/>
      <c r="F35" s="10"/>
      <c r="G35" s="10"/>
      <c r="H35" s="10"/>
      <c r="I35" s="10"/>
      <c r="J35" s="10"/>
      <c r="K35" s="10"/>
    </row>
    <row r="36" spans="1:11" ht="26.25">
      <c r="A36" s="324">
        <v>1.7999999999999999E-2</v>
      </c>
      <c r="B36" s="28" t="s">
        <v>251</v>
      </c>
      <c r="C36" s="10"/>
      <c r="D36" s="10"/>
      <c r="E36" s="10"/>
      <c r="F36" s="10"/>
      <c r="G36" s="10"/>
      <c r="H36" s="10"/>
      <c r="I36" s="10"/>
      <c r="J36" s="10"/>
      <c r="K36" s="10"/>
    </row>
    <row r="37" spans="1:11" ht="26.25">
      <c r="A37" s="213"/>
      <c r="B37" s="215" t="s">
        <v>492</v>
      </c>
      <c r="C37" s="10"/>
      <c r="D37" s="10"/>
      <c r="E37" s="10"/>
      <c r="F37" s="10"/>
      <c r="G37" s="10"/>
      <c r="H37" s="10"/>
      <c r="I37" s="10"/>
      <c r="J37" s="10"/>
      <c r="K37" s="10"/>
    </row>
    <row r="38" spans="1:11" ht="26.25">
      <c r="A38" s="213"/>
      <c r="B38" s="445" t="s">
        <v>481</v>
      </c>
      <c r="C38" s="10"/>
      <c r="D38" s="10"/>
      <c r="E38" s="10"/>
      <c r="F38" s="10"/>
      <c r="G38" s="10"/>
      <c r="H38" s="10"/>
      <c r="I38" s="10"/>
      <c r="J38" s="10"/>
      <c r="K38" s="10"/>
    </row>
    <row r="39" spans="1:11" ht="26.25">
      <c r="A39" s="324" t="s">
        <v>493</v>
      </c>
      <c r="B39" s="28" t="s">
        <v>252</v>
      </c>
      <c r="C39" s="10"/>
      <c r="D39" s="10"/>
      <c r="E39" s="10"/>
      <c r="F39" s="10"/>
      <c r="G39" s="10"/>
      <c r="H39" s="10"/>
      <c r="I39" s="10"/>
      <c r="J39" s="10"/>
      <c r="K39" s="10"/>
    </row>
    <row r="40" spans="1:11" ht="26.25">
      <c r="A40" s="213"/>
      <c r="B40" s="125" t="s">
        <v>494</v>
      </c>
      <c r="C40" s="10"/>
      <c r="D40" s="10"/>
      <c r="E40" s="10"/>
      <c r="F40" s="10"/>
      <c r="G40" s="10"/>
      <c r="H40" s="10"/>
      <c r="I40" s="10"/>
      <c r="J40" s="10"/>
      <c r="K40" s="10"/>
    </row>
    <row r="41" spans="1:11" ht="26.25">
      <c r="A41" s="213"/>
      <c r="B41" s="445" t="s">
        <v>312</v>
      </c>
      <c r="C41" s="10"/>
      <c r="D41" s="10"/>
      <c r="E41" s="10"/>
      <c r="F41" s="10"/>
      <c r="G41" s="10"/>
      <c r="H41" s="10"/>
      <c r="I41" s="10"/>
      <c r="J41" s="10"/>
      <c r="K41" s="10"/>
    </row>
    <row r="42" spans="1:11" ht="26.25">
      <c r="A42" s="425">
        <v>1.9E-2</v>
      </c>
      <c r="B42" s="28" t="s">
        <v>495</v>
      </c>
      <c r="C42" s="10"/>
      <c r="D42" s="10"/>
      <c r="E42" s="10"/>
      <c r="F42" s="10"/>
      <c r="G42" s="10"/>
      <c r="H42" s="10"/>
      <c r="I42" s="10"/>
      <c r="J42" s="10"/>
      <c r="K42" s="10"/>
    </row>
    <row r="43" spans="1:11" ht="26.25">
      <c r="A43" s="213"/>
      <c r="B43" s="10" t="s">
        <v>462</v>
      </c>
      <c r="C43" s="10"/>
      <c r="D43" s="10"/>
      <c r="E43" s="10"/>
      <c r="F43" s="10"/>
      <c r="G43" s="10"/>
      <c r="H43" s="10"/>
      <c r="I43" s="10"/>
      <c r="J43" s="10"/>
      <c r="K43" s="10"/>
    </row>
    <row r="44" spans="1:11" ht="26.25">
      <c r="A44" s="213"/>
      <c r="B44" s="445" t="s">
        <v>311</v>
      </c>
      <c r="C44" s="10"/>
      <c r="D44" s="10"/>
      <c r="E44" s="10"/>
      <c r="F44" s="10"/>
      <c r="G44" s="10"/>
      <c r="H44" s="10"/>
      <c r="I44" s="10"/>
      <c r="J44" s="10"/>
      <c r="K44" s="10"/>
    </row>
    <row r="45" spans="1:11" ht="26.25">
      <c r="A45" s="324"/>
      <c r="B45" s="28"/>
      <c r="C45" s="10"/>
      <c r="D45" s="10"/>
      <c r="E45" s="10"/>
      <c r="F45" s="10"/>
      <c r="G45" s="10"/>
      <c r="H45" s="10"/>
      <c r="I45" s="10"/>
      <c r="J45" s="10"/>
      <c r="K45" s="10"/>
    </row>
    <row r="46" spans="1:11" ht="26.25">
      <c r="A46" s="443" t="s">
        <v>496</v>
      </c>
      <c r="B46" s="444" t="s">
        <v>497</v>
      </c>
      <c r="C46" s="10"/>
      <c r="D46" s="10"/>
      <c r="E46" s="10"/>
      <c r="F46" s="10"/>
      <c r="G46" s="10"/>
      <c r="H46" s="10"/>
      <c r="I46" s="10"/>
      <c r="J46" s="10"/>
      <c r="K46" s="10"/>
    </row>
    <row r="47" spans="1:11" ht="26.25">
      <c r="A47" s="443" t="s">
        <v>498</v>
      </c>
      <c r="B47" s="445" t="s">
        <v>479</v>
      </c>
      <c r="C47" s="10"/>
      <c r="D47" s="10"/>
      <c r="E47" s="10"/>
      <c r="F47" s="10"/>
      <c r="G47" s="10"/>
      <c r="H47" s="10"/>
      <c r="I47" s="10"/>
      <c r="J47" s="10"/>
      <c r="K47" s="10"/>
    </row>
    <row r="48" spans="1:11" ht="26.25">
      <c r="A48" s="213" t="s">
        <v>0</v>
      </c>
      <c r="C48" s="10"/>
      <c r="D48" s="10"/>
      <c r="E48" s="10"/>
      <c r="F48" s="10"/>
      <c r="G48" s="10"/>
      <c r="H48" s="10"/>
      <c r="I48" s="10"/>
      <c r="J48" s="10"/>
      <c r="K48" s="10"/>
    </row>
    <row r="49" spans="1:11" ht="20.25">
      <c r="A49" s="426" t="s">
        <v>263</v>
      </c>
      <c r="C49" s="10"/>
      <c r="D49" s="10"/>
      <c r="E49" s="10"/>
      <c r="F49" s="10"/>
      <c r="G49" s="10"/>
      <c r="H49" s="10"/>
      <c r="I49" s="10"/>
      <c r="J49" s="10"/>
      <c r="K49" s="10"/>
    </row>
    <row r="50" spans="1:11" ht="20.25">
      <c r="A50" s="28" t="s">
        <v>264</v>
      </c>
      <c r="B50" s="10"/>
      <c r="C50" s="10"/>
      <c r="D50" s="10"/>
      <c r="E50" s="10"/>
      <c r="H50" s="10"/>
      <c r="I50" s="10"/>
      <c r="J50" s="10"/>
      <c r="K50" s="10"/>
    </row>
    <row r="51" spans="1:11" ht="16.5">
      <c r="A51" s="445" t="s">
        <v>265</v>
      </c>
      <c r="B51" s="10"/>
      <c r="C51" s="10"/>
      <c r="D51" s="10"/>
      <c r="E51" s="10"/>
      <c r="F51" s="10"/>
      <c r="G51" s="10"/>
      <c r="H51" s="10"/>
      <c r="I51" s="10"/>
      <c r="J51" s="10"/>
      <c r="K51" s="10"/>
    </row>
    <row r="52" spans="1:11" ht="16.5">
      <c r="A52" s="146"/>
      <c r="B52" s="10"/>
      <c r="C52" s="10"/>
      <c r="D52" s="10"/>
      <c r="E52" s="10"/>
      <c r="F52" s="10"/>
      <c r="G52" s="10" t="s">
        <v>0</v>
      </c>
      <c r="H52" s="10" t="s">
        <v>0</v>
      </c>
      <c r="I52" s="10"/>
      <c r="J52" s="10"/>
      <c r="K52" s="10"/>
    </row>
    <row r="53" spans="1:11" ht="16.5">
      <c r="A53" s="10"/>
      <c r="B53" s="10"/>
      <c r="C53" s="10"/>
      <c r="D53" s="10"/>
      <c r="E53" s="10"/>
      <c r="F53" s="10"/>
      <c r="G53" s="10" t="s">
        <v>0</v>
      </c>
      <c r="H53" s="10"/>
      <c r="I53" s="10"/>
      <c r="J53" s="10"/>
      <c r="K53" s="10"/>
    </row>
    <row r="54" spans="1:11" ht="17.25" thickBot="1">
      <c r="A54" s="10"/>
      <c r="B54" s="10"/>
      <c r="C54" s="10"/>
      <c r="D54" s="10"/>
      <c r="E54" s="10"/>
      <c r="F54" s="10"/>
      <c r="G54" s="10" t="s">
        <v>0</v>
      </c>
      <c r="H54" s="10"/>
      <c r="I54" s="10"/>
      <c r="J54" s="10"/>
      <c r="K54" s="10"/>
    </row>
    <row r="55" spans="1:11" ht="21" thickBot="1">
      <c r="A55" s="161" t="s">
        <v>249</v>
      </c>
      <c r="B55" s="41" t="s">
        <v>382</v>
      </c>
      <c r="C55" s="10"/>
      <c r="D55" s="10"/>
      <c r="E55" s="10"/>
      <c r="F55" s="10"/>
      <c r="G55" s="10"/>
      <c r="H55" s="10"/>
      <c r="I55" s="446" t="s">
        <v>506</v>
      </c>
      <c r="J55" s="10"/>
      <c r="K55" s="10"/>
    </row>
    <row r="56" spans="1:11" ht="16.5">
      <c r="A56" s="10"/>
      <c r="B56" s="10"/>
      <c r="C56" s="10"/>
      <c r="D56" s="10"/>
      <c r="E56" s="10"/>
      <c r="F56" s="10"/>
      <c r="G56" s="437" t="s">
        <v>482</v>
      </c>
      <c r="H56" s="438" t="s">
        <v>483</v>
      </c>
      <c r="I56" s="447">
        <v>1.76</v>
      </c>
      <c r="J56" s="10"/>
      <c r="K56" s="10"/>
    </row>
    <row r="57" spans="1:11" ht="26.25">
      <c r="A57" s="324">
        <v>2.2100000000000002E-2</v>
      </c>
      <c r="B57" s="28" t="s">
        <v>383</v>
      </c>
      <c r="C57" s="10"/>
      <c r="E57" s="10"/>
      <c r="G57" s="439" t="s">
        <v>484</v>
      </c>
      <c r="H57" s="440" t="s">
        <v>485</v>
      </c>
      <c r="I57" s="447">
        <v>1.74</v>
      </c>
      <c r="J57" s="10"/>
      <c r="K57" s="10"/>
    </row>
    <row r="58" spans="1:11" ht="26.25">
      <c r="A58" s="324">
        <v>2.41E-2</v>
      </c>
      <c r="B58" s="28" t="s">
        <v>384</v>
      </c>
      <c r="C58" s="10"/>
      <c r="E58" s="10"/>
      <c r="G58" s="439" t="s">
        <v>486</v>
      </c>
      <c r="H58" s="440" t="s">
        <v>487</v>
      </c>
      <c r="I58" s="447">
        <v>1.84</v>
      </c>
      <c r="J58" s="10"/>
      <c r="K58" s="10"/>
    </row>
    <row r="59" spans="1:11" ht="26.25">
      <c r="A59" s="324">
        <v>2.1700000000000001E-2</v>
      </c>
      <c r="B59" s="28" t="s">
        <v>385</v>
      </c>
      <c r="C59" s="10"/>
      <c r="D59" s="10"/>
      <c r="E59" s="10"/>
      <c r="G59" s="441" t="s">
        <v>488</v>
      </c>
      <c r="H59" s="442" t="s">
        <v>489</v>
      </c>
      <c r="I59" s="448">
        <v>1.91</v>
      </c>
      <c r="J59" s="10"/>
      <c r="K59" s="10"/>
    </row>
    <row r="60" spans="1:11" ht="15" customHeight="1">
      <c r="A60" s="324"/>
      <c r="B60" s="28"/>
      <c r="C60" s="10"/>
      <c r="D60" s="10"/>
      <c r="E60" s="10"/>
      <c r="G60" s="12"/>
      <c r="H60" s="427"/>
      <c r="I60" s="10"/>
      <c r="J60" s="10"/>
      <c r="K60" s="10"/>
    </row>
    <row r="61" spans="1:11" ht="20.25">
      <c r="A61" s="327" t="s">
        <v>463</v>
      </c>
      <c r="B61" s="28"/>
      <c r="C61" s="10"/>
      <c r="D61" s="10"/>
      <c r="E61" s="10"/>
      <c r="F61" s="313"/>
      <c r="G61" s="83"/>
      <c r="H61" s="10"/>
      <c r="I61" s="10"/>
      <c r="J61" s="10"/>
      <c r="K61" s="10"/>
    </row>
    <row r="62" spans="1:11" ht="26.25">
      <c r="A62" s="324"/>
      <c r="B62" s="28"/>
      <c r="C62" s="10"/>
      <c r="D62" s="10"/>
      <c r="E62" s="10"/>
      <c r="F62" s="313"/>
      <c r="G62" s="83"/>
      <c r="H62" s="10"/>
      <c r="I62" s="10"/>
      <c r="J62" s="10"/>
      <c r="K62" s="10"/>
    </row>
    <row r="63" spans="1:11" ht="26.25">
      <c r="A63" s="324">
        <v>2.3E-2</v>
      </c>
      <c r="B63" s="28" t="s">
        <v>507</v>
      </c>
      <c r="C63" s="10"/>
      <c r="D63" s="10"/>
      <c r="E63" s="10"/>
      <c r="F63" s="10"/>
      <c r="G63" s="10"/>
      <c r="H63" s="10"/>
      <c r="I63" s="10"/>
      <c r="J63" s="10"/>
      <c r="K63" s="10"/>
    </row>
    <row r="64" spans="1:11" ht="26.25">
      <c r="A64" s="324">
        <v>2.2599999999999999E-2</v>
      </c>
      <c r="B64" s="28" t="s">
        <v>508</v>
      </c>
      <c r="C64" s="10"/>
      <c r="D64" s="10"/>
      <c r="E64" s="10"/>
      <c r="F64" s="10"/>
      <c r="G64" s="10"/>
      <c r="H64" s="10"/>
      <c r="I64" s="10"/>
      <c r="J64" s="10"/>
      <c r="K64" s="10"/>
    </row>
    <row r="65" spans="1:11" ht="26.25">
      <c r="A65" s="324">
        <v>2.24E-2</v>
      </c>
      <c r="B65" s="28" t="s">
        <v>257</v>
      </c>
      <c r="C65" s="10"/>
      <c r="D65" s="10"/>
      <c r="E65" s="10"/>
      <c r="F65" s="10"/>
      <c r="G65" s="10"/>
      <c r="H65" s="10"/>
      <c r="I65" s="10"/>
      <c r="J65" s="10"/>
      <c r="K65" s="10"/>
    </row>
    <row r="66" spans="1:11" ht="26.25">
      <c r="A66" s="324">
        <v>2.1999999999999999E-2</v>
      </c>
      <c r="B66" s="28" t="s">
        <v>509</v>
      </c>
      <c r="C66" s="10"/>
      <c r="D66" s="10"/>
      <c r="E66" s="10"/>
      <c r="F66" s="10"/>
      <c r="G66" s="10"/>
      <c r="H66" s="10"/>
      <c r="I66" s="10"/>
      <c r="J66" s="10"/>
      <c r="K66" s="10"/>
    </row>
    <row r="67" spans="1:11" ht="27" customHeight="1">
      <c r="A67" s="324">
        <v>0.02</v>
      </c>
      <c r="B67" s="28" t="s">
        <v>255</v>
      </c>
      <c r="C67" s="10"/>
      <c r="D67" s="10"/>
      <c r="E67" s="10"/>
      <c r="F67" s="10"/>
      <c r="G67" s="10"/>
      <c r="H67" s="10"/>
      <c r="I67" s="10"/>
      <c r="J67" s="10"/>
      <c r="K67" s="10"/>
    </row>
    <row r="68" spans="1:11" ht="16.5">
      <c r="B68" s="10" t="s">
        <v>0</v>
      </c>
      <c r="C68" s="10"/>
      <c r="D68" s="10"/>
      <c r="E68" s="10"/>
      <c r="F68" s="10"/>
      <c r="G68" s="10"/>
      <c r="H68" s="10"/>
      <c r="I68" s="10"/>
      <c r="J68" s="10"/>
      <c r="K68" s="10"/>
    </row>
    <row r="69" spans="1:11" ht="16.5">
      <c r="A69" s="10"/>
      <c r="B69" s="10"/>
      <c r="C69" s="10"/>
      <c r="D69" s="10"/>
      <c r="E69" s="10"/>
      <c r="F69" s="10"/>
      <c r="G69" s="10"/>
      <c r="H69" s="10"/>
      <c r="I69" s="10"/>
      <c r="J69" s="10"/>
      <c r="K69" s="10"/>
    </row>
    <row r="70" spans="1:11" ht="17.25" thickBot="1">
      <c r="B70" s="10"/>
      <c r="C70" s="10"/>
      <c r="D70" s="26"/>
      <c r="E70" s="26"/>
      <c r="F70" s="26"/>
      <c r="G70" s="10"/>
      <c r="H70" s="10"/>
      <c r="I70" s="10"/>
      <c r="J70" s="10"/>
      <c r="K70" s="10"/>
    </row>
    <row r="71" spans="1:11" ht="26.25">
      <c r="B71" s="28"/>
      <c r="C71" s="28"/>
      <c r="D71" s="10"/>
      <c r="E71" s="29" t="s">
        <v>212</v>
      </c>
      <c r="F71" s="10"/>
      <c r="G71" s="10"/>
      <c r="H71" s="10"/>
      <c r="I71" s="10"/>
      <c r="J71" s="10"/>
      <c r="K71" s="10"/>
    </row>
    <row r="72" spans="1:11" ht="21" thickBot="1">
      <c r="A72" s="148"/>
      <c r="B72" s="28"/>
      <c r="C72" s="28"/>
      <c r="D72" s="26"/>
      <c r="E72" s="34" t="s">
        <v>469</v>
      </c>
      <c r="F72" s="26"/>
      <c r="G72" s="10"/>
      <c r="H72" s="10"/>
      <c r="I72" s="10"/>
      <c r="J72" s="10"/>
      <c r="K72" s="10"/>
    </row>
    <row r="73" spans="1:11" ht="21" thickBot="1">
      <c r="A73" s="147" t="s">
        <v>213</v>
      </c>
      <c r="B73" s="28"/>
      <c r="C73" s="28"/>
      <c r="D73" s="32"/>
      <c r="E73" s="145"/>
      <c r="F73" s="10"/>
      <c r="G73" s="10"/>
      <c r="H73" s="10"/>
      <c r="I73" s="10"/>
    </row>
    <row r="74" spans="1:11" ht="16.5">
      <c r="A74" s="36" t="s">
        <v>0</v>
      </c>
      <c r="B74" s="36"/>
      <c r="C74" s="36"/>
      <c r="D74" s="38" t="s">
        <v>0</v>
      </c>
      <c r="E74" s="38" t="s">
        <v>0</v>
      </c>
      <c r="F74" s="38" t="s">
        <v>0</v>
      </c>
      <c r="G74" s="38"/>
      <c r="H74" s="10"/>
      <c r="I74" s="10"/>
    </row>
    <row r="75" spans="1:11" ht="16.5">
      <c r="A75" s="32" t="s">
        <v>0</v>
      </c>
      <c r="B75" s="32"/>
      <c r="C75" s="32"/>
      <c r="D75" s="180" t="s">
        <v>77</v>
      </c>
      <c r="E75" s="180" t="s">
        <v>254</v>
      </c>
      <c r="F75" s="180" t="s">
        <v>126</v>
      </c>
      <c r="G75" s="255"/>
      <c r="H75" s="10"/>
      <c r="I75" s="10"/>
    </row>
    <row r="76" spans="1:11" ht="16.5">
      <c r="A76" s="122" t="s">
        <v>124</v>
      </c>
      <c r="B76" s="122"/>
      <c r="C76" s="122"/>
      <c r="D76" s="181" t="s">
        <v>79</v>
      </c>
      <c r="E76" s="181" t="s">
        <v>125</v>
      </c>
      <c r="F76" s="181" t="s">
        <v>127</v>
      </c>
      <c r="G76" s="255"/>
      <c r="H76" s="10"/>
      <c r="I76" s="10"/>
    </row>
    <row r="79" spans="1:11" ht="17.25">
      <c r="A79" s="164" t="s">
        <v>258</v>
      </c>
      <c r="B79" s="165"/>
      <c r="C79" s="208"/>
      <c r="D79" s="173">
        <f>+A57</f>
        <v>2.2100000000000002E-2</v>
      </c>
      <c r="E79" s="173">
        <v>1.7399999999999999E-2</v>
      </c>
      <c r="F79" s="166">
        <f t="shared" ref="F79:F86" si="1">+D79+E79</f>
        <v>3.95E-2</v>
      </c>
      <c r="G79" s="256"/>
      <c r="H79" s="10"/>
      <c r="I79" s="10"/>
    </row>
    <row r="80" spans="1:11" ht="17.25">
      <c r="A80" s="167" t="s">
        <v>259</v>
      </c>
      <c r="B80" s="60"/>
      <c r="C80" s="209"/>
      <c r="D80" s="325">
        <f>+A58</f>
        <v>2.41E-2</v>
      </c>
      <c r="E80" s="325">
        <v>1.84E-2</v>
      </c>
      <c r="F80" s="168">
        <f t="shared" si="1"/>
        <v>4.2499999999999996E-2</v>
      </c>
      <c r="G80" s="256"/>
      <c r="H80" s="10"/>
      <c r="I80" s="10"/>
    </row>
    <row r="81" spans="1:9" ht="17.25">
      <c r="A81" s="169" t="s">
        <v>260</v>
      </c>
      <c r="B81" s="170"/>
      <c r="C81" s="210"/>
      <c r="D81" s="174">
        <f>+A59</f>
        <v>2.1700000000000001E-2</v>
      </c>
      <c r="E81" s="174">
        <v>1.9099999999999999E-2</v>
      </c>
      <c r="F81" s="171">
        <f t="shared" si="1"/>
        <v>4.0800000000000003E-2</v>
      </c>
      <c r="G81" s="256"/>
      <c r="H81" s="10"/>
      <c r="I81" s="10"/>
    </row>
    <row r="82" spans="1:9" ht="17.25">
      <c r="A82" s="167" t="s">
        <v>261</v>
      </c>
      <c r="B82" s="60"/>
      <c r="C82" s="209"/>
      <c r="D82" s="325">
        <f t="shared" ref="D82:D84" si="2">+A63</f>
        <v>2.3E-2</v>
      </c>
      <c r="E82" s="325">
        <v>0.02</v>
      </c>
      <c r="F82" s="168">
        <f t="shared" si="1"/>
        <v>4.2999999999999997E-2</v>
      </c>
      <c r="G82" s="256"/>
      <c r="H82" s="10"/>
      <c r="I82" s="10"/>
    </row>
    <row r="83" spans="1:9" ht="17.25">
      <c r="A83" s="167" t="s">
        <v>262</v>
      </c>
      <c r="B83" s="60"/>
      <c r="C83" s="209"/>
      <c r="D83" s="325">
        <f t="shared" si="2"/>
        <v>2.2599999999999999E-2</v>
      </c>
      <c r="E83" s="325">
        <v>1.9E-2</v>
      </c>
      <c r="F83" s="168">
        <f t="shared" si="1"/>
        <v>4.1599999999999998E-2</v>
      </c>
      <c r="G83" s="256"/>
      <c r="H83" s="10"/>
      <c r="I83" s="10"/>
    </row>
    <row r="84" spans="1:9" ht="17.25">
      <c r="A84" s="167" t="s">
        <v>464</v>
      </c>
      <c r="B84" s="60"/>
      <c r="C84" s="209"/>
      <c r="D84" s="325">
        <f t="shared" si="2"/>
        <v>2.24E-2</v>
      </c>
      <c r="E84" s="325">
        <v>0.02</v>
      </c>
      <c r="F84" s="168">
        <f t="shared" si="1"/>
        <v>4.24E-2</v>
      </c>
      <c r="G84" s="256"/>
      <c r="H84" s="10"/>
      <c r="I84" s="10"/>
    </row>
    <row r="85" spans="1:9" ht="17.25">
      <c r="A85" s="167" t="s">
        <v>465</v>
      </c>
      <c r="B85" s="60"/>
      <c r="C85" s="209"/>
      <c r="D85" s="325">
        <f>+A66</f>
        <v>2.1999999999999999E-2</v>
      </c>
      <c r="E85" s="325">
        <v>1.9E-2</v>
      </c>
      <c r="F85" s="168">
        <f t="shared" si="1"/>
        <v>4.0999999999999995E-2</v>
      </c>
      <c r="G85" s="256"/>
      <c r="H85" s="10"/>
      <c r="I85" s="10"/>
    </row>
    <row r="86" spans="1:9" ht="17.25">
      <c r="A86" s="169" t="s">
        <v>256</v>
      </c>
      <c r="B86" s="170"/>
      <c r="C86" s="210"/>
      <c r="D86" s="174">
        <f>+A67</f>
        <v>0.02</v>
      </c>
      <c r="E86" s="174">
        <v>1.7999999999999999E-2</v>
      </c>
      <c r="F86" s="171">
        <f t="shared" si="1"/>
        <v>3.7999999999999999E-2</v>
      </c>
      <c r="G86" s="256"/>
      <c r="H86" s="10"/>
      <c r="I86" s="10"/>
    </row>
    <row r="87" spans="1:9" ht="17.25">
      <c r="A87" s="103"/>
      <c r="B87" s="116"/>
      <c r="C87" s="116" t="s">
        <v>45</v>
      </c>
      <c r="D87" s="172"/>
      <c r="E87" s="172">
        <f t="shared" ref="E87" si="3">MAX(E79:E86)</f>
        <v>0.02</v>
      </c>
      <c r="F87" s="172"/>
      <c r="G87" s="257"/>
      <c r="H87" s="10"/>
      <c r="I87" s="10"/>
    </row>
    <row r="88" spans="1:9" ht="17.25">
      <c r="A88" s="103"/>
      <c r="B88" s="116"/>
      <c r="C88" s="116" t="s">
        <v>46</v>
      </c>
      <c r="D88" s="172"/>
      <c r="E88" s="172">
        <f t="shared" ref="E88" si="4">MIN(E79:E86)</f>
        <v>1.7399999999999999E-2</v>
      </c>
      <c r="F88" s="218"/>
      <c r="G88" s="257"/>
      <c r="H88" s="10"/>
      <c r="I88" s="10"/>
    </row>
    <row r="89" spans="1:9" ht="17.25">
      <c r="A89" s="103"/>
      <c r="B89" s="116"/>
      <c r="C89" s="116" t="s">
        <v>18</v>
      </c>
      <c r="D89" s="428">
        <f>MEDIAN(D79:D86)</f>
        <v>2.2249999999999999E-2</v>
      </c>
      <c r="E89" s="173">
        <f>MEDIAN(E79:E86)</f>
        <v>1.9E-2</v>
      </c>
      <c r="F89" s="168">
        <f t="shared" ref="F89:F90" si="5">+D89+E89</f>
        <v>4.1249999999999995E-2</v>
      </c>
      <c r="G89" s="256"/>
      <c r="H89" s="10"/>
      <c r="I89" s="10"/>
    </row>
    <row r="90" spans="1:9" ht="17.25">
      <c r="A90" s="103"/>
      <c r="B90" s="116"/>
      <c r="C90" s="116" t="s">
        <v>19</v>
      </c>
      <c r="D90" s="328">
        <f>AVERAGE(D79:D86)</f>
        <v>2.2237499999999997E-2</v>
      </c>
      <c r="E90" s="174">
        <f>AVERAGE(E79:E86)</f>
        <v>1.8862499999999997E-2</v>
      </c>
      <c r="F90" s="171">
        <f t="shared" si="5"/>
        <v>4.1099999999999998E-2</v>
      </c>
      <c r="G90" s="256"/>
      <c r="H90" s="10"/>
      <c r="I90" s="10"/>
    </row>
    <row r="91" spans="1:9" ht="18.75" customHeight="1">
      <c r="A91" s="10"/>
      <c r="B91" s="12"/>
    </row>
    <row r="92" spans="1:9" ht="17.25" thickBot="1">
      <c r="A92" s="10"/>
      <c r="B92" s="12"/>
    </row>
    <row r="93" spans="1:9" ht="27" thickBot="1">
      <c r="A93" s="10"/>
      <c r="B93" s="123"/>
      <c r="C93" s="47" t="s">
        <v>214</v>
      </c>
      <c r="D93" s="436">
        <v>2.2200000000000001E-2</v>
      </c>
      <c r="E93" s="436">
        <v>1.89E-2</v>
      </c>
      <c r="F93" s="329">
        <f>+D93+E93</f>
        <v>4.1099999999999998E-2</v>
      </c>
    </row>
    <row r="94" spans="1:9" ht="16.5">
      <c r="A94" s="10"/>
      <c r="B94" s="10"/>
      <c r="C94" s="10"/>
      <c r="D94" s="10"/>
      <c r="E94" s="10"/>
      <c r="F94" s="10"/>
      <c r="G94" s="10"/>
      <c r="I94" s="10"/>
    </row>
    <row r="95" spans="1:9" ht="16.5" customHeight="1">
      <c r="A95" s="10"/>
      <c r="B95" s="10"/>
      <c r="C95" s="10"/>
      <c r="D95" s="10"/>
      <c r="E95" s="10"/>
      <c r="F95" s="10"/>
      <c r="G95" s="10"/>
      <c r="I95" s="10" t="s">
        <v>0</v>
      </c>
    </row>
    <row r="96" spans="1:9" ht="16.5">
      <c r="A96" s="10"/>
      <c r="B96" s="10"/>
      <c r="C96" s="10"/>
      <c r="D96" s="10"/>
      <c r="E96" s="10"/>
      <c r="F96" s="10"/>
      <c r="G96" s="10"/>
      <c r="H96" s="10"/>
      <c r="I96" s="10"/>
    </row>
    <row r="97" spans="1:9" ht="16.5">
      <c r="A97" s="124" t="s">
        <v>147</v>
      </c>
      <c r="B97" s="125"/>
      <c r="C97" s="125"/>
      <c r="D97" s="125"/>
      <c r="E97" s="126"/>
      <c r="F97" s="125"/>
      <c r="G97" s="125"/>
      <c r="H97" s="125"/>
      <c r="I97" s="10"/>
    </row>
    <row r="98" spans="1:9" ht="16.5" customHeight="1">
      <c r="A98" s="508" t="s">
        <v>472</v>
      </c>
      <c r="B98" s="508"/>
      <c r="C98" s="508"/>
      <c r="D98" s="508"/>
      <c r="E98" s="508"/>
      <c r="F98" s="508"/>
      <c r="G98" s="508"/>
      <c r="H98" s="508"/>
      <c r="I98" s="10"/>
    </row>
    <row r="99" spans="1:9" ht="16.5">
      <c r="A99" s="445" t="s">
        <v>379</v>
      </c>
      <c r="B99" s="125"/>
      <c r="C99" s="445" t="s">
        <v>0</v>
      </c>
      <c r="D99" s="125"/>
      <c r="E99" s="126"/>
      <c r="F99" s="125"/>
      <c r="G99" s="125"/>
      <c r="H99" s="125"/>
      <c r="I99" s="10"/>
    </row>
    <row r="100" spans="1:9" ht="16.5">
      <c r="A100" s="124"/>
      <c r="B100" s="125"/>
      <c r="C100" s="125"/>
      <c r="D100" s="125"/>
      <c r="E100" s="126"/>
      <c r="F100" s="125"/>
      <c r="G100" s="125"/>
      <c r="H100" s="125"/>
      <c r="I100" s="10"/>
    </row>
    <row r="101" spans="1:9" ht="16.5" customHeight="1">
      <c r="A101" s="508" t="s">
        <v>473</v>
      </c>
      <c r="B101" s="508"/>
      <c r="C101" s="508"/>
      <c r="D101" s="508"/>
      <c r="E101" s="508"/>
      <c r="F101" s="508"/>
      <c r="G101" s="508"/>
      <c r="H101" s="508"/>
      <c r="I101" s="10"/>
    </row>
    <row r="102" spans="1:9" ht="16.5">
      <c r="A102" s="127" t="s">
        <v>148</v>
      </c>
      <c r="B102" s="128"/>
      <c r="C102" s="128" t="s">
        <v>0</v>
      </c>
      <c r="D102" s="128"/>
      <c r="E102" s="128"/>
      <c r="F102" s="128"/>
      <c r="G102" s="128"/>
      <c r="H102" s="125"/>
      <c r="I102" s="10"/>
    </row>
    <row r="103" spans="1:9" ht="16.5">
      <c r="A103" s="127"/>
      <c r="B103" s="128"/>
      <c r="C103" s="128"/>
      <c r="D103" s="128"/>
      <c r="E103" s="128"/>
      <c r="F103" s="128"/>
      <c r="G103" s="128"/>
      <c r="H103" s="125"/>
      <c r="I103" s="10"/>
    </row>
    <row r="104" spans="1:9" ht="16.5" customHeight="1">
      <c r="A104" s="508" t="s">
        <v>474</v>
      </c>
      <c r="B104" s="508"/>
      <c r="C104" s="508"/>
      <c r="D104" s="508"/>
      <c r="E104" s="508"/>
      <c r="F104" s="508"/>
      <c r="G104" s="508"/>
      <c r="H104" s="508"/>
      <c r="I104" s="10"/>
    </row>
    <row r="105" spans="1:9" ht="16.5">
      <c r="A105" s="127" t="s">
        <v>148</v>
      </c>
      <c r="B105" s="128"/>
      <c r="C105" s="128" t="s">
        <v>0</v>
      </c>
      <c r="D105" s="128"/>
      <c r="E105" s="128"/>
      <c r="F105" s="128"/>
      <c r="G105" s="128"/>
      <c r="H105" s="125"/>
      <c r="I105" s="10"/>
    </row>
    <row r="106" spans="1:9" ht="16.5">
      <c r="A106" s="127"/>
      <c r="B106" s="128"/>
      <c r="C106" s="128"/>
      <c r="D106" s="128"/>
      <c r="E106" s="128"/>
      <c r="F106" s="128"/>
      <c r="G106" s="128"/>
      <c r="H106" s="125"/>
      <c r="I106" s="10"/>
    </row>
    <row r="107" spans="1:9" ht="16.5" customHeight="1">
      <c r="A107" s="508" t="s">
        <v>475</v>
      </c>
      <c r="B107" s="508"/>
      <c r="C107" s="508"/>
      <c r="D107" s="508"/>
      <c r="E107" s="508"/>
      <c r="F107" s="508"/>
      <c r="G107" s="508"/>
      <c r="H107" s="508"/>
      <c r="I107" s="10"/>
    </row>
    <row r="108" spans="1:9" ht="16.5">
      <c r="A108" s="449" t="s">
        <v>149</v>
      </c>
      <c r="B108" s="128"/>
      <c r="C108" s="128"/>
      <c r="D108" s="10"/>
      <c r="E108" s="128"/>
      <c r="F108" s="128"/>
      <c r="G108" s="128"/>
      <c r="H108" s="125"/>
      <c r="I108" s="10"/>
    </row>
    <row r="109" spans="1:9" ht="16.5">
      <c r="A109" s="445" t="s">
        <v>476</v>
      </c>
      <c r="B109" s="128"/>
      <c r="C109" s="128"/>
      <c r="D109" s="128"/>
      <c r="E109" s="128"/>
      <c r="F109" s="128"/>
      <c r="G109" s="128"/>
      <c r="H109" s="125"/>
      <c r="I109" s="10"/>
    </row>
    <row r="110" spans="1:9" ht="16.5">
      <c r="A110" s="445"/>
      <c r="B110" s="128"/>
      <c r="C110" s="128"/>
      <c r="D110" s="128"/>
      <c r="E110" s="128"/>
      <c r="F110" s="128"/>
      <c r="G110" s="128"/>
      <c r="H110" s="125"/>
      <c r="I110" s="10"/>
    </row>
    <row r="111" spans="1:9" ht="16.5">
      <c r="A111" s="129" t="s">
        <v>477</v>
      </c>
      <c r="B111" s="129"/>
      <c r="C111" s="129"/>
      <c r="D111" s="129"/>
      <c r="E111" s="129"/>
      <c r="F111" s="129"/>
      <c r="G111" s="129"/>
      <c r="H111" s="125"/>
      <c r="I111" s="10"/>
    </row>
    <row r="112" spans="1:9" ht="16.5">
      <c r="A112" s="449" t="s">
        <v>150</v>
      </c>
      <c r="B112" s="128"/>
      <c r="C112" s="10"/>
      <c r="D112" s="128"/>
      <c r="E112" s="10"/>
      <c r="F112" s="128"/>
      <c r="G112" s="128"/>
      <c r="H112" s="125"/>
      <c r="I112" s="10"/>
    </row>
    <row r="113" spans="1:9" ht="16.5">
      <c r="A113" s="445" t="s">
        <v>466</v>
      </c>
      <c r="B113" s="128"/>
      <c r="C113" s="445"/>
      <c r="D113" s="128"/>
      <c r="E113" s="10"/>
      <c r="F113" s="128"/>
      <c r="G113" s="128"/>
      <c r="H113" s="125"/>
      <c r="I113" s="10"/>
    </row>
    <row r="114" spans="1:9" ht="16.5">
      <c r="A114" s="454" t="s">
        <v>478</v>
      </c>
      <c r="B114" s="445" t="s">
        <v>479</v>
      </c>
      <c r="C114" s="130"/>
      <c r="D114" s="130"/>
      <c r="E114" s="130"/>
      <c r="F114" s="130"/>
      <c r="G114" s="130"/>
      <c r="H114" s="131"/>
    </row>
    <row r="115" spans="1:9" ht="16.5">
      <c r="A115" s="10"/>
      <c r="B115" s="445"/>
      <c r="C115" s="130"/>
      <c r="D115" s="130"/>
      <c r="E115" s="130"/>
      <c r="F115" s="130"/>
      <c r="G115" s="130"/>
      <c r="H115" s="131"/>
    </row>
    <row r="116" spans="1:9" ht="16.5">
      <c r="A116" s="129" t="s">
        <v>480</v>
      </c>
      <c r="B116" s="10"/>
      <c r="C116" s="10"/>
      <c r="D116" s="10"/>
      <c r="E116" s="10"/>
      <c r="F116" s="10"/>
      <c r="G116" s="10"/>
      <c r="H116" s="10"/>
    </row>
    <row r="117" spans="1:9" ht="16.5">
      <c r="A117" s="445" t="s">
        <v>481</v>
      </c>
      <c r="B117" s="10"/>
      <c r="C117" s="445" t="s">
        <v>0</v>
      </c>
      <c r="D117" s="10"/>
      <c r="E117" s="10"/>
      <c r="F117" s="10"/>
      <c r="G117" s="10"/>
      <c r="H117" s="10"/>
    </row>
    <row r="119" spans="1:9" ht="20.25">
      <c r="A119" s="232"/>
    </row>
    <row r="120" spans="1:9" ht="20.25">
      <c r="A120" s="232"/>
    </row>
    <row r="121" spans="1:9" ht="20.25">
      <c r="A121" s="232"/>
    </row>
    <row r="124" spans="1:9">
      <c r="A124" t="s">
        <v>0</v>
      </c>
    </row>
    <row r="128" spans="1:9">
      <c r="A128" t="s">
        <v>0</v>
      </c>
    </row>
    <row r="145" spans="1:1">
      <c r="A145" t="s">
        <v>0</v>
      </c>
    </row>
    <row r="172" spans="1:8" ht="18" customHeight="1">
      <c r="A172" s="326"/>
      <c r="B172" s="326"/>
      <c r="C172" s="326"/>
      <c r="D172" s="326"/>
      <c r="E172" s="326"/>
      <c r="F172" s="326"/>
      <c r="G172" s="326"/>
      <c r="H172" s="326"/>
    </row>
    <row r="173" spans="1:8" ht="18" customHeight="1">
      <c r="A173" s="326"/>
      <c r="B173" s="326"/>
      <c r="C173" s="326"/>
      <c r="D173" s="326"/>
      <c r="E173" s="326"/>
      <c r="F173" s="326"/>
      <c r="G173" s="326"/>
      <c r="H173" s="326"/>
    </row>
    <row r="174" spans="1:8" ht="18" customHeight="1">
      <c r="A174" s="326"/>
      <c r="B174" s="326"/>
      <c r="C174" s="326"/>
      <c r="D174" s="326"/>
      <c r="E174" s="326"/>
      <c r="F174" s="326"/>
      <c r="G174" s="326"/>
      <c r="H174" s="326"/>
    </row>
  </sheetData>
  <mergeCells count="4">
    <mergeCell ref="A98:H98"/>
    <mergeCell ref="A101:H101"/>
    <mergeCell ref="A104:H104"/>
    <mergeCell ref="A107:H107"/>
  </mergeCells>
  <hyperlinks>
    <hyperlink ref="A51" r:id="rId1" xr:uid="{CAB4F99D-7041-4BB0-B1B8-25B351FEBCEA}"/>
    <hyperlink ref="A102" r:id="rId2" xr:uid="{E1E5375D-01B2-4BAA-9BAA-2C617D0FA34D}"/>
    <hyperlink ref="A112" r:id="rId3" location="4" xr:uid="{F3F2080C-A740-4AE6-BA66-6F2753D764EC}"/>
    <hyperlink ref="A108" r:id="rId4" xr:uid="{4DEF12E0-D311-4321-BDE9-30478F85A778}"/>
    <hyperlink ref="A105" r:id="rId5" xr:uid="{300ECBEE-ECD7-4DC6-ADFA-8FA0C8C11261}"/>
    <hyperlink ref="A99" r:id="rId6" xr:uid="{298A6AB2-33B5-4F85-B3C7-B9CE7E68E8CD}"/>
    <hyperlink ref="C99" r:id="rId7" display="https://www.federalreserve.gov/datadownload/Preview.aspx?pi=400&amp;rel=H15&amp;preview=%20H15/H15/RIFLGFCY05_N.WF" xr:uid="{C4EAAA1B-C209-485F-BDDC-186525124715}"/>
    <hyperlink ref="A113" r:id="rId8" xr:uid="{2FF39DC5-0F5F-4A65-8882-A1FC495BE321}"/>
    <hyperlink ref="C117" r:id="rId9" display="https://www.federalreserve.gov/monetarypolicy/files/fomcprojtabl20231213.pdf" xr:uid="{3DD8D459-F963-48C4-A9B8-6FDDE3B14FB5}"/>
    <hyperlink ref="A117" r:id="rId10" xr:uid="{62148955-2833-4114-9DC1-5AFE5403EB25}"/>
    <hyperlink ref="A109" r:id="rId11" display="https://www.philadelphiafed.org/-/media/frbp/assets/surveys-and-data/survey-of-professional-forecasters/2024/spfq124.pdf" xr:uid="{8656A4AA-A356-4BE4-892B-E7219F9D763C}"/>
    <hyperlink ref="B114" r:id="rId12" xr:uid="{94905D3D-4044-48A8-87F9-478F01246021}"/>
    <hyperlink ref="B35" r:id="rId13" xr:uid="{6039C957-87E5-497C-9F20-4FD19791041E}"/>
    <hyperlink ref="B41" r:id="rId14" xr:uid="{DF2721B7-DF47-48CB-8B2D-8B5ACCEF8E4B}"/>
    <hyperlink ref="B47" r:id="rId15" xr:uid="{7E9DD769-E642-4659-835C-C012BE57E405}"/>
  </hyperlinks>
  <pageMargins left="0.25" right="0.25" top="0.75" bottom="0.75" header="0.3" footer="0.3"/>
  <pageSetup scale="27" fitToWidth="0" orientation="portrait" r:id="rId16"/>
  <rowBreaks count="1" manualBreakCount="1">
    <brk id="117"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A5351-B8B7-4871-B730-B19F4410B2B8}">
  <sheetPr>
    <tabColor rgb="FF92D050"/>
    <pageSetUpPr fitToPage="1"/>
  </sheetPr>
  <dimension ref="A1:I107"/>
  <sheetViews>
    <sheetView view="pageBreakPreview" topLeftCell="A24" zoomScale="70" zoomScaleNormal="80" zoomScaleSheetLayoutView="70" workbookViewId="0">
      <selection activeCell="D54" sqref="D54"/>
    </sheetView>
  </sheetViews>
  <sheetFormatPr defaultRowHeight="15"/>
  <cols>
    <col min="1" max="1" width="45.7109375" customWidth="1"/>
    <col min="2" max="2" width="16" customWidth="1"/>
    <col min="3" max="3" width="72.140625" customWidth="1"/>
    <col min="4" max="4" width="34.5703125" customWidth="1"/>
    <col min="5" max="5" width="21.7109375" customWidth="1"/>
    <col min="6" max="6" width="18" customWidth="1"/>
    <col min="7" max="7" width="24.85546875" customWidth="1"/>
    <col min="8" max="8" width="18" customWidth="1"/>
    <col min="9" max="9" width="20.85546875" customWidth="1"/>
    <col min="10" max="10" width="19" customWidth="1"/>
    <col min="11" max="11" width="17.28515625" customWidth="1"/>
    <col min="12" max="12" width="24.140625" customWidth="1"/>
  </cols>
  <sheetData>
    <row r="1" spans="1:9" ht="26.25">
      <c r="A1" s="21" t="s">
        <v>1</v>
      </c>
      <c r="B1" s="10"/>
      <c r="C1" s="10"/>
      <c r="D1" s="10"/>
      <c r="E1" s="10"/>
      <c r="F1" s="10"/>
      <c r="G1" s="10"/>
      <c r="H1" s="10"/>
      <c r="I1" s="10"/>
    </row>
    <row r="2" spans="1:9" ht="17.25">
      <c r="A2" s="60" t="s">
        <v>9</v>
      </c>
      <c r="B2" s="10"/>
      <c r="C2" s="10"/>
      <c r="D2" s="10"/>
      <c r="E2" s="10"/>
      <c r="F2" s="10"/>
      <c r="G2" s="10"/>
      <c r="H2" s="10"/>
      <c r="I2" s="10"/>
    </row>
    <row r="3" spans="1:9" ht="16.5">
      <c r="A3" s="41" t="s">
        <v>467</v>
      </c>
      <c r="B3" s="10"/>
      <c r="C3" s="10"/>
      <c r="D3" s="10"/>
      <c r="E3" s="10"/>
      <c r="F3" s="10"/>
      <c r="G3" s="10"/>
      <c r="H3" s="10"/>
      <c r="I3" s="10"/>
    </row>
    <row r="4" spans="1:9" ht="16.5">
      <c r="A4" s="10"/>
      <c r="B4" s="10"/>
      <c r="C4" s="10"/>
      <c r="D4" s="10"/>
      <c r="E4" s="10"/>
      <c r="F4" s="10"/>
      <c r="G4" s="10"/>
      <c r="H4" s="10"/>
      <c r="I4" s="10"/>
    </row>
    <row r="5" spans="1:9" ht="18" thickBot="1">
      <c r="A5" s="60"/>
      <c r="B5" s="10"/>
      <c r="C5" s="10"/>
      <c r="D5" s="10"/>
      <c r="E5" s="10"/>
      <c r="F5" s="10"/>
      <c r="G5" s="10"/>
      <c r="H5" s="10"/>
      <c r="I5" s="10"/>
    </row>
    <row r="6" spans="1:9" ht="21" thickBot="1">
      <c r="A6" s="260" t="str">
        <f>+'S&amp;D'!A12</f>
        <v>Air Passenger Carriers</v>
      </c>
      <c r="B6" s="193"/>
      <c r="C6" s="10"/>
      <c r="D6" s="10"/>
      <c r="E6" s="10"/>
      <c r="F6" s="10"/>
      <c r="G6" s="10"/>
      <c r="H6" s="10"/>
      <c r="I6" s="10"/>
    </row>
    <row r="7" spans="1:9" ht="20.25">
      <c r="A7" s="28"/>
      <c r="B7" s="10"/>
      <c r="C7" s="10"/>
      <c r="D7" s="10"/>
      <c r="E7" s="10"/>
      <c r="F7" s="10"/>
      <c r="G7" s="10"/>
      <c r="H7" s="10"/>
      <c r="I7" s="10"/>
    </row>
    <row r="8" spans="1:9" ht="18" thickBot="1">
      <c r="A8" s="60"/>
      <c r="B8" s="10"/>
      <c r="C8" s="26"/>
      <c r="E8" s="10"/>
      <c r="F8" s="10"/>
      <c r="G8" s="10"/>
      <c r="H8" s="10"/>
      <c r="I8" s="10"/>
    </row>
    <row r="9" spans="1:9" ht="26.25">
      <c r="B9" s="10"/>
      <c r="C9" s="29" t="s">
        <v>157</v>
      </c>
      <c r="E9" s="10"/>
      <c r="F9" s="10"/>
      <c r="G9" s="10"/>
      <c r="H9" s="10"/>
      <c r="I9" s="10"/>
    </row>
    <row r="10" spans="1:9" ht="21" thickBot="1">
      <c r="A10" s="28"/>
      <c r="B10" s="10"/>
      <c r="C10" s="30" t="s">
        <v>469</v>
      </c>
      <c r="E10" s="10"/>
      <c r="F10" s="10"/>
      <c r="G10" s="10"/>
      <c r="H10" s="10"/>
      <c r="I10" s="10"/>
    </row>
    <row r="11" spans="1:9" ht="20.25">
      <c r="A11" s="28"/>
      <c r="B11" s="10"/>
      <c r="C11" s="10"/>
      <c r="D11" s="10"/>
      <c r="E11" s="10"/>
      <c r="F11" s="10"/>
      <c r="G11" s="10"/>
      <c r="H11" s="10"/>
      <c r="I11" s="10"/>
    </row>
    <row r="12" spans="1:9" ht="25.5" customHeight="1" thickBot="1">
      <c r="A12" s="10"/>
      <c r="B12" s="10"/>
      <c r="C12" s="10"/>
      <c r="D12" s="10"/>
      <c r="E12" s="10"/>
      <c r="F12" s="10"/>
      <c r="G12" s="10"/>
      <c r="H12" s="10"/>
      <c r="I12" s="10"/>
    </row>
    <row r="13" spans="1:9" ht="16.5">
      <c r="A13" s="10"/>
      <c r="B13" s="10"/>
      <c r="C13" s="76" t="s">
        <v>0</v>
      </c>
      <c r="D13" s="76" t="s">
        <v>190</v>
      </c>
      <c r="E13" s="10"/>
      <c r="F13" s="10"/>
      <c r="G13" s="10"/>
      <c r="H13" s="10"/>
      <c r="I13" s="10"/>
    </row>
    <row r="14" spans="1:9" ht="21" thickBot="1">
      <c r="A14" s="10"/>
      <c r="B14" s="10"/>
      <c r="C14" s="384" t="s">
        <v>156</v>
      </c>
      <c r="D14" s="78" t="s">
        <v>281</v>
      </c>
      <c r="E14" s="10"/>
      <c r="F14" s="10"/>
      <c r="G14" s="10"/>
      <c r="H14" s="10"/>
      <c r="I14" s="10"/>
    </row>
    <row r="15" spans="1:9" ht="17.25">
      <c r="A15" s="10"/>
      <c r="B15" s="10"/>
      <c r="C15" s="402" t="s">
        <v>428</v>
      </c>
      <c r="D15" s="403">
        <f>+CAPM!F16</f>
        <v>8.7369000000000002E-2</v>
      </c>
      <c r="E15" s="392"/>
      <c r="F15" s="10"/>
      <c r="G15" s="10"/>
      <c r="H15" s="10"/>
      <c r="I15" s="10"/>
    </row>
    <row r="16" spans="1:9" ht="17.25">
      <c r="A16" s="10"/>
      <c r="B16" s="10"/>
      <c r="C16" s="271" t="s">
        <v>427</v>
      </c>
      <c r="D16" s="404">
        <f>+CAPM!F17</f>
        <v>9.0071999999999999E-2</v>
      </c>
      <c r="E16" s="392"/>
      <c r="F16" s="10"/>
      <c r="G16" s="10"/>
      <c r="H16" s="10"/>
      <c r="I16" s="10"/>
    </row>
    <row r="17" spans="1:9" ht="17.25">
      <c r="A17" s="10"/>
      <c r="B17" s="10"/>
      <c r="C17" s="271" t="s">
        <v>446</v>
      </c>
      <c r="D17" s="404">
        <f>+CAPM!F19</f>
        <v>0.11423999999999999</v>
      </c>
      <c r="E17" s="392"/>
      <c r="F17" s="10"/>
      <c r="G17" s="10"/>
      <c r="H17" s="10"/>
      <c r="I17" s="10"/>
    </row>
    <row r="18" spans="1:9" ht="17.25">
      <c r="A18" s="10"/>
      <c r="B18" s="10"/>
      <c r="C18" s="271" t="s">
        <v>460</v>
      </c>
      <c r="D18" s="404">
        <f>+CAPM!F20</f>
        <v>0.13761299999999999</v>
      </c>
      <c r="E18" s="392"/>
      <c r="F18" s="10"/>
      <c r="G18" s="10"/>
      <c r="H18" s="10"/>
      <c r="I18" s="10"/>
    </row>
    <row r="19" spans="1:9" ht="17.25">
      <c r="A19" s="10"/>
      <c r="B19" s="10"/>
      <c r="C19" s="271" t="s">
        <v>447</v>
      </c>
      <c r="D19" s="404">
        <f>+CAPM!F21</f>
        <v>0.111537</v>
      </c>
      <c r="E19" s="392"/>
      <c r="F19" s="10"/>
      <c r="G19" s="10"/>
      <c r="H19" s="10"/>
      <c r="I19" s="10"/>
    </row>
    <row r="20" spans="1:9" ht="17.25">
      <c r="A20" s="10"/>
      <c r="B20" s="10"/>
      <c r="C20" s="271" t="s">
        <v>448</v>
      </c>
      <c r="D20" s="404">
        <f>+CAPM!F22</f>
        <v>0.10931100000000001</v>
      </c>
      <c r="E20" s="392"/>
      <c r="F20" s="10"/>
      <c r="G20" s="10"/>
      <c r="H20" s="10"/>
      <c r="I20" s="10"/>
    </row>
    <row r="21" spans="1:9" ht="17.25">
      <c r="A21" s="10"/>
      <c r="B21" s="10"/>
      <c r="C21" s="271" t="s">
        <v>158</v>
      </c>
      <c r="D21" s="404">
        <f>+CAPM!F24</f>
        <v>0.119646</v>
      </c>
      <c r="E21" s="392"/>
      <c r="F21" s="10"/>
      <c r="G21" s="10"/>
      <c r="H21" s="10"/>
      <c r="I21" s="10"/>
    </row>
    <row r="22" spans="1:9" ht="17.25">
      <c r="A22" s="10"/>
      <c r="B22" s="10"/>
      <c r="C22" s="271" t="s">
        <v>159</v>
      </c>
      <c r="D22" s="404">
        <f>+CAPM!F26</f>
        <v>0.13173000000000001</v>
      </c>
      <c r="E22" s="392"/>
      <c r="F22" s="10"/>
      <c r="G22" s="10"/>
      <c r="H22" s="10"/>
      <c r="I22" s="10"/>
    </row>
    <row r="23" spans="1:9" ht="17.25">
      <c r="A23" s="10"/>
      <c r="B23" s="10"/>
      <c r="C23" s="271" t="s">
        <v>160</v>
      </c>
      <c r="D23" s="404">
        <f>+CAPM!F28</f>
        <v>0.143655</v>
      </c>
      <c r="E23" s="433"/>
      <c r="G23" s="10"/>
      <c r="H23" s="10"/>
      <c r="I23" s="10"/>
    </row>
    <row r="24" spans="1:9" ht="17.25">
      <c r="A24" s="10"/>
      <c r="B24" s="10"/>
      <c r="C24" s="414" t="s">
        <v>161</v>
      </c>
      <c r="D24" s="404">
        <f>+CAPM!F29</f>
        <v>0.12362100000000001</v>
      </c>
      <c r="E24" s="433"/>
      <c r="G24" s="10"/>
      <c r="H24" s="10"/>
      <c r="I24" s="10"/>
    </row>
    <row r="25" spans="1:9" ht="17.25">
      <c r="A25" s="10"/>
      <c r="B25" s="10"/>
      <c r="C25" s="415" t="s">
        <v>449</v>
      </c>
      <c r="D25" s="404">
        <f>+CAPM!F31</f>
        <v>0.15510299999999999</v>
      </c>
      <c r="E25" s="433"/>
      <c r="G25" s="10"/>
      <c r="H25" s="10"/>
      <c r="I25" s="10"/>
    </row>
    <row r="26" spans="1:9" ht="17.25">
      <c r="A26" s="10"/>
      <c r="B26" s="10"/>
      <c r="C26" s="415" t="s">
        <v>450</v>
      </c>
      <c r="D26" s="404">
        <f>+CAPM!F32</f>
        <v>0.13999800000000001</v>
      </c>
      <c r="E26" s="405"/>
      <c r="F26" s="10"/>
      <c r="G26" s="10"/>
      <c r="H26" s="10"/>
      <c r="I26" s="10"/>
    </row>
    <row r="27" spans="1:9" ht="17.25">
      <c r="A27" s="10"/>
      <c r="B27" s="10"/>
      <c r="C27" s="415" t="s">
        <v>451</v>
      </c>
      <c r="D27" s="404">
        <f>+CAPM!F33</f>
        <v>0.12855</v>
      </c>
      <c r="E27" s="405"/>
      <c r="F27" s="10"/>
      <c r="G27" s="10"/>
      <c r="H27" s="10"/>
      <c r="I27" s="10"/>
    </row>
    <row r="28" spans="1:9" ht="17.25">
      <c r="A28" s="10"/>
      <c r="B28" s="10"/>
      <c r="C28" s="414" t="s">
        <v>425</v>
      </c>
      <c r="D28" s="404">
        <f>+CAPM!G42</f>
        <v>8.3076750000000005E-2</v>
      </c>
      <c r="E28" s="392"/>
      <c r="F28" s="10"/>
      <c r="G28" s="10"/>
      <c r="H28" s="10"/>
      <c r="I28" s="10"/>
    </row>
    <row r="29" spans="1:9" ht="17.25">
      <c r="A29" s="10"/>
      <c r="B29" s="10"/>
      <c r="C29" s="414" t="s">
        <v>426</v>
      </c>
      <c r="D29" s="404">
        <f>+CAPM!G43</f>
        <v>8.5528999999999994E-2</v>
      </c>
      <c r="E29" s="392"/>
      <c r="F29" s="10"/>
      <c r="G29" s="10"/>
      <c r="H29" s="10"/>
      <c r="I29" s="10"/>
    </row>
    <row r="30" spans="1:9" ht="17.25">
      <c r="A30" s="10"/>
      <c r="B30" s="10"/>
      <c r="C30" s="271" t="s">
        <v>452</v>
      </c>
      <c r="D30" s="404">
        <f>+CAPM!G45</f>
        <v>0.10745499999999999</v>
      </c>
      <c r="E30" s="392"/>
      <c r="F30" s="10"/>
      <c r="G30" s="10"/>
      <c r="H30" s="10"/>
      <c r="I30" s="10"/>
    </row>
    <row r="31" spans="1:9" ht="17.25">
      <c r="A31" s="10"/>
      <c r="B31" s="10"/>
      <c r="C31" s="271" t="s">
        <v>461</v>
      </c>
      <c r="D31" s="404">
        <f>+CAPM!G46</f>
        <v>0.12865974999999999</v>
      </c>
      <c r="E31" s="392"/>
      <c r="F31" s="10"/>
      <c r="G31" s="10"/>
      <c r="H31" s="10"/>
      <c r="I31" s="10"/>
    </row>
    <row r="32" spans="1:9" ht="17.25">
      <c r="A32" s="10"/>
      <c r="B32" s="10"/>
      <c r="C32" s="271" t="s">
        <v>453</v>
      </c>
      <c r="D32" s="404">
        <f>+CAPM!G47</f>
        <v>0.10500274999999999</v>
      </c>
      <c r="E32" s="392"/>
      <c r="F32" s="10"/>
      <c r="G32" s="10"/>
      <c r="H32" s="10"/>
      <c r="I32" s="10"/>
    </row>
    <row r="33" spans="1:9" ht="17.25">
      <c r="A33" s="10"/>
      <c r="B33" s="10"/>
      <c r="C33" s="271" t="s">
        <v>454</v>
      </c>
      <c r="D33" s="404">
        <f>+CAPM!G48</f>
        <v>0.10298325</v>
      </c>
      <c r="E33" s="392"/>
      <c r="F33" s="10"/>
      <c r="G33" s="10"/>
      <c r="H33" s="10"/>
      <c r="I33" s="10"/>
    </row>
    <row r="34" spans="1:9" ht="17.25">
      <c r="A34" s="10"/>
      <c r="B34" s="10"/>
      <c r="C34" s="414" t="s">
        <v>162</v>
      </c>
      <c r="D34" s="404">
        <f>+CAPM!G50</f>
        <v>0.1123595</v>
      </c>
      <c r="E34" s="392"/>
      <c r="F34" s="10"/>
      <c r="G34" s="10"/>
      <c r="H34" s="10"/>
      <c r="I34" s="10"/>
    </row>
    <row r="35" spans="1:9" ht="17.25">
      <c r="A35" s="10"/>
      <c r="B35" s="10"/>
      <c r="C35" s="414" t="s">
        <v>163</v>
      </c>
      <c r="D35" s="404">
        <f>+CAPM!G52</f>
        <v>0.1233225</v>
      </c>
      <c r="E35" s="392"/>
      <c r="F35" s="10"/>
      <c r="G35" s="10"/>
      <c r="H35" s="10"/>
      <c r="I35" s="10"/>
    </row>
    <row r="36" spans="1:9" ht="17.25">
      <c r="A36" s="10"/>
      <c r="B36" s="10"/>
      <c r="C36" s="415" t="s">
        <v>164</v>
      </c>
      <c r="D36" s="404">
        <f>+CAPM!G54</f>
        <v>0.13414124999999999</v>
      </c>
      <c r="E36" s="392"/>
      <c r="F36" s="10"/>
      <c r="G36" s="10"/>
      <c r="H36" s="10"/>
      <c r="I36" s="10"/>
    </row>
    <row r="37" spans="1:9" ht="17.25">
      <c r="A37" s="10"/>
      <c r="B37" s="10"/>
      <c r="C37" s="414" t="s">
        <v>165</v>
      </c>
      <c r="D37" s="404">
        <f>+CAPM!G55</f>
        <v>0.11596575000000001</v>
      </c>
      <c r="E37" s="392"/>
      <c r="F37" s="10"/>
      <c r="G37" s="10"/>
      <c r="H37" s="10"/>
      <c r="I37" s="10"/>
    </row>
    <row r="38" spans="1:9" ht="16.5" customHeight="1">
      <c r="A38" s="10"/>
      <c r="B38" s="10"/>
      <c r="C38" s="415" t="s">
        <v>455</v>
      </c>
      <c r="D38" s="404">
        <f>+CAPM!G57</f>
        <v>0.14452725</v>
      </c>
      <c r="E38" s="392" t="s">
        <v>0</v>
      </c>
      <c r="F38" s="10"/>
      <c r="G38" s="10"/>
      <c r="H38" s="10"/>
      <c r="I38" s="10"/>
    </row>
    <row r="39" spans="1:9" ht="16.5" customHeight="1">
      <c r="A39" s="10"/>
      <c r="B39" s="10"/>
      <c r="C39" s="415" t="s">
        <v>456</v>
      </c>
      <c r="D39" s="404">
        <f>+CAPM!G58</f>
        <v>0.13082349999999998</v>
      </c>
      <c r="E39" s="392"/>
      <c r="F39" s="10"/>
      <c r="G39" s="10"/>
      <c r="H39" s="10"/>
      <c r="I39" s="10"/>
    </row>
    <row r="40" spans="1:9" ht="18.75" customHeight="1">
      <c r="A40" s="10"/>
      <c r="B40" s="10"/>
      <c r="C40" s="415" t="s">
        <v>457</v>
      </c>
      <c r="D40" s="404">
        <f>+CAPM!G59</f>
        <v>0.12043749999999999</v>
      </c>
      <c r="E40" s="406"/>
      <c r="F40" s="10"/>
      <c r="G40" s="10"/>
      <c r="H40" s="10"/>
      <c r="I40" s="10"/>
    </row>
    <row r="41" spans="1:9" ht="18.75" customHeight="1">
      <c r="A41" s="10"/>
      <c r="B41" s="10"/>
      <c r="C41" s="452" t="s">
        <v>439</v>
      </c>
      <c r="D41" s="453" t="s">
        <v>419</v>
      </c>
      <c r="E41" s="406"/>
      <c r="F41" s="10"/>
      <c r="G41" s="10"/>
      <c r="H41" s="10"/>
      <c r="I41" s="10"/>
    </row>
    <row r="42" spans="1:9" ht="21.75" customHeight="1">
      <c r="A42" s="10"/>
      <c r="B42" s="10"/>
      <c r="C42" s="382" t="s">
        <v>239</v>
      </c>
      <c r="D42" s="413">
        <f>+'Single Stage Div Growth Model'!I32</f>
        <v>0.34050000000000002</v>
      </c>
      <c r="E42" s="433"/>
      <c r="G42" s="10"/>
      <c r="H42" s="10"/>
      <c r="I42" s="10"/>
    </row>
    <row r="43" spans="1:9" ht="21.75" customHeight="1">
      <c r="A43" s="10"/>
      <c r="B43" s="10"/>
      <c r="C43" s="382" t="s">
        <v>238</v>
      </c>
      <c r="D43" s="383" t="str">
        <f>+'Single Stage Div Growth Model'!I34</f>
        <v>na</v>
      </c>
      <c r="G43" s="10"/>
      <c r="H43" s="10"/>
      <c r="I43" s="10"/>
    </row>
    <row r="44" spans="1:9" ht="21.75" customHeight="1">
      <c r="A44" s="10"/>
      <c r="B44" s="10"/>
      <c r="C44" s="407" t="s">
        <v>240</v>
      </c>
      <c r="D44" s="408" t="str">
        <f>+'Two-Stage Div Growth Model'!H36</f>
        <v>na</v>
      </c>
      <c r="G44" s="79" t="s">
        <v>0</v>
      </c>
      <c r="H44" s="10"/>
      <c r="I44" s="10"/>
    </row>
    <row r="45" spans="1:9" ht="21.75" customHeight="1">
      <c r="A45" s="10"/>
      <c r="B45" s="10"/>
      <c r="C45" s="367" t="s">
        <v>361</v>
      </c>
      <c r="D45" s="368">
        <f>+'Direct NOPAT'!G63</f>
        <v>0.23230000000000001</v>
      </c>
      <c r="E45" s="409" t="s">
        <v>0</v>
      </c>
      <c r="F45" s="10"/>
      <c r="G45" s="10"/>
      <c r="H45" s="10"/>
      <c r="I45" s="10"/>
    </row>
    <row r="46" spans="1:9" ht="17.25" thickBot="1">
      <c r="A46" s="10"/>
      <c r="B46" s="10"/>
      <c r="C46" s="10"/>
      <c r="D46" s="68"/>
      <c r="E46" s="10"/>
      <c r="F46" s="10"/>
      <c r="G46" s="10"/>
      <c r="H46" s="10"/>
      <c r="I46" s="10"/>
    </row>
    <row r="47" spans="1:9" ht="17.25" thickTop="1">
      <c r="A47" s="10"/>
      <c r="B47" s="10"/>
      <c r="C47" s="12" t="s">
        <v>45</v>
      </c>
      <c r="D47" s="50">
        <f>MAX(D15:D44)</f>
        <v>0.34050000000000002</v>
      </c>
      <c r="E47" s="145"/>
      <c r="F47" s="10"/>
      <c r="G47" s="10"/>
      <c r="H47" s="10"/>
      <c r="I47" s="10"/>
    </row>
    <row r="48" spans="1:9" ht="16.5">
      <c r="A48" s="10"/>
      <c r="B48" s="10"/>
      <c r="C48" s="12" t="s">
        <v>46</v>
      </c>
      <c r="D48" s="310">
        <f>MIN(D15:D44)</f>
        <v>8.3076750000000005E-2</v>
      </c>
      <c r="E48" s="10"/>
      <c r="F48" s="10"/>
      <c r="G48" s="50"/>
      <c r="H48" s="50"/>
      <c r="I48" s="50"/>
    </row>
    <row r="49" spans="1:9" ht="16.5">
      <c r="A49" s="10"/>
      <c r="B49" s="10"/>
      <c r="C49" s="12" t="s">
        <v>18</v>
      </c>
      <c r="D49" s="79">
        <f>MEDIAN(D15:D44)</f>
        <v>0.12043749999999999</v>
      </c>
      <c r="E49" s="79"/>
      <c r="F49" s="79"/>
      <c r="G49" s="79"/>
      <c r="H49" s="79"/>
      <c r="I49" s="79"/>
    </row>
    <row r="50" spans="1:9" ht="16.5">
      <c r="A50" s="10"/>
      <c r="B50" s="10"/>
      <c r="C50" s="12" t="s">
        <v>429</v>
      </c>
      <c r="D50" s="80">
        <f>AVERAGE(D15:D44)</f>
        <v>0.12693439814814814</v>
      </c>
      <c r="E50" s="80"/>
      <c r="F50" s="80"/>
      <c r="G50" s="80"/>
      <c r="H50" s="80"/>
      <c r="I50" s="80"/>
    </row>
    <row r="51" spans="1:9" ht="16.5">
      <c r="A51" s="10"/>
      <c r="B51" s="10"/>
      <c r="C51" s="12" t="s">
        <v>430</v>
      </c>
      <c r="D51" s="80">
        <f>HARMEAN(D15:D44)</f>
        <v>0.11843020395869797</v>
      </c>
      <c r="E51" s="80"/>
      <c r="F51" s="80"/>
      <c r="G51" s="80"/>
      <c r="H51" s="80"/>
      <c r="I51" s="80"/>
    </row>
    <row r="52" spans="1:9" ht="17.25" thickBot="1">
      <c r="A52" s="10"/>
      <c r="B52" s="10"/>
      <c r="C52" s="10"/>
      <c r="D52" s="10" t="s">
        <v>193</v>
      </c>
      <c r="E52" s="10"/>
      <c r="F52" s="10"/>
      <c r="G52" s="10"/>
      <c r="H52" s="10"/>
      <c r="I52" s="10"/>
    </row>
    <row r="53" spans="1:9" ht="27" thickBot="1">
      <c r="A53" s="10"/>
      <c r="B53" s="10"/>
      <c r="C53" s="201" t="s">
        <v>247</v>
      </c>
      <c r="D53" s="431">
        <v>0.12690000000000001</v>
      </c>
      <c r="E53" s="81"/>
      <c r="F53" s="81"/>
    </row>
    <row r="54" spans="1:9" ht="16.5">
      <c r="A54" s="10"/>
      <c r="B54" s="10"/>
      <c r="C54" s="10"/>
      <c r="D54" s="10"/>
      <c r="E54" s="10"/>
      <c r="F54" s="10"/>
    </row>
    <row r="55" spans="1:9" ht="17.25">
      <c r="A55" s="103" t="s">
        <v>0</v>
      </c>
      <c r="B55" s="10"/>
      <c r="C55" s="10"/>
      <c r="D55" s="10"/>
      <c r="E55" s="10"/>
      <c r="F55" s="10"/>
      <c r="G55" s="10"/>
      <c r="H55" s="10"/>
      <c r="I55" s="10"/>
    </row>
    <row r="56" spans="1:9" ht="17.25">
      <c r="A56" s="103" t="s">
        <v>0</v>
      </c>
      <c r="B56" s="10"/>
      <c r="C56" s="10"/>
      <c r="D56" s="10"/>
      <c r="E56" s="10"/>
      <c r="F56" s="10"/>
      <c r="G56" s="10"/>
      <c r="H56" s="10"/>
      <c r="I56" s="10"/>
    </row>
    <row r="57" spans="1:9" ht="16.5">
      <c r="A57" s="10"/>
      <c r="B57" s="10"/>
      <c r="C57" s="10"/>
      <c r="D57" s="10"/>
      <c r="E57" s="10"/>
      <c r="F57" s="10"/>
      <c r="G57" s="10"/>
      <c r="H57" s="10"/>
      <c r="I57" s="10"/>
    </row>
    <row r="58" spans="1:9" ht="16.5">
      <c r="A58" s="10"/>
      <c r="B58" s="10"/>
      <c r="C58" s="10"/>
      <c r="D58" s="10"/>
      <c r="E58" s="10"/>
      <c r="F58" s="10"/>
      <c r="G58" s="10"/>
      <c r="H58" s="10"/>
      <c r="I58" s="10"/>
    </row>
    <row r="59" spans="1:9" ht="16.5">
      <c r="A59" s="10"/>
      <c r="B59" s="10"/>
      <c r="C59" s="10"/>
      <c r="D59" s="10"/>
      <c r="E59" s="10"/>
      <c r="F59" s="10"/>
      <c r="G59" s="10"/>
      <c r="H59" s="10"/>
      <c r="I59" s="10"/>
    </row>
    <row r="60" spans="1:9" ht="16.5">
      <c r="A60" s="10"/>
      <c r="B60" s="10"/>
      <c r="C60" s="10"/>
      <c r="D60" s="10"/>
      <c r="E60" s="10"/>
      <c r="F60" s="10"/>
      <c r="G60" s="10"/>
      <c r="H60" s="10"/>
      <c r="I60" s="10"/>
    </row>
    <row r="61" spans="1:9" ht="16.5">
      <c r="A61" s="10"/>
      <c r="B61" s="10"/>
      <c r="C61" s="10"/>
      <c r="D61" s="10" t="s">
        <v>0</v>
      </c>
      <c r="E61" s="10"/>
      <c r="F61" s="10"/>
      <c r="G61" s="10"/>
      <c r="H61" s="10"/>
      <c r="I61" s="10"/>
    </row>
    <row r="62" spans="1:9" ht="16.5">
      <c r="A62" s="10"/>
      <c r="B62" s="10"/>
      <c r="C62" s="10"/>
      <c r="D62" s="10" t="s">
        <v>0</v>
      </c>
      <c r="E62" s="10"/>
      <c r="F62" s="10"/>
      <c r="G62" s="10"/>
      <c r="H62" s="10"/>
      <c r="I62" s="10"/>
    </row>
    <row r="63" spans="1:9" ht="16.5">
      <c r="A63" s="10"/>
      <c r="B63" s="10"/>
      <c r="C63" s="10"/>
      <c r="D63" s="10"/>
      <c r="E63" s="10"/>
      <c r="F63" s="10"/>
      <c r="G63" s="10"/>
      <c r="H63" s="10"/>
      <c r="I63" s="10"/>
    </row>
    <row r="64" spans="1:9" ht="16.5">
      <c r="A64" s="10"/>
      <c r="B64" s="10"/>
      <c r="C64" s="10"/>
      <c r="D64" s="10"/>
      <c r="E64" s="10"/>
      <c r="F64" s="10"/>
      <c r="G64" s="10"/>
      <c r="H64" s="10"/>
      <c r="I64" s="10"/>
    </row>
    <row r="65" spans="1:9" ht="16.5">
      <c r="A65" s="10"/>
      <c r="B65" s="10"/>
      <c r="C65" s="10"/>
      <c r="D65" s="10"/>
      <c r="E65" s="10"/>
      <c r="F65" s="10"/>
      <c r="G65" s="10"/>
      <c r="H65" s="10"/>
      <c r="I65" s="10"/>
    </row>
    <row r="66" spans="1:9" ht="16.5">
      <c r="A66" s="10"/>
      <c r="B66" s="10"/>
      <c r="C66" s="10"/>
      <c r="D66" s="10"/>
      <c r="E66" s="10"/>
      <c r="F66" s="10"/>
      <c r="G66" s="10"/>
      <c r="H66" s="10"/>
      <c r="I66" s="10"/>
    </row>
    <row r="67" spans="1:9" ht="16.5">
      <c r="A67" s="10"/>
      <c r="B67" s="10"/>
      <c r="C67" s="10"/>
      <c r="D67" s="10"/>
      <c r="E67" s="10"/>
      <c r="F67" s="10"/>
      <c r="G67" s="10"/>
      <c r="H67" s="10"/>
      <c r="I67" s="10"/>
    </row>
    <row r="68" spans="1:9" ht="16.5">
      <c r="A68" s="10"/>
      <c r="B68" s="10"/>
      <c r="C68" s="10"/>
      <c r="D68" s="10"/>
      <c r="E68" s="10"/>
      <c r="F68" s="10"/>
      <c r="G68" s="10"/>
      <c r="H68" s="10"/>
      <c r="I68" s="10"/>
    </row>
    <row r="69" spans="1:9" ht="16.5">
      <c r="A69" s="10"/>
      <c r="B69" s="10"/>
      <c r="C69" s="10"/>
      <c r="D69" s="10"/>
      <c r="E69" s="10"/>
      <c r="F69" s="10"/>
      <c r="G69" s="10"/>
      <c r="H69" s="10"/>
      <c r="I69" s="10"/>
    </row>
    <row r="70" spans="1:9" ht="16.5">
      <c r="A70" s="10"/>
      <c r="B70" s="10"/>
      <c r="C70" s="10"/>
      <c r="D70" s="10"/>
      <c r="E70" s="10"/>
      <c r="F70" s="10"/>
      <c r="G70" s="10"/>
      <c r="H70" s="10"/>
      <c r="I70" s="10"/>
    </row>
    <row r="71" spans="1:9" ht="16.5">
      <c r="A71" s="10"/>
      <c r="B71" s="10"/>
      <c r="C71" s="10"/>
      <c r="D71" s="10"/>
      <c r="E71" s="10"/>
      <c r="F71" s="10"/>
      <c r="G71" s="10"/>
      <c r="H71" s="10"/>
      <c r="I71" s="10"/>
    </row>
    <row r="72" spans="1:9" ht="16.5">
      <c r="A72" s="10"/>
      <c r="B72" s="10"/>
      <c r="C72" s="10"/>
      <c r="D72" s="10"/>
      <c r="E72" s="10"/>
      <c r="F72" s="10"/>
      <c r="G72" s="10"/>
      <c r="H72" s="10"/>
      <c r="I72" s="10"/>
    </row>
    <row r="73" spans="1:9" ht="16.5">
      <c r="A73" s="10"/>
      <c r="B73" s="10"/>
      <c r="C73" s="10"/>
      <c r="D73" s="10"/>
      <c r="E73" s="10"/>
      <c r="F73" s="10"/>
      <c r="G73" s="10"/>
      <c r="H73" s="10"/>
      <c r="I73" s="10"/>
    </row>
    <row r="74" spans="1:9" ht="16.5">
      <c r="A74" s="10"/>
      <c r="B74" s="10"/>
      <c r="C74" s="10"/>
      <c r="D74" s="10"/>
      <c r="E74" s="10"/>
      <c r="F74" s="10"/>
      <c r="G74" s="10"/>
      <c r="H74" s="10"/>
      <c r="I74" s="10"/>
    </row>
    <row r="75" spans="1:9" ht="16.5">
      <c r="A75" s="10"/>
      <c r="B75" s="10"/>
      <c r="C75" s="10"/>
      <c r="D75" s="10"/>
      <c r="E75" s="10"/>
      <c r="F75" s="10"/>
      <c r="G75" s="10"/>
      <c r="H75" s="10"/>
      <c r="I75" s="10"/>
    </row>
    <row r="76" spans="1:9" ht="16.5">
      <c r="A76" s="10"/>
      <c r="B76" s="10"/>
      <c r="C76" s="10"/>
      <c r="D76" s="10"/>
      <c r="E76" s="10"/>
      <c r="F76" s="10"/>
      <c r="G76" s="10"/>
      <c r="H76" s="10"/>
      <c r="I76" s="10"/>
    </row>
    <row r="77" spans="1:9" ht="16.5">
      <c r="A77" s="10"/>
      <c r="B77" s="10"/>
      <c r="C77" s="10"/>
      <c r="D77" s="10"/>
      <c r="E77" s="10"/>
      <c r="F77" s="10"/>
      <c r="G77" s="10"/>
      <c r="H77" s="10"/>
      <c r="I77" s="10"/>
    </row>
    <row r="78" spans="1:9" ht="16.5">
      <c r="A78" s="10"/>
      <c r="B78" s="10"/>
      <c r="C78" s="10"/>
      <c r="D78" s="10"/>
      <c r="E78" s="10"/>
      <c r="F78" s="10"/>
      <c r="G78" s="10"/>
      <c r="H78" s="10"/>
      <c r="I78" s="10"/>
    </row>
    <row r="79" spans="1:9" ht="16.5">
      <c r="A79" s="10"/>
      <c r="B79" s="10"/>
      <c r="C79" s="10"/>
      <c r="D79" s="10"/>
      <c r="E79" s="10"/>
      <c r="F79" s="10"/>
      <c r="G79" s="10"/>
      <c r="H79" s="10"/>
      <c r="I79" s="10"/>
    </row>
    <row r="80" spans="1:9" ht="16.5">
      <c r="A80" s="10"/>
      <c r="B80" s="10"/>
      <c r="C80" s="10"/>
      <c r="D80" s="10"/>
      <c r="E80" s="10"/>
      <c r="F80" s="10"/>
      <c r="G80" s="10"/>
      <c r="H80" s="10"/>
      <c r="I80" s="10"/>
    </row>
    <row r="81" spans="1:9" ht="16.5">
      <c r="A81" s="10"/>
      <c r="B81" s="10"/>
      <c r="C81" s="10"/>
      <c r="D81" s="10"/>
      <c r="E81" s="10"/>
      <c r="F81" s="10"/>
      <c r="G81" s="10"/>
      <c r="H81" s="10"/>
      <c r="I81" s="10"/>
    </row>
    <row r="82" spans="1:9" ht="16.5">
      <c r="A82" s="10"/>
      <c r="B82" s="10"/>
      <c r="C82" s="10"/>
      <c r="D82" s="10"/>
      <c r="E82" s="10"/>
      <c r="F82" s="10"/>
      <c r="G82" s="10"/>
      <c r="H82" s="10"/>
      <c r="I82" s="10"/>
    </row>
    <row r="83" spans="1:9" ht="16.5">
      <c r="A83" s="10"/>
      <c r="B83" s="10"/>
      <c r="C83" s="10"/>
      <c r="D83" s="10"/>
      <c r="E83" s="10"/>
      <c r="F83" s="10"/>
      <c r="G83" s="10"/>
      <c r="H83" s="10"/>
      <c r="I83" s="10"/>
    </row>
    <row r="84" spans="1:9" ht="16.5">
      <c r="A84" s="10"/>
      <c r="B84" s="10"/>
      <c r="C84" s="10"/>
      <c r="D84" s="10"/>
      <c r="E84" s="10"/>
      <c r="F84" s="10"/>
      <c r="G84" s="10"/>
      <c r="H84" s="10"/>
      <c r="I84" s="10"/>
    </row>
    <row r="85" spans="1:9" ht="16.5">
      <c r="A85" s="10"/>
      <c r="B85" s="10"/>
      <c r="C85" s="10"/>
      <c r="D85" s="10"/>
      <c r="E85" s="10"/>
      <c r="F85" s="10"/>
      <c r="G85" s="10"/>
      <c r="H85" s="10"/>
      <c r="I85" s="10"/>
    </row>
    <row r="86" spans="1:9" ht="16.5">
      <c r="A86" s="10"/>
      <c r="B86" s="10"/>
      <c r="C86" s="10"/>
      <c r="D86" s="10"/>
      <c r="E86" s="10"/>
      <c r="F86" s="10"/>
      <c r="G86" s="10"/>
      <c r="H86" s="10"/>
      <c r="I86" s="10"/>
    </row>
    <row r="87" spans="1:9" ht="16.5">
      <c r="A87" s="10"/>
      <c r="B87" s="10"/>
      <c r="C87" s="10"/>
      <c r="D87" s="10"/>
      <c r="E87" s="10"/>
      <c r="F87" s="10"/>
      <c r="G87" s="10"/>
      <c r="H87" s="10"/>
      <c r="I87" s="10"/>
    </row>
    <row r="88" spans="1:9" ht="16.5">
      <c r="A88" s="10"/>
      <c r="B88" s="10"/>
      <c r="C88" s="10"/>
      <c r="D88" s="10"/>
      <c r="E88" s="10"/>
      <c r="F88" s="10"/>
      <c r="G88" s="10"/>
      <c r="H88" s="10"/>
      <c r="I88" s="10"/>
    </row>
    <row r="89" spans="1:9" ht="16.5">
      <c r="A89" s="10"/>
      <c r="B89" s="10"/>
      <c r="C89" s="10"/>
      <c r="D89" s="10"/>
      <c r="E89" s="10"/>
      <c r="F89" s="10"/>
      <c r="G89" s="10"/>
      <c r="H89" s="10"/>
      <c r="I89" s="10"/>
    </row>
    <row r="90" spans="1:9" ht="16.5">
      <c r="A90" s="10"/>
      <c r="B90" s="10"/>
      <c r="C90" s="10"/>
      <c r="D90" s="10"/>
      <c r="E90" s="10"/>
      <c r="F90" s="10"/>
      <c r="G90" s="10"/>
      <c r="H90" s="10"/>
      <c r="I90" s="10"/>
    </row>
    <row r="91" spans="1:9" ht="16.5">
      <c r="A91" s="10"/>
      <c r="B91" s="10"/>
      <c r="C91" s="10"/>
      <c r="D91" s="10"/>
      <c r="E91" s="10"/>
      <c r="F91" s="10"/>
      <c r="G91" s="10"/>
      <c r="H91" s="10"/>
      <c r="I91" s="10"/>
    </row>
    <row r="92" spans="1:9" ht="16.5">
      <c r="A92" s="10"/>
      <c r="B92" s="10"/>
      <c r="C92" s="10"/>
      <c r="D92" s="10"/>
      <c r="E92" s="10"/>
      <c r="F92" s="10"/>
      <c r="G92" s="10"/>
      <c r="H92" s="10"/>
      <c r="I92" s="10"/>
    </row>
    <row r="93" spans="1:9" ht="16.5">
      <c r="A93" s="10"/>
      <c r="B93" s="10"/>
      <c r="C93" s="10"/>
      <c r="D93" s="10"/>
      <c r="E93" s="10"/>
      <c r="F93" s="10"/>
      <c r="G93" s="10"/>
      <c r="H93" s="10"/>
      <c r="I93" s="10"/>
    </row>
    <row r="94" spans="1:9" ht="16.5">
      <c r="A94" s="10"/>
      <c r="B94" s="10"/>
      <c r="C94" s="10"/>
      <c r="D94" s="10"/>
      <c r="E94" s="10"/>
      <c r="F94" s="10"/>
      <c r="G94" s="10"/>
      <c r="H94" s="10"/>
      <c r="I94" s="10"/>
    </row>
    <row r="95" spans="1:9" ht="16.5">
      <c r="A95" s="10"/>
      <c r="B95" s="10"/>
      <c r="C95" s="10"/>
      <c r="D95" s="10"/>
      <c r="E95" s="10"/>
      <c r="F95" s="10"/>
      <c r="G95" s="10"/>
      <c r="H95" s="10"/>
      <c r="I95" s="10"/>
    </row>
    <row r="96" spans="1:9" ht="16.5">
      <c r="A96" s="10"/>
      <c r="B96" s="10"/>
      <c r="C96" s="10"/>
      <c r="D96" s="10"/>
      <c r="E96" s="10"/>
      <c r="F96" s="10"/>
      <c r="G96" s="10"/>
      <c r="H96" s="10"/>
      <c r="I96" s="10"/>
    </row>
    <row r="97" spans="1:9" ht="16.5">
      <c r="A97" s="10"/>
      <c r="B97" s="10"/>
      <c r="C97" s="10"/>
      <c r="D97" s="10"/>
      <c r="E97" s="10"/>
      <c r="F97" s="10"/>
      <c r="G97" s="10"/>
      <c r="H97" s="10"/>
      <c r="I97" s="10"/>
    </row>
    <row r="98" spans="1:9" ht="16.5">
      <c r="A98" s="10"/>
      <c r="B98" s="10"/>
      <c r="C98" s="10"/>
      <c r="D98" s="10"/>
      <c r="E98" s="10"/>
      <c r="F98" s="10"/>
      <c r="G98" s="10"/>
      <c r="H98" s="10"/>
      <c r="I98" s="10"/>
    </row>
    <row r="99" spans="1:9" ht="16.5">
      <c r="A99" s="10"/>
      <c r="B99" s="10"/>
      <c r="C99" s="10"/>
      <c r="D99" s="10"/>
      <c r="E99" s="10"/>
      <c r="F99" s="10"/>
      <c r="G99" s="10"/>
      <c r="H99" s="10"/>
      <c r="I99" s="10"/>
    </row>
    <row r="100" spans="1:9" ht="16.5">
      <c r="A100" s="10"/>
      <c r="B100" s="10"/>
      <c r="C100" s="10"/>
      <c r="D100" s="10"/>
      <c r="E100" s="10"/>
      <c r="F100" s="10"/>
      <c r="G100" s="10"/>
      <c r="H100" s="10"/>
      <c r="I100" s="10"/>
    </row>
    <row r="101" spans="1:9" ht="16.5">
      <c r="A101" s="10"/>
      <c r="B101" s="10"/>
      <c r="C101" s="10"/>
      <c r="D101" s="10"/>
      <c r="E101" s="10"/>
      <c r="F101" s="10"/>
      <c r="G101" s="10"/>
      <c r="H101" s="10"/>
      <c r="I101" s="10"/>
    </row>
    <row r="102" spans="1:9" ht="16.5">
      <c r="A102" s="10"/>
      <c r="B102" s="10"/>
      <c r="C102" s="10"/>
      <c r="D102" s="10"/>
      <c r="E102" s="10"/>
      <c r="F102" s="10"/>
      <c r="G102" s="10"/>
      <c r="H102" s="10"/>
      <c r="I102" s="10"/>
    </row>
    <row r="103" spans="1:9" ht="16.5">
      <c r="A103" s="10"/>
      <c r="B103" s="10"/>
      <c r="C103" s="10"/>
      <c r="D103" s="10"/>
      <c r="E103" s="10"/>
      <c r="F103" s="10"/>
      <c r="G103" s="10"/>
      <c r="H103" s="10"/>
      <c r="I103" s="10"/>
    </row>
    <row r="104" spans="1:9" ht="16.5">
      <c r="A104" s="10"/>
      <c r="B104" s="10"/>
      <c r="C104" s="10"/>
      <c r="D104" s="10"/>
      <c r="E104" s="10"/>
      <c r="F104" s="10"/>
      <c r="G104" s="10"/>
      <c r="H104" s="10"/>
      <c r="I104" s="10"/>
    </row>
    <row r="105" spans="1:9" ht="16.5">
      <c r="A105" s="10"/>
      <c r="B105" s="10"/>
      <c r="C105" s="10"/>
      <c r="D105" s="10"/>
      <c r="E105" s="10"/>
      <c r="F105" s="10"/>
      <c r="G105" s="10"/>
      <c r="H105" s="10"/>
      <c r="I105" s="10"/>
    </row>
    <row r="106" spans="1:9" ht="16.5">
      <c r="A106" s="10"/>
      <c r="B106" s="10"/>
      <c r="C106" s="10"/>
      <c r="D106" s="10"/>
      <c r="E106" s="10"/>
      <c r="F106" s="10"/>
      <c r="G106" s="10"/>
      <c r="H106" s="10"/>
      <c r="I106" s="10"/>
    </row>
    <row r="107" spans="1:9" ht="16.5">
      <c r="A107" s="10"/>
      <c r="B107" s="10"/>
      <c r="C107" s="10"/>
      <c r="D107" s="10"/>
      <c r="E107" s="10"/>
      <c r="F107" s="10"/>
      <c r="G107" s="10"/>
      <c r="H107" s="10"/>
      <c r="I107" s="10"/>
    </row>
  </sheetData>
  <pageMargins left="0.25" right="0.25" top="0.75" bottom="0.75" header="0.3" footer="0.3"/>
  <pageSetup scale="4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A43DB-FB14-4CFF-94D4-A767B64921D4}">
  <sheetPr>
    <tabColor rgb="FF92D050"/>
    <pageSetUpPr fitToPage="1"/>
  </sheetPr>
  <dimension ref="A1:J84"/>
  <sheetViews>
    <sheetView view="pageBreakPreview" topLeftCell="A37" zoomScale="60" zoomScaleNormal="80" workbookViewId="0">
      <selection activeCell="C16" sqref="C16"/>
    </sheetView>
  </sheetViews>
  <sheetFormatPr defaultRowHeight="15"/>
  <cols>
    <col min="1" max="1" width="74.5703125" customWidth="1"/>
    <col min="2" max="2" width="21.7109375" customWidth="1"/>
    <col min="3" max="3" width="24.5703125" customWidth="1"/>
    <col min="4" max="4" width="29.42578125" customWidth="1"/>
    <col min="5" max="5" width="30.5703125" customWidth="1"/>
    <col min="6" max="6" width="32.140625" customWidth="1"/>
    <col min="7" max="7" width="27" customWidth="1"/>
    <col min="8" max="8" width="13.7109375" customWidth="1"/>
    <col min="9" max="9" width="13.85546875" customWidth="1"/>
    <col min="10" max="11" width="14.140625" bestFit="1" customWidth="1"/>
  </cols>
  <sheetData>
    <row r="1" spans="1:10" ht="26.25">
      <c r="A1" s="21" t="s">
        <v>1</v>
      </c>
      <c r="B1" s="21"/>
      <c r="C1" s="21"/>
      <c r="D1" s="10"/>
      <c r="E1" s="10"/>
      <c r="F1" s="10"/>
      <c r="G1" s="10"/>
      <c r="H1" s="10"/>
      <c r="I1" s="10"/>
      <c r="J1" s="10"/>
    </row>
    <row r="2" spans="1:10" ht="17.25">
      <c r="A2" s="22" t="s">
        <v>9</v>
      </c>
      <c r="B2" s="22"/>
      <c r="C2" s="22"/>
      <c r="D2" s="10"/>
      <c r="E2" s="10"/>
      <c r="F2" s="10"/>
      <c r="G2" s="10"/>
      <c r="H2" s="10"/>
      <c r="I2" s="10"/>
      <c r="J2" s="10"/>
    </row>
    <row r="3" spans="1:10" ht="16.5">
      <c r="A3" s="23" t="s">
        <v>467</v>
      </c>
      <c r="B3" s="23"/>
      <c r="C3" s="23"/>
      <c r="D3" s="10"/>
      <c r="E3" s="10"/>
      <c r="F3" s="10"/>
      <c r="G3" s="10"/>
      <c r="H3" s="10"/>
      <c r="I3" s="10"/>
      <c r="J3" s="10"/>
    </row>
    <row r="4" spans="1:10" ht="16.5">
      <c r="A4" s="23"/>
      <c r="B4" s="23"/>
      <c r="C4" s="23"/>
      <c r="D4" s="10"/>
      <c r="E4" s="10"/>
      <c r="F4" s="10"/>
      <c r="G4" s="10"/>
      <c r="H4" s="10"/>
      <c r="I4" s="10"/>
      <c r="J4" s="10"/>
    </row>
    <row r="5" spans="1:10" ht="17.25" thickBot="1">
      <c r="A5" s="10"/>
      <c r="B5" s="10"/>
      <c r="C5" s="10"/>
      <c r="D5" s="10"/>
      <c r="E5" s="10"/>
      <c r="F5" s="10"/>
      <c r="G5" s="10"/>
      <c r="H5" s="24" t="s">
        <v>0</v>
      </c>
      <c r="I5" s="24"/>
      <c r="J5" s="10"/>
    </row>
    <row r="6" spans="1:10" ht="21" thickBot="1">
      <c r="A6" s="25" t="str">
        <f>+'S&amp;D'!A12</f>
        <v>Air Passenger Carriers</v>
      </c>
      <c r="B6" s="10"/>
      <c r="C6" s="10"/>
      <c r="D6" s="26"/>
      <c r="E6" s="26"/>
      <c r="F6" s="26"/>
      <c r="G6" s="10"/>
      <c r="H6" s="10"/>
      <c r="I6" s="10"/>
      <c r="J6" s="10"/>
    </row>
    <row r="7" spans="1:10" ht="26.25">
      <c r="B7" s="28"/>
      <c r="C7" s="28"/>
      <c r="D7" s="10"/>
      <c r="E7" s="29" t="s">
        <v>210</v>
      </c>
      <c r="F7" s="10"/>
      <c r="G7" s="10"/>
      <c r="H7" s="10"/>
      <c r="I7" s="10"/>
      <c r="J7" s="10"/>
    </row>
    <row r="8" spans="1:10" ht="21" thickBot="1">
      <c r="A8" s="28"/>
      <c r="B8" s="28"/>
      <c r="C8" s="28"/>
      <c r="D8" s="26"/>
      <c r="E8" s="34" t="s">
        <v>469</v>
      </c>
      <c r="F8" s="26"/>
      <c r="G8" s="10"/>
      <c r="H8" s="10"/>
      <c r="I8" s="10"/>
      <c r="J8" s="10"/>
    </row>
    <row r="9" spans="1:10" ht="20.25">
      <c r="A9" s="28"/>
      <c r="B9" s="28"/>
      <c r="C9" s="28"/>
      <c r="D9" s="10"/>
      <c r="E9" s="32"/>
      <c r="F9" s="10"/>
      <c r="G9" s="10"/>
      <c r="H9" s="10"/>
      <c r="I9" s="10"/>
      <c r="J9" s="10"/>
    </row>
    <row r="10" spans="1:10" ht="20.25">
      <c r="A10" s="28"/>
      <c r="B10" s="28"/>
      <c r="H10" s="10"/>
      <c r="I10" s="10"/>
      <c r="J10" s="10"/>
    </row>
    <row r="11" spans="1:10" ht="20.25">
      <c r="A11" s="28"/>
      <c r="B11" s="28"/>
      <c r="H11" s="10"/>
      <c r="I11" s="10"/>
      <c r="J11" s="10"/>
    </row>
    <row r="12" spans="1:10" ht="30" customHeight="1" thickBot="1">
      <c r="A12" s="28"/>
      <c r="B12" s="28"/>
      <c r="C12" t="s">
        <v>0</v>
      </c>
      <c r="H12" s="10"/>
      <c r="I12" s="10"/>
      <c r="J12" s="10"/>
    </row>
    <row r="13" spans="1:10" ht="26.25" customHeight="1" thickBot="1">
      <c r="A13" s="157" t="s">
        <v>226</v>
      </c>
      <c r="B13" s="10" t="s">
        <v>0</v>
      </c>
      <c r="C13" s="10"/>
      <c r="D13" s="10"/>
      <c r="E13" s="10"/>
      <c r="F13" s="10"/>
      <c r="G13" s="10"/>
      <c r="H13" s="10"/>
      <c r="I13" s="10"/>
      <c r="J13" s="10"/>
    </row>
    <row r="14" spans="1:10" ht="42" customHeight="1" thickBot="1">
      <c r="A14" s="156" t="s">
        <v>224</v>
      </c>
      <c r="B14" s="155" t="s">
        <v>215</v>
      </c>
      <c r="C14" s="154" t="s">
        <v>227</v>
      </c>
      <c r="D14" s="155" t="s">
        <v>217</v>
      </c>
      <c r="E14" s="155" t="s">
        <v>421</v>
      </c>
      <c r="F14" s="153" t="s">
        <v>216</v>
      </c>
      <c r="G14" s="10"/>
      <c r="H14" s="10"/>
      <c r="I14" s="10"/>
      <c r="J14" s="10"/>
    </row>
    <row r="15" spans="1:10" ht="16.5">
      <c r="A15" s="150"/>
      <c r="B15" s="107"/>
      <c r="C15" s="107"/>
      <c r="D15" s="107"/>
      <c r="E15" s="107"/>
      <c r="F15" s="151"/>
      <c r="G15" s="10"/>
      <c r="H15" s="10"/>
      <c r="I15" s="10"/>
      <c r="J15" s="10"/>
    </row>
    <row r="16" spans="1:10" ht="17.25">
      <c r="A16" s="194" t="s">
        <v>423</v>
      </c>
      <c r="B16" s="207">
        <v>2.9100000000000001E-2</v>
      </c>
      <c r="C16" s="204">
        <f>+'Beta for CAPM'!I33</f>
        <v>1.59</v>
      </c>
      <c r="D16" s="195">
        <f>+B16*C16</f>
        <v>4.6269000000000005E-2</v>
      </c>
      <c r="E16" s="195">
        <f>+'Growth &amp; Inflation Rates'!F93</f>
        <v>4.1099999999999998E-2</v>
      </c>
      <c r="F16" s="196">
        <f>+D16+E16</f>
        <v>8.7369000000000002E-2</v>
      </c>
      <c r="G16" s="10"/>
      <c r="H16" s="10"/>
      <c r="I16" s="10"/>
      <c r="J16" s="10"/>
    </row>
    <row r="17" spans="1:10" ht="17.25">
      <c r="A17" s="194" t="s">
        <v>424</v>
      </c>
      <c r="B17" s="207">
        <v>3.0800000000000001E-2</v>
      </c>
      <c r="C17" s="204">
        <f>+C16</f>
        <v>1.59</v>
      </c>
      <c r="D17" s="195">
        <f>+B17*C17</f>
        <v>4.8972000000000002E-2</v>
      </c>
      <c r="E17" s="195">
        <f>+E16</f>
        <v>4.1099999999999998E-2</v>
      </c>
      <c r="F17" s="196">
        <f>+D17+E17</f>
        <v>9.0071999999999999E-2</v>
      </c>
      <c r="G17" s="10"/>
      <c r="H17" s="10"/>
      <c r="I17" s="10"/>
      <c r="J17" s="10"/>
    </row>
    <row r="18" spans="1:10" ht="17.25">
      <c r="A18" s="197"/>
      <c r="B18" s="103"/>
      <c r="C18" s="103"/>
      <c r="D18" s="103"/>
      <c r="E18" s="103"/>
      <c r="F18" s="198"/>
      <c r="G18" s="10"/>
      <c r="H18" s="10"/>
      <c r="I18" s="10"/>
      <c r="J18" s="10"/>
    </row>
    <row r="19" spans="1:10" ht="17.25">
      <c r="A19" s="194" t="s">
        <v>440</v>
      </c>
      <c r="B19" s="207">
        <v>4.5999999999999999E-2</v>
      </c>
      <c r="C19" s="204">
        <f>+C16</f>
        <v>1.59</v>
      </c>
      <c r="D19" s="195">
        <f>+B19*C19</f>
        <v>7.3139999999999997E-2</v>
      </c>
      <c r="E19" s="195">
        <f>+E16</f>
        <v>4.1099999999999998E-2</v>
      </c>
      <c r="F19" s="196">
        <f>+D19+E19</f>
        <v>0.11423999999999999</v>
      </c>
      <c r="G19" s="10"/>
      <c r="H19" s="10"/>
      <c r="I19" s="10"/>
      <c r="J19" s="10"/>
    </row>
    <row r="20" spans="1:10" ht="17.25">
      <c r="A20" s="194" t="s">
        <v>458</v>
      </c>
      <c r="B20" s="207">
        <v>6.0699999999999997E-2</v>
      </c>
      <c r="C20" s="204">
        <f>+C16</f>
        <v>1.59</v>
      </c>
      <c r="D20" s="195">
        <f>+B20*C20</f>
        <v>9.6513000000000002E-2</v>
      </c>
      <c r="E20" s="195">
        <f>+E17</f>
        <v>4.1099999999999998E-2</v>
      </c>
      <c r="F20" s="196">
        <f>+D20+E20</f>
        <v>0.13761299999999999</v>
      </c>
      <c r="G20" s="10"/>
      <c r="H20" s="10"/>
      <c r="I20" s="10"/>
      <c r="J20" s="10"/>
    </row>
    <row r="21" spans="1:10" ht="17.25">
      <c r="A21" s="194" t="s">
        <v>441</v>
      </c>
      <c r="B21" s="207">
        <v>4.4299999999999999E-2</v>
      </c>
      <c r="C21" s="204">
        <f>+C16</f>
        <v>1.59</v>
      </c>
      <c r="D21" s="195">
        <f t="shared" ref="D21:D22" si="0">+B21*C21</f>
        <v>7.0437E-2</v>
      </c>
      <c r="E21" s="195">
        <f>+E16</f>
        <v>4.1099999999999998E-2</v>
      </c>
      <c r="F21" s="196">
        <f t="shared" ref="F21:F22" si="1">+D21+E21</f>
        <v>0.111537</v>
      </c>
      <c r="G21" s="10"/>
      <c r="H21" s="10"/>
      <c r="I21" s="10"/>
      <c r="J21" s="10"/>
    </row>
    <row r="22" spans="1:10" ht="17.25">
      <c r="A22" s="194" t="s">
        <v>442</v>
      </c>
      <c r="B22" s="207">
        <v>4.2900000000000001E-2</v>
      </c>
      <c r="C22" s="204">
        <f>+C16</f>
        <v>1.59</v>
      </c>
      <c r="D22" s="195">
        <f t="shared" si="0"/>
        <v>6.8211000000000008E-2</v>
      </c>
      <c r="E22" s="195">
        <f>+E16</f>
        <v>4.1099999999999998E-2</v>
      </c>
      <c r="F22" s="196">
        <f t="shared" si="1"/>
        <v>0.10931100000000001</v>
      </c>
      <c r="G22" s="10"/>
      <c r="H22" s="10"/>
      <c r="I22" s="10"/>
      <c r="J22" s="10"/>
    </row>
    <row r="23" spans="1:10" ht="17.25">
      <c r="A23" s="194" t="s">
        <v>0</v>
      </c>
      <c r="B23" s="207" t="s">
        <v>0</v>
      </c>
      <c r="C23" s="205" t="s">
        <v>0</v>
      </c>
      <c r="D23" s="195" t="s">
        <v>0</v>
      </c>
      <c r="E23" s="195" t="s">
        <v>0</v>
      </c>
      <c r="F23" s="196" t="s">
        <v>0</v>
      </c>
      <c r="G23" s="10"/>
      <c r="H23" s="10"/>
      <c r="I23" s="10"/>
      <c r="J23" s="10"/>
    </row>
    <row r="24" spans="1:10" ht="17.25">
      <c r="A24" s="194" t="s">
        <v>220</v>
      </c>
      <c r="B24" s="207">
        <v>4.9399999999999999E-2</v>
      </c>
      <c r="C24" s="204">
        <f>+C16</f>
        <v>1.59</v>
      </c>
      <c r="D24" s="195">
        <f>+B24*C24</f>
        <v>7.8546000000000005E-2</v>
      </c>
      <c r="E24" s="195">
        <f>+E16</f>
        <v>4.1099999999999998E-2</v>
      </c>
      <c r="F24" s="196">
        <f>+D24+E24</f>
        <v>0.119646</v>
      </c>
      <c r="G24" s="10"/>
      <c r="H24" s="10"/>
      <c r="I24" s="10"/>
      <c r="J24" s="10"/>
    </row>
    <row r="25" spans="1:10" ht="17.25">
      <c r="A25" s="194" t="s">
        <v>0</v>
      </c>
      <c r="B25" s="207" t="s">
        <v>0</v>
      </c>
      <c r="C25" s="205" t="s">
        <v>0</v>
      </c>
      <c r="D25" s="195" t="s">
        <v>0</v>
      </c>
      <c r="E25" s="195" t="s">
        <v>0</v>
      </c>
      <c r="F25" s="196" t="s">
        <v>0</v>
      </c>
      <c r="G25" s="10"/>
      <c r="H25" s="10"/>
      <c r="I25" s="10"/>
      <c r="J25" s="10"/>
    </row>
    <row r="26" spans="1:10" ht="17.25">
      <c r="A26" s="194" t="s">
        <v>459</v>
      </c>
      <c r="B26" s="207">
        <v>5.7000000000000002E-2</v>
      </c>
      <c r="C26" s="204">
        <f>+C16</f>
        <v>1.59</v>
      </c>
      <c r="D26" s="195">
        <f>+B26*C26</f>
        <v>9.0630000000000002E-2</v>
      </c>
      <c r="E26" s="195">
        <f>+E16</f>
        <v>4.1099999999999998E-2</v>
      </c>
      <c r="F26" s="196">
        <f>+D26+E26</f>
        <v>0.13173000000000001</v>
      </c>
      <c r="G26" s="10"/>
      <c r="H26" s="10"/>
      <c r="I26" s="10"/>
      <c r="J26" s="10"/>
    </row>
    <row r="27" spans="1:10" ht="17.25">
      <c r="A27" s="194" t="s">
        <v>0</v>
      </c>
      <c r="B27" s="207" t="s">
        <v>0</v>
      </c>
      <c r="C27" s="205" t="s">
        <v>0</v>
      </c>
      <c r="D27" s="195" t="s">
        <v>0</v>
      </c>
      <c r="E27" s="195" t="s">
        <v>0</v>
      </c>
      <c r="F27" s="196" t="s">
        <v>0</v>
      </c>
      <c r="G27" s="10"/>
      <c r="H27" s="10"/>
      <c r="I27" s="10"/>
      <c r="J27" s="10"/>
    </row>
    <row r="28" spans="1:10" ht="17.25">
      <c r="A28" s="194" t="s">
        <v>221</v>
      </c>
      <c r="B28" s="207">
        <v>6.4500000000000002E-2</v>
      </c>
      <c r="C28" s="204">
        <f>+C16</f>
        <v>1.59</v>
      </c>
      <c r="D28" s="195">
        <f>+B28*C28</f>
        <v>0.10255500000000001</v>
      </c>
      <c r="E28" s="195">
        <f>+E16</f>
        <v>4.1099999999999998E-2</v>
      </c>
      <c r="F28" s="196">
        <f>+D28+E28</f>
        <v>0.143655</v>
      </c>
      <c r="G28" s="10"/>
      <c r="H28" s="10"/>
      <c r="I28" s="10"/>
      <c r="J28" s="10"/>
    </row>
    <row r="29" spans="1:10" ht="17.25">
      <c r="A29" s="194" t="s">
        <v>222</v>
      </c>
      <c r="B29" s="207">
        <v>5.1900000000000002E-2</v>
      </c>
      <c r="C29" s="204">
        <f>+C16</f>
        <v>1.59</v>
      </c>
      <c r="D29" s="195">
        <f>+B29*C29</f>
        <v>8.2521000000000011E-2</v>
      </c>
      <c r="E29" s="195">
        <f>+E16</f>
        <v>4.1099999999999998E-2</v>
      </c>
      <c r="F29" s="196">
        <f>+D29+E29</f>
        <v>0.12362100000000001</v>
      </c>
      <c r="G29" s="10"/>
      <c r="H29" s="10"/>
      <c r="I29" s="10"/>
      <c r="J29" s="10"/>
    </row>
    <row r="30" spans="1:10" ht="17.25">
      <c r="A30" s="194"/>
      <c r="B30" s="207"/>
      <c r="C30" s="204"/>
      <c r="D30" s="195"/>
      <c r="E30" s="195"/>
      <c r="F30" s="196"/>
      <c r="G30" s="10"/>
      <c r="H30" s="10"/>
      <c r="I30" s="10"/>
      <c r="J30" s="10"/>
    </row>
    <row r="31" spans="1:10" ht="17.25">
      <c r="A31" s="194" t="s">
        <v>443</v>
      </c>
      <c r="B31" s="207">
        <v>7.17E-2</v>
      </c>
      <c r="C31" s="204">
        <f>+C16</f>
        <v>1.59</v>
      </c>
      <c r="D31" s="195">
        <f>+B31*C31</f>
        <v>0.11400300000000001</v>
      </c>
      <c r="E31" s="195">
        <f>+E16</f>
        <v>4.1099999999999998E-2</v>
      </c>
      <c r="F31" s="196">
        <f>+D31+E31</f>
        <v>0.15510299999999999</v>
      </c>
      <c r="G31" s="10"/>
      <c r="H31" s="10"/>
      <c r="I31" s="10"/>
      <c r="J31" s="10"/>
    </row>
    <row r="32" spans="1:10" ht="17.25">
      <c r="A32" s="194" t="s">
        <v>444</v>
      </c>
      <c r="B32" s="207">
        <v>6.2199999999999998E-2</v>
      </c>
      <c r="C32" s="204">
        <f>+C17</f>
        <v>1.59</v>
      </c>
      <c r="D32" s="195">
        <f>+B32*C32</f>
        <v>9.8898E-2</v>
      </c>
      <c r="E32" s="195">
        <f>+E17</f>
        <v>4.1099999999999998E-2</v>
      </c>
      <c r="F32" s="196">
        <f>+D32+E32</f>
        <v>0.13999800000000001</v>
      </c>
      <c r="G32" s="10"/>
      <c r="H32" s="10"/>
      <c r="I32" s="10"/>
      <c r="J32" s="10"/>
    </row>
    <row r="33" spans="1:10" ht="17.25">
      <c r="A33" s="194" t="s">
        <v>445</v>
      </c>
      <c r="B33" s="207">
        <v>5.5E-2</v>
      </c>
      <c r="C33" s="204">
        <f>+C16</f>
        <v>1.59</v>
      </c>
      <c r="D33" s="195">
        <f>+B33*C33</f>
        <v>8.745E-2</v>
      </c>
      <c r="E33" s="195">
        <f>+E16</f>
        <v>4.1099999999999998E-2</v>
      </c>
      <c r="F33" s="196">
        <f>+D33+E33</f>
        <v>0.12855</v>
      </c>
      <c r="G33" s="10"/>
      <c r="H33" s="10"/>
      <c r="I33" s="10"/>
      <c r="J33" s="10"/>
    </row>
    <row r="34" spans="1:10" ht="17.25">
      <c r="A34" s="194"/>
      <c r="B34" s="207"/>
      <c r="C34" s="204"/>
      <c r="D34" s="195"/>
      <c r="E34" s="195"/>
      <c r="F34" s="196"/>
      <c r="G34" s="10"/>
      <c r="H34" s="10"/>
      <c r="I34" s="10"/>
      <c r="J34" s="10"/>
    </row>
    <row r="35" spans="1:10" ht="17.25">
      <c r="A35" s="450" t="s">
        <v>433</v>
      </c>
      <c r="B35" s="451">
        <v>0</v>
      </c>
      <c r="C35" s="204">
        <f>+C16</f>
        <v>1.59</v>
      </c>
      <c r="D35" s="195">
        <f>+B35*C35</f>
        <v>0</v>
      </c>
      <c r="E35" s="195">
        <v>0</v>
      </c>
      <c r="F35" s="196">
        <f>+D35+E35</f>
        <v>0</v>
      </c>
      <c r="G35" s="10"/>
      <c r="H35" s="10"/>
      <c r="I35" s="10"/>
      <c r="J35" s="10"/>
    </row>
    <row r="36" spans="1:10" ht="17.25" thickBot="1">
      <c r="A36" s="410"/>
      <c r="B36" s="26"/>
      <c r="C36" s="26"/>
      <c r="D36" s="26"/>
      <c r="E36" s="26"/>
      <c r="F36" s="411"/>
      <c r="G36" s="10"/>
      <c r="H36" s="10"/>
      <c r="I36" s="10"/>
      <c r="J36" s="10"/>
    </row>
    <row r="37" spans="1:10" ht="16.5">
      <c r="A37" s="10"/>
      <c r="B37" s="10"/>
      <c r="C37" s="10"/>
      <c r="D37" s="10"/>
      <c r="E37" s="10"/>
      <c r="F37" s="10"/>
      <c r="G37" s="10"/>
      <c r="H37" s="10"/>
      <c r="I37" s="10"/>
      <c r="J37" s="10"/>
    </row>
    <row r="38" spans="1:10" ht="27" customHeight="1" thickBot="1">
      <c r="A38" s="10"/>
      <c r="B38" s="10"/>
      <c r="C38" s="10"/>
      <c r="D38" s="10"/>
      <c r="E38" s="10"/>
      <c r="F38" s="10"/>
      <c r="G38" s="10" t="s">
        <v>0</v>
      </c>
      <c r="H38" s="10"/>
      <c r="I38" s="10"/>
      <c r="J38" s="10"/>
    </row>
    <row r="39" spans="1:10" ht="18" thickBot="1">
      <c r="A39" s="157" t="s">
        <v>225</v>
      </c>
      <c r="B39" s="10"/>
      <c r="C39" s="10"/>
      <c r="D39" s="10"/>
      <c r="E39" s="10"/>
      <c r="F39" s="10"/>
      <c r="G39" s="10"/>
      <c r="H39" s="10"/>
      <c r="I39" s="10"/>
      <c r="J39" s="10"/>
    </row>
    <row r="40" spans="1:10" ht="41.25" thickBot="1">
      <c r="A40" s="156" t="s">
        <v>223</v>
      </c>
      <c r="B40" s="155" t="s">
        <v>215</v>
      </c>
      <c r="C40" s="154" t="s">
        <v>227</v>
      </c>
      <c r="D40" s="155" t="s">
        <v>218</v>
      </c>
      <c r="E40" s="155" t="s">
        <v>219</v>
      </c>
      <c r="F40" s="155" t="s">
        <v>421</v>
      </c>
      <c r="G40" s="153" t="s">
        <v>216</v>
      </c>
      <c r="H40" s="10"/>
      <c r="I40" s="10"/>
      <c r="J40" s="10"/>
    </row>
    <row r="41" spans="1:10" ht="16.5">
      <c r="A41" s="150"/>
      <c r="B41" s="107"/>
      <c r="C41" s="107"/>
      <c r="D41" s="107"/>
      <c r="E41" s="107"/>
      <c r="F41" s="107"/>
      <c r="G41" s="151"/>
      <c r="H41" s="10"/>
      <c r="I41" s="10"/>
      <c r="J41" s="10"/>
    </row>
    <row r="42" spans="1:10" ht="17.25">
      <c r="A42" s="194" t="s">
        <v>423</v>
      </c>
      <c r="B42" s="207">
        <f>+B16</f>
        <v>2.9100000000000001E-2</v>
      </c>
      <c r="C42" s="203">
        <f>+C16</f>
        <v>1.59</v>
      </c>
      <c r="D42" s="195">
        <f>+B42*C42*0.75</f>
        <v>3.4701750000000003E-2</v>
      </c>
      <c r="E42" s="207">
        <f>+B42*0.25</f>
        <v>7.2750000000000002E-3</v>
      </c>
      <c r="F42" s="195">
        <f>+E16</f>
        <v>4.1099999999999998E-2</v>
      </c>
      <c r="G42" s="196">
        <f>+D42+E42+F42</f>
        <v>8.3076750000000005E-2</v>
      </c>
      <c r="H42" s="10"/>
      <c r="I42" s="10"/>
      <c r="J42" s="10"/>
    </row>
    <row r="43" spans="1:10" ht="17.25">
      <c r="A43" s="194" t="s">
        <v>424</v>
      </c>
      <c r="B43" s="207">
        <f>+B17</f>
        <v>3.0800000000000001E-2</v>
      </c>
      <c r="C43" s="203">
        <f>+C17</f>
        <v>1.59</v>
      </c>
      <c r="D43" s="195">
        <f>+B43*C43*0.75</f>
        <v>3.6728999999999998E-2</v>
      </c>
      <c r="E43" s="207">
        <f>+B43*0.25</f>
        <v>7.7000000000000002E-3</v>
      </c>
      <c r="F43" s="195">
        <f>+E17</f>
        <v>4.1099999999999998E-2</v>
      </c>
      <c r="G43" s="196">
        <f>+D43+E43+F43</f>
        <v>8.5528999999999994E-2</v>
      </c>
      <c r="H43" s="10"/>
      <c r="I43" s="10"/>
      <c r="J43" s="10"/>
    </row>
    <row r="44" spans="1:10" ht="17.25">
      <c r="A44" s="197"/>
      <c r="B44" s="103"/>
      <c r="C44" s="103"/>
      <c r="D44" s="103"/>
      <c r="E44" s="103"/>
      <c r="F44" s="103"/>
      <c r="G44" s="198"/>
      <c r="H44" s="10"/>
      <c r="I44" s="10"/>
      <c r="J44" s="10"/>
    </row>
    <row r="45" spans="1:10" ht="17.25">
      <c r="A45" s="194" t="str">
        <f t="shared" ref="A45:C46" si="2">+A19</f>
        <v>Damodaran Implied ERP Ex Ante   Trailing 12 mo Cash Yield (3)</v>
      </c>
      <c r="B45" s="207">
        <f t="shared" si="2"/>
        <v>4.5999999999999999E-2</v>
      </c>
      <c r="C45" s="203">
        <f t="shared" si="2"/>
        <v>1.59</v>
      </c>
      <c r="D45" s="195">
        <f>+B45*C45*0.75</f>
        <v>5.4855000000000001E-2</v>
      </c>
      <c r="E45" s="207">
        <f>+B45*0.25</f>
        <v>1.15E-2</v>
      </c>
      <c r="F45" s="195">
        <f>+E19</f>
        <v>4.1099999999999998E-2</v>
      </c>
      <c r="G45" s="196">
        <f>+D45+E45+F45</f>
        <v>0.10745499999999999</v>
      </c>
      <c r="H45" s="10"/>
      <c r="I45" s="10"/>
      <c r="J45" s="10"/>
    </row>
    <row r="46" spans="1:10" ht="17.25">
      <c r="A46" s="194" t="str">
        <f t="shared" si="2"/>
        <v>Damodaran Implied ERP Ex Ante   Avg CF Yield Last 10 Yrs (3)</v>
      </c>
      <c r="B46" s="207">
        <f t="shared" si="2"/>
        <v>6.0699999999999997E-2</v>
      </c>
      <c r="C46" s="203">
        <f t="shared" si="2"/>
        <v>1.59</v>
      </c>
      <c r="D46" s="195">
        <f>+B46*C46*0.75</f>
        <v>7.2384749999999998E-2</v>
      </c>
      <c r="E46" s="207">
        <f>+B46*0.25</f>
        <v>1.5174999999999999E-2</v>
      </c>
      <c r="F46" s="195">
        <f>+E20</f>
        <v>4.1099999999999998E-2</v>
      </c>
      <c r="G46" s="196">
        <f>+D46+E46+F46</f>
        <v>0.12865974999999999</v>
      </c>
      <c r="H46" s="10"/>
      <c r="I46" s="10"/>
      <c r="J46" s="10"/>
    </row>
    <row r="47" spans="1:10" ht="17.25">
      <c r="A47" s="194" t="str">
        <f t="shared" ref="A47:C48" si="3">+A21</f>
        <v>Damodaran Implied ERP Ex Ante   Net Cash Yield (3)</v>
      </c>
      <c r="B47" s="207">
        <f t="shared" si="3"/>
        <v>4.4299999999999999E-2</v>
      </c>
      <c r="C47" s="203">
        <f t="shared" si="3"/>
        <v>1.59</v>
      </c>
      <c r="D47" s="195">
        <f>+B47*C47*0.75</f>
        <v>5.282775E-2</v>
      </c>
      <c r="E47" s="207">
        <f>+B47*0.25</f>
        <v>1.1075E-2</v>
      </c>
      <c r="F47" s="195">
        <f>+E21</f>
        <v>4.1099999999999998E-2</v>
      </c>
      <c r="G47" s="196">
        <f>+D47+E47+F47</f>
        <v>0.10500274999999999</v>
      </c>
      <c r="H47" s="10"/>
      <c r="I47" s="10"/>
      <c r="J47" s="10"/>
    </row>
    <row r="48" spans="1:10" ht="17.25">
      <c r="A48" s="194" t="str">
        <f t="shared" si="3"/>
        <v>Damodaran Implied ERP Ex Ante   Norm. Earnings &amp; Payout (3)</v>
      </c>
      <c r="B48" s="207">
        <f t="shared" si="3"/>
        <v>4.2900000000000001E-2</v>
      </c>
      <c r="C48" s="203">
        <f t="shared" si="3"/>
        <v>1.59</v>
      </c>
      <c r="D48" s="195">
        <f>+B48*C48*0.75</f>
        <v>5.1158250000000002E-2</v>
      </c>
      <c r="E48" s="207">
        <f>+B48*0.25</f>
        <v>1.0725E-2</v>
      </c>
      <c r="F48" s="195">
        <f>+E22</f>
        <v>4.1099999999999998E-2</v>
      </c>
      <c r="G48" s="196">
        <f>+D48+E48+F48</f>
        <v>0.10298325</v>
      </c>
      <c r="H48" s="10"/>
      <c r="I48" s="10"/>
      <c r="J48" s="10"/>
    </row>
    <row r="49" spans="1:10" ht="17.25">
      <c r="A49" s="194" t="s">
        <v>0</v>
      </c>
      <c r="B49" s="207" t="s">
        <v>0</v>
      </c>
      <c r="C49" s="195" t="s">
        <v>0</v>
      </c>
      <c r="D49" s="195" t="s">
        <v>0</v>
      </c>
      <c r="E49" s="207" t="s">
        <v>0</v>
      </c>
      <c r="F49" s="195" t="s">
        <v>0</v>
      </c>
      <c r="G49" s="196" t="s">
        <v>0</v>
      </c>
      <c r="H49" s="10"/>
      <c r="I49" s="10"/>
      <c r="J49" s="10"/>
    </row>
    <row r="50" spans="1:10" ht="17.25">
      <c r="A50" s="194" t="s">
        <v>220</v>
      </c>
      <c r="B50" s="207">
        <f>+B24</f>
        <v>4.9399999999999999E-2</v>
      </c>
      <c r="C50" s="203">
        <f>+C24</f>
        <v>1.59</v>
      </c>
      <c r="D50" s="195">
        <f>+B50*C50*0.75</f>
        <v>5.8909500000000004E-2</v>
      </c>
      <c r="E50" s="207">
        <f>+B50*0.25</f>
        <v>1.235E-2</v>
      </c>
      <c r="F50" s="195">
        <f>+E24</f>
        <v>4.1099999999999998E-2</v>
      </c>
      <c r="G50" s="196">
        <f>+D50+E50+F50</f>
        <v>0.1123595</v>
      </c>
    </row>
    <row r="51" spans="1:10" ht="17.25">
      <c r="A51" s="194" t="s">
        <v>0</v>
      </c>
      <c r="B51" s="207" t="s">
        <v>0</v>
      </c>
      <c r="C51" s="195" t="s">
        <v>0</v>
      </c>
      <c r="D51" s="195" t="s">
        <v>0</v>
      </c>
      <c r="E51" s="207" t="s">
        <v>0</v>
      </c>
      <c r="F51" s="195" t="s">
        <v>0</v>
      </c>
      <c r="G51" s="196" t="s">
        <v>0</v>
      </c>
    </row>
    <row r="52" spans="1:10" ht="17.25">
      <c r="A52" s="194" t="s">
        <v>459</v>
      </c>
      <c r="B52" s="207">
        <f>+B26</f>
        <v>5.7000000000000002E-2</v>
      </c>
      <c r="C52" s="203">
        <f>+C26</f>
        <v>1.59</v>
      </c>
      <c r="D52" s="195">
        <f>+B52*C52*0.75</f>
        <v>6.7972500000000005E-2</v>
      </c>
      <c r="E52" s="207">
        <f>+B52*0.25</f>
        <v>1.4250000000000001E-2</v>
      </c>
      <c r="F52" s="195">
        <f>+E26</f>
        <v>4.1099999999999998E-2</v>
      </c>
      <c r="G52" s="196">
        <f>+D52+E52+F52</f>
        <v>0.1233225</v>
      </c>
    </row>
    <row r="53" spans="1:10" ht="17.25">
      <c r="A53" s="194" t="s">
        <v>0</v>
      </c>
      <c r="B53" s="207" t="s">
        <v>0</v>
      </c>
      <c r="C53" s="195" t="s">
        <v>0</v>
      </c>
      <c r="D53" s="195" t="s">
        <v>0</v>
      </c>
      <c r="E53" s="207" t="s">
        <v>0</v>
      </c>
      <c r="F53" s="195" t="s">
        <v>0</v>
      </c>
      <c r="G53" s="196" t="s">
        <v>0</v>
      </c>
    </row>
    <row r="54" spans="1:10" ht="17.25">
      <c r="A54" s="194" t="s">
        <v>221</v>
      </c>
      <c r="B54" s="207">
        <f>+B28</f>
        <v>6.4500000000000002E-2</v>
      </c>
      <c r="C54" s="203">
        <f>+C28</f>
        <v>1.59</v>
      </c>
      <c r="D54" s="195">
        <f>+B54*C54*0.75</f>
        <v>7.6916250000000005E-2</v>
      </c>
      <c r="E54" s="207">
        <f>+B54*0.25</f>
        <v>1.6125E-2</v>
      </c>
      <c r="F54" s="195">
        <f>+E28</f>
        <v>4.1099999999999998E-2</v>
      </c>
      <c r="G54" s="196">
        <f>+D54+E54+F54</f>
        <v>0.13414124999999999</v>
      </c>
    </row>
    <row r="55" spans="1:10" ht="17.25">
      <c r="A55" s="194" t="s">
        <v>222</v>
      </c>
      <c r="B55" s="207">
        <f>+B29</f>
        <v>5.1900000000000002E-2</v>
      </c>
      <c r="C55" s="203">
        <f>+C29</f>
        <v>1.59</v>
      </c>
      <c r="D55" s="195">
        <f>+B55*C55*0.75</f>
        <v>6.1890750000000008E-2</v>
      </c>
      <c r="E55" s="207">
        <f>+B55*0.25</f>
        <v>1.2975E-2</v>
      </c>
      <c r="F55" s="195">
        <f>+E29</f>
        <v>4.1099999999999998E-2</v>
      </c>
      <c r="G55" s="196">
        <f>+D55+E55+F55</f>
        <v>0.11596575000000001</v>
      </c>
    </row>
    <row r="56" spans="1:10" ht="17.25">
      <c r="A56" s="194"/>
      <c r="B56" s="207"/>
      <c r="C56" s="203"/>
      <c r="D56" s="195"/>
      <c r="E56" s="207"/>
      <c r="F56" s="195"/>
      <c r="G56" s="196"/>
    </row>
    <row r="57" spans="1:10" ht="17.25">
      <c r="A57" s="194" t="str">
        <f t="shared" ref="A57:C58" si="4">+A31</f>
        <v>KROLL Ex Post  - ERP Historical (8)</v>
      </c>
      <c r="B57" s="207">
        <f t="shared" si="4"/>
        <v>7.17E-2</v>
      </c>
      <c r="C57" s="203">
        <f t="shared" si="4"/>
        <v>1.59</v>
      </c>
      <c r="D57" s="195">
        <f>+B57*C57*0.75</f>
        <v>8.5502250000000002E-2</v>
      </c>
      <c r="E57" s="207">
        <f>+B57*0.25</f>
        <v>1.7925E-2</v>
      </c>
      <c r="F57" s="195">
        <f>+E31</f>
        <v>4.1099999999999998E-2</v>
      </c>
      <c r="G57" s="196">
        <f>+D57+E57+F57</f>
        <v>0.14452725</v>
      </c>
    </row>
    <row r="58" spans="1:10" ht="17.25">
      <c r="A58" s="194" t="str">
        <f t="shared" si="4"/>
        <v>KROLL Ex Post - ERP Supply Side (8)</v>
      </c>
      <c r="B58" s="207">
        <f t="shared" si="4"/>
        <v>6.2199999999999998E-2</v>
      </c>
      <c r="C58" s="203">
        <f t="shared" si="4"/>
        <v>1.59</v>
      </c>
      <c r="D58" s="195">
        <f>+B58*C58*0.75</f>
        <v>7.4173500000000003E-2</v>
      </c>
      <c r="E58" s="207">
        <f>+B58*0.25</f>
        <v>1.555E-2</v>
      </c>
      <c r="F58" s="195">
        <f>+E32</f>
        <v>4.1099999999999998E-2</v>
      </c>
      <c r="G58" s="196">
        <f>+D58+E58+F58</f>
        <v>0.13082349999999998</v>
      </c>
    </row>
    <row r="59" spans="1:10" ht="17.25">
      <c r="A59" s="194" t="str">
        <f>+A33</f>
        <v>KROLL Ex Ante - ERP Conditional (8)</v>
      </c>
      <c r="B59" s="207">
        <f>+B33</f>
        <v>5.5E-2</v>
      </c>
      <c r="C59" s="203">
        <f>+C29</f>
        <v>1.59</v>
      </c>
      <c r="D59" s="195">
        <f>+B59*C59*0.75</f>
        <v>6.5587499999999993E-2</v>
      </c>
      <c r="E59" s="207">
        <f>+B59*0.25</f>
        <v>1.375E-2</v>
      </c>
      <c r="F59" s="195">
        <f>+E33</f>
        <v>4.1099999999999998E-2</v>
      </c>
      <c r="G59" s="196">
        <f>+D59+E59+F59</f>
        <v>0.12043749999999999</v>
      </c>
    </row>
    <row r="60" spans="1:10" ht="17.25">
      <c r="A60" s="194"/>
      <c r="B60" s="207"/>
      <c r="C60" s="203"/>
      <c r="D60" s="195"/>
      <c r="E60" s="207"/>
      <c r="F60" s="195"/>
      <c r="G60" s="196"/>
    </row>
    <row r="61" spans="1:10" ht="17.25">
      <c r="A61" s="450" t="s">
        <v>433</v>
      </c>
      <c r="B61" s="451">
        <f>+B35</f>
        <v>0</v>
      </c>
      <c r="C61" s="203">
        <f>+C33</f>
        <v>1.59</v>
      </c>
      <c r="D61" s="195">
        <f>+B61*C61*0.75</f>
        <v>0</v>
      </c>
      <c r="E61" s="207">
        <f>+B61*0.25</f>
        <v>0</v>
      </c>
      <c r="F61" s="195">
        <f>+E35</f>
        <v>0</v>
      </c>
      <c r="G61" s="196">
        <f>+D61+E61+F61</f>
        <v>0</v>
      </c>
    </row>
    <row r="62" spans="1:10" ht="15.75" thickBot="1">
      <c r="A62" s="290"/>
      <c r="B62" s="148"/>
      <c r="C62" s="148"/>
      <c r="D62" s="148"/>
      <c r="E62" s="148"/>
      <c r="F62" s="148"/>
      <c r="G62" s="291"/>
    </row>
    <row r="64" spans="1:10" ht="17.25">
      <c r="A64" s="60" t="s">
        <v>71</v>
      </c>
      <c r="E64" s="206" t="s">
        <v>0</v>
      </c>
    </row>
    <row r="65" spans="1:7">
      <c r="A65" s="158" t="s">
        <v>0</v>
      </c>
      <c r="E65" s="206" t="s">
        <v>0</v>
      </c>
    </row>
    <row r="66" spans="1:7" ht="16.5">
      <c r="A66" s="41" t="s">
        <v>434</v>
      </c>
      <c r="B66" s="10"/>
      <c r="C66" s="10"/>
      <c r="D66" s="10"/>
      <c r="E66" s="10"/>
      <c r="F66" s="10"/>
      <c r="G66" s="10"/>
    </row>
    <row r="67" spans="1:7" ht="16.5">
      <c r="A67" s="41" t="s">
        <v>0</v>
      </c>
      <c r="B67" s="10"/>
      <c r="C67" s="10"/>
      <c r="D67" s="10"/>
      <c r="E67" s="10"/>
      <c r="F67" s="10"/>
      <c r="G67" s="10"/>
    </row>
    <row r="68" spans="1:7" ht="16.5">
      <c r="A68" s="41" t="s">
        <v>499</v>
      </c>
      <c r="B68" s="10"/>
      <c r="C68" s="10"/>
      <c r="D68" s="10"/>
      <c r="E68" s="10"/>
      <c r="F68" s="10"/>
      <c r="G68" s="10"/>
    </row>
    <row r="69" spans="1:7" ht="16.5">
      <c r="A69" s="445" t="s">
        <v>435</v>
      </c>
      <c r="C69" s="10"/>
      <c r="D69" s="10"/>
      <c r="E69" s="10"/>
      <c r="F69" s="10"/>
      <c r="G69" s="10"/>
    </row>
    <row r="70" spans="1:7" ht="16.5">
      <c r="A70" s="41" t="s">
        <v>0</v>
      </c>
      <c r="B70" s="10"/>
      <c r="C70" s="10"/>
      <c r="D70" s="10"/>
      <c r="E70" s="10"/>
      <c r="F70" s="10"/>
      <c r="G70" s="10"/>
    </row>
    <row r="71" spans="1:7" ht="16.5">
      <c r="A71" s="41" t="s">
        <v>500</v>
      </c>
      <c r="B71" s="10"/>
      <c r="C71" s="10"/>
      <c r="D71" s="10"/>
      <c r="E71" s="10"/>
      <c r="F71" s="10"/>
      <c r="G71" s="10"/>
    </row>
    <row r="72" spans="1:7" ht="16.5">
      <c r="A72" s="445" t="s">
        <v>436</v>
      </c>
      <c r="B72" s="10"/>
      <c r="C72" s="10"/>
      <c r="D72" s="10"/>
      <c r="E72" s="10"/>
      <c r="F72" s="10"/>
      <c r="G72" s="10"/>
    </row>
    <row r="73" spans="1:7" ht="16.5">
      <c r="A73" s="41"/>
      <c r="B73" s="10"/>
      <c r="C73" s="10"/>
      <c r="D73" s="10"/>
      <c r="E73" s="10"/>
      <c r="F73" s="10"/>
      <c r="G73" s="10"/>
    </row>
    <row r="74" spans="1:7" ht="16.5">
      <c r="A74" s="41" t="s">
        <v>501</v>
      </c>
      <c r="B74" s="10"/>
      <c r="C74" s="10"/>
      <c r="D74" s="10"/>
      <c r="E74" s="10"/>
      <c r="F74" s="10"/>
      <c r="G74" s="10"/>
    </row>
    <row r="75" spans="1:7" ht="16.5">
      <c r="A75" s="445" t="s">
        <v>502</v>
      </c>
      <c r="B75" s="10"/>
      <c r="C75" s="10"/>
      <c r="D75" s="10"/>
      <c r="E75" s="10"/>
      <c r="F75" s="10"/>
      <c r="G75" s="10"/>
    </row>
    <row r="76" spans="1:7" ht="16.5">
      <c r="A76" s="41"/>
      <c r="B76" s="10"/>
      <c r="C76" s="10"/>
      <c r="D76" s="10"/>
      <c r="E76" s="10"/>
      <c r="F76" s="10"/>
      <c r="G76" s="10"/>
    </row>
    <row r="77" spans="1:7" ht="16.5">
      <c r="A77" s="41" t="s">
        <v>503</v>
      </c>
      <c r="B77" s="10"/>
      <c r="C77" s="10"/>
      <c r="D77" s="10"/>
      <c r="E77" s="10"/>
      <c r="F77" s="10"/>
      <c r="G77" s="10"/>
    </row>
    <row r="78" spans="1:7" ht="16.5">
      <c r="A78" s="445" t="s">
        <v>437</v>
      </c>
      <c r="B78" s="10"/>
      <c r="C78" s="10"/>
      <c r="D78" s="10"/>
      <c r="E78" s="10"/>
      <c r="F78" s="10"/>
      <c r="G78" s="10"/>
    </row>
    <row r="79" spans="1:7" ht="16.5">
      <c r="A79" s="41"/>
    </row>
    <row r="80" spans="1:7" ht="16.5">
      <c r="A80" s="41" t="s">
        <v>504</v>
      </c>
    </row>
    <row r="81" spans="1:8" ht="16.5">
      <c r="A81" s="41" t="s">
        <v>0</v>
      </c>
    </row>
    <row r="82" spans="1:8" ht="16.5">
      <c r="A82" s="41" t="s">
        <v>505</v>
      </c>
      <c r="H82" s="10"/>
    </row>
    <row r="83" spans="1:8" ht="16.5">
      <c r="A83" s="445" t="s">
        <v>438</v>
      </c>
      <c r="H83" s="10"/>
    </row>
    <row r="84" spans="1:8" ht="21" thickBot="1">
      <c r="A84" s="149"/>
      <c r="B84" s="149"/>
      <c r="C84" s="149"/>
      <c r="D84" s="26"/>
      <c r="E84" s="34"/>
      <c r="F84" s="26"/>
      <c r="G84" s="148"/>
      <c r="H84" s="10"/>
    </row>
  </sheetData>
  <hyperlinks>
    <hyperlink ref="A83" r:id="rId1" xr:uid="{06858455-6BF2-4C2C-BA73-E370A1DE23C2}"/>
    <hyperlink ref="A78" r:id="rId2" xr:uid="{93BFC264-C94F-4D7C-8FBC-235E62DEEABD}"/>
    <hyperlink ref="A69" r:id="rId3" xr:uid="{B2B17137-3C86-4CCC-B872-F443DB7DB23E}"/>
    <hyperlink ref="A72" r:id="rId4" xr:uid="{78483440-3224-46C2-8526-C685F70A725F}"/>
    <hyperlink ref="A75" r:id="rId5" xr:uid="{23206441-BB36-4616-9F12-BFF489C6AEE8}"/>
  </hyperlinks>
  <pageMargins left="0.25" right="0.25" top="0.75" bottom="0.75" header="0.3" footer="0.3"/>
  <pageSetup scale="40"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EEAA8-BBA3-479C-8851-708BD7E9A4CD}">
  <sheetPr>
    <tabColor rgb="FF92D050"/>
  </sheetPr>
  <dimension ref="A1:K47"/>
  <sheetViews>
    <sheetView view="pageBreakPreview" topLeftCell="A7" zoomScale="70" zoomScaleNormal="80" zoomScaleSheetLayoutView="70" workbookViewId="0">
      <selection activeCell="I33" sqref="I33"/>
    </sheetView>
  </sheetViews>
  <sheetFormatPr defaultRowHeight="15"/>
  <cols>
    <col min="1" max="1" width="45.140625" customWidth="1"/>
    <col min="2" max="2" width="10.85546875" bestFit="1" customWidth="1"/>
    <col min="3" max="3" width="19.140625" bestFit="1" customWidth="1"/>
    <col min="4" max="4" width="15.28515625" customWidth="1"/>
    <col min="5" max="5" width="27.140625" customWidth="1"/>
    <col min="6" max="6" width="22" customWidth="1"/>
    <col min="7" max="7" width="29.28515625" customWidth="1"/>
    <col min="8" max="8" width="37" customWidth="1"/>
    <col min="9" max="9" width="24.5703125" customWidth="1"/>
    <col min="10" max="10" width="24.140625" customWidth="1"/>
    <col min="12" max="12" width="10.5703125" customWidth="1"/>
  </cols>
  <sheetData>
    <row r="1" spans="1:11" ht="26.25">
      <c r="A1" s="21" t="s">
        <v>1</v>
      </c>
      <c r="B1" s="10"/>
      <c r="C1" s="10"/>
      <c r="D1" s="10"/>
      <c r="E1" s="10"/>
      <c r="F1" s="10"/>
      <c r="G1" s="10"/>
      <c r="H1" s="10"/>
      <c r="I1" s="10"/>
      <c r="J1" s="10"/>
      <c r="K1" s="10"/>
    </row>
    <row r="2" spans="1:11" ht="17.25">
      <c r="A2" s="22" t="s">
        <v>9</v>
      </c>
      <c r="B2" s="10"/>
      <c r="C2" s="10"/>
      <c r="D2" s="10"/>
      <c r="E2" s="10"/>
      <c r="F2" s="10"/>
      <c r="G2" s="10"/>
      <c r="H2" s="10"/>
      <c r="I2" s="10"/>
      <c r="J2" s="10"/>
      <c r="K2" s="10"/>
    </row>
    <row r="3" spans="1:11" ht="16.5">
      <c r="A3" s="23" t="s">
        <v>467</v>
      </c>
      <c r="B3" s="10"/>
      <c r="C3" s="10"/>
      <c r="D3" s="10"/>
      <c r="E3" s="10"/>
      <c r="F3" s="10"/>
      <c r="G3" s="10"/>
      <c r="H3" s="10"/>
      <c r="I3" s="10"/>
      <c r="J3" s="10"/>
      <c r="K3" s="10"/>
    </row>
    <row r="4" spans="1:11" ht="16.5">
      <c r="A4" s="23"/>
      <c r="B4" s="10"/>
      <c r="C4" s="10"/>
      <c r="D4" s="10"/>
      <c r="E4" s="10"/>
      <c r="F4" s="10"/>
      <c r="G4" s="10"/>
      <c r="H4" s="10"/>
      <c r="I4" s="10"/>
      <c r="J4" s="10"/>
      <c r="K4" s="10"/>
    </row>
    <row r="5" spans="1:11" ht="17.25" thickBot="1">
      <c r="A5" s="10"/>
      <c r="B5" s="10"/>
      <c r="C5" s="10"/>
      <c r="D5" s="10"/>
      <c r="E5" s="10"/>
      <c r="F5" s="10" t="s">
        <v>0</v>
      </c>
      <c r="G5" s="10"/>
      <c r="H5" s="24"/>
      <c r="I5" s="10"/>
      <c r="J5" s="10"/>
      <c r="K5" s="10"/>
    </row>
    <row r="6" spans="1:11" ht="18" thickBot="1">
      <c r="A6" s="262" t="str">
        <f>+'S&amp;D'!A12</f>
        <v>Air Passenger Carriers</v>
      </c>
      <c r="B6" s="193"/>
      <c r="C6" s="10"/>
      <c r="D6" s="26"/>
      <c r="E6" s="26"/>
      <c r="F6" s="26"/>
      <c r="G6" s="27" t="s">
        <v>0</v>
      </c>
      <c r="H6" s="26"/>
      <c r="I6" s="10"/>
      <c r="J6" s="10"/>
      <c r="K6" s="10"/>
    </row>
    <row r="7" spans="1:11" ht="26.25">
      <c r="A7" s="28"/>
      <c r="B7" s="10"/>
      <c r="C7" s="10"/>
      <c r="D7" s="10"/>
      <c r="E7" s="10"/>
      <c r="F7" s="29" t="s">
        <v>422</v>
      </c>
      <c r="G7" s="10"/>
      <c r="H7" s="10"/>
      <c r="I7" s="10"/>
      <c r="J7" s="10"/>
      <c r="K7" s="10"/>
    </row>
    <row r="8" spans="1:11" ht="21" thickBot="1">
      <c r="A8" s="28"/>
      <c r="B8" s="10"/>
      <c r="C8" s="10"/>
      <c r="D8" s="26"/>
      <c r="E8" s="26"/>
      <c r="F8" s="30" t="s">
        <v>469</v>
      </c>
      <c r="G8" s="26"/>
      <c r="H8" s="26"/>
      <c r="I8" s="10"/>
      <c r="J8" s="10"/>
      <c r="K8" s="10"/>
    </row>
    <row r="9" spans="1:11" ht="17.25" thickBot="1">
      <c r="A9" s="31" t="s">
        <v>0</v>
      </c>
      <c r="B9" s="31" t="s">
        <v>0</v>
      </c>
      <c r="C9" s="31" t="s">
        <v>0</v>
      </c>
      <c r="D9" s="26"/>
      <c r="E9" s="31"/>
      <c r="F9" s="31" t="s">
        <v>0</v>
      </c>
      <c r="G9" s="31"/>
      <c r="H9" s="26"/>
      <c r="I9" s="26"/>
      <c r="J9" s="26"/>
      <c r="K9" s="10"/>
    </row>
    <row r="10" spans="1:11" ht="16.5">
      <c r="A10" s="32" t="s">
        <v>0</v>
      </c>
      <c r="B10" s="32" t="s">
        <v>3</v>
      </c>
      <c r="C10" s="32" t="s">
        <v>5</v>
      </c>
      <c r="D10" s="32" t="s">
        <v>166</v>
      </c>
      <c r="E10" s="32" t="s">
        <v>12</v>
      </c>
      <c r="F10" s="32" t="s">
        <v>177</v>
      </c>
      <c r="G10" s="32" t="s">
        <v>178</v>
      </c>
      <c r="H10" s="32" t="s">
        <v>178</v>
      </c>
      <c r="I10" s="32" t="s">
        <v>174</v>
      </c>
      <c r="J10" s="32" t="s">
        <v>174</v>
      </c>
      <c r="K10" s="10"/>
    </row>
    <row r="11" spans="1:11" ht="16.5">
      <c r="A11" s="32" t="s">
        <v>2</v>
      </c>
      <c r="B11" s="32" t="s">
        <v>4</v>
      </c>
      <c r="C11" s="32" t="s">
        <v>6</v>
      </c>
      <c r="D11" s="32" t="s">
        <v>206</v>
      </c>
      <c r="E11" s="32" t="s">
        <v>14</v>
      </c>
      <c r="F11" s="32" t="s">
        <v>376</v>
      </c>
      <c r="G11" s="32" t="s">
        <v>207</v>
      </c>
      <c r="H11" s="32" t="s">
        <v>208</v>
      </c>
      <c r="I11" s="32" t="s">
        <v>169</v>
      </c>
      <c r="J11" s="32" t="s">
        <v>172</v>
      </c>
      <c r="K11" s="10"/>
    </row>
    <row r="12" spans="1:11" ht="16.5">
      <c r="A12" s="32"/>
      <c r="B12" s="32"/>
      <c r="C12" s="32"/>
      <c r="D12" s="32"/>
      <c r="E12" s="32"/>
      <c r="F12" s="33" t="s">
        <v>0</v>
      </c>
      <c r="G12" s="33" t="s">
        <v>416</v>
      </c>
      <c r="H12" s="33" t="s">
        <v>416</v>
      </c>
      <c r="I12" s="32"/>
      <c r="J12" s="32"/>
      <c r="K12" s="10"/>
    </row>
    <row r="13" spans="1:11" ht="17.25" thickBot="1">
      <c r="A13" s="34" t="s">
        <v>24</v>
      </c>
      <c r="B13" s="35" t="s">
        <v>88</v>
      </c>
      <c r="C13" s="35" t="s">
        <v>89</v>
      </c>
      <c r="D13" s="35" t="s">
        <v>90</v>
      </c>
      <c r="E13" s="35" t="s">
        <v>91</v>
      </c>
      <c r="F13" s="35" t="s">
        <v>92</v>
      </c>
      <c r="G13" s="35" t="s">
        <v>93</v>
      </c>
      <c r="H13" s="35" t="s">
        <v>94</v>
      </c>
      <c r="I13" s="35" t="s">
        <v>175</v>
      </c>
      <c r="J13" s="35" t="s">
        <v>176</v>
      </c>
      <c r="K13" s="10"/>
    </row>
    <row r="14" spans="1:11" ht="16.5">
      <c r="A14" s="36" t="s">
        <v>7</v>
      </c>
      <c r="B14" s="36" t="s">
        <v>7</v>
      </c>
      <c r="C14" s="36" t="s">
        <v>7</v>
      </c>
      <c r="D14" s="37" t="s">
        <v>112</v>
      </c>
      <c r="E14" s="37"/>
      <c r="F14" s="36" t="s">
        <v>0</v>
      </c>
      <c r="G14" s="36" t="s">
        <v>7</v>
      </c>
      <c r="H14" s="36" t="s">
        <v>7</v>
      </c>
      <c r="I14" s="36" t="s">
        <v>15</v>
      </c>
      <c r="J14" s="36" t="s">
        <v>15</v>
      </c>
      <c r="K14" s="10"/>
    </row>
    <row r="15" spans="1:11" ht="16.5">
      <c r="A15" s="32"/>
      <c r="B15" s="32"/>
      <c r="C15" s="32"/>
      <c r="D15" s="32"/>
      <c r="E15" s="32"/>
      <c r="F15" s="32"/>
      <c r="G15" s="32"/>
      <c r="H15" s="10"/>
      <c r="I15" s="10"/>
      <c r="J15" s="10"/>
      <c r="K15" s="10"/>
    </row>
    <row r="16" spans="1:11" ht="16.5">
      <c r="A16" s="10"/>
      <c r="B16" s="10"/>
      <c r="C16" s="10"/>
      <c r="D16" s="10"/>
      <c r="E16" s="10"/>
      <c r="F16" s="10"/>
      <c r="G16" s="10"/>
      <c r="H16" s="10"/>
      <c r="I16" s="10"/>
      <c r="J16" s="10"/>
      <c r="K16" s="10"/>
    </row>
    <row r="17" spans="1:11" ht="17.25">
      <c r="A17" s="60" t="str">
        <f>+'S&amp;D'!A22</f>
        <v xml:space="preserve">Alaska Air </v>
      </c>
      <c r="B17" s="87" t="str">
        <f>+'S&amp;D'!B22</f>
        <v>ALK</v>
      </c>
      <c r="C17" s="87" t="str">
        <f>+'S&amp;D'!C22</f>
        <v>AirTrans</v>
      </c>
      <c r="D17" s="57">
        <f>+'S&amp;D'!G22</f>
        <v>39.07</v>
      </c>
      <c r="E17" s="58">
        <f>+'S&amp;D'!D40</f>
        <v>4423500555.3199997</v>
      </c>
      <c r="F17" s="352" t="str">
        <f>+'Dividends '!H16</f>
        <v>na</v>
      </c>
      <c r="G17" s="63">
        <v>0.45</v>
      </c>
      <c r="H17" s="365" t="s">
        <v>523</v>
      </c>
      <c r="I17" s="385" t="s">
        <v>419</v>
      </c>
      <c r="J17" s="385" t="s">
        <v>419</v>
      </c>
      <c r="K17" s="10"/>
    </row>
    <row r="18" spans="1:11" ht="17.25">
      <c r="A18" s="60" t="str">
        <f>+'S&amp;D'!A23</f>
        <v xml:space="preserve">Allegiant Travel Co. </v>
      </c>
      <c r="B18" s="87" t="str">
        <f>+'S&amp;D'!B23</f>
        <v>ALGT</v>
      </c>
      <c r="C18" s="87" t="str">
        <f>+'S&amp;D'!C23</f>
        <v>AirTrans</v>
      </c>
      <c r="D18" s="57">
        <f>+'S&amp;D'!G23</f>
        <v>82.61</v>
      </c>
      <c r="E18" s="58">
        <f>+'S&amp;D'!D41</f>
        <v>911713451.76999998</v>
      </c>
      <c r="F18" s="51">
        <f>+'Dividends '!H17</f>
        <v>2.9052172860428518E-2</v>
      </c>
      <c r="G18" s="365" t="s">
        <v>523</v>
      </c>
      <c r="H18" s="365" t="s">
        <v>523</v>
      </c>
      <c r="I18" s="385" t="s">
        <v>419</v>
      </c>
      <c r="J18" s="385" t="s">
        <v>419</v>
      </c>
      <c r="K18" s="10"/>
    </row>
    <row r="19" spans="1:11" ht="17.25">
      <c r="A19" s="60" t="str">
        <f>+'S&amp;D'!A24</f>
        <v xml:space="preserve">American Airlines </v>
      </c>
      <c r="B19" s="87" t="str">
        <f>+'S&amp;D'!B24</f>
        <v>AAL</v>
      </c>
      <c r="C19" s="87" t="str">
        <f>+'S&amp;D'!C24</f>
        <v>AirTrans</v>
      </c>
      <c r="D19" s="57">
        <f>+'S&amp;D'!G24</f>
        <v>13.74</v>
      </c>
      <c r="E19" s="58">
        <f>+'S&amp;D'!D42</f>
        <v>8989713658.0799999</v>
      </c>
      <c r="F19" s="352" t="str">
        <f>+'Dividends '!H18</f>
        <v>na</v>
      </c>
      <c r="G19" s="365" t="s">
        <v>523</v>
      </c>
      <c r="H19" s="365" t="s">
        <v>523</v>
      </c>
      <c r="I19" s="385" t="s">
        <v>419</v>
      </c>
      <c r="J19" s="385" t="s">
        <v>419</v>
      </c>
      <c r="K19" s="10"/>
    </row>
    <row r="20" spans="1:11" ht="17.25">
      <c r="A20" s="60" t="str">
        <f>+'S&amp;D'!A25</f>
        <v xml:space="preserve">Delta Air Lines </v>
      </c>
      <c r="B20" s="87" t="str">
        <f>+'S&amp;D'!B25</f>
        <v>DAL</v>
      </c>
      <c r="C20" s="87" t="str">
        <f>+'S&amp;D'!C25</f>
        <v>AirTrans</v>
      </c>
      <c r="D20" s="57">
        <f>+'S&amp;D'!G25</f>
        <v>40.229999999999997</v>
      </c>
      <c r="E20" s="58">
        <f>+'S&amp;D'!D43</f>
        <v>25885870718.039997</v>
      </c>
      <c r="F20" s="51">
        <f>+'Dividends '!H19</f>
        <v>1.1931394481730053E-2</v>
      </c>
      <c r="G20" s="63" t="s">
        <v>523</v>
      </c>
      <c r="H20" s="365" t="s">
        <v>523</v>
      </c>
      <c r="I20" s="385" t="s">
        <v>419</v>
      </c>
      <c r="J20" s="385" t="s">
        <v>419</v>
      </c>
      <c r="K20" s="10"/>
    </row>
    <row r="21" spans="1:11" ht="17.25">
      <c r="A21" s="60" t="str">
        <f>+'S&amp;D'!A26</f>
        <v xml:space="preserve">JetBlue Airways </v>
      </c>
      <c r="B21" s="87" t="str">
        <f>+'S&amp;D'!B26</f>
        <v>JBLU</v>
      </c>
      <c r="C21" s="87" t="str">
        <f>+'S&amp;D'!C26</f>
        <v>AirTrans</v>
      </c>
      <c r="D21" s="57">
        <f>+'S&amp;D'!G26</f>
        <v>5.55</v>
      </c>
      <c r="E21" s="58">
        <f>+'S&amp;D'!D44</f>
        <v>999000000</v>
      </c>
      <c r="F21" s="352" t="str">
        <f>+'Dividends '!H20</f>
        <v>na</v>
      </c>
      <c r="G21" s="365" t="s">
        <v>522</v>
      </c>
      <c r="H21" s="365" t="s">
        <v>523</v>
      </c>
      <c r="I21" s="385" t="s">
        <v>419</v>
      </c>
      <c r="J21" s="385" t="s">
        <v>419</v>
      </c>
      <c r="K21" s="10"/>
    </row>
    <row r="22" spans="1:11" ht="17.25">
      <c r="A22" s="60" t="str">
        <f>+'S&amp;D'!A27</f>
        <v>Skywest Inc</v>
      </c>
      <c r="B22" s="87" t="str">
        <f>+'S&amp;D'!B27</f>
        <v>SKYW</v>
      </c>
      <c r="C22" s="87" t="str">
        <f>+'S&amp;D'!C27</f>
        <v>AirTrans</v>
      </c>
      <c r="D22" s="57">
        <f>+'S&amp;D'!G27</f>
        <v>52.2</v>
      </c>
      <c r="E22" s="58">
        <f>+'S&amp;D'!D45</f>
        <v>2099746305</v>
      </c>
      <c r="F22" s="352" t="str">
        <f>+'Dividends '!H21</f>
        <v>na</v>
      </c>
      <c r="G22" s="63">
        <v>0.315</v>
      </c>
      <c r="H22" s="63">
        <v>0.23499999999999999</v>
      </c>
      <c r="I22" s="385" t="s">
        <v>419</v>
      </c>
      <c r="J22" s="385" t="s">
        <v>419</v>
      </c>
      <c r="K22" s="10"/>
    </row>
    <row r="23" spans="1:11" ht="17.25">
      <c r="A23" s="60" t="str">
        <f>+'S&amp;D'!A28</f>
        <v xml:space="preserve">Southwest Airlines </v>
      </c>
      <c r="B23" s="87" t="str">
        <f>+'S&amp;D'!B28</f>
        <v>LUV</v>
      </c>
      <c r="C23" s="87" t="str">
        <f>+'S&amp;D'!C28</f>
        <v>AirTrans</v>
      </c>
      <c r="D23" s="57">
        <f>+'S&amp;D'!G28</f>
        <v>28.88</v>
      </c>
      <c r="E23" s="58">
        <f>+'S&amp;D'!D46</f>
        <v>17227284841.040001</v>
      </c>
      <c r="F23" s="51">
        <f>+'Dividends '!H22</f>
        <v>3.0470914127423823E-2</v>
      </c>
      <c r="G23" s="63">
        <v>0.31</v>
      </c>
      <c r="H23" s="365" t="s">
        <v>523</v>
      </c>
      <c r="I23" s="305">
        <f>+F23+G23</f>
        <v>0.34047091412742381</v>
      </c>
      <c r="J23" s="385" t="s">
        <v>419</v>
      </c>
      <c r="K23" s="10"/>
    </row>
    <row r="24" spans="1:11" ht="17.25">
      <c r="A24" s="60" t="str">
        <f>+'S&amp;D'!A29</f>
        <v xml:space="preserve">Spirit Airlines </v>
      </c>
      <c r="B24" s="87" t="str">
        <f>+'S&amp;D'!B29</f>
        <v>SAVE</v>
      </c>
      <c r="C24" s="87" t="str">
        <f>+'S&amp;D'!C29</f>
        <v>AirTrans</v>
      </c>
      <c r="D24" s="57">
        <f>+'S&amp;D'!G29</f>
        <v>15.94</v>
      </c>
      <c r="E24" s="58">
        <f>+'S&amp;D'!D47</f>
        <v>1709124259</v>
      </c>
      <c r="F24" s="352" t="str">
        <f>+'Dividends '!H23</f>
        <v>na</v>
      </c>
      <c r="G24" s="365" t="s">
        <v>522</v>
      </c>
      <c r="H24" s="365" t="s">
        <v>523</v>
      </c>
      <c r="I24" s="385" t="s">
        <v>419</v>
      </c>
      <c r="J24" s="385" t="s">
        <v>419</v>
      </c>
      <c r="K24" s="10"/>
    </row>
    <row r="25" spans="1:11" ht="18" thickBot="1">
      <c r="A25" s="60" t="str">
        <f>+'S&amp;D'!A30</f>
        <v>United Airlines Holdings Inc</v>
      </c>
      <c r="B25" s="87" t="str">
        <f>+'S&amp;D'!B30</f>
        <v>UAL</v>
      </c>
      <c r="C25" s="87" t="str">
        <f>+'S&amp;D'!C30</f>
        <v>AirTrans</v>
      </c>
      <c r="D25" s="57">
        <f>+'S&amp;D'!G30</f>
        <v>41.26</v>
      </c>
      <c r="E25" s="58">
        <f>+'S&amp;D'!D48</f>
        <v>13534053171.139999</v>
      </c>
      <c r="F25" s="387" t="str">
        <f>+'Dividends '!H24</f>
        <v>na</v>
      </c>
      <c r="G25" s="366" t="s">
        <v>522</v>
      </c>
      <c r="H25" s="366" t="s">
        <v>523</v>
      </c>
      <c r="I25" s="386" t="s">
        <v>419</v>
      </c>
      <c r="J25" s="386" t="s">
        <v>419</v>
      </c>
      <c r="K25" s="10"/>
    </row>
    <row r="26" spans="1:11" ht="17.25" thickTop="1">
      <c r="A26" s="10"/>
      <c r="B26" s="10"/>
      <c r="C26" s="12" t="s">
        <v>0</v>
      </c>
      <c r="D26" s="13" t="s">
        <v>0</v>
      </c>
      <c r="E26" s="13" t="s">
        <v>45</v>
      </c>
      <c r="F26" s="494">
        <f>MAX(F17:F25)</f>
        <v>3.0470914127423823E-2</v>
      </c>
      <c r="G26" s="356">
        <f t="shared" ref="G26:J26" si="0">MAX(G17:G25)</f>
        <v>0.45</v>
      </c>
      <c r="H26" s="356">
        <f t="shared" si="0"/>
        <v>0.23499999999999999</v>
      </c>
      <c r="I26" s="356">
        <f t="shared" si="0"/>
        <v>0.34047091412742381</v>
      </c>
      <c r="J26" s="14">
        <f t="shared" si="0"/>
        <v>0</v>
      </c>
      <c r="K26" s="10"/>
    </row>
    <row r="27" spans="1:11" ht="16.5">
      <c r="A27" s="10"/>
      <c r="B27" s="10"/>
      <c r="C27" s="12"/>
      <c r="D27" s="13"/>
      <c r="E27" s="13" t="s">
        <v>46</v>
      </c>
      <c r="F27" s="493">
        <f>MIN(F17:F25)</f>
        <v>1.1931394481730053E-2</v>
      </c>
      <c r="G27" s="355">
        <f t="shared" ref="G27:J27" si="1">MIN(G17:G25)</f>
        <v>0.31</v>
      </c>
      <c r="H27" s="355">
        <f t="shared" si="1"/>
        <v>0.23499999999999999</v>
      </c>
      <c r="I27" s="355">
        <f t="shared" si="1"/>
        <v>0.34047091412742381</v>
      </c>
      <c r="J27" s="308">
        <f t="shared" si="1"/>
        <v>0</v>
      </c>
      <c r="K27" s="10"/>
    </row>
    <row r="28" spans="1:11" ht="16.5">
      <c r="A28" s="10"/>
      <c r="B28" s="10"/>
      <c r="D28" s="15" t="s">
        <v>0</v>
      </c>
      <c r="E28" s="12" t="s">
        <v>18</v>
      </c>
      <c r="F28" s="52">
        <f>MEDIAN(F17:F25)</f>
        <v>2.9052172860428518E-2</v>
      </c>
      <c r="G28" s="301">
        <f>MEDIAN(G17:G25)</f>
        <v>0.315</v>
      </c>
      <c r="H28" s="301">
        <f>MEDIAN(H17:H25)</f>
        <v>0.23499999999999999</v>
      </c>
      <c r="I28" s="302">
        <f>MEDIAN(I17:I25)</f>
        <v>0.34047091412742381</v>
      </c>
      <c r="J28" s="302" t="e">
        <f>MEDIAN(J17:J25)</f>
        <v>#NUM!</v>
      </c>
      <c r="K28" s="10"/>
    </row>
    <row r="29" spans="1:11" ht="16.5">
      <c r="A29" s="10"/>
      <c r="B29" s="10"/>
      <c r="D29" s="19" t="s">
        <v>0</v>
      </c>
      <c r="E29" s="12" t="s">
        <v>429</v>
      </c>
      <c r="F29" s="52">
        <f>AVERAGE(F17:F25)</f>
        <v>2.3818160489860796E-2</v>
      </c>
      <c r="G29" s="52">
        <f>AVERAGE(G17:G25)</f>
        <v>0.35833333333333334</v>
      </c>
      <c r="H29" s="301">
        <f>AVERAGE(H17:H25)</f>
        <v>0.23499999999999999</v>
      </c>
      <c r="I29" s="302">
        <f>AVERAGE(I17:I25)</f>
        <v>0.34047091412742381</v>
      </c>
      <c r="J29" s="302" t="e">
        <f>AVERAGE(J17:J25)</f>
        <v>#DIV/0!</v>
      </c>
      <c r="K29" s="10"/>
    </row>
    <row r="30" spans="1:11" ht="16.5">
      <c r="A30" s="10"/>
      <c r="B30" s="10"/>
      <c r="D30" s="19"/>
      <c r="E30" s="12"/>
      <c r="F30" s="16"/>
      <c r="G30" s="16"/>
      <c r="H30" s="17"/>
      <c r="I30" s="18"/>
      <c r="J30" s="18"/>
      <c r="K30" s="10"/>
    </row>
    <row r="31" spans="1:11" ht="17.25" thickBot="1">
      <c r="A31" s="10"/>
      <c r="B31" s="10"/>
      <c r="C31" s="10"/>
      <c r="D31" s="10"/>
      <c r="E31" s="10"/>
      <c r="F31" s="10"/>
      <c r="G31" s="10"/>
      <c r="H31" s="10"/>
      <c r="I31" s="10"/>
      <c r="J31" s="10"/>
      <c r="K31" s="10"/>
    </row>
    <row r="32" spans="1:11" ht="27" thickBot="1">
      <c r="A32" s="10"/>
      <c r="B32" s="10"/>
      <c r="C32" s="10"/>
      <c r="D32" s="10"/>
      <c r="E32" s="10"/>
      <c r="F32" s="10"/>
      <c r="G32" s="190" t="s">
        <v>180</v>
      </c>
      <c r="H32" s="192"/>
      <c r="I32" s="417">
        <v>0.34050000000000002</v>
      </c>
      <c r="J32" s="10"/>
      <c r="K32" s="10"/>
    </row>
    <row r="33" spans="1:11" ht="20.25" customHeight="1" thickBot="1">
      <c r="A33" s="10"/>
      <c r="B33" s="10"/>
      <c r="C33" s="10"/>
      <c r="D33" s="10"/>
      <c r="E33" s="10"/>
      <c r="F33" s="10"/>
      <c r="G33" s="10"/>
      <c r="H33" s="10"/>
      <c r="I33" s="10"/>
      <c r="J33" s="10"/>
      <c r="K33" s="10"/>
    </row>
    <row r="34" spans="1:11" ht="27" thickBot="1">
      <c r="A34" s="10"/>
      <c r="B34" s="10"/>
      <c r="C34" s="10"/>
      <c r="D34" s="10"/>
      <c r="E34" s="10"/>
      <c r="F34" s="10"/>
      <c r="G34" s="190" t="s">
        <v>179</v>
      </c>
      <c r="H34" s="193"/>
      <c r="I34" s="418" t="s">
        <v>419</v>
      </c>
      <c r="J34" s="10"/>
      <c r="K34" s="10"/>
    </row>
    <row r="35" spans="1:11" ht="16.5">
      <c r="A35" s="10"/>
      <c r="B35" s="10"/>
      <c r="C35" s="10"/>
      <c r="D35" s="10"/>
      <c r="E35" s="10"/>
      <c r="F35" s="10"/>
      <c r="G35" s="10"/>
      <c r="H35" s="10"/>
      <c r="I35" s="10"/>
      <c r="J35" s="10"/>
    </row>
    <row r="36" spans="1:11" ht="26.25">
      <c r="A36" s="21" t="s">
        <v>364</v>
      </c>
      <c r="B36" s="10"/>
      <c r="C36" s="21" t="s">
        <v>363</v>
      </c>
      <c r="D36" s="10"/>
      <c r="E36" s="10"/>
      <c r="F36" s="10"/>
      <c r="G36" s="10"/>
      <c r="H36" s="10"/>
      <c r="I36" s="10"/>
      <c r="J36" s="10"/>
    </row>
    <row r="37" spans="1:11" ht="17.25">
      <c r="A37" s="60" t="s">
        <v>367</v>
      </c>
      <c r="B37" s="10"/>
      <c r="C37" s="60" t="s">
        <v>367</v>
      </c>
      <c r="D37" s="10"/>
      <c r="E37" s="10"/>
      <c r="F37" s="10"/>
      <c r="G37" s="10"/>
      <c r="H37" s="10"/>
      <c r="I37" s="10"/>
      <c r="J37" s="10"/>
    </row>
    <row r="38" spans="1:11" ht="17.25">
      <c r="A38" s="60" t="s">
        <v>366</v>
      </c>
      <c r="B38" s="10"/>
      <c r="C38" s="60" t="s">
        <v>365</v>
      </c>
      <c r="D38" s="10"/>
      <c r="E38" s="10"/>
      <c r="F38" s="10"/>
      <c r="G38" s="10"/>
      <c r="H38" s="10"/>
      <c r="I38" s="10"/>
      <c r="J38" s="10"/>
    </row>
    <row r="39" spans="1:11" ht="16.5">
      <c r="A39" s="41"/>
      <c r="B39" s="10"/>
      <c r="C39" s="41"/>
      <c r="D39" s="10"/>
      <c r="E39" s="10"/>
      <c r="F39" s="10"/>
      <c r="G39" s="10"/>
      <c r="H39" s="10"/>
      <c r="I39" s="10"/>
      <c r="J39" s="10"/>
    </row>
    <row r="40" spans="1:11" ht="16.5">
      <c r="A40" s="41"/>
      <c r="B40" s="10"/>
      <c r="C40" s="41"/>
      <c r="D40" s="10"/>
      <c r="E40" s="10"/>
      <c r="F40" s="10"/>
      <c r="G40" s="10"/>
      <c r="H40" s="10"/>
      <c r="I40" s="10"/>
      <c r="J40" s="10"/>
    </row>
    <row r="41" spans="1:11" ht="26.25">
      <c r="A41" s="21" t="s">
        <v>203</v>
      </c>
      <c r="B41" s="10"/>
      <c r="C41" s="21" t="s">
        <v>203</v>
      </c>
      <c r="D41" s="10"/>
      <c r="E41" s="10"/>
      <c r="F41" s="10"/>
      <c r="G41" s="10"/>
      <c r="H41" s="10"/>
      <c r="I41" s="10"/>
      <c r="J41" s="10"/>
    </row>
    <row r="42" spans="1:11" ht="16.5">
      <c r="A42" s="41"/>
      <c r="B42" s="10"/>
      <c r="C42" s="41"/>
      <c r="D42" s="10"/>
      <c r="E42" s="10"/>
      <c r="F42" s="10"/>
      <c r="G42" s="10"/>
      <c r="H42" s="10"/>
      <c r="I42" s="10"/>
      <c r="J42" s="10"/>
    </row>
    <row r="43" spans="1:11" ht="17.25">
      <c r="A43" s="60" t="s">
        <v>204</v>
      </c>
      <c r="B43" s="10"/>
      <c r="C43" s="60" t="s">
        <v>204</v>
      </c>
      <c r="D43" s="10"/>
      <c r="E43" s="10"/>
      <c r="F43" s="10"/>
      <c r="G43" s="10"/>
      <c r="H43" s="10"/>
      <c r="I43" s="10"/>
      <c r="J43" s="10"/>
    </row>
    <row r="44" spans="1:11" ht="17.25">
      <c r="A44" s="60" t="s">
        <v>202</v>
      </c>
      <c r="B44" s="10"/>
      <c r="C44" s="60" t="s">
        <v>202</v>
      </c>
      <c r="D44" s="10"/>
      <c r="E44" s="10"/>
      <c r="F44" s="10"/>
      <c r="G44" s="10"/>
      <c r="H44" s="10"/>
      <c r="I44" s="10"/>
      <c r="J44" s="10"/>
    </row>
    <row r="45" spans="1:11" ht="17.25">
      <c r="A45" s="60" t="s">
        <v>205</v>
      </c>
      <c r="B45" s="10"/>
      <c r="C45" s="60" t="s">
        <v>205</v>
      </c>
      <c r="D45" s="10"/>
      <c r="E45" s="10"/>
      <c r="F45" s="10"/>
      <c r="G45" s="10"/>
      <c r="H45" s="10"/>
      <c r="I45" s="10"/>
      <c r="J45" s="10"/>
    </row>
    <row r="46" spans="1:11" ht="17.25">
      <c r="A46" s="60" t="s">
        <v>369</v>
      </c>
      <c r="B46" s="10"/>
      <c r="C46" s="60" t="s">
        <v>368</v>
      </c>
      <c r="D46" s="10"/>
      <c r="E46" s="10"/>
      <c r="F46" s="10"/>
      <c r="G46" s="10"/>
      <c r="H46" s="10"/>
      <c r="I46" s="10"/>
      <c r="J46" s="10"/>
    </row>
    <row r="47" spans="1:11" ht="17.25">
      <c r="A47" s="60"/>
      <c r="B47" s="10"/>
      <c r="C47" s="60"/>
      <c r="D47" s="10"/>
      <c r="E47" s="10"/>
      <c r="F47" s="10"/>
      <c r="G47" s="10"/>
      <c r="H47" s="10"/>
      <c r="I47" s="10"/>
      <c r="J47" s="10"/>
    </row>
  </sheetData>
  <pageMargins left="0.25" right="0.25" top="0.75" bottom="0.75" header="0.3" footer="0.3"/>
  <pageSetup scale="5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50D5-3409-4DE1-88B0-B66A1BCAC2E5}">
  <sheetPr>
    <tabColor rgb="FF92D050"/>
  </sheetPr>
  <dimension ref="A1:K109"/>
  <sheetViews>
    <sheetView view="pageBreakPreview" topLeftCell="A12" zoomScale="70" zoomScaleNormal="80" zoomScaleSheetLayoutView="70" workbookViewId="0">
      <selection activeCell="I29" sqref="I29"/>
    </sheetView>
  </sheetViews>
  <sheetFormatPr defaultRowHeight="15"/>
  <cols>
    <col min="1" max="1" width="47.85546875" customWidth="1"/>
    <col min="2" max="2" width="15.28515625" customWidth="1"/>
    <col min="3" max="3" width="24.5703125" customWidth="1"/>
    <col min="4" max="4" width="26.5703125" customWidth="1"/>
    <col min="5" max="5" width="32.28515625" customWidth="1"/>
    <col min="6" max="6" width="22.42578125" customWidth="1"/>
    <col min="7" max="7" width="27" customWidth="1"/>
    <col min="8" max="8" width="39.85546875" customWidth="1"/>
    <col min="9" max="9" width="15.28515625" customWidth="1"/>
    <col min="10" max="10" width="24.5703125" customWidth="1"/>
    <col min="11" max="11" width="24.140625" customWidth="1"/>
    <col min="13" max="13" width="10.5703125" customWidth="1"/>
  </cols>
  <sheetData>
    <row r="1" spans="1:9" ht="26.25">
      <c r="A1" s="21" t="s">
        <v>1</v>
      </c>
      <c r="B1" s="10"/>
      <c r="C1" s="10"/>
      <c r="D1" s="10"/>
      <c r="E1" s="10"/>
      <c r="F1" s="10"/>
      <c r="G1" s="10"/>
      <c r="H1" s="10"/>
      <c r="I1" s="10"/>
    </row>
    <row r="2" spans="1:9" ht="17.25">
      <c r="A2" s="22" t="s">
        <v>9</v>
      </c>
      <c r="B2" s="10"/>
      <c r="C2" s="10"/>
      <c r="D2" s="10"/>
      <c r="E2" s="10"/>
      <c r="F2" s="10"/>
      <c r="G2" s="10"/>
      <c r="H2" s="10"/>
      <c r="I2" s="10"/>
    </row>
    <row r="3" spans="1:9" ht="16.5">
      <c r="A3" s="23" t="s">
        <v>467</v>
      </c>
      <c r="B3" s="10"/>
      <c r="C3" s="10"/>
      <c r="D3" s="10"/>
      <c r="E3" s="10"/>
      <c r="F3" s="10"/>
      <c r="G3" s="10"/>
      <c r="H3" s="10"/>
      <c r="I3" s="10"/>
    </row>
    <row r="4" spans="1:9" ht="16.5">
      <c r="A4" s="23"/>
      <c r="B4" s="10"/>
      <c r="C4" s="10"/>
      <c r="D4" s="10"/>
      <c r="E4" s="10"/>
      <c r="F4" s="10"/>
      <c r="G4" s="10"/>
      <c r="H4" s="10"/>
      <c r="I4" s="10"/>
    </row>
    <row r="5" spans="1:9" ht="17.25" thickBot="1">
      <c r="A5" s="10"/>
      <c r="B5" s="10"/>
      <c r="C5" s="10"/>
      <c r="D5" s="10"/>
      <c r="E5" s="10"/>
      <c r="F5" s="10"/>
      <c r="G5" s="10"/>
      <c r="H5" s="10"/>
      <c r="I5" s="24"/>
    </row>
    <row r="6" spans="1:9" ht="21" thickBot="1">
      <c r="A6" s="260" t="str">
        <f>+'S&amp;D'!A12</f>
        <v>Air Passenger Carriers</v>
      </c>
      <c r="B6" s="193"/>
      <c r="C6" s="10"/>
      <c r="D6" s="10"/>
      <c r="E6" s="10"/>
      <c r="F6" s="10"/>
      <c r="G6" s="10"/>
      <c r="H6" s="10"/>
      <c r="I6" s="10"/>
    </row>
    <row r="7" spans="1:9" ht="20.25">
      <c r="A7" s="28"/>
      <c r="B7" s="10"/>
      <c r="C7" s="10"/>
      <c r="D7" s="10"/>
      <c r="E7" s="10"/>
      <c r="F7" s="10"/>
      <c r="G7" s="10"/>
      <c r="H7" s="10"/>
      <c r="I7" s="10"/>
    </row>
    <row r="8" spans="1:9" ht="21" thickBot="1">
      <c r="A8" s="28"/>
      <c r="B8" s="10"/>
      <c r="C8" s="10"/>
      <c r="D8" s="26"/>
      <c r="E8" s="26"/>
      <c r="F8" s="26"/>
      <c r="G8" s="10"/>
      <c r="H8" s="10"/>
      <c r="I8" s="10"/>
    </row>
    <row r="9" spans="1:9" ht="26.25">
      <c r="A9" s="28"/>
      <c r="B9" s="10"/>
      <c r="C9" s="10"/>
      <c r="D9" s="10"/>
      <c r="E9" s="29" t="s">
        <v>181</v>
      </c>
      <c r="F9" s="10"/>
      <c r="G9" s="10"/>
      <c r="H9" s="10"/>
      <c r="I9" s="10"/>
    </row>
    <row r="10" spans="1:9" ht="21" thickBot="1">
      <c r="A10" s="28"/>
      <c r="B10" s="10"/>
      <c r="C10" s="10"/>
      <c r="D10" s="26"/>
      <c r="E10" s="30" t="s">
        <v>469</v>
      </c>
      <c r="F10" s="26"/>
      <c r="G10" s="10"/>
      <c r="H10" s="10"/>
      <c r="I10" s="10"/>
    </row>
    <row r="11" spans="1:9" ht="20.25">
      <c r="A11" s="28"/>
      <c r="B11" s="10"/>
      <c r="C11" s="10"/>
      <c r="D11" s="10"/>
      <c r="E11" s="10"/>
      <c r="F11" s="32"/>
      <c r="G11" s="32"/>
      <c r="H11" s="10"/>
      <c r="I11" s="10"/>
    </row>
    <row r="12" spans="1:9" ht="20.25">
      <c r="A12" s="28"/>
      <c r="B12" s="10"/>
      <c r="C12" s="10"/>
      <c r="D12" s="10" t="s">
        <v>0</v>
      </c>
      <c r="E12" s="10"/>
      <c r="F12" s="32"/>
      <c r="G12" s="32"/>
      <c r="H12" s="10"/>
      <c r="I12" s="10"/>
    </row>
    <row r="13" spans="1:9" ht="45.75" customHeight="1" thickBot="1">
      <c r="A13" s="31" t="s">
        <v>0</v>
      </c>
      <c r="B13" s="31" t="s">
        <v>0</v>
      </c>
      <c r="C13" s="31" t="s">
        <v>0</v>
      </c>
      <c r="D13" s="26"/>
      <c r="E13" s="26"/>
      <c r="F13" s="31" t="s">
        <v>0</v>
      </c>
      <c r="G13" s="31"/>
      <c r="H13" s="31"/>
      <c r="I13" s="10"/>
    </row>
    <row r="14" spans="1:9" ht="16.5">
      <c r="A14" s="32" t="s">
        <v>0</v>
      </c>
      <c r="B14" s="32" t="s">
        <v>3</v>
      </c>
      <c r="C14" s="32" t="s">
        <v>5</v>
      </c>
      <c r="D14" s="32" t="s">
        <v>177</v>
      </c>
      <c r="E14" s="32" t="s">
        <v>178</v>
      </c>
      <c r="F14" s="32" t="s">
        <v>182</v>
      </c>
      <c r="G14" s="32" t="s">
        <v>19</v>
      </c>
      <c r="H14" s="32" t="s">
        <v>184</v>
      </c>
      <c r="I14" s="10"/>
    </row>
    <row r="15" spans="1:9" ht="16.5">
      <c r="A15" s="32" t="s">
        <v>2</v>
      </c>
      <c r="B15" s="32" t="s">
        <v>4</v>
      </c>
      <c r="C15" s="32" t="s">
        <v>6</v>
      </c>
      <c r="D15" s="32" t="s">
        <v>415</v>
      </c>
      <c r="E15" s="32" t="s">
        <v>417</v>
      </c>
      <c r="F15" s="32" t="s">
        <v>127</v>
      </c>
      <c r="G15" s="32" t="s">
        <v>183</v>
      </c>
      <c r="H15" s="32" t="s">
        <v>173</v>
      </c>
      <c r="I15" s="10"/>
    </row>
    <row r="16" spans="1:9" ht="16.5">
      <c r="A16" s="32"/>
      <c r="B16" s="32" t="s">
        <v>0</v>
      </c>
      <c r="C16" s="32" t="s">
        <v>0</v>
      </c>
      <c r="D16" s="32" t="s">
        <v>0</v>
      </c>
      <c r="E16" s="33" t="s">
        <v>416</v>
      </c>
      <c r="F16" s="33" t="s">
        <v>0</v>
      </c>
      <c r="G16" s="32" t="s">
        <v>188</v>
      </c>
      <c r="H16" s="33" t="s">
        <v>189</v>
      </c>
      <c r="I16" s="10"/>
    </row>
    <row r="17" spans="1:11" ht="18" customHeight="1" thickBot="1">
      <c r="A17" s="64" t="s">
        <v>0</v>
      </c>
      <c r="B17" s="35" t="s">
        <v>0</v>
      </c>
      <c r="C17" s="35" t="s">
        <v>0</v>
      </c>
      <c r="D17" s="30" t="s">
        <v>186</v>
      </c>
      <c r="E17" s="30" t="s">
        <v>187</v>
      </c>
      <c r="F17" s="30" t="s">
        <v>185</v>
      </c>
      <c r="G17" s="32" t="s">
        <v>93</v>
      </c>
      <c r="H17" s="148"/>
      <c r="I17" s="10"/>
    </row>
    <row r="18" spans="1:11" ht="16.5">
      <c r="A18" s="36" t="s">
        <v>0</v>
      </c>
      <c r="B18" s="36" t="s">
        <v>0</v>
      </c>
      <c r="C18" s="36" t="s">
        <v>0</v>
      </c>
      <c r="D18" s="36" t="s">
        <v>7</v>
      </c>
      <c r="E18" s="36" t="s">
        <v>7</v>
      </c>
      <c r="F18" s="36" t="s">
        <v>0</v>
      </c>
      <c r="G18" s="65" t="s">
        <v>0</v>
      </c>
      <c r="H18" s="36" t="s">
        <v>0</v>
      </c>
      <c r="I18" s="10"/>
    </row>
    <row r="19" spans="1:11" ht="16.5">
      <c r="A19" s="32"/>
      <c r="B19" s="32"/>
      <c r="C19" s="32"/>
      <c r="D19" s="32"/>
      <c r="E19" s="10"/>
      <c r="F19" s="32"/>
      <c r="G19" s="10"/>
      <c r="H19" s="10"/>
      <c r="I19" s="10"/>
      <c r="J19" t="s">
        <v>0</v>
      </c>
      <c r="K19" t="s">
        <v>0</v>
      </c>
    </row>
    <row r="20" spans="1:11" ht="16.5">
      <c r="A20" s="10"/>
      <c r="B20" s="10"/>
      <c r="C20" s="10"/>
      <c r="D20" s="10"/>
      <c r="E20" s="10"/>
      <c r="F20" s="10"/>
      <c r="G20" s="10"/>
      <c r="H20" s="10" t="s">
        <v>0</v>
      </c>
      <c r="I20" s="10"/>
      <c r="J20" t="s">
        <v>0</v>
      </c>
      <c r="K20" t="s">
        <v>0</v>
      </c>
    </row>
    <row r="21" spans="1:11" ht="17.25">
      <c r="A21" s="60" t="str">
        <f>+'S&amp;D'!A22</f>
        <v xml:space="preserve">Alaska Air </v>
      </c>
      <c r="B21" s="87" t="str">
        <f>+'S&amp;D'!B22</f>
        <v>ALK</v>
      </c>
      <c r="C21" s="32" t="str">
        <f>+'S&amp;D'!C22</f>
        <v>AirTrans</v>
      </c>
      <c r="D21" s="365" t="str">
        <f>+'Single Stage Div Growth Model'!F17</f>
        <v>na</v>
      </c>
      <c r="E21" s="365" t="str">
        <f>+'Single Stage Div Growth Model'!H17</f>
        <v>nmf</v>
      </c>
      <c r="F21" s="63">
        <f>+'Growth &amp; Inflation Rates'!F93</f>
        <v>4.1099999999999998E-2</v>
      </c>
      <c r="G21" s="365" t="s">
        <v>419</v>
      </c>
      <c r="H21" s="365" t="s">
        <v>419</v>
      </c>
      <c r="I21" s="10"/>
      <c r="J21" t="s">
        <v>0</v>
      </c>
      <c r="K21" t="s">
        <v>0</v>
      </c>
    </row>
    <row r="22" spans="1:11" ht="17.25">
      <c r="A22" s="60" t="str">
        <f>+'S&amp;D'!A23</f>
        <v xml:space="preserve">Allegiant Travel Co. </v>
      </c>
      <c r="B22" s="87" t="str">
        <f>+'S&amp;D'!B23</f>
        <v>ALGT</v>
      </c>
      <c r="C22" s="32" t="str">
        <f>+'S&amp;D'!C23</f>
        <v>AirTrans</v>
      </c>
      <c r="D22" s="365">
        <f>+'Single Stage Div Growth Model'!F18</f>
        <v>2.9052172860428518E-2</v>
      </c>
      <c r="E22" s="365" t="str">
        <f>+'Single Stage Div Growth Model'!H18</f>
        <v>nmf</v>
      </c>
      <c r="F22" s="63">
        <f>+F21</f>
        <v>4.1099999999999998E-2</v>
      </c>
      <c r="G22" s="365" t="s">
        <v>419</v>
      </c>
      <c r="H22" s="365" t="s">
        <v>419</v>
      </c>
      <c r="I22" s="10"/>
    </row>
    <row r="23" spans="1:11" ht="17.25">
      <c r="A23" s="60" t="str">
        <f>+'S&amp;D'!A24</f>
        <v xml:space="preserve">American Airlines </v>
      </c>
      <c r="B23" s="87" t="str">
        <f>+'S&amp;D'!B24</f>
        <v>AAL</v>
      </c>
      <c r="C23" s="32" t="str">
        <f>+'S&amp;D'!C24</f>
        <v>AirTrans</v>
      </c>
      <c r="D23" s="365" t="str">
        <f>+'Single Stage Div Growth Model'!F19</f>
        <v>na</v>
      </c>
      <c r="E23" s="365" t="str">
        <f>+'Single Stage Div Growth Model'!H19</f>
        <v>nmf</v>
      </c>
      <c r="F23" s="63">
        <f>+F21</f>
        <v>4.1099999999999998E-2</v>
      </c>
      <c r="G23" s="365" t="s">
        <v>419</v>
      </c>
      <c r="H23" s="365" t="s">
        <v>419</v>
      </c>
      <c r="I23" s="10"/>
    </row>
    <row r="24" spans="1:11" ht="17.25">
      <c r="A24" s="60" t="str">
        <f>+'S&amp;D'!A25</f>
        <v xml:space="preserve">Delta Air Lines </v>
      </c>
      <c r="B24" s="87" t="str">
        <f>+'S&amp;D'!B25</f>
        <v>DAL</v>
      </c>
      <c r="C24" s="32" t="str">
        <f>+'S&amp;D'!C25</f>
        <v>AirTrans</v>
      </c>
      <c r="D24" s="365">
        <f>+'Single Stage Div Growth Model'!F20</f>
        <v>1.1931394481730053E-2</v>
      </c>
      <c r="E24" s="365" t="str">
        <f>+'Single Stage Div Growth Model'!H20</f>
        <v>nmf</v>
      </c>
      <c r="F24" s="63">
        <f>+F21</f>
        <v>4.1099999999999998E-2</v>
      </c>
      <c r="G24" s="365" t="s">
        <v>419</v>
      </c>
      <c r="H24" s="365" t="s">
        <v>419</v>
      </c>
      <c r="I24" s="10"/>
    </row>
    <row r="25" spans="1:11" ht="17.25">
      <c r="A25" s="60" t="str">
        <f>+'S&amp;D'!A26</f>
        <v xml:space="preserve">JetBlue Airways </v>
      </c>
      <c r="B25" s="87" t="str">
        <f>+'S&amp;D'!B26</f>
        <v>JBLU</v>
      </c>
      <c r="C25" s="32" t="str">
        <f>+'S&amp;D'!C26</f>
        <v>AirTrans</v>
      </c>
      <c r="D25" s="365" t="str">
        <f>+'Single Stage Div Growth Model'!F21</f>
        <v>na</v>
      </c>
      <c r="E25" s="365" t="str">
        <f>+'Single Stage Div Growth Model'!H21</f>
        <v>nmf</v>
      </c>
      <c r="F25" s="63">
        <f>+F21</f>
        <v>4.1099999999999998E-2</v>
      </c>
      <c r="G25" s="365" t="s">
        <v>419</v>
      </c>
      <c r="H25" s="365" t="s">
        <v>419</v>
      </c>
      <c r="I25" s="10"/>
    </row>
    <row r="26" spans="1:11" ht="17.25">
      <c r="A26" s="60" t="str">
        <f>+'S&amp;D'!A27</f>
        <v>Skywest Inc</v>
      </c>
      <c r="B26" s="87" t="str">
        <f>+'S&amp;D'!B27</f>
        <v>SKYW</v>
      </c>
      <c r="C26" s="32" t="str">
        <f>+'S&amp;D'!C27</f>
        <v>AirTrans</v>
      </c>
      <c r="D26" s="365" t="str">
        <f>+'Single Stage Div Growth Model'!F22</f>
        <v>na</v>
      </c>
      <c r="E26" s="63">
        <f>+'Single Stage Div Growth Model'!H22</f>
        <v>0.23499999999999999</v>
      </c>
      <c r="F26" s="63">
        <f>+F21</f>
        <v>4.1099999999999998E-2</v>
      </c>
      <c r="G26" s="63">
        <f>(F26+E26)/2</f>
        <v>0.13805000000000001</v>
      </c>
      <c r="H26" s="365" t="s">
        <v>419</v>
      </c>
      <c r="I26" s="10"/>
    </row>
    <row r="27" spans="1:11" ht="17.25">
      <c r="A27" s="60" t="str">
        <f>+'S&amp;D'!A28</f>
        <v xml:space="preserve">Southwest Airlines </v>
      </c>
      <c r="B27" s="87" t="str">
        <f>+'S&amp;D'!B28</f>
        <v>LUV</v>
      </c>
      <c r="C27" s="32" t="str">
        <f>+'S&amp;D'!C28</f>
        <v>AirTrans</v>
      </c>
      <c r="D27" s="63">
        <f>+'Single Stage Div Growth Model'!F23</f>
        <v>3.0470914127423823E-2</v>
      </c>
      <c r="E27" s="365" t="str">
        <f>+'Single Stage Div Growth Model'!H23</f>
        <v>nmf</v>
      </c>
      <c r="F27" s="63">
        <f>+F21</f>
        <v>4.1099999999999998E-2</v>
      </c>
      <c r="G27" s="365" t="s">
        <v>419</v>
      </c>
      <c r="H27" s="365" t="s">
        <v>419</v>
      </c>
      <c r="I27" s="10"/>
    </row>
    <row r="28" spans="1:11" ht="17.25">
      <c r="A28" s="60" t="str">
        <f>+'S&amp;D'!A29</f>
        <v xml:space="preserve">Spirit Airlines </v>
      </c>
      <c r="B28" s="87" t="str">
        <f>+'S&amp;D'!B29</f>
        <v>SAVE</v>
      </c>
      <c r="C28" s="32" t="str">
        <f>+'S&amp;D'!C29</f>
        <v>AirTrans</v>
      </c>
      <c r="D28" s="365" t="str">
        <f>+'Single Stage Div Growth Model'!F24</f>
        <v>na</v>
      </c>
      <c r="E28" s="365" t="str">
        <f>+'Single Stage Div Growth Model'!H24</f>
        <v>nmf</v>
      </c>
      <c r="F28" s="63">
        <f>+F21</f>
        <v>4.1099999999999998E-2</v>
      </c>
      <c r="G28" s="365" t="s">
        <v>419</v>
      </c>
      <c r="H28" s="365" t="s">
        <v>419</v>
      </c>
      <c r="I28" s="10"/>
    </row>
    <row r="29" spans="1:11" ht="18" thickBot="1">
      <c r="A29" s="60" t="str">
        <f>+'S&amp;D'!A30</f>
        <v>United Airlines Holdings Inc</v>
      </c>
      <c r="B29" s="87" t="str">
        <f>+'S&amp;D'!B30</f>
        <v>UAL</v>
      </c>
      <c r="C29" s="32" t="str">
        <f>+'S&amp;D'!C30</f>
        <v>AirTrans</v>
      </c>
      <c r="D29" s="365" t="str">
        <f>+'Single Stage Div Growth Model'!F25</f>
        <v>na</v>
      </c>
      <c r="E29" s="365" t="str">
        <f>+'Single Stage Div Growth Model'!H25</f>
        <v>nmf</v>
      </c>
      <c r="F29" s="63">
        <f>+F21</f>
        <v>4.1099999999999998E-2</v>
      </c>
      <c r="G29" s="365" t="s">
        <v>419</v>
      </c>
      <c r="H29" s="366" t="s">
        <v>419</v>
      </c>
      <c r="I29" s="10"/>
    </row>
    <row r="30" spans="1:11" ht="17.25" thickTop="1">
      <c r="A30" s="10"/>
      <c r="B30" s="10"/>
      <c r="C30" s="10"/>
      <c r="D30" s="10"/>
      <c r="E30" s="10"/>
      <c r="F30" s="10"/>
      <c r="G30" s="186" t="s">
        <v>45</v>
      </c>
      <c r="H30" s="53">
        <v>0</v>
      </c>
      <c r="I30" s="10"/>
    </row>
    <row r="31" spans="1:11" ht="16.5">
      <c r="A31" s="10"/>
      <c r="B31" s="10"/>
      <c r="C31" s="12" t="s">
        <v>0</v>
      </c>
      <c r="D31" s="13" t="s">
        <v>0</v>
      </c>
      <c r="E31" s="13" t="s">
        <v>0</v>
      </c>
      <c r="F31" s="14" t="s">
        <v>0</v>
      </c>
      <c r="G31" s="308" t="s">
        <v>46</v>
      </c>
      <c r="H31" s="300">
        <v>0</v>
      </c>
      <c r="I31" s="10"/>
    </row>
    <row r="32" spans="1:11" ht="16.5">
      <c r="A32" s="10"/>
      <c r="B32" s="10"/>
      <c r="D32" s="53" t="s">
        <v>0</v>
      </c>
      <c r="E32" s="48" t="s">
        <v>0</v>
      </c>
      <c r="F32" s="48" t="s">
        <v>0</v>
      </c>
      <c r="G32" s="12" t="s">
        <v>18</v>
      </c>
      <c r="H32" s="49" t="e">
        <f>MEDIAN(H21:H29)</f>
        <v>#NUM!</v>
      </c>
      <c r="I32" s="10"/>
    </row>
    <row r="33" spans="1:9" ht="16.5">
      <c r="A33" s="10"/>
      <c r="B33" s="10"/>
      <c r="D33" s="53" t="s">
        <v>0</v>
      </c>
      <c r="E33" s="48" t="s">
        <v>0</v>
      </c>
      <c r="F33" s="53" t="s">
        <v>0</v>
      </c>
      <c r="G33" s="12" t="s">
        <v>429</v>
      </c>
      <c r="H33" s="49" t="e">
        <f>AVERAGE(H21:H29)</f>
        <v>#DIV/0!</v>
      </c>
      <c r="I33" s="10"/>
    </row>
    <row r="34" spans="1:9" ht="16.5">
      <c r="A34" s="10"/>
      <c r="B34" s="10"/>
      <c r="C34" s="12"/>
      <c r="D34" s="16" t="s">
        <v>0</v>
      </c>
      <c r="E34" s="17"/>
      <c r="F34" s="16"/>
      <c r="G34" s="18"/>
      <c r="H34" s="18"/>
      <c r="I34" s="10"/>
    </row>
    <row r="35" spans="1:9" ht="17.25" thickBot="1">
      <c r="A35" s="10"/>
      <c r="B35" s="10"/>
      <c r="C35" s="10"/>
      <c r="D35" s="10"/>
      <c r="E35" s="10"/>
      <c r="F35" s="10"/>
      <c r="G35" s="10"/>
      <c r="H35" s="10"/>
      <c r="I35" s="10"/>
    </row>
    <row r="36" spans="1:9" ht="27" thickBot="1">
      <c r="A36" s="10"/>
      <c r="B36" s="10"/>
      <c r="C36" s="10"/>
      <c r="D36" s="10"/>
      <c r="F36" s="190"/>
      <c r="G36" s="191" t="s">
        <v>237</v>
      </c>
      <c r="H36" s="416" t="s">
        <v>419</v>
      </c>
      <c r="I36" s="10"/>
    </row>
    <row r="37" spans="1:9" ht="16.5">
      <c r="A37" s="10"/>
      <c r="B37" s="10"/>
      <c r="C37" s="10"/>
      <c r="D37" s="10"/>
      <c r="E37" s="10"/>
      <c r="F37" s="10"/>
      <c r="G37" s="10"/>
      <c r="H37" s="10"/>
      <c r="I37" s="10"/>
    </row>
    <row r="38" spans="1:9" ht="27">
      <c r="A38" s="21" t="s">
        <v>0</v>
      </c>
      <c r="B38" s="10"/>
      <c r="C38" s="10"/>
      <c r="D38" s="10"/>
      <c r="E38" s="10"/>
      <c r="F38" s="10"/>
      <c r="G38" s="20" t="s">
        <v>0</v>
      </c>
      <c r="H38" s="10"/>
      <c r="I38" s="10"/>
    </row>
    <row r="39" spans="1:9" ht="16.5">
      <c r="A39" s="41"/>
      <c r="B39" s="10"/>
      <c r="C39" s="10"/>
      <c r="D39" s="10"/>
      <c r="E39" s="10"/>
      <c r="F39" s="10"/>
      <c r="G39" s="10"/>
      <c r="H39" s="10"/>
      <c r="I39" s="10"/>
    </row>
    <row r="40" spans="1:9" ht="26.25">
      <c r="A40" s="21" t="s">
        <v>316</v>
      </c>
      <c r="B40" s="10"/>
      <c r="C40" s="10"/>
      <c r="D40" s="10"/>
      <c r="E40" s="10"/>
      <c r="F40" s="10"/>
      <c r="G40" s="10"/>
      <c r="H40" s="10"/>
      <c r="I40" s="10"/>
    </row>
    <row r="41" spans="1:9" ht="16.5">
      <c r="A41" s="41"/>
      <c r="B41" s="10"/>
      <c r="C41" s="10"/>
      <c r="D41" s="10"/>
      <c r="E41" s="10"/>
      <c r="F41" s="10"/>
      <c r="G41" s="10"/>
      <c r="H41" s="10"/>
      <c r="I41" s="10"/>
    </row>
    <row r="42" spans="1:9" ht="17.25">
      <c r="A42" s="60" t="s">
        <v>204</v>
      </c>
      <c r="B42" s="10"/>
      <c r="C42" s="10"/>
      <c r="D42" s="10"/>
      <c r="E42" s="10"/>
      <c r="F42" s="10"/>
      <c r="G42" s="10"/>
      <c r="H42" s="10"/>
      <c r="I42" s="10"/>
    </row>
    <row r="43" spans="1:9" ht="17.25">
      <c r="A43" s="60" t="s">
        <v>319</v>
      </c>
      <c r="B43" s="10"/>
      <c r="C43" s="10"/>
      <c r="D43" s="10"/>
      <c r="E43" s="10"/>
      <c r="F43" s="10"/>
      <c r="G43" s="10"/>
      <c r="H43" s="10"/>
      <c r="I43" s="10"/>
    </row>
    <row r="44" spans="1:9" ht="17.25">
      <c r="A44" s="60" t="s">
        <v>317</v>
      </c>
      <c r="B44" s="10"/>
      <c r="C44" s="10"/>
      <c r="D44" s="10"/>
      <c r="E44" s="10"/>
      <c r="F44" s="10"/>
      <c r="G44" s="10"/>
      <c r="H44" s="10"/>
      <c r="I44" s="10"/>
    </row>
    <row r="45" spans="1:9" ht="17.25">
      <c r="A45" s="60" t="s">
        <v>318</v>
      </c>
      <c r="B45" s="10"/>
      <c r="C45" s="10"/>
      <c r="D45" s="10"/>
      <c r="E45" s="10"/>
      <c r="F45" s="10"/>
      <c r="G45" s="10"/>
      <c r="H45" s="10"/>
      <c r="I45" s="10"/>
    </row>
    <row r="46" spans="1:9" ht="17.25">
      <c r="A46" s="60" t="s">
        <v>320</v>
      </c>
      <c r="B46" s="10"/>
      <c r="C46" s="10"/>
      <c r="D46" s="10"/>
      <c r="E46" s="10"/>
      <c r="F46" s="10"/>
      <c r="G46" s="10"/>
      <c r="H46" s="10"/>
      <c r="I46" s="10"/>
    </row>
    <row r="47" spans="1:9" ht="16.5">
      <c r="A47" s="10"/>
      <c r="B47" s="10"/>
      <c r="C47" s="10"/>
      <c r="D47" s="10"/>
      <c r="E47" s="10"/>
      <c r="F47" s="10"/>
      <c r="G47" s="10"/>
      <c r="H47" s="10"/>
      <c r="I47" s="10"/>
    </row>
    <row r="48" spans="1:9" ht="16.5">
      <c r="A48" s="10"/>
      <c r="B48" s="10"/>
      <c r="C48" s="10"/>
      <c r="D48" s="10"/>
      <c r="E48" s="10"/>
      <c r="F48" s="10"/>
      <c r="G48" s="10"/>
      <c r="H48" s="10"/>
      <c r="I48" s="10"/>
    </row>
    <row r="49" spans="1:9" ht="16.5">
      <c r="A49" s="10"/>
      <c r="B49" s="10"/>
      <c r="C49" s="10"/>
      <c r="D49" s="10"/>
      <c r="E49" s="10"/>
      <c r="F49" s="10"/>
      <c r="G49" s="10"/>
      <c r="H49" s="10"/>
      <c r="I49" s="10"/>
    </row>
    <row r="50" spans="1:9" ht="16.5">
      <c r="A50" s="10"/>
      <c r="B50" s="10"/>
      <c r="C50" s="10"/>
      <c r="D50" s="10"/>
      <c r="E50" s="10"/>
      <c r="F50" s="10"/>
      <c r="G50" s="10"/>
      <c r="H50" s="10"/>
      <c r="I50" s="10"/>
    </row>
    <row r="51" spans="1:9" ht="16.5">
      <c r="A51" s="10"/>
      <c r="B51" s="10"/>
      <c r="C51" s="10"/>
      <c r="D51" s="10"/>
      <c r="E51" s="10"/>
      <c r="F51" s="10"/>
      <c r="G51" s="10"/>
      <c r="H51" s="10"/>
      <c r="I51" s="10"/>
    </row>
    <row r="52" spans="1:9" ht="16.5">
      <c r="A52" s="10"/>
      <c r="B52" s="10"/>
      <c r="C52" s="10"/>
      <c r="D52" s="10"/>
      <c r="E52" s="10"/>
      <c r="F52" s="10"/>
      <c r="G52" s="10"/>
      <c r="H52" s="10"/>
      <c r="I52" s="10"/>
    </row>
    <row r="53" spans="1:9" ht="16.5">
      <c r="A53" s="10"/>
      <c r="B53" s="10"/>
      <c r="C53" s="10"/>
      <c r="D53" s="10"/>
      <c r="E53" s="10"/>
      <c r="F53" s="10"/>
      <c r="G53" s="10"/>
      <c r="H53" s="10"/>
      <c r="I53" s="10"/>
    </row>
    <row r="54" spans="1:9" ht="16.5">
      <c r="A54" s="10"/>
      <c r="B54" s="10"/>
      <c r="C54" s="10"/>
      <c r="D54" s="10"/>
      <c r="E54" s="10"/>
      <c r="F54" s="10"/>
      <c r="G54" s="10"/>
      <c r="H54" s="10"/>
      <c r="I54" s="10"/>
    </row>
    <row r="55" spans="1:9" ht="16.5">
      <c r="A55" s="10"/>
      <c r="B55" s="10"/>
      <c r="C55" s="10"/>
      <c r="D55" s="10"/>
      <c r="E55" s="10"/>
      <c r="F55" s="10"/>
      <c r="G55" s="10"/>
      <c r="H55" s="10"/>
      <c r="I55" s="10"/>
    </row>
    <row r="56" spans="1:9" ht="16.5">
      <c r="A56" s="10"/>
      <c r="B56" s="10"/>
      <c r="C56" s="10"/>
      <c r="D56" s="10"/>
      <c r="E56" s="10"/>
      <c r="F56" s="10"/>
      <c r="G56" s="10"/>
      <c r="H56" s="10"/>
      <c r="I56" s="10"/>
    </row>
    <row r="57" spans="1:9" ht="16.5">
      <c r="A57" s="10"/>
      <c r="B57" s="10"/>
      <c r="C57" s="10"/>
      <c r="D57" s="10"/>
      <c r="E57" s="10"/>
      <c r="F57" s="10"/>
      <c r="G57" s="10"/>
      <c r="H57" s="10"/>
      <c r="I57" s="10"/>
    </row>
    <row r="58" spans="1:9" ht="16.5">
      <c r="A58" s="10"/>
      <c r="B58" s="10"/>
      <c r="C58" s="10"/>
      <c r="D58" s="10"/>
      <c r="E58" s="10"/>
      <c r="F58" s="10"/>
      <c r="G58" s="10"/>
      <c r="H58" s="10"/>
      <c r="I58" s="10"/>
    </row>
    <row r="59" spans="1:9" ht="16.5">
      <c r="A59" s="10"/>
      <c r="B59" s="10"/>
      <c r="C59" s="10"/>
      <c r="D59" s="10"/>
      <c r="E59" s="10"/>
      <c r="F59" s="10"/>
      <c r="G59" s="10"/>
      <c r="H59" s="10"/>
      <c r="I59" s="10"/>
    </row>
    <row r="60" spans="1:9" ht="16.5">
      <c r="A60" s="10"/>
      <c r="B60" s="10"/>
      <c r="C60" s="10"/>
      <c r="D60" s="10"/>
      <c r="E60" s="10"/>
      <c r="F60" s="10"/>
      <c r="G60" s="10"/>
      <c r="H60" s="10"/>
      <c r="I60" s="10"/>
    </row>
    <row r="61" spans="1:9" ht="16.5">
      <c r="A61" s="10"/>
      <c r="B61" s="10"/>
      <c r="C61" s="10"/>
      <c r="D61" s="10"/>
      <c r="E61" s="10"/>
      <c r="F61" s="10"/>
      <c r="G61" s="10"/>
      <c r="H61" s="10"/>
      <c r="I61" s="10"/>
    </row>
    <row r="62" spans="1:9" ht="16.5">
      <c r="A62" s="10"/>
      <c r="B62" s="10"/>
      <c r="C62" s="10"/>
      <c r="D62" s="10"/>
      <c r="E62" s="10"/>
      <c r="F62" s="10"/>
      <c r="G62" s="10"/>
      <c r="H62" s="10"/>
      <c r="I62" s="10"/>
    </row>
    <row r="63" spans="1:9" ht="16.5">
      <c r="A63" s="10"/>
      <c r="B63" s="10"/>
      <c r="C63" s="10"/>
      <c r="D63" s="10"/>
      <c r="E63" s="10"/>
      <c r="F63" s="10"/>
      <c r="G63" s="10"/>
      <c r="H63" s="10"/>
      <c r="I63" s="10"/>
    </row>
    <row r="64" spans="1:9" ht="16.5">
      <c r="A64" s="10"/>
      <c r="B64" s="10"/>
      <c r="C64" s="10"/>
      <c r="D64" s="10"/>
      <c r="E64" s="10"/>
      <c r="F64" s="10"/>
      <c r="G64" s="10"/>
      <c r="H64" s="10"/>
      <c r="I64" s="10"/>
    </row>
    <row r="65" spans="1:9" ht="16.5">
      <c r="A65" s="10"/>
      <c r="B65" s="10"/>
      <c r="C65" s="10"/>
      <c r="D65" s="10"/>
      <c r="E65" s="10"/>
      <c r="F65" s="10"/>
      <c r="G65" s="10"/>
      <c r="H65" s="10"/>
      <c r="I65" s="10"/>
    </row>
    <row r="66" spans="1:9" ht="16.5">
      <c r="A66" s="10"/>
      <c r="B66" s="10"/>
      <c r="C66" s="10"/>
      <c r="D66" s="10"/>
      <c r="E66" s="10"/>
      <c r="F66" s="10"/>
      <c r="G66" s="10"/>
      <c r="H66" s="10"/>
      <c r="I66" s="10"/>
    </row>
    <row r="67" spans="1:9" ht="16.5">
      <c r="A67" s="10"/>
      <c r="B67" s="10"/>
      <c r="C67" s="10"/>
      <c r="D67" s="10"/>
      <c r="E67" s="10"/>
      <c r="F67" s="10"/>
      <c r="G67" s="10"/>
      <c r="H67" s="10"/>
      <c r="I67" s="10"/>
    </row>
    <row r="68" spans="1:9" ht="16.5">
      <c r="A68" s="10"/>
      <c r="B68" s="10"/>
      <c r="C68" s="10"/>
      <c r="D68" s="10"/>
      <c r="E68" s="10"/>
      <c r="F68" s="10"/>
      <c r="G68" s="10"/>
      <c r="H68" s="10"/>
      <c r="I68" s="10"/>
    </row>
    <row r="69" spans="1:9" ht="16.5">
      <c r="A69" s="10"/>
      <c r="B69" s="10"/>
      <c r="C69" s="10"/>
      <c r="D69" s="10"/>
      <c r="E69" s="10"/>
      <c r="F69" s="10"/>
      <c r="G69" s="10"/>
      <c r="H69" s="10"/>
      <c r="I69" s="10"/>
    </row>
    <row r="70" spans="1:9" ht="16.5">
      <c r="A70" s="10"/>
      <c r="B70" s="10"/>
      <c r="C70" s="10"/>
      <c r="D70" s="10"/>
      <c r="E70" s="10"/>
      <c r="F70" s="10"/>
      <c r="G70" s="10"/>
      <c r="H70" s="10"/>
      <c r="I70" s="10"/>
    </row>
    <row r="71" spans="1:9" ht="16.5">
      <c r="A71" s="10"/>
      <c r="B71" s="10"/>
      <c r="C71" s="10"/>
      <c r="D71" s="10"/>
      <c r="E71" s="10"/>
      <c r="F71" s="10"/>
      <c r="G71" s="10"/>
      <c r="H71" s="10"/>
      <c r="I71" s="10"/>
    </row>
    <row r="72" spans="1:9" ht="16.5">
      <c r="A72" s="10"/>
      <c r="B72" s="10"/>
      <c r="C72" s="10"/>
      <c r="D72" s="10"/>
      <c r="E72" s="10"/>
      <c r="F72" s="10"/>
      <c r="G72" s="10"/>
      <c r="H72" s="10"/>
      <c r="I72" s="10"/>
    </row>
    <row r="73" spans="1:9" ht="16.5">
      <c r="A73" s="10"/>
      <c r="B73" s="10"/>
      <c r="C73" s="10"/>
      <c r="D73" s="10"/>
      <c r="E73" s="10"/>
      <c r="F73" s="10"/>
      <c r="G73" s="10"/>
      <c r="H73" s="10"/>
      <c r="I73" s="10"/>
    </row>
    <row r="74" spans="1:9" ht="16.5">
      <c r="A74" s="10"/>
      <c r="B74" s="10"/>
      <c r="C74" s="10"/>
      <c r="D74" s="10"/>
      <c r="E74" s="10"/>
      <c r="F74" s="10"/>
      <c r="G74" s="10"/>
      <c r="H74" s="10"/>
      <c r="I74" s="10"/>
    </row>
    <row r="75" spans="1:9" ht="16.5">
      <c r="A75" s="10"/>
      <c r="B75" s="10"/>
      <c r="C75" s="10"/>
      <c r="D75" s="10"/>
      <c r="E75" s="10"/>
      <c r="F75" s="10"/>
      <c r="G75" s="10"/>
      <c r="H75" s="10"/>
      <c r="I75" s="10"/>
    </row>
    <row r="76" spans="1:9" ht="16.5">
      <c r="A76" s="10"/>
      <c r="B76" s="10"/>
      <c r="C76" s="10"/>
      <c r="D76" s="10"/>
      <c r="E76" s="10"/>
      <c r="F76" s="10"/>
      <c r="G76" s="10"/>
      <c r="H76" s="10"/>
      <c r="I76" s="10"/>
    </row>
    <row r="77" spans="1:9" ht="16.5">
      <c r="A77" s="10"/>
      <c r="B77" s="10"/>
      <c r="C77" s="10"/>
      <c r="D77" s="10"/>
      <c r="E77" s="10"/>
      <c r="F77" s="10"/>
      <c r="G77" s="10"/>
      <c r="H77" s="10"/>
      <c r="I77" s="10"/>
    </row>
    <row r="78" spans="1:9" ht="16.5">
      <c r="A78" s="10"/>
      <c r="B78" s="10"/>
      <c r="C78" s="10"/>
      <c r="D78" s="10"/>
      <c r="E78" s="10"/>
      <c r="F78" s="10"/>
      <c r="G78" s="10"/>
      <c r="H78" s="10"/>
      <c r="I78" s="10"/>
    </row>
    <row r="79" spans="1:9" ht="16.5">
      <c r="A79" s="10"/>
      <c r="B79" s="10"/>
      <c r="C79" s="10"/>
      <c r="D79" s="10"/>
      <c r="E79" s="10"/>
      <c r="F79" s="10"/>
      <c r="G79" s="10"/>
      <c r="H79" s="10"/>
      <c r="I79" s="10"/>
    </row>
    <row r="80" spans="1:9" ht="16.5">
      <c r="A80" s="10"/>
      <c r="B80" s="10"/>
      <c r="C80" s="10"/>
      <c r="D80" s="10"/>
      <c r="E80" s="10"/>
      <c r="F80" s="10"/>
      <c r="G80" s="10"/>
      <c r="H80" s="10"/>
      <c r="I80" s="10"/>
    </row>
    <row r="81" spans="1:9" ht="16.5">
      <c r="A81" s="10"/>
      <c r="B81" s="10"/>
      <c r="C81" s="10"/>
      <c r="D81" s="10"/>
      <c r="E81" s="10"/>
      <c r="F81" s="10"/>
      <c r="G81" s="10"/>
      <c r="H81" s="10"/>
      <c r="I81" s="10"/>
    </row>
    <row r="82" spans="1:9" ht="16.5">
      <c r="A82" s="10"/>
      <c r="B82" s="10"/>
      <c r="C82" s="10"/>
      <c r="D82" s="10"/>
      <c r="E82" s="10"/>
      <c r="F82" s="10"/>
      <c r="G82" s="10"/>
      <c r="H82" s="10"/>
      <c r="I82" s="10"/>
    </row>
    <row r="83" spans="1:9" ht="16.5">
      <c r="A83" s="10"/>
      <c r="B83" s="10"/>
      <c r="C83" s="10"/>
      <c r="D83" s="10"/>
      <c r="E83" s="10"/>
      <c r="F83" s="10"/>
      <c r="G83" s="10"/>
      <c r="H83" s="10"/>
      <c r="I83" s="10"/>
    </row>
    <row r="84" spans="1:9" ht="16.5">
      <c r="A84" s="10"/>
      <c r="B84" s="10"/>
      <c r="C84" s="10"/>
      <c r="D84" s="10"/>
      <c r="E84" s="10"/>
      <c r="F84" s="10"/>
      <c r="G84" s="10"/>
      <c r="H84" s="10"/>
      <c r="I84" s="10"/>
    </row>
    <row r="85" spans="1:9" ht="16.5">
      <c r="A85" s="10"/>
      <c r="B85" s="10"/>
      <c r="C85" s="10"/>
      <c r="D85" s="10"/>
      <c r="E85" s="10"/>
      <c r="F85" s="10"/>
      <c r="G85" s="10"/>
      <c r="H85" s="10"/>
      <c r="I85" s="10"/>
    </row>
    <row r="86" spans="1:9" ht="16.5">
      <c r="A86" s="10"/>
      <c r="B86" s="10"/>
      <c r="C86" s="10"/>
      <c r="D86" s="10"/>
      <c r="E86" s="10"/>
      <c r="F86" s="10"/>
      <c r="G86" s="10"/>
      <c r="H86" s="10"/>
      <c r="I86" s="10"/>
    </row>
    <row r="87" spans="1:9" ht="16.5">
      <c r="A87" s="10"/>
      <c r="B87" s="10"/>
      <c r="C87" s="10"/>
      <c r="D87" s="10"/>
      <c r="E87" s="10"/>
      <c r="F87" s="10"/>
      <c r="G87" s="10"/>
      <c r="H87" s="10"/>
      <c r="I87" s="10"/>
    </row>
    <row r="88" spans="1:9" ht="16.5">
      <c r="A88" s="10"/>
      <c r="B88" s="10"/>
      <c r="C88" s="10"/>
      <c r="D88" s="10"/>
      <c r="E88" s="10"/>
      <c r="F88" s="10"/>
      <c r="G88" s="10"/>
      <c r="H88" s="10"/>
      <c r="I88" s="10"/>
    </row>
    <row r="89" spans="1:9" ht="16.5">
      <c r="A89" s="10"/>
      <c r="B89" s="10"/>
      <c r="C89" s="10"/>
      <c r="D89" s="10"/>
      <c r="E89" s="10"/>
      <c r="F89" s="10"/>
      <c r="G89" s="10"/>
      <c r="H89" s="10"/>
      <c r="I89" s="10"/>
    </row>
    <row r="90" spans="1:9" ht="16.5">
      <c r="A90" s="10"/>
      <c r="B90" s="10"/>
      <c r="C90" s="10"/>
      <c r="D90" s="10"/>
      <c r="E90" s="10"/>
      <c r="F90" s="10"/>
      <c r="G90" s="10"/>
      <c r="H90" s="10"/>
      <c r="I90" s="10"/>
    </row>
    <row r="91" spans="1:9" ht="16.5">
      <c r="A91" s="10"/>
      <c r="B91" s="10"/>
      <c r="C91" s="10"/>
      <c r="D91" s="10"/>
      <c r="E91" s="10"/>
      <c r="F91" s="10"/>
      <c r="G91" s="10"/>
      <c r="H91" s="10"/>
      <c r="I91" s="10"/>
    </row>
    <row r="92" spans="1:9" ht="16.5">
      <c r="A92" s="10"/>
      <c r="B92" s="10"/>
      <c r="C92" s="10"/>
      <c r="D92" s="10"/>
      <c r="E92" s="10"/>
      <c r="F92" s="10"/>
      <c r="G92" s="10"/>
      <c r="H92" s="10"/>
      <c r="I92" s="10"/>
    </row>
    <row r="93" spans="1:9" ht="16.5">
      <c r="A93" s="10"/>
      <c r="B93" s="10"/>
      <c r="C93" s="10"/>
      <c r="D93" s="10"/>
      <c r="E93" s="10"/>
      <c r="F93" s="10"/>
      <c r="G93" s="10"/>
      <c r="H93" s="10"/>
      <c r="I93" s="10"/>
    </row>
    <row r="94" spans="1:9" ht="16.5">
      <c r="A94" s="10"/>
      <c r="B94" s="10"/>
      <c r="C94" s="10"/>
      <c r="D94" s="10"/>
      <c r="E94" s="10"/>
      <c r="F94" s="10"/>
      <c r="G94" s="10"/>
      <c r="H94" s="10"/>
      <c r="I94" s="10"/>
    </row>
    <row r="95" spans="1:9" ht="16.5">
      <c r="A95" s="10"/>
      <c r="B95" s="10"/>
      <c r="C95" s="10"/>
      <c r="D95" s="10"/>
      <c r="E95" s="10"/>
      <c r="F95" s="10"/>
      <c r="G95" s="10"/>
      <c r="H95" s="10"/>
      <c r="I95" s="10"/>
    </row>
    <row r="96" spans="1:9" ht="16.5">
      <c r="A96" s="10"/>
      <c r="B96" s="10"/>
      <c r="C96" s="10"/>
      <c r="D96" s="10"/>
      <c r="E96" s="10"/>
      <c r="F96" s="10"/>
      <c r="G96" s="10"/>
      <c r="H96" s="10"/>
      <c r="I96" s="10"/>
    </row>
    <row r="97" spans="1:9" ht="16.5">
      <c r="A97" s="10"/>
      <c r="B97" s="10"/>
      <c r="C97" s="10"/>
      <c r="D97" s="10"/>
      <c r="E97" s="10"/>
      <c r="F97" s="10"/>
      <c r="G97" s="10"/>
      <c r="H97" s="10"/>
      <c r="I97" s="10"/>
    </row>
    <row r="98" spans="1:9" ht="16.5">
      <c r="A98" s="10"/>
      <c r="B98" s="10"/>
      <c r="C98" s="10"/>
      <c r="D98" s="10"/>
      <c r="E98" s="10"/>
      <c r="F98" s="10"/>
      <c r="G98" s="10"/>
      <c r="H98" s="10"/>
      <c r="I98" s="10"/>
    </row>
    <row r="99" spans="1:9" ht="16.5">
      <c r="A99" s="10"/>
      <c r="B99" s="10"/>
      <c r="C99" s="10"/>
      <c r="D99" s="10"/>
      <c r="E99" s="10"/>
      <c r="F99" s="10"/>
      <c r="G99" s="10"/>
      <c r="H99" s="10"/>
      <c r="I99" s="10"/>
    </row>
    <row r="100" spans="1:9" ht="16.5">
      <c r="A100" s="10"/>
      <c r="B100" s="10"/>
      <c r="C100" s="10"/>
      <c r="D100" s="10"/>
      <c r="E100" s="10"/>
      <c r="F100" s="10"/>
      <c r="G100" s="10"/>
      <c r="H100" s="10"/>
      <c r="I100" s="10"/>
    </row>
    <row r="101" spans="1:9" ht="16.5">
      <c r="A101" s="10"/>
      <c r="B101" s="10"/>
      <c r="C101" s="10"/>
      <c r="D101" s="10"/>
      <c r="E101" s="10"/>
      <c r="F101" s="10"/>
      <c r="G101" s="10"/>
      <c r="H101" s="10"/>
      <c r="I101" s="10"/>
    </row>
    <row r="102" spans="1:9" ht="16.5">
      <c r="A102" s="10"/>
      <c r="B102" s="10"/>
      <c r="C102" s="10"/>
      <c r="D102" s="10"/>
      <c r="E102" s="10"/>
      <c r="F102" s="10"/>
      <c r="G102" s="10"/>
      <c r="H102" s="10"/>
      <c r="I102" s="10"/>
    </row>
    <row r="103" spans="1:9" ht="16.5">
      <c r="A103" s="10"/>
      <c r="B103" s="10"/>
      <c r="C103" s="10"/>
      <c r="D103" s="10"/>
      <c r="E103" s="10"/>
      <c r="F103" s="10"/>
      <c r="G103" s="10"/>
      <c r="H103" s="10"/>
      <c r="I103" s="10"/>
    </row>
    <row r="104" spans="1:9" ht="16.5">
      <c r="A104" s="10"/>
      <c r="B104" s="10"/>
      <c r="C104" s="10"/>
      <c r="D104" s="10"/>
      <c r="E104" s="10"/>
      <c r="F104" s="10"/>
      <c r="G104" s="10"/>
      <c r="H104" s="10"/>
      <c r="I104" s="10"/>
    </row>
    <row r="105" spans="1:9" ht="16.5">
      <c r="A105" s="10"/>
      <c r="B105" s="10"/>
      <c r="C105" s="10"/>
      <c r="D105" s="10"/>
      <c r="E105" s="10"/>
      <c r="F105" s="10"/>
      <c r="G105" s="10"/>
      <c r="H105" s="10"/>
      <c r="I105" s="10"/>
    </row>
    <row r="106" spans="1:9" ht="16.5">
      <c r="A106" s="10"/>
      <c r="B106" s="10"/>
      <c r="C106" s="10"/>
      <c r="D106" s="10"/>
      <c r="E106" s="10"/>
      <c r="F106" s="10"/>
      <c r="G106" s="10"/>
      <c r="H106" s="10"/>
      <c r="I106" s="10"/>
    </row>
    <row r="107" spans="1:9" ht="16.5">
      <c r="A107" s="10"/>
      <c r="B107" s="10"/>
      <c r="C107" s="10"/>
      <c r="D107" s="10"/>
      <c r="E107" s="10"/>
      <c r="F107" s="10"/>
      <c r="G107" s="10"/>
      <c r="H107" s="10"/>
      <c r="I107" s="10"/>
    </row>
    <row r="108" spans="1:9" ht="16.5">
      <c r="A108" s="10"/>
      <c r="B108" s="10"/>
      <c r="C108" s="10"/>
      <c r="D108" s="10"/>
      <c r="E108" s="10"/>
      <c r="F108" s="10"/>
      <c r="G108" s="10"/>
      <c r="H108" s="10"/>
      <c r="I108" s="10"/>
    </row>
    <row r="109" spans="1:9" ht="16.5">
      <c r="A109" s="10"/>
      <c r="B109" s="10"/>
      <c r="C109" s="10"/>
      <c r="D109" s="10"/>
      <c r="E109" s="10"/>
      <c r="F109" s="10"/>
      <c r="G109" s="10"/>
      <c r="H109" s="10"/>
      <c r="I109" s="10"/>
    </row>
  </sheetData>
  <pageMargins left="0.25" right="0.25"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8509-4469-4CA1-837E-28DCE856C1A1}">
  <sheetPr>
    <tabColor rgb="FF92D050"/>
  </sheetPr>
  <dimension ref="A1:N43"/>
  <sheetViews>
    <sheetView view="pageBreakPreview" zoomScale="60" zoomScaleNormal="80" workbookViewId="0">
      <selection activeCell="I9" sqref="I9"/>
    </sheetView>
  </sheetViews>
  <sheetFormatPr defaultRowHeight="15"/>
  <cols>
    <col min="1" max="1" width="21.5703125" customWidth="1"/>
    <col min="2" max="2" width="45.7109375" customWidth="1"/>
    <col min="3" max="3" width="20.85546875" customWidth="1"/>
    <col min="4" max="4" width="24" customWidth="1"/>
    <col min="5" max="5" width="29.28515625" customWidth="1"/>
    <col min="6" max="6" width="29.42578125" customWidth="1"/>
    <col min="7" max="7" width="21.85546875" customWidth="1"/>
    <col min="8" max="8" width="29.7109375" customWidth="1"/>
    <col min="9" max="9" width="25.85546875" customWidth="1"/>
    <col min="10" max="10" width="21.28515625" customWidth="1"/>
    <col min="11" max="11" width="4.42578125" customWidth="1"/>
    <col min="12" max="12" width="22.7109375" customWidth="1"/>
    <col min="13" max="13" width="17.28515625" customWidth="1"/>
  </cols>
  <sheetData>
    <row r="1" spans="1:14" ht="26.25">
      <c r="A1" s="21" t="s">
        <v>1</v>
      </c>
      <c r="C1" s="10"/>
      <c r="D1" s="10"/>
      <c r="E1" s="10"/>
      <c r="F1" s="10"/>
      <c r="G1" s="10"/>
      <c r="H1" s="10"/>
      <c r="I1" s="10"/>
      <c r="J1" s="10"/>
      <c r="K1" s="10"/>
      <c r="L1" s="10"/>
      <c r="M1" s="10"/>
      <c r="N1" s="10"/>
    </row>
    <row r="2" spans="1:14" ht="17.25">
      <c r="A2" s="60" t="s">
        <v>9</v>
      </c>
      <c r="C2" s="10"/>
      <c r="D2" s="10"/>
      <c r="E2" s="10"/>
      <c r="F2" s="10"/>
      <c r="G2" s="10"/>
      <c r="H2" s="10"/>
      <c r="I2" s="10"/>
      <c r="J2" s="10"/>
      <c r="K2" s="10"/>
      <c r="L2" s="10"/>
      <c r="M2" s="10"/>
      <c r="N2" s="10"/>
    </row>
    <row r="3" spans="1:14" ht="16.5">
      <c r="A3" s="23" t="s">
        <v>467</v>
      </c>
      <c r="C3" s="10"/>
      <c r="D3" s="10"/>
      <c r="E3" s="10"/>
      <c r="F3" s="10"/>
      <c r="G3" s="10"/>
      <c r="H3" s="10"/>
      <c r="I3" s="10"/>
      <c r="J3" s="10"/>
      <c r="K3" s="10"/>
      <c r="L3" s="10"/>
      <c r="M3" s="10"/>
      <c r="N3" s="10"/>
    </row>
    <row r="4" spans="1:14" ht="16.5">
      <c r="A4" s="10"/>
      <c r="C4" s="10"/>
      <c r="D4" s="10"/>
      <c r="E4" s="24" t="s">
        <v>0</v>
      </c>
      <c r="F4" s="10"/>
      <c r="G4" s="10"/>
      <c r="H4" s="10"/>
      <c r="I4" s="10"/>
      <c r="J4" s="10"/>
      <c r="K4" s="10"/>
      <c r="L4" s="10"/>
      <c r="M4" s="10"/>
      <c r="N4" s="10"/>
    </row>
    <row r="5" spans="1:14" ht="18" thickBot="1">
      <c r="A5" s="60"/>
      <c r="C5" s="10"/>
      <c r="D5" s="10"/>
      <c r="E5" s="10"/>
      <c r="F5" s="10"/>
      <c r="G5" s="10"/>
      <c r="H5" s="10"/>
      <c r="I5" s="10"/>
      <c r="J5" s="10"/>
      <c r="K5" s="10"/>
      <c r="L5" s="10"/>
      <c r="M5" s="10"/>
      <c r="N5" s="10"/>
    </row>
    <row r="6" spans="1:14" ht="21" thickBot="1">
      <c r="A6" s="25" t="str">
        <f>+'S&amp;D'!A12</f>
        <v>Air Passenger Carriers</v>
      </c>
      <c r="B6" s="187"/>
      <c r="C6" s="10"/>
      <c r="D6" s="10"/>
      <c r="E6" s="10"/>
      <c r="F6" s="10"/>
      <c r="G6" s="10"/>
      <c r="H6" s="10"/>
    </row>
    <row r="7" spans="1:14" ht="18" thickBot="1">
      <c r="A7" s="60"/>
      <c r="C7" s="10"/>
      <c r="D7" s="26"/>
      <c r="E7" s="26"/>
      <c r="F7" s="26"/>
      <c r="G7" s="10"/>
      <c r="H7" s="10"/>
    </row>
    <row r="8" spans="1:14" ht="26.25">
      <c r="C8" s="10"/>
      <c r="D8" s="10"/>
      <c r="E8" s="29" t="s">
        <v>372</v>
      </c>
      <c r="F8" s="10"/>
      <c r="G8" s="10"/>
      <c r="H8" s="10"/>
    </row>
    <row r="9" spans="1:14" ht="21" thickBot="1">
      <c r="B9" s="28"/>
      <c r="C9" s="10"/>
      <c r="D9" s="26"/>
      <c r="E9" s="30" t="s">
        <v>469</v>
      </c>
      <c r="F9" s="26"/>
      <c r="G9" s="10"/>
      <c r="H9" s="10"/>
    </row>
    <row r="10" spans="1:14" ht="17.25" thickBot="1">
      <c r="B10" s="31" t="s">
        <v>0</v>
      </c>
      <c r="C10" s="31" t="s">
        <v>0</v>
      </c>
      <c r="D10" s="31" t="s">
        <v>0</v>
      </c>
      <c r="E10" s="31" t="s">
        <v>0</v>
      </c>
      <c r="F10" s="31" t="s">
        <v>0</v>
      </c>
      <c r="G10" s="31" t="s">
        <v>0</v>
      </c>
      <c r="H10" s="26"/>
      <c r="I10" s="148"/>
      <c r="J10" s="148"/>
    </row>
    <row r="11" spans="1:14" ht="16.5">
      <c r="B11" s="32" t="s">
        <v>0</v>
      </c>
      <c r="C11" s="32" t="s">
        <v>3</v>
      </c>
      <c r="D11" s="32" t="s">
        <v>352</v>
      </c>
      <c r="E11" s="388" t="s">
        <v>353</v>
      </c>
      <c r="F11" s="32" t="s">
        <v>232</v>
      </c>
      <c r="G11" s="32" t="s">
        <v>26</v>
      </c>
      <c r="H11" s="388" t="s">
        <v>371</v>
      </c>
      <c r="I11" s="32" t="s">
        <v>371</v>
      </c>
      <c r="J11" s="32" t="s">
        <v>26</v>
      </c>
    </row>
    <row r="12" spans="1:14" ht="17.25" thickBot="1">
      <c r="B12" s="34" t="s">
        <v>2</v>
      </c>
      <c r="C12" s="34" t="s">
        <v>4</v>
      </c>
      <c r="D12" s="34" t="s">
        <v>27</v>
      </c>
      <c r="E12" s="389" t="s">
        <v>168</v>
      </c>
      <c r="F12" s="34" t="s">
        <v>373</v>
      </c>
      <c r="G12" s="34" t="s">
        <v>29</v>
      </c>
      <c r="H12" s="389" t="s">
        <v>381</v>
      </c>
      <c r="I12" s="34" t="s">
        <v>28</v>
      </c>
      <c r="J12" s="34" t="s">
        <v>29</v>
      </c>
    </row>
    <row r="13" spans="1:14">
      <c r="B13" s="36" t="s">
        <v>0</v>
      </c>
      <c r="C13" s="36" t="s">
        <v>0</v>
      </c>
      <c r="D13" s="37" t="s">
        <v>112</v>
      </c>
      <c r="E13" s="390" t="s">
        <v>113</v>
      </c>
      <c r="F13" s="36" t="s">
        <v>0</v>
      </c>
      <c r="G13" s="36" t="s">
        <v>0</v>
      </c>
      <c r="H13" s="390" t="s">
        <v>113</v>
      </c>
      <c r="I13" s="36" t="s">
        <v>0</v>
      </c>
      <c r="J13" s="36" t="s">
        <v>0</v>
      </c>
    </row>
    <row r="14" spans="1:14" ht="16.5">
      <c r="B14" s="32"/>
      <c r="C14" s="32"/>
      <c r="D14" s="32"/>
      <c r="E14" s="391"/>
      <c r="F14" s="32"/>
      <c r="G14" s="32"/>
      <c r="H14" s="391"/>
      <c r="I14" s="32"/>
      <c r="J14" s="32"/>
    </row>
    <row r="15" spans="1:14" ht="16.5">
      <c r="B15" s="10"/>
      <c r="C15" s="10"/>
      <c r="D15" s="10"/>
      <c r="E15" s="392"/>
      <c r="F15" s="10"/>
      <c r="G15" s="10"/>
      <c r="H15" s="392"/>
      <c r="I15" s="10"/>
      <c r="J15" s="10"/>
    </row>
    <row r="16" spans="1:14" ht="17.25">
      <c r="B16" s="60" t="str">
        <f>+'S&amp;D'!A22</f>
        <v xml:space="preserve">Alaska Air </v>
      </c>
      <c r="C16" s="87" t="str">
        <f>+'S&amp;D'!B22</f>
        <v>ALK</v>
      </c>
      <c r="D16" s="182">
        <f>+'S&amp;D'!G22</f>
        <v>39.07</v>
      </c>
      <c r="E16" s="393">
        <v>81.849999999999994</v>
      </c>
      <c r="F16" s="380">
        <f>D16/E16</f>
        <v>0.47733659132559564</v>
      </c>
      <c r="G16" s="54">
        <f t="shared" ref="G16:G24" si="0">1/F16</f>
        <v>2.094957768108523</v>
      </c>
      <c r="H16" s="393">
        <v>32.29</v>
      </c>
      <c r="I16" s="380">
        <f t="shared" ref="I16:I24" si="1">D16/H16</f>
        <v>1.2099721275936823</v>
      </c>
      <c r="J16" s="54">
        <f t="shared" ref="J16:J24" si="2">1/I16</f>
        <v>0.82646531865881745</v>
      </c>
    </row>
    <row r="17" spans="2:10" ht="17.25">
      <c r="B17" s="60" t="str">
        <f>+'S&amp;D'!A23</f>
        <v xml:space="preserve">Allegiant Travel Co. </v>
      </c>
      <c r="C17" s="87" t="str">
        <f>+'S&amp;D'!B23</f>
        <v>ALGT</v>
      </c>
      <c r="D17" s="182">
        <f>+'S&amp;D'!G23</f>
        <v>82.61</v>
      </c>
      <c r="E17" s="393">
        <v>140.1</v>
      </c>
      <c r="F17" s="380">
        <f t="shared" ref="F17:F18" si="3">D17/E17</f>
        <v>0.58965024982155601</v>
      </c>
      <c r="G17" s="54">
        <f t="shared" si="0"/>
        <v>1.695920590727515</v>
      </c>
      <c r="H17" s="393">
        <v>74.16</v>
      </c>
      <c r="I17" s="380">
        <f t="shared" si="1"/>
        <v>1.1139428263214672</v>
      </c>
      <c r="J17" s="54">
        <f t="shared" si="2"/>
        <v>0.89771214138724109</v>
      </c>
    </row>
    <row r="18" spans="2:10" ht="17.25">
      <c r="B18" s="60" t="str">
        <f>+'S&amp;D'!A24</f>
        <v xml:space="preserve">American Airlines </v>
      </c>
      <c r="C18" s="87" t="str">
        <f>+'S&amp;D'!B24</f>
        <v>AAL</v>
      </c>
      <c r="D18" s="182">
        <f>+'S&amp;D'!G24</f>
        <v>13.74</v>
      </c>
      <c r="E18" s="393">
        <v>80.760000000000005</v>
      </c>
      <c r="F18" s="380">
        <f t="shared" si="3"/>
        <v>0.17013372956909359</v>
      </c>
      <c r="G18" s="54">
        <f t="shared" si="0"/>
        <v>5.8777292576419224</v>
      </c>
      <c r="H18" s="393">
        <v>7.96</v>
      </c>
      <c r="I18" s="380">
        <f t="shared" si="1"/>
        <v>1.7261306532663316</v>
      </c>
      <c r="J18" s="54">
        <f t="shared" si="2"/>
        <v>0.57933042212518193</v>
      </c>
    </row>
    <row r="19" spans="2:10" ht="17.25">
      <c r="B19" s="60" t="str">
        <f>+'S&amp;D'!A25</f>
        <v xml:space="preserve">Delta Air Lines </v>
      </c>
      <c r="C19" s="87" t="str">
        <f>+'S&amp;D'!B25</f>
        <v>DAL</v>
      </c>
      <c r="D19" s="182">
        <f>+'S&amp;D'!G25</f>
        <v>40.229999999999997</v>
      </c>
      <c r="E19" s="393">
        <v>90.3</v>
      </c>
      <c r="F19" s="380">
        <f t="shared" ref="F19:F24" si="4">D19/E19</f>
        <v>0.44551495016611292</v>
      </c>
      <c r="G19" s="54">
        <f t="shared" si="0"/>
        <v>2.2445935868754661</v>
      </c>
      <c r="H19" s="393">
        <v>17.05</v>
      </c>
      <c r="I19" s="380">
        <f t="shared" si="1"/>
        <v>2.3595307917888562</v>
      </c>
      <c r="J19" s="54">
        <f t="shared" si="2"/>
        <v>0.42381307481978625</v>
      </c>
    </row>
    <row r="20" spans="2:10" ht="17.25">
      <c r="B20" s="60" t="str">
        <f>+'S&amp;D'!A26</f>
        <v xml:space="preserve">JetBlue Airways </v>
      </c>
      <c r="C20" s="87" t="str">
        <f>+'S&amp;D'!B26</f>
        <v>JBLU</v>
      </c>
      <c r="D20" s="182">
        <f>+'S&amp;D'!G26</f>
        <v>5.55</v>
      </c>
      <c r="E20" s="393">
        <v>28.7</v>
      </c>
      <c r="F20" s="380">
        <f t="shared" si="4"/>
        <v>0.19337979094076654</v>
      </c>
      <c r="G20" s="54">
        <f t="shared" si="0"/>
        <v>5.1711711711711716</v>
      </c>
      <c r="H20" s="393">
        <v>10.199999999999999</v>
      </c>
      <c r="I20" s="380">
        <f t="shared" si="1"/>
        <v>0.54411764705882359</v>
      </c>
      <c r="J20" s="54">
        <f t="shared" si="2"/>
        <v>1.8378378378378377</v>
      </c>
    </row>
    <row r="21" spans="2:10" ht="17.25">
      <c r="B21" s="60" t="str">
        <f>+'S&amp;D'!A27</f>
        <v>Skywest Inc</v>
      </c>
      <c r="C21" s="87" t="str">
        <f>+'S&amp;D'!B27</f>
        <v>SKYW</v>
      </c>
      <c r="D21" s="182">
        <f>+'S&amp;D'!G27</f>
        <v>52.2</v>
      </c>
      <c r="E21" s="393">
        <v>73.02</v>
      </c>
      <c r="F21" s="380">
        <f t="shared" si="4"/>
        <v>0.71487263763352515</v>
      </c>
      <c r="G21" s="54">
        <f t="shared" si="0"/>
        <v>1.3988505747126434</v>
      </c>
      <c r="H21" s="393">
        <v>52.57</v>
      </c>
      <c r="I21" s="380">
        <f t="shared" si="1"/>
        <v>0.99296176526536051</v>
      </c>
      <c r="J21" s="54">
        <f t="shared" si="2"/>
        <v>1.0070881226053638</v>
      </c>
    </row>
    <row r="22" spans="2:10" ht="17.25">
      <c r="B22" s="60" t="str">
        <f>+'S&amp;D'!A28</f>
        <v xml:space="preserve">Southwest Airlines </v>
      </c>
      <c r="C22" s="87" t="str">
        <f>+'S&amp;D'!B28</f>
        <v>LUV</v>
      </c>
      <c r="D22" s="182">
        <f>+'S&amp;D'!G28</f>
        <v>28.88</v>
      </c>
      <c r="E22" s="393">
        <v>43.78</v>
      </c>
      <c r="F22" s="380">
        <f t="shared" si="4"/>
        <v>0.65966194609410689</v>
      </c>
      <c r="G22" s="54">
        <f t="shared" si="0"/>
        <v>1.5159279778393353</v>
      </c>
      <c r="H22" s="393">
        <v>17.7</v>
      </c>
      <c r="I22" s="380">
        <f t="shared" si="1"/>
        <v>1.6316384180790962</v>
      </c>
      <c r="J22" s="54">
        <f t="shared" si="2"/>
        <v>0.61288088642659277</v>
      </c>
    </row>
    <row r="23" spans="2:10" ht="17.25">
      <c r="B23" s="60" t="str">
        <f>+'S&amp;D'!A29</f>
        <v xml:space="preserve">Spirit Airlines </v>
      </c>
      <c r="C23" s="87" t="str">
        <f>+'S&amp;D'!B29</f>
        <v>SAVE</v>
      </c>
      <c r="D23" s="182">
        <f>+'S&amp;D'!G29</f>
        <v>15.94</v>
      </c>
      <c r="E23" s="393">
        <v>49</v>
      </c>
      <c r="F23" s="380">
        <f t="shared" si="4"/>
        <v>0.32530612244897961</v>
      </c>
      <c r="G23" s="54">
        <f t="shared" si="0"/>
        <v>3.0740276035131742</v>
      </c>
      <c r="H23" s="393">
        <v>11.1</v>
      </c>
      <c r="I23" s="380">
        <f t="shared" si="1"/>
        <v>1.436036036036036</v>
      </c>
      <c r="J23" s="54">
        <f t="shared" si="2"/>
        <v>0.69636135508155583</v>
      </c>
    </row>
    <row r="24" spans="2:10" ht="18" thickBot="1">
      <c r="B24" s="60" t="str">
        <f>+'S&amp;D'!A30</f>
        <v>United Airlines Holdings Inc</v>
      </c>
      <c r="C24" s="87" t="str">
        <f>+'S&amp;D'!B30</f>
        <v>UAL</v>
      </c>
      <c r="D24" s="182">
        <f>+'S&amp;D'!G30</f>
        <v>41.26</v>
      </c>
      <c r="E24" s="394">
        <v>163.80000000000001</v>
      </c>
      <c r="F24" s="381">
        <f t="shared" si="4"/>
        <v>0.25189255189255189</v>
      </c>
      <c r="G24" s="399">
        <f t="shared" si="0"/>
        <v>3.9699466795928262</v>
      </c>
      <c r="H24" s="394">
        <v>28.45</v>
      </c>
      <c r="I24" s="381">
        <f t="shared" si="1"/>
        <v>1.4502636203866432</v>
      </c>
      <c r="J24" s="400">
        <f t="shared" si="2"/>
        <v>0.68952981095492005</v>
      </c>
    </row>
    <row r="25" spans="2:10" ht="17.25" thickTop="1">
      <c r="B25" s="10"/>
      <c r="D25" s="12" t="s">
        <v>45</v>
      </c>
      <c r="E25" s="395">
        <f>MAX(E16:E24)</f>
        <v>163.80000000000001</v>
      </c>
      <c r="F25" s="357">
        <f t="shared" ref="F25:J25" si="5">MAX(F16:F24)</f>
        <v>0.71487263763352515</v>
      </c>
      <c r="G25" s="356">
        <f t="shared" si="5"/>
        <v>5.8777292576419224</v>
      </c>
      <c r="H25" s="395">
        <f t="shared" si="5"/>
        <v>74.16</v>
      </c>
      <c r="I25" s="357">
        <f t="shared" si="5"/>
        <v>2.3595307917888562</v>
      </c>
      <c r="J25" s="356">
        <f t="shared" si="5"/>
        <v>1.8378378378378377</v>
      </c>
    </row>
    <row r="26" spans="2:10" ht="16.5">
      <c r="B26" s="10"/>
      <c r="D26" s="309" t="s">
        <v>46</v>
      </c>
      <c r="E26" s="396">
        <f>MIN(E16:E24)</f>
        <v>28.7</v>
      </c>
      <c r="F26" s="358">
        <f t="shared" ref="F26:J26" si="6">MIN(F16:F24)</f>
        <v>0.17013372956909359</v>
      </c>
      <c r="G26" s="355">
        <f t="shared" si="6"/>
        <v>1.3988505747126434</v>
      </c>
      <c r="H26" s="396">
        <f t="shared" si="6"/>
        <v>7.96</v>
      </c>
      <c r="I26" s="358">
        <f t="shared" si="6"/>
        <v>0.54411764705882359</v>
      </c>
      <c r="J26" s="355">
        <f t="shared" si="6"/>
        <v>0.42381307481978625</v>
      </c>
    </row>
    <row r="27" spans="2:10" ht="16.5">
      <c r="B27" s="10"/>
      <c r="D27" s="12" t="s">
        <v>18</v>
      </c>
      <c r="E27" s="397" t="s">
        <v>0</v>
      </c>
      <c r="F27" s="19">
        <f>MEDIAN(F16:F24)</f>
        <v>0.44551495016611292</v>
      </c>
      <c r="G27" s="54">
        <f>MEDIAN(G16:G24)</f>
        <v>2.2445935868754661</v>
      </c>
      <c r="H27" s="397" t="s">
        <v>0</v>
      </c>
      <c r="I27" s="16">
        <f>MEDIAN(I16:I24)</f>
        <v>1.436036036036036</v>
      </c>
      <c r="J27" s="54">
        <f>MEDIAN(J16:J24)</f>
        <v>0.69636135508155583</v>
      </c>
    </row>
    <row r="28" spans="2:10" ht="16.5">
      <c r="B28" s="10"/>
      <c r="D28" s="12" t="s">
        <v>429</v>
      </c>
      <c r="E28" s="398" t="s">
        <v>0</v>
      </c>
      <c r="F28" s="17">
        <f>AVERAGE(F16:F24)</f>
        <v>0.42530539665469874</v>
      </c>
      <c r="G28" s="70">
        <f>AVERAGE(G16:G24)</f>
        <v>3.0047916900202862</v>
      </c>
      <c r="H28" s="398" t="s">
        <v>0</v>
      </c>
      <c r="I28" s="16">
        <f>AVERAGE(I16:I24)</f>
        <v>1.3849548761995885</v>
      </c>
      <c r="J28" s="70">
        <f>AVERAGE(J16:J24)</f>
        <v>0.84122432998858854</v>
      </c>
    </row>
    <row r="29" spans="2:10" ht="16.5">
      <c r="B29" s="10"/>
      <c r="C29" s="10"/>
      <c r="D29" s="10"/>
      <c r="E29" s="10"/>
      <c r="F29" s="10"/>
      <c r="H29" s="10"/>
      <c r="I29" s="10"/>
    </row>
    <row r="30" spans="2:10" ht="16.5">
      <c r="B30" s="10"/>
      <c r="C30" s="10"/>
      <c r="D30" s="10"/>
      <c r="E30" s="10"/>
      <c r="F30" s="10"/>
      <c r="H30" s="10"/>
      <c r="I30" s="10"/>
    </row>
    <row r="31" spans="2:10" ht="17.25" thickBot="1">
      <c r="B31" s="10"/>
      <c r="C31" s="10"/>
      <c r="D31" s="10"/>
      <c r="E31" s="10"/>
      <c r="F31" s="10"/>
      <c r="I31" s="10"/>
    </row>
    <row r="32" spans="2:10" ht="27" thickBot="1">
      <c r="B32" s="72" t="s">
        <v>0</v>
      </c>
      <c r="C32" s="10"/>
      <c r="D32" s="21" t="s">
        <v>123</v>
      </c>
      <c r="E32" s="21"/>
      <c r="F32" s="401">
        <v>0.43</v>
      </c>
      <c r="I32" s="401">
        <v>1.38</v>
      </c>
    </row>
    <row r="33" spans="1:14" ht="16.5">
      <c r="B33" s="72" t="s">
        <v>0</v>
      </c>
      <c r="C33" s="10"/>
      <c r="D33" s="10"/>
      <c r="E33" s="10"/>
      <c r="F33" s="10"/>
      <c r="H33" s="10"/>
    </row>
    <row r="34" spans="1:14" ht="16.5">
      <c r="B34" s="72"/>
      <c r="C34" s="10"/>
      <c r="D34" s="10"/>
      <c r="E34" s="10"/>
      <c r="F34" s="10"/>
      <c r="H34" s="10"/>
    </row>
    <row r="35" spans="1:14" ht="17.25">
      <c r="A35" s="103" t="s">
        <v>374</v>
      </c>
      <c r="B35" s="72"/>
      <c r="C35" s="10"/>
      <c r="D35" s="10"/>
      <c r="E35" s="10"/>
      <c r="F35" s="10"/>
      <c r="H35" s="10"/>
    </row>
    <row r="36" spans="1:14" ht="17.25">
      <c r="A36" s="103" t="s">
        <v>357</v>
      </c>
      <c r="B36" s="72"/>
      <c r="C36" s="10"/>
      <c r="D36" s="10"/>
      <c r="E36" s="10"/>
      <c r="F36" s="10"/>
      <c r="G36" s="10"/>
      <c r="H36" s="10"/>
    </row>
    <row r="37" spans="1:14" ht="16.5">
      <c r="B37" s="72"/>
      <c r="C37" s="10"/>
      <c r="D37" s="10"/>
      <c r="E37" s="10"/>
      <c r="F37" s="10"/>
      <c r="G37" s="10"/>
      <c r="H37" s="10"/>
    </row>
    <row r="38" spans="1:14" ht="17.25">
      <c r="A38" s="103" t="s">
        <v>375</v>
      </c>
      <c r="B38" s="72"/>
      <c r="C38" s="10"/>
      <c r="D38" s="10"/>
      <c r="E38" s="10"/>
      <c r="F38" s="10"/>
      <c r="G38" s="10"/>
      <c r="H38" s="10"/>
    </row>
    <row r="39" spans="1:14" ht="17.25">
      <c r="A39" s="103" t="s">
        <v>355</v>
      </c>
      <c r="B39" s="72"/>
      <c r="C39" s="10"/>
      <c r="D39" s="10"/>
      <c r="E39" s="10"/>
      <c r="F39" s="10"/>
      <c r="G39" s="10"/>
      <c r="H39" s="10"/>
    </row>
    <row r="40" spans="1:14" ht="17.25">
      <c r="A40" s="103" t="s">
        <v>356</v>
      </c>
      <c r="B40" s="72"/>
      <c r="C40" s="10"/>
      <c r="D40" s="10"/>
      <c r="E40" s="10"/>
      <c r="F40" s="10"/>
      <c r="G40" s="10"/>
      <c r="H40" s="10"/>
    </row>
    <row r="41" spans="1:14" ht="16.5">
      <c r="B41" s="10"/>
      <c r="C41" s="10"/>
      <c r="D41" s="10"/>
      <c r="E41" s="10"/>
      <c r="F41" s="10"/>
      <c r="G41" s="10"/>
      <c r="H41" s="10"/>
      <c r="I41" s="10"/>
      <c r="J41" s="10"/>
      <c r="K41" s="10"/>
      <c r="L41" s="10"/>
      <c r="M41" s="10"/>
      <c r="N41" s="10"/>
    </row>
    <row r="42" spans="1:14" ht="16.5">
      <c r="B42" s="10"/>
      <c r="C42" s="10"/>
      <c r="D42" s="10"/>
      <c r="E42" s="10"/>
      <c r="F42" s="10"/>
      <c r="G42" s="10"/>
      <c r="H42" s="10"/>
      <c r="I42" s="10"/>
      <c r="J42" s="10"/>
      <c r="K42" s="10"/>
      <c r="L42" s="10"/>
      <c r="M42" s="10"/>
      <c r="N42" s="10"/>
    </row>
    <row r="43" spans="1:14" ht="16.5">
      <c r="B43" s="72"/>
      <c r="C43" s="10"/>
      <c r="D43" s="10"/>
      <c r="E43" s="10"/>
      <c r="F43" s="10"/>
      <c r="G43" s="10"/>
      <c r="H43" s="10"/>
    </row>
  </sheetData>
  <pageMargins left="0.25" right="0.25" top="0.75" bottom="0.75" header="0.3" footer="0.3"/>
  <pageSetup scale="40" orientation="landscape" r:id="rId1"/>
  <rowBreaks count="1" manualBreakCount="1">
    <brk id="4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1"/>
  <sheetViews>
    <sheetView view="pageBreakPreview" topLeftCell="A3" zoomScale="80" zoomScaleNormal="80" zoomScaleSheetLayoutView="80" workbookViewId="0">
      <selection activeCell="C28" sqref="C28"/>
    </sheetView>
  </sheetViews>
  <sheetFormatPr defaultRowHeight="15"/>
  <cols>
    <col min="1" max="1" width="22.28515625" customWidth="1"/>
    <col min="2" max="2" width="39.7109375" customWidth="1"/>
    <col min="3" max="3" width="16.85546875" customWidth="1"/>
    <col min="4" max="4" width="35.28515625" customWidth="1"/>
    <col min="5" max="5" width="18" customWidth="1"/>
    <col min="6" max="6" width="20.85546875" bestFit="1" customWidth="1"/>
    <col min="7" max="7" width="22" customWidth="1"/>
    <col min="8" max="8" width="23.7109375" customWidth="1"/>
  </cols>
  <sheetData>
    <row r="1" spans="1:11" ht="26.25">
      <c r="A1" s="21" t="s">
        <v>1</v>
      </c>
      <c r="C1" s="10"/>
      <c r="D1" s="10"/>
      <c r="E1" s="10"/>
      <c r="F1" s="10"/>
      <c r="G1" s="10"/>
      <c r="H1" s="10"/>
      <c r="I1" s="10"/>
      <c r="J1" s="10"/>
      <c r="K1" s="10"/>
    </row>
    <row r="2" spans="1:11" ht="17.25">
      <c r="A2" s="22" t="s">
        <v>9</v>
      </c>
      <c r="C2" s="10"/>
      <c r="D2" s="10"/>
      <c r="E2" s="10"/>
      <c r="F2" s="10"/>
      <c r="G2" s="10"/>
      <c r="H2" s="10"/>
      <c r="I2" s="10"/>
      <c r="J2" s="10"/>
      <c r="K2" s="10"/>
    </row>
    <row r="3" spans="1:11" ht="17.25" customHeight="1">
      <c r="A3" s="23" t="s">
        <v>467</v>
      </c>
      <c r="C3" s="10"/>
      <c r="D3" s="10"/>
      <c r="E3" s="10"/>
      <c r="F3" s="10"/>
      <c r="G3" s="10"/>
      <c r="H3" s="10"/>
      <c r="I3" s="10"/>
      <c r="J3" s="10"/>
      <c r="K3" s="10"/>
    </row>
    <row r="4" spans="1:11" ht="17.25" customHeight="1">
      <c r="B4" s="23"/>
      <c r="C4" s="10"/>
      <c r="D4" s="10"/>
      <c r="E4" s="10"/>
      <c r="F4" s="10"/>
      <c r="G4" s="10"/>
      <c r="H4" s="10"/>
      <c r="I4" s="10"/>
      <c r="J4" s="10"/>
      <c r="K4" s="10"/>
    </row>
    <row r="5" spans="1:11" ht="17.25" customHeight="1">
      <c r="B5" s="144"/>
      <c r="C5" s="10"/>
      <c r="D5" s="10"/>
      <c r="E5" s="10"/>
      <c r="F5" s="10"/>
      <c r="G5" s="10"/>
      <c r="H5" s="10"/>
      <c r="I5" s="10"/>
      <c r="J5" s="10"/>
      <c r="K5" s="10"/>
    </row>
    <row r="6" spans="1:11" ht="17.25" customHeight="1">
      <c r="B6" s="144"/>
      <c r="C6" s="10"/>
      <c r="D6" s="10"/>
      <c r="E6" s="10"/>
      <c r="F6" s="10"/>
      <c r="G6" s="10"/>
      <c r="H6" s="10"/>
      <c r="I6" s="10"/>
      <c r="J6" s="10"/>
      <c r="K6" s="10"/>
    </row>
    <row r="7" spans="1:11" ht="17.25" customHeight="1">
      <c r="B7" s="144"/>
      <c r="C7" s="10"/>
      <c r="D7" s="10"/>
      <c r="E7" s="10"/>
      <c r="F7" s="10"/>
      <c r="G7" s="10"/>
      <c r="H7" s="10"/>
      <c r="I7" s="10"/>
      <c r="J7" s="10"/>
      <c r="K7" s="10"/>
    </row>
    <row r="8" spans="1:11" ht="16.5">
      <c r="B8" s="23"/>
      <c r="C8" s="10"/>
      <c r="D8" s="10"/>
      <c r="E8" s="10"/>
      <c r="F8" s="10"/>
      <c r="G8" s="10"/>
      <c r="H8" s="10"/>
      <c r="I8" s="10"/>
      <c r="J8" s="10"/>
      <c r="K8" s="10"/>
    </row>
    <row r="9" spans="1:11" ht="20.25">
      <c r="B9" s="10"/>
      <c r="C9" s="10"/>
      <c r="D9" s="75" t="s">
        <v>0</v>
      </c>
      <c r="E9" s="10"/>
      <c r="F9" s="10"/>
      <c r="G9" s="10"/>
      <c r="H9" s="10"/>
      <c r="I9" s="10"/>
      <c r="J9" s="10"/>
      <c r="K9" s="10"/>
    </row>
    <row r="10" spans="1:11" ht="20.25">
      <c r="B10" s="10"/>
      <c r="C10" s="10"/>
      <c r="D10" s="75" t="s">
        <v>63</v>
      </c>
      <c r="E10" s="10"/>
      <c r="F10" s="10"/>
      <c r="G10" s="10"/>
      <c r="H10" s="10"/>
      <c r="I10" s="10"/>
      <c r="J10" s="10"/>
      <c r="K10" s="10"/>
    </row>
    <row r="11" spans="1:11" ht="16.5">
      <c r="B11" s="10"/>
      <c r="C11" s="10"/>
      <c r="D11" s="10"/>
      <c r="E11" s="10"/>
      <c r="F11" s="10"/>
      <c r="G11" s="10"/>
      <c r="H11" s="10"/>
      <c r="I11" s="10"/>
      <c r="J11" s="10"/>
      <c r="K11" s="10"/>
    </row>
    <row r="12" spans="1:11" ht="16.5">
      <c r="B12" s="10"/>
      <c r="C12" s="10"/>
      <c r="D12" s="10"/>
      <c r="E12" s="10"/>
      <c r="F12" s="10"/>
      <c r="G12" s="10"/>
      <c r="H12" s="10"/>
      <c r="I12" s="10"/>
      <c r="J12" s="10"/>
      <c r="K12" s="10"/>
    </row>
    <row r="13" spans="1:11" ht="16.5">
      <c r="B13" s="10"/>
      <c r="C13" s="10"/>
      <c r="D13" s="10"/>
      <c r="E13" s="24"/>
      <c r="F13" s="10"/>
      <c r="G13" s="10"/>
      <c r="H13" s="10"/>
      <c r="I13" s="10"/>
      <c r="J13" s="10"/>
      <c r="K13" s="10"/>
    </row>
    <row r="14" spans="1:11" ht="16.5">
      <c r="B14" s="10"/>
      <c r="C14" s="10"/>
      <c r="D14" s="10"/>
      <c r="E14" s="10"/>
      <c r="F14" s="10"/>
      <c r="G14" s="10"/>
      <c r="H14" s="10"/>
      <c r="I14" s="10"/>
      <c r="J14" s="10"/>
      <c r="K14" s="10"/>
    </row>
    <row r="15" spans="1:11" ht="17.25" thickBot="1">
      <c r="B15" s="10"/>
      <c r="C15" s="26"/>
      <c r="D15" s="26"/>
      <c r="E15" s="26"/>
      <c r="F15" s="10"/>
      <c r="G15" s="10"/>
      <c r="H15" s="10"/>
      <c r="I15" s="10"/>
      <c r="J15" s="10"/>
      <c r="K15" s="10"/>
    </row>
    <row r="16" spans="1:11" ht="26.25">
      <c r="B16" s="10"/>
      <c r="C16" s="10"/>
      <c r="D16" s="29" t="str">
        <f>+'S&amp;D'!A12</f>
        <v>Air Passenger Carriers</v>
      </c>
      <c r="E16" s="10"/>
      <c r="F16" s="10"/>
      <c r="G16" s="10"/>
      <c r="H16" s="10"/>
      <c r="I16" s="10"/>
      <c r="J16" s="10"/>
      <c r="K16" s="10"/>
    </row>
    <row r="17" spans="2:11" ht="17.25" thickBot="1">
      <c r="B17" s="10"/>
      <c r="C17" s="26"/>
      <c r="D17" s="34" t="s">
        <v>0</v>
      </c>
      <c r="E17" s="26"/>
      <c r="F17" s="10"/>
      <c r="G17" s="10"/>
      <c r="H17" s="10"/>
      <c r="I17" s="10"/>
      <c r="J17" s="10"/>
      <c r="K17" s="10"/>
    </row>
    <row r="18" spans="2:11" ht="17.25" thickBot="1">
      <c r="B18" s="26"/>
      <c r="C18" s="26"/>
      <c r="D18" s="34" t="s">
        <v>0</v>
      </c>
      <c r="E18" s="26"/>
      <c r="F18" s="26"/>
      <c r="G18" s="26"/>
      <c r="H18" s="10"/>
      <c r="I18" s="10"/>
      <c r="J18" s="10"/>
      <c r="K18" s="10"/>
    </row>
    <row r="19" spans="2:11" ht="16.5">
      <c r="B19" s="32" t="s">
        <v>31</v>
      </c>
      <c r="C19" s="32" t="s">
        <v>32</v>
      </c>
      <c r="D19" s="32" t="s">
        <v>33</v>
      </c>
      <c r="E19" s="32" t="s">
        <v>67</v>
      </c>
      <c r="F19" s="32" t="s">
        <v>33</v>
      </c>
      <c r="G19" s="32" t="s">
        <v>34</v>
      </c>
      <c r="H19" s="10"/>
      <c r="I19" s="10"/>
      <c r="J19" s="10"/>
      <c r="K19" s="10"/>
    </row>
    <row r="20" spans="2:11" ht="17.25" thickBot="1">
      <c r="B20" s="34" t="s">
        <v>32</v>
      </c>
      <c r="C20" s="34" t="s">
        <v>35</v>
      </c>
      <c r="D20" s="34" t="s">
        <v>36</v>
      </c>
      <c r="E20" s="34" t="s">
        <v>23</v>
      </c>
      <c r="F20" s="34" t="s">
        <v>37</v>
      </c>
      <c r="G20" s="34" t="s">
        <v>38</v>
      </c>
      <c r="H20" s="10"/>
      <c r="I20" s="10"/>
      <c r="J20" s="10"/>
      <c r="K20" s="10"/>
    </row>
    <row r="21" spans="2:11" ht="16.5">
      <c r="B21" s="36" t="s">
        <v>0</v>
      </c>
      <c r="C21" s="36" t="s">
        <v>0</v>
      </c>
      <c r="D21" s="36" t="s">
        <v>0</v>
      </c>
      <c r="E21" s="36" t="s">
        <v>0</v>
      </c>
      <c r="F21" s="36" t="s">
        <v>0</v>
      </c>
      <c r="G21" s="36" t="s">
        <v>0</v>
      </c>
      <c r="H21" s="10"/>
      <c r="I21" s="10"/>
      <c r="J21" s="10"/>
      <c r="K21" s="10"/>
    </row>
    <row r="22" spans="2:11" ht="16.5">
      <c r="B22" s="32"/>
      <c r="C22" s="32"/>
      <c r="D22" s="32"/>
      <c r="E22" s="32"/>
      <c r="F22" s="32"/>
      <c r="G22" s="32"/>
      <c r="H22" s="10"/>
      <c r="I22" s="10"/>
      <c r="J22" s="10"/>
      <c r="K22" s="10"/>
    </row>
    <row r="23" spans="2:11" ht="17.25">
      <c r="B23" s="87" t="s">
        <v>39</v>
      </c>
      <c r="C23" s="136">
        <f>'S&amp;D'!J54</f>
        <v>0.36</v>
      </c>
      <c r="D23" s="136">
        <f>+'Indicated Yield Equity Rate '!D53</f>
        <v>0.12690000000000001</v>
      </c>
      <c r="E23" s="100" t="s">
        <v>40</v>
      </c>
      <c r="F23" s="136">
        <f>+D23</f>
        <v>0.12690000000000001</v>
      </c>
      <c r="G23" s="137">
        <f>+F23*C23</f>
        <v>4.5684000000000002E-2</v>
      </c>
      <c r="H23" s="10"/>
      <c r="I23" s="10"/>
      <c r="J23" s="10"/>
      <c r="K23" s="10"/>
    </row>
    <row r="24" spans="2:11" ht="17.25">
      <c r="B24" s="87" t="s">
        <v>0</v>
      </c>
      <c r="C24" s="100" t="s">
        <v>0</v>
      </c>
      <c r="D24" s="100" t="s">
        <v>0</v>
      </c>
      <c r="E24" s="100" t="s">
        <v>0</v>
      </c>
      <c r="F24" s="138" t="s">
        <v>0</v>
      </c>
      <c r="G24" s="120" t="s">
        <v>0</v>
      </c>
      <c r="H24" s="10"/>
      <c r="I24" s="10"/>
      <c r="J24" s="10"/>
      <c r="K24" s="10"/>
    </row>
    <row r="25" spans="2:11" ht="17.25">
      <c r="B25" s="87" t="s">
        <v>41</v>
      </c>
      <c r="C25" s="136">
        <f>'S&amp;D'!K54</f>
        <v>0.64</v>
      </c>
      <c r="D25" s="136">
        <f>+'Yield Debt'!J31</f>
        <v>6.5799999999999997E-2</v>
      </c>
      <c r="E25" s="136">
        <v>0.26</v>
      </c>
      <c r="F25" s="136">
        <f>+D25*(1-E25)</f>
        <v>4.8691999999999999E-2</v>
      </c>
      <c r="G25" s="137">
        <f>+C25*F25</f>
        <v>3.116288E-2</v>
      </c>
      <c r="H25" s="10"/>
      <c r="I25" s="10"/>
      <c r="J25" s="10"/>
      <c r="K25" s="10"/>
    </row>
    <row r="26" spans="2:11" ht="18" thickBot="1">
      <c r="B26" s="94" t="s">
        <v>0</v>
      </c>
      <c r="C26" s="94" t="s">
        <v>0</v>
      </c>
      <c r="D26" s="94" t="s">
        <v>0</v>
      </c>
      <c r="E26" s="94" t="s">
        <v>0</v>
      </c>
      <c r="F26" s="139" t="s">
        <v>0</v>
      </c>
      <c r="G26" s="140" t="s">
        <v>0</v>
      </c>
      <c r="H26" s="10"/>
      <c r="I26" s="10"/>
      <c r="J26" s="10"/>
      <c r="K26" s="10"/>
    </row>
    <row r="27" spans="2:11" ht="17.25">
      <c r="B27" s="87" t="s">
        <v>70</v>
      </c>
      <c r="C27" s="141">
        <f>+C23+C25</f>
        <v>1</v>
      </c>
      <c r="D27" s="87" t="s">
        <v>0</v>
      </c>
      <c r="E27" s="87" t="s">
        <v>0</v>
      </c>
      <c r="F27" s="142" t="s">
        <v>0</v>
      </c>
      <c r="G27" s="137">
        <f>+G23+G25</f>
        <v>7.6846880000000006E-2</v>
      </c>
      <c r="H27" s="10"/>
      <c r="I27" s="10"/>
      <c r="J27" s="10"/>
      <c r="K27" s="10"/>
    </row>
    <row r="28" spans="2:11" ht="18" thickBot="1">
      <c r="B28" s="60"/>
      <c r="C28" s="60"/>
      <c r="D28" s="60"/>
      <c r="E28" s="60"/>
      <c r="F28" s="60"/>
      <c r="G28" s="143"/>
      <c r="H28" s="10"/>
      <c r="I28" s="10"/>
      <c r="J28" s="10"/>
      <c r="K28" s="10"/>
    </row>
    <row r="29" spans="2:11" ht="18" thickBot="1">
      <c r="B29" s="10"/>
      <c r="C29" s="10"/>
      <c r="D29" s="10"/>
      <c r="E29" s="10"/>
      <c r="F29" s="202" t="s">
        <v>73</v>
      </c>
      <c r="G29" s="424">
        <v>7.6799999999999993E-2</v>
      </c>
      <c r="H29" s="10"/>
      <c r="I29" s="10"/>
      <c r="J29" s="10"/>
      <c r="K29" s="10"/>
    </row>
    <row r="30" spans="2:11" ht="16.5">
      <c r="B30" s="10"/>
      <c r="C30" s="10"/>
      <c r="D30" s="10"/>
      <c r="E30" s="10"/>
      <c r="F30" s="10"/>
      <c r="G30" s="10"/>
      <c r="H30" s="10"/>
      <c r="I30" s="10"/>
      <c r="J30" s="10"/>
      <c r="K30" s="10"/>
    </row>
    <row r="31" spans="2:11" ht="16.5">
      <c r="B31" s="10"/>
      <c r="C31" s="10"/>
      <c r="D31" s="10"/>
      <c r="E31" s="10"/>
      <c r="F31" s="10"/>
      <c r="G31" s="10"/>
      <c r="H31" s="10"/>
      <c r="I31" s="10"/>
      <c r="J31" s="10"/>
      <c r="K31" s="10"/>
    </row>
  </sheetData>
  <pageMargins left="0.25" right="0.25" top="0.75" bottom="0.75" header="0.3" footer="0.3"/>
  <pageSetup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
  <sheetViews>
    <sheetView workbookViewId="0">
      <selection activeCell="M8" sqref="M8"/>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5631F-B284-4F75-B05C-C409AB53D71E}">
  <sheetPr>
    <tabColor rgb="FF92D050"/>
    <pageSetUpPr fitToPage="1"/>
  </sheetPr>
  <dimension ref="A1:K64"/>
  <sheetViews>
    <sheetView view="pageBreakPreview" topLeftCell="A38" zoomScale="80" zoomScaleNormal="80" zoomScaleSheetLayoutView="80" workbookViewId="0">
      <selection activeCell="D16" sqref="D16"/>
    </sheetView>
  </sheetViews>
  <sheetFormatPr defaultRowHeight="15"/>
  <cols>
    <col min="1" max="1" width="17.28515625" customWidth="1"/>
    <col min="2" max="2" width="31.7109375" customWidth="1"/>
    <col min="3" max="3" width="16.5703125" customWidth="1"/>
    <col min="4" max="4" width="35.28515625" customWidth="1"/>
    <col min="5" max="5" width="14.85546875" customWidth="1"/>
    <col min="6" max="6" width="25.85546875" customWidth="1"/>
    <col min="7" max="7" width="24.140625" customWidth="1"/>
    <col min="8" max="8" width="17.7109375" customWidth="1"/>
  </cols>
  <sheetData>
    <row r="1" spans="1:11" ht="26.25">
      <c r="A1" s="21" t="s">
        <v>1</v>
      </c>
      <c r="C1" s="10"/>
      <c r="D1" s="10"/>
      <c r="E1" s="10"/>
      <c r="F1" s="10"/>
      <c r="G1" s="10"/>
      <c r="H1" s="10"/>
      <c r="I1" s="10"/>
      <c r="J1" s="10"/>
      <c r="K1" s="10"/>
    </row>
    <row r="2" spans="1:11" ht="17.25">
      <c r="A2" s="22" t="s">
        <v>9</v>
      </c>
      <c r="C2" s="10"/>
      <c r="D2" s="10"/>
      <c r="E2" s="10"/>
      <c r="F2" s="10"/>
      <c r="G2" s="10"/>
      <c r="H2" s="10"/>
      <c r="I2" s="10"/>
      <c r="J2" s="10"/>
      <c r="K2" s="10"/>
    </row>
    <row r="3" spans="1:11" ht="16.5">
      <c r="A3" s="23" t="s">
        <v>467</v>
      </c>
      <c r="C3" s="10"/>
      <c r="D3" s="10"/>
      <c r="E3" s="10"/>
      <c r="F3" s="10"/>
      <c r="G3" s="10"/>
      <c r="H3" s="10"/>
      <c r="I3" s="10"/>
      <c r="J3" s="10"/>
      <c r="K3" s="10"/>
    </row>
    <row r="4" spans="1:11" ht="16.5">
      <c r="B4" s="23"/>
      <c r="C4" s="10"/>
      <c r="D4" s="10"/>
      <c r="E4" s="10"/>
      <c r="F4" s="10"/>
      <c r="G4" s="10"/>
      <c r="H4" s="10"/>
      <c r="I4" s="10"/>
      <c r="J4" s="10"/>
      <c r="K4" s="10"/>
    </row>
    <row r="5" spans="1:11" ht="16.5">
      <c r="B5" s="23"/>
      <c r="C5" s="10"/>
      <c r="D5" s="10"/>
      <c r="E5" s="10"/>
      <c r="F5" s="10"/>
      <c r="G5" s="10"/>
      <c r="H5" s="10"/>
      <c r="I5" s="10"/>
      <c r="J5" s="10"/>
      <c r="K5" s="10"/>
    </row>
    <row r="6" spans="1:11" ht="16.5">
      <c r="B6" s="23"/>
      <c r="C6" s="10"/>
      <c r="D6" s="10"/>
      <c r="E6" s="10"/>
      <c r="F6" s="10"/>
      <c r="G6" s="10"/>
      <c r="H6" s="10"/>
      <c r="I6" s="10"/>
      <c r="J6" s="10"/>
      <c r="K6" s="10"/>
    </row>
    <row r="7" spans="1:11" ht="16.5">
      <c r="B7" s="23"/>
      <c r="C7" s="10"/>
      <c r="D7" s="10"/>
      <c r="E7" s="10"/>
      <c r="F7" s="10"/>
      <c r="G7" s="10"/>
      <c r="H7" s="10"/>
      <c r="I7" s="10"/>
      <c r="J7" s="10"/>
      <c r="K7" s="10"/>
    </row>
    <row r="8" spans="1:11" ht="16.5">
      <c r="B8" s="23"/>
      <c r="C8" s="10"/>
      <c r="D8" s="10"/>
      <c r="E8" s="10"/>
      <c r="F8" s="10"/>
      <c r="G8" s="10"/>
      <c r="H8" s="10"/>
      <c r="I8" s="10"/>
      <c r="J8" s="10"/>
      <c r="K8" s="10"/>
    </row>
    <row r="9" spans="1:11" ht="16.5">
      <c r="B9" s="23"/>
      <c r="C9" s="10"/>
      <c r="D9" s="10"/>
      <c r="E9" s="10"/>
      <c r="F9" s="10"/>
      <c r="G9" s="10"/>
      <c r="H9" s="10"/>
      <c r="I9" s="10"/>
      <c r="J9" s="10"/>
      <c r="K9" s="10"/>
    </row>
    <row r="10" spans="1:11" ht="20.25">
      <c r="B10" s="10"/>
      <c r="C10" s="10"/>
      <c r="D10" s="75" t="s">
        <v>0</v>
      </c>
      <c r="E10" s="10"/>
      <c r="F10" s="10"/>
      <c r="G10" s="10"/>
      <c r="H10" s="10"/>
      <c r="I10" s="10"/>
      <c r="J10" s="10"/>
      <c r="K10" s="10"/>
    </row>
    <row r="11" spans="1:11" ht="20.25">
      <c r="B11" s="10"/>
      <c r="C11" s="10"/>
      <c r="D11" s="75" t="s">
        <v>62</v>
      </c>
      <c r="E11" s="10"/>
      <c r="F11" s="10"/>
      <c r="G11" s="10"/>
      <c r="H11" s="10"/>
      <c r="I11" s="10"/>
      <c r="J11" s="10"/>
      <c r="K11" s="10"/>
    </row>
    <row r="12" spans="1:11" ht="16.5">
      <c r="B12" s="10"/>
      <c r="C12" s="10"/>
      <c r="D12" s="10"/>
      <c r="E12" s="10"/>
      <c r="F12" s="10"/>
      <c r="G12" s="10"/>
      <c r="H12" s="10"/>
      <c r="I12" s="10"/>
      <c r="J12" s="10"/>
      <c r="K12" s="10"/>
    </row>
    <row r="13" spans="1:11" ht="16.5">
      <c r="B13" s="10"/>
      <c r="C13" s="10"/>
      <c r="D13" s="10"/>
      <c r="E13" s="10"/>
      <c r="F13" s="10"/>
      <c r="G13" s="10"/>
      <c r="H13" s="10"/>
      <c r="I13" s="10"/>
      <c r="J13" s="10"/>
      <c r="K13" s="10"/>
    </row>
    <row r="14" spans="1:11" ht="17.25" thickBot="1">
      <c r="B14" s="10"/>
      <c r="C14" s="26"/>
      <c r="D14" s="26"/>
      <c r="E14" s="26"/>
      <c r="F14" s="10"/>
      <c r="G14" s="10"/>
      <c r="H14" s="10"/>
      <c r="I14" s="10"/>
      <c r="J14" s="10"/>
      <c r="K14" s="10"/>
    </row>
    <row r="15" spans="1:11" ht="26.25">
      <c r="B15" s="10"/>
      <c r="C15" s="10"/>
      <c r="D15" s="29" t="str">
        <f>+'S&amp;D'!A12</f>
        <v>Air Passenger Carriers</v>
      </c>
      <c r="E15" s="10"/>
      <c r="F15" s="10"/>
      <c r="G15" s="10"/>
      <c r="H15" s="10"/>
      <c r="I15" s="10"/>
      <c r="J15" s="10"/>
      <c r="K15" s="10"/>
    </row>
    <row r="16" spans="1:11" ht="21" thickBot="1">
      <c r="B16" s="10"/>
      <c r="C16" s="26"/>
      <c r="D16" s="135" t="s">
        <v>69</v>
      </c>
      <c r="E16" s="26"/>
      <c r="F16" s="10"/>
      <c r="G16" s="10"/>
      <c r="H16" s="10"/>
      <c r="I16" s="10"/>
      <c r="J16" s="10"/>
      <c r="K16" s="10"/>
    </row>
    <row r="17" spans="2:11" ht="16.5">
      <c r="H17" s="10"/>
      <c r="I17" s="10"/>
      <c r="J17" s="10"/>
      <c r="K17" s="10"/>
    </row>
    <row r="18" spans="2:11" ht="17.25" thickBot="1">
      <c r="B18" s="26"/>
      <c r="C18" s="26"/>
      <c r="D18" s="34" t="s">
        <v>0</v>
      </c>
      <c r="E18" s="26"/>
      <c r="F18" s="26"/>
      <c r="G18" s="26"/>
      <c r="H18" s="10"/>
      <c r="I18" s="10"/>
      <c r="J18" s="10"/>
      <c r="K18" s="10"/>
    </row>
    <row r="19" spans="2:11" ht="16.5">
      <c r="B19" s="32" t="s">
        <v>31</v>
      </c>
      <c r="C19" s="32" t="s">
        <v>32</v>
      </c>
      <c r="D19" s="32" t="s">
        <v>66</v>
      </c>
      <c r="E19" s="32" t="s">
        <v>67</v>
      </c>
      <c r="F19" s="32" t="s">
        <v>65</v>
      </c>
      <c r="G19" s="32" t="s">
        <v>34</v>
      </c>
      <c r="H19" s="10"/>
      <c r="I19" s="10"/>
      <c r="J19" s="10"/>
      <c r="K19" s="10"/>
    </row>
    <row r="20" spans="2:11" ht="17.25" thickBot="1">
      <c r="B20" s="34" t="s">
        <v>32</v>
      </c>
      <c r="C20" s="34" t="s">
        <v>35</v>
      </c>
      <c r="D20" s="34" t="s">
        <v>36</v>
      </c>
      <c r="E20" s="34" t="s">
        <v>23</v>
      </c>
      <c r="F20" s="34" t="s">
        <v>37</v>
      </c>
      <c r="G20" s="34" t="s">
        <v>68</v>
      </c>
      <c r="H20" s="10"/>
      <c r="I20" s="10"/>
      <c r="J20" s="10"/>
      <c r="K20" s="10"/>
    </row>
    <row r="21" spans="2:11" ht="16.5">
      <c r="B21" s="36" t="s">
        <v>0</v>
      </c>
      <c r="C21" s="36" t="s">
        <v>0</v>
      </c>
      <c r="D21" s="36" t="s">
        <v>0</v>
      </c>
      <c r="E21" s="36" t="s">
        <v>0</v>
      </c>
      <c r="F21" s="36" t="s">
        <v>0</v>
      </c>
      <c r="G21" s="36" t="s">
        <v>0</v>
      </c>
      <c r="H21" s="10"/>
      <c r="I21" s="10"/>
      <c r="J21" s="10"/>
      <c r="K21" s="10"/>
    </row>
    <row r="22" spans="2:11" ht="16.5">
      <c r="B22" s="32"/>
      <c r="C22" s="32"/>
      <c r="D22" s="32"/>
      <c r="E22" s="32"/>
      <c r="F22" s="32"/>
      <c r="G22" s="32"/>
      <c r="H22" s="10"/>
      <c r="I22" s="10"/>
      <c r="J22" s="10"/>
      <c r="K22" s="10"/>
    </row>
    <row r="23" spans="2:11" ht="17.25">
      <c r="B23" s="87" t="s">
        <v>39</v>
      </c>
      <c r="C23" s="136">
        <f>'S&amp;D'!J54</f>
        <v>0.36</v>
      </c>
      <c r="D23" s="136">
        <f>+'Direct NOPAT'!J34</f>
        <v>0.13305</v>
      </c>
      <c r="E23" s="100" t="s">
        <v>40</v>
      </c>
      <c r="F23" s="136">
        <f>+D23</f>
        <v>0.13305</v>
      </c>
      <c r="G23" s="137">
        <f>+F23*C23</f>
        <v>4.7897999999999996E-2</v>
      </c>
      <c r="H23" s="10"/>
      <c r="I23" s="10"/>
    </row>
    <row r="24" spans="2:11" ht="17.25">
      <c r="B24" s="87" t="s">
        <v>0</v>
      </c>
      <c r="C24" s="100" t="s">
        <v>0</v>
      </c>
      <c r="D24" s="100" t="s">
        <v>0</v>
      </c>
      <c r="E24" s="100" t="s">
        <v>0</v>
      </c>
      <c r="F24" s="138" t="s">
        <v>0</v>
      </c>
      <c r="G24" s="120" t="s">
        <v>0</v>
      </c>
      <c r="H24" s="10"/>
      <c r="I24" s="10"/>
    </row>
    <row r="25" spans="2:11" ht="17.25">
      <c r="B25" s="87" t="s">
        <v>41</v>
      </c>
      <c r="C25" s="136">
        <f>'S&amp;D'!K54</f>
        <v>0.64</v>
      </c>
      <c r="D25" s="136">
        <f>+'Direct Debt'!I35</f>
        <v>5.5100000000000003E-2</v>
      </c>
      <c r="E25" s="136">
        <v>0.26</v>
      </c>
      <c r="F25" s="136">
        <f>+D25*(1-E25)</f>
        <v>4.0774000000000005E-2</v>
      </c>
      <c r="G25" s="137">
        <f>+C25*F25</f>
        <v>2.6095360000000005E-2</v>
      </c>
      <c r="H25" s="10"/>
      <c r="I25" s="10"/>
    </row>
    <row r="26" spans="2:11" ht="18" thickBot="1">
      <c r="B26" s="94" t="s">
        <v>0</v>
      </c>
      <c r="C26" s="94" t="s">
        <v>0</v>
      </c>
      <c r="D26" s="94" t="s">
        <v>0</v>
      </c>
      <c r="E26" s="94" t="s">
        <v>0</v>
      </c>
      <c r="F26" s="139" t="s">
        <v>0</v>
      </c>
      <c r="G26" s="140" t="s">
        <v>0</v>
      </c>
      <c r="H26" s="10"/>
      <c r="I26" s="10"/>
    </row>
    <row r="27" spans="2:11" ht="17.25">
      <c r="B27" s="87" t="s">
        <v>42</v>
      </c>
      <c r="C27" s="141">
        <f>+C23+C25</f>
        <v>1</v>
      </c>
      <c r="D27" s="87" t="s">
        <v>0</v>
      </c>
      <c r="E27" s="87" t="s">
        <v>0</v>
      </c>
      <c r="F27" s="142" t="s">
        <v>0</v>
      </c>
      <c r="G27" s="137">
        <f>+G23+G25</f>
        <v>7.3993360000000008E-2</v>
      </c>
      <c r="H27" s="10"/>
      <c r="I27" s="10"/>
    </row>
    <row r="28" spans="2:11" ht="18" thickBot="1">
      <c r="B28" s="60"/>
      <c r="C28" s="60"/>
      <c r="D28" s="60"/>
      <c r="E28" s="60"/>
      <c r="F28" s="60"/>
      <c r="G28" s="143"/>
      <c r="H28" s="10"/>
      <c r="I28" s="10"/>
    </row>
    <row r="29" spans="2:11" ht="18" thickBot="1">
      <c r="B29" s="10"/>
      <c r="C29" s="10"/>
      <c r="D29" s="10"/>
      <c r="E29" s="10"/>
      <c r="F29" s="202" t="s">
        <v>73</v>
      </c>
      <c r="G29" s="424">
        <v>7.3999999999999996E-2</v>
      </c>
      <c r="H29" s="10"/>
      <c r="I29" s="10"/>
    </row>
    <row r="30" spans="2:11" ht="18" thickBot="1">
      <c r="B30" s="10"/>
      <c r="C30" s="10"/>
      <c r="D30" s="10"/>
      <c r="E30" s="10"/>
      <c r="F30" s="142"/>
      <c r="G30" s="137"/>
      <c r="H30" s="10"/>
      <c r="I30" s="10"/>
    </row>
    <row r="31" spans="2:11" ht="18" thickBot="1">
      <c r="B31" s="10"/>
      <c r="C31" s="10"/>
      <c r="D31" s="10"/>
      <c r="E31" s="10"/>
      <c r="F31" s="202" t="s">
        <v>233</v>
      </c>
      <c r="G31" s="234">
        <f>1/G29</f>
        <v>13.513513513513514</v>
      </c>
      <c r="H31" s="10"/>
      <c r="I31" s="10"/>
      <c r="J31" s="10"/>
      <c r="K31" s="10"/>
    </row>
    <row r="32" spans="2:11" ht="17.25">
      <c r="B32" s="10"/>
      <c r="C32" s="10"/>
      <c r="D32" s="10"/>
      <c r="E32" s="10"/>
      <c r="F32" s="142"/>
      <c r="G32" s="137"/>
      <c r="H32" s="10"/>
      <c r="I32" s="10"/>
      <c r="J32" s="10"/>
      <c r="K32" s="10"/>
    </row>
    <row r="33" spans="1:11" ht="17.25">
      <c r="B33" s="10"/>
      <c r="C33" s="10"/>
      <c r="D33" s="10"/>
      <c r="E33" s="10"/>
      <c r="F33" s="142"/>
      <c r="G33" s="137"/>
      <c r="H33" s="10"/>
      <c r="I33" s="10"/>
      <c r="J33" s="10"/>
      <c r="K33" s="10"/>
    </row>
    <row r="34" spans="1:11" ht="26.25">
      <c r="A34" s="21" t="s">
        <v>1</v>
      </c>
      <c r="C34" s="10"/>
      <c r="D34" s="10"/>
      <c r="E34" s="10"/>
      <c r="F34" s="142"/>
      <c r="G34" s="137"/>
      <c r="H34" s="10"/>
      <c r="I34" s="10"/>
      <c r="J34" s="10"/>
      <c r="K34" s="10"/>
    </row>
    <row r="35" spans="1:11" ht="17.25">
      <c r="A35" s="22" t="s">
        <v>9</v>
      </c>
      <c r="C35" s="10"/>
      <c r="D35" s="10"/>
      <c r="E35" s="10"/>
      <c r="F35" s="142"/>
      <c r="G35" s="137"/>
      <c r="H35" s="10"/>
      <c r="I35" s="10"/>
      <c r="J35" s="10"/>
      <c r="K35" s="10"/>
    </row>
    <row r="36" spans="1:11" ht="17.25">
      <c r="A36" s="23" t="s">
        <v>467</v>
      </c>
      <c r="C36" s="10"/>
      <c r="D36" s="10"/>
      <c r="E36" s="10"/>
      <c r="F36" s="142"/>
      <c r="G36" s="137"/>
      <c r="H36" s="10"/>
      <c r="I36" s="10"/>
      <c r="J36" s="10"/>
      <c r="K36" s="10"/>
    </row>
    <row r="37" spans="1:11" ht="17.25">
      <c r="A37" s="23"/>
      <c r="C37" s="10"/>
      <c r="D37" s="10"/>
      <c r="E37" s="10"/>
      <c r="F37" s="142"/>
      <c r="G37" s="137"/>
      <c r="H37" s="10"/>
      <c r="I37" s="10"/>
      <c r="J37" s="10"/>
      <c r="K37" s="10"/>
    </row>
    <row r="38" spans="1:11" ht="17.25">
      <c r="A38" s="23"/>
      <c r="C38" s="10"/>
      <c r="D38" s="10"/>
      <c r="E38" s="10"/>
      <c r="F38" s="142"/>
      <c r="G38" s="137"/>
      <c r="H38" s="10"/>
      <c r="I38" s="10"/>
      <c r="J38" s="10"/>
      <c r="K38" s="10"/>
    </row>
    <row r="39" spans="1:11" ht="17.25">
      <c r="A39" s="23"/>
      <c r="C39" s="10"/>
      <c r="D39" s="10"/>
      <c r="E39" s="10"/>
      <c r="F39" s="142"/>
      <c r="G39" s="137"/>
      <c r="H39" s="10"/>
      <c r="I39" s="10"/>
      <c r="J39" s="10"/>
      <c r="K39" s="10"/>
    </row>
    <row r="40" spans="1:11" ht="17.25">
      <c r="A40" s="23"/>
      <c r="C40" s="10"/>
      <c r="D40" s="10"/>
      <c r="E40" s="10"/>
      <c r="F40" s="142"/>
      <c r="G40" s="137"/>
      <c r="H40" s="10"/>
      <c r="I40" s="10"/>
      <c r="J40" s="10"/>
      <c r="K40" s="10"/>
    </row>
    <row r="41" spans="1:11" ht="17.25">
      <c r="A41" s="23"/>
      <c r="C41" s="10"/>
      <c r="D41" s="10"/>
      <c r="E41" s="10"/>
      <c r="F41" s="142"/>
      <c r="G41" s="137"/>
      <c r="H41" s="10"/>
      <c r="I41" s="10"/>
      <c r="J41" s="10"/>
      <c r="K41" s="10"/>
    </row>
    <row r="42" spans="1:11" ht="17.25">
      <c r="A42" s="23"/>
      <c r="C42" s="10"/>
      <c r="D42" s="10"/>
      <c r="E42" s="10"/>
      <c r="F42" s="142"/>
      <c r="G42" s="137"/>
      <c r="H42" s="10"/>
      <c r="I42" s="10"/>
      <c r="J42" s="10"/>
      <c r="K42" s="10"/>
    </row>
    <row r="43" spans="1:11" ht="17.25">
      <c r="A43" s="23"/>
      <c r="C43" s="10"/>
      <c r="D43" s="10"/>
      <c r="E43" s="10"/>
      <c r="F43" s="142"/>
      <c r="G43" s="137"/>
      <c r="H43" s="10"/>
      <c r="I43" s="10"/>
      <c r="J43" s="10"/>
      <c r="K43" s="10"/>
    </row>
    <row r="44" spans="1:11" ht="20.25">
      <c r="A44" s="23"/>
      <c r="C44" s="10"/>
      <c r="D44" s="75" t="s">
        <v>62</v>
      </c>
      <c r="E44" s="10"/>
      <c r="F44" s="142"/>
      <c r="G44" s="137"/>
      <c r="H44" s="10"/>
      <c r="I44" s="10"/>
      <c r="J44" s="10"/>
      <c r="K44" s="10"/>
    </row>
    <row r="45" spans="1:11" ht="20.25">
      <c r="A45" s="23"/>
      <c r="C45" s="10"/>
      <c r="D45" s="75"/>
      <c r="E45" s="10"/>
      <c r="F45" s="142"/>
      <c r="G45" s="137"/>
      <c r="H45" s="10"/>
      <c r="I45" s="10"/>
      <c r="J45" s="10"/>
      <c r="K45" s="10"/>
    </row>
    <row r="46" spans="1:11" ht="20.25">
      <c r="A46" s="23"/>
      <c r="C46" s="10"/>
      <c r="D46" s="75"/>
      <c r="E46" s="10"/>
      <c r="F46" s="142"/>
      <c r="G46" s="137"/>
      <c r="H46" s="10"/>
      <c r="I46" s="10"/>
      <c r="J46" s="10"/>
      <c r="K46" s="10"/>
    </row>
    <row r="47" spans="1:11" ht="17.25" thickBot="1">
      <c r="B47" s="10"/>
      <c r="C47" s="26"/>
      <c r="D47" s="26"/>
      <c r="E47" s="26"/>
      <c r="F47" s="10"/>
      <c r="G47" s="10"/>
      <c r="H47" s="10"/>
      <c r="I47" s="10"/>
      <c r="J47" s="10"/>
      <c r="K47" s="10"/>
    </row>
    <row r="48" spans="1:11" ht="26.25">
      <c r="B48" s="10"/>
      <c r="C48" s="10"/>
      <c r="D48" s="29" t="str">
        <f>+D15</f>
        <v>Air Passenger Carriers</v>
      </c>
      <c r="E48" s="10"/>
      <c r="F48" s="10"/>
      <c r="G48" s="10"/>
      <c r="H48" s="10"/>
      <c r="I48" s="10"/>
      <c r="J48" s="10"/>
      <c r="K48" s="10"/>
    </row>
    <row r="49" spans="2:11" ht="21" thickBot="1">
      <c r="B49" s="10"/>
      <c r="C49" s="26"/>
      <c r="D49" s="135" t="s">
        <v>64</v>
      </c>
      <c r="E49" s="26"/>
      <c r="F49" s="10"/>
      <c r="G49" s="10"/>
      <c r="H49" s="10"/>
      <c r="I49" s="10"/>
      <c r="J49" s="10"/>
      <c r="K49" s="10"/>
    </row>
    <row r="50" spans="2:11" ht="16.5">
      <c r="B50" s="10"/>
      <c r="C50" s="10"/>
      <c r="D50" s="10"/>
      <c r="E50" s="10"/>
      <c r="F50" s="10"/>
      <c r="G50" s="10"/>
      <c r="H50" s="10"/>
      <c r="I50" s="10"/>
      <c r="J50" s="10"/>
      <c r="K50" s="10"/>
    </row>
    <row r="51" spans="2:11" ht="17.25" thickBot="1">
      <c r="B51" s="26"/>
      <c r="C51" s="26"/>
      <c r="D51" s="34" t="s">
        <v>0</v>
      </c>
      <c r="E51" s="26"/>
      <c r="F51" s="26"/>
      <c r="G51" s="26"/>
      <c r="H51" s="10"/>
      <c r="I51" s="10"/>
      <c r="J51" s="10"/>
      <c r="K51" s="10"/>
    </row>
    <row r="52" spans="2:11" ht="16.5">
      <c r="B52" s="32" t="s">
        <v>31</v>
      </c>
      <c r="C52" s="32" t="s">
        <v>32</v>
      </c>
      <c r="D52" s="32" t="s">
        <v>66</v>
      </c>
      <c r="E52" s="32" t="s">
        <v>67</v>
      </c>
      <c r="F52" s="32" t="s">
        <v>65</v>
      </c>
      <c r="G52" s="32" t="s">
        <v>34</v>
      </c>
      <c r="H52" s="10"/>
      <c r="I52" s="10"/>
      <c r="J52" s="10"/>
      <c r="K52" s="10"/>
    </row>
    <row r="53" spans="2:11" ht="17.25" thickBot="1">
      <c r="B53" s="34" t="s">
        <v>32</v>
      </c>
      <c r="C53" s="34" t="s">
        <v>35</v>
      </c>
      <c r="D53" s="34" t="s">
        <v>36</v>
      </c>
      <c r="E53" s="34" t="s">
        <v>23</v>
      </c>
      <c r="F53" s="34" t="s">
        <v>37</v>
      </c>
      <c r="G53" s="34" t="s">
        <v>68</v>
      </c>
      <c r="H53" s="10"/>
      <c r="I53" s="10"/>
      <c r="J53" s="10"/>
      <c r="K53" s="10"/>
    </row>
    <row r="54" spans="2:11" ht="16.5">
      <c r="B54" s="36" t="s">
        <v>0</v>
      </c>
      <c r="C54" s="36" t="s">
        <v>0</v>
      </c>
      <c r="D54" s="36" t="s">
        <v>0</v>
      </c>
      <c r="E54" s="36" t="s">
        <v>0</v>
      </c>
      <c r="F54" s="36" t="s">
        <v>0</v>
      </c>
      <c r="G54" s="36" t="s">
        <v>0</v>
      </c>
      <c r="H54" s="10"/>
      <c r="I54" s="10"/>
      <c r="J54" s="10"/>
      <c r="K54" s="10"/>
    </row>
    <row r="55" spans="2:11" ht="16.5">
      <c r="B55" s="32"/>
      <c r="C55" s="32"/>
      <c r="D55" s="32"/>
      <c r="E55" s="32"/>
      <c r="F55" s="32"/>
      <c r="G55" s="32"/>
      <c r="H55" s="10"/>
      <c r="I55" s="10"/>
      <c r="J55" s="10"/>
      <c r="K55" s="10"/>
    </row>
    <row r="56" spans="2:11" ht="17.25">
      <c r="B56" s="87" t="s">
        <v>39</v>
      </c>
      <c r="C56" s="136">
        <f>'S&amp;D'!J54</f>
        <v>0.36</v>
      </c>
      <c r="D56" s="136">
        <f>'Direct GCF'!H34</f>
        <v>0.24975</v>
      </c>
      <c r="E56" s="100" t="s">
        <v>40</v>
      </c>
      <c r="F56" s="136">
        <f>+D56</f>
        <v>0.24975</v>
      </c>
      <c r="G56" s="137">
        <f>+F56*C56</f>
        <v>8.990999999999999E-2</v>
      </c>
      <c r="H56" s="10"/>
      <c r="I56" s="10"/>
    </row>
    <row r="57" spans="2:11" ht="17.25">
      <c r="B57" s="87" t="s">
        <v>0</v>
      </c>
      <c r="C57" s="100" t="s">
        <v>0</v>
      </c>
      <c r="D57" s="100" t="s">
        <v>0</v>
      </c>
      <c r="E57" s="100" t="s">
        <v>0</v>
      </c>
      <c r="F57" s="138" t="s">
        <v>0</v>
      </c>
      <c r="G57" s="120" t="s">
        <v>0</v>
      </c>
      <c r="H57" s="10"/>
      <c r="I57" s="10"/>
    </row>
    <row r="58" spans="2:11" ht="17.25">
      <c r="B58" s="87" t="s">
        <v>41</v>
      </c>
      <c r="C58" s="136">
        <f>'S&amp;D'!K54</f>
        <v>0.64</v>
      </c>
      <c r="D58" s="136">
        <f>+'Direct Debt'!I35</f>
        <v>5.5100000000000003E-2</v>
      </c>
      <c r="E58" s="136">
        <v>0.26</v>
      </c>
      <c r="F58" s="136">
        <f>+D58*(1-E58)</f>
        <v>4.0774000000000005E-2</v>
      </c>
      <c r="G58" s="137">
        <f>+C58*F58</f>
        <v>2.6095360000000005E-2</v>
      </c>
      <c r="H58" s="10"/>
      <c r="I58" s="10"/>
    </row>
    <row r="59" spans="2:11" ht="18" thickBot="1">
      <c r="B59" s="94" t="s">
        <v>0</v>
      </c>
      <c r="C59" s="94" t="s">
        <v>0</v>
      </c>
      <c r="D59" s="94" t="s">
        <v>0</v>
      </c>
      <c r="E59" s="94" t="s">
        <v>0</v>
      </c>
      <c r="F59" s="139" t="s">
        <v>0</v>
      </c>
      <c r="G59" s="140" t="s">
        <v>0</v>
      </c>
      <c r="H59" s="10"/>
      <c r="I59" s="10"/>
    </row>
    <row r="60" spans="2:11" ht="17.25">
      <c r="B60" s="87" t="s">
        <v>42</v>
      </c>
      <c r="C60" s="141">
        <f>+C56+C58</f>
        <v>1</v>
      </c>
      <c r="D60" s="87" t="s">
        <v>0</v>
      </c>
      <c r="E60" s="87" t="s">
        <v>0</v>
      </c>
      <c r="F60" s="142" t="s">
        <v>0</v>
      </c>
      <c r="G60" s="137">
        <f>+G56+G58</f>
        <v>0.11600536</v>
      </c>
      <c r="H60" s="10"/>
      <c r="I60" s="10"/>
    </row>
    <row r="61" spans="2:11" ht="18" thickBot="1">
      <c r="B61" s="60"/>
      <c r="C61" s="60"/>
      <c r="D61" s="60"/>
      <c r="E61" s="60"/>
      <c r="F61" s="60"/>
      <c r="G61" s="143"/>
      <c r="H61" s="10"/>
      <c r="I61" s="10"/>
    </row>
    <row r="62" spans="2:11" ht="18" thickBot="1">
      <c r="B62" s="10"/>
      <c r="C62" s="10"/>
      <c r="D62" s="10"/>
      <c r="E62" s="10"/>
      <c r="F62" s="202" t="s">
        <v>73</v>
      </c>
      <c r="G62" s="424">
        <v>0.11600000000000001</v>
      </c>
      <c r="H62" s="10"/>
      <c r="I62" s="10"/>
    </row>
    <row r="63" spans="2:11" ht="15.75" thickBot="1"/>
    <row r="64" spans="2:11" ht="18" thickBot="1">
      <c r="F64" s="202" t="s">
        <v>233</v>
      </c>
      <c r="G64" s="234">
        <f>1/G62</f>
        <v>8.6206896551724128</v>
      </c>
    </row>
  </sheetData>
  <pageMargins left="0.25" right="0.25" top="0.75" bottom="0.75" header="0.3" footer="0.3"/>
  <pageSetup scale="72" fitToHeight="0" orientation="landscape"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L79"/>
  <sheetViews>
    <sheetView tabSelected="1" view="pageBreakPreview" topLeftCell="A14" zoomScale="60" zoomScaleNormal="80" zoomScalePageLayoutView="70" workbookViewId="0">
      <pane xSplit="1" topLeftCell="B1" activePane="topRight" state="frozen"/>
      <selection pane="topRight" activeCell="H58" sqref="H58"/>
    </sheetView>
  </sheetViews>
  <sheetFormatPr defaultRowHeight="15"/>
  <cols>
    <col min="1" max="1" width="63" customWidth="1"/>
    <col min="2" max="2" width="11.5703125" bestFit="1" customWidth="1"/>
    <col min="3" max="3" width="20.42578125" bestFit="1" customWidth="1"/>
    <col min="4" max="4" width="25.5703125" bestFit="1" customWidth="1"/>
    <col min="5" max="5" width="28" customWidth="1"/>
    <col min="6" max="7" width="29.140625" customWidth="1"/>
    <col min="8" max="8" width="31.85546875" customWidth="1"/>
    <col min="9" max="9" width="27.140625" customWidth="1"/>
    <col min="10" max="10" width="30.85546875" customWidth="1"/>
    <col min="11" max="11" width="28.5703125" customWidth="1"/>
    <col min="12" max="12" width="25.85546875" bestFit="1" customWidth="1"/>
    <col min="13" max="13" width="30.140625" bestFit="1" customWidth="1"/>
    <col min="14" max="14" width="9.140625" customWidth="1"/>
  </cols>
  <sheetData>
    <row r="1" spans="1:12" ht="26.25">
      <c r="A1" s="21" t="s">
        <v>1</v>
      </c>
      <c r="B1" s="10"/>
      <c r="C1" s="10"/>
      <c r="D1" s="10"/>
      <c r="E1" s="10"/>
      <c r="F1" s="10"/>
      <c r="G1" s="10"/>
      <c r="H1" s="10"/>
      <c r="I1" s="10"/>
      <c r="J1" s="10"/>
      <c r="K1" s="10"/>
    </row>
    <row r="2" spans="1:12" ht="17.25">
      <c r="A2" s="22" t="s">
        <v>9</v>
      </c>
      <c r="B2" s="10"/>
      <c r="C2" s="10"/>
      <c r="D2" s="10"/>
      <c r="E2" s="10"/>
      <c r="F2" s="10"/>
      <c r="G2" s="10"/>
      <c r="H2" s="10"/>
      <c r="I2" s="10"/>
      <c r="J2" s="10"/>
      <c r="K2" s="10"/>
    </row>
    <row r="3" spans="1:12" ht="16.5">
      <c r="A3" s="23" t="s">
        <v>467</v>
      </c>
      <c r="B3" s="10"/>
      <c r="C3" s="10"/>
      <c r="D3" s="10"/>
      <c r="E3" s="10"/>
      <c r="F3" s="10"/>
      <c r="G3" s="10"/>
      <c r="H3" s="10"/>
      <c r="I3" s="10"/>
      <c r="J3" s="10"/>
      <c r="K3" s="10"/>
    </row>
    <row r="4" spans="1:12" ht="16.5">
      <c r="A4" s="23"/>
      <c r="B4" s="10"/>
      <c r="C4" s="10"/>
      <c r="D4" s="10"/>
      <c r="E4" s="10"/>
      <c r="F4" s="200" t="s">
        <v>0</v>
      </c>
      <c r="G4" s="10"/>
      <c r="H4" s="10"/>
      <c r="I4" s="10"/>
      <c r="J4" s="10"/>
      <c r="K4" s="10"/>
    </row>
    <row r="5" spans="1:12" ht="16.5">
      <c r="B5" s="10"/>
      <c r="C5" s="10"/>
      <c r="D5" s="10"/>
      <c r="E5" s="24"/>
      <c r="F5" s="200" t="s">
        <v>0</v>
      </c>
      <c r="G5" s="10"/>
      <c r="H5" s="10"/>
      <c r="I5" s="10"/>
      <c r="J5" s="10"/>
      <c r="K5" s="10" t="s">
        <v>0</v>
      </c>
    </row>
    <row r="6" spans="1:12" ht="16.5">
      <c r="A6" s="10"/>
      <c r="B6" s="10"/>
      <c r="C6" s="10"/>
      <c r="D6" s="10"/>
      <c r="E6" s="10"/>
      <c r="F6" s="10"/>
      <c r="G6" s="10"/>
      <c r="H6" s="10"/>
      <c r="I6" s="10"/>
      <c r="J6" s="10"/>
      <c r="K6" s="10"/>
    </row>
    <row r="7" spans="1:12" ht="16.5">
      <c r="A7" s="10"/>
      <c r="B7" s="32"/>
      <c r="C7" s="32"/>
      <c r="D7" s="32"/>
      <c r="E7" s="32"/>
      <c r="F7" s="32"/>
      <c r="G7" s="12"/>
      <c r="H7" s="41"/>
      <c r="I7" s="41"/>
      <c r="J7" s="82"/>
      <c r="K7" s="82"/>
      <c r="L7" s="3"/>
    </row>
    <row r="8" spans="1:12" ht="16.5">
      <c r="A8" s="83"/>
      <c r="B8" s="32"/>
      <c r="C8" s="32"/>
      <c r="D8" s="32"/>
      <c r="E8" s="32"/>
      <c r="F8" s="32"/>
      <c r="G8" s="12"/>
      <c r="H8" s="41"/>
      <c r="I8" s="41"/>
      <c r="J8" s="82"/>
      <c r="K8" s="82"/>
      <c r="L8" s="3"/>
    </row>
    <row r="9" spans="1:12" ht="16.5">
      <c r="A9" s="83"/>
      <c r="B9" s="32"/>
      <c r="C9" s="32"/>
      <c r="D9" s="32"/>
      <c r="E9" s="32"/>
      <c r="F9" s="32"/>
      <c r="G9" s="12"/>
      <c r="H9" s="41"/>
      <c r="I9" s="41"/>
      <c r="J9" s="82"/>
      <c r="K9" s="82"/>
      <c r="L9" s="3"/>
    </row>
    <row r="10" spans="1:12" ht="16.5">
      <c r="A10" s="41"/>
      <c r="D10" s="41"/>
      <c r="E10" s="41"/>
      <c r="F10" s="41"/>
      <c r="G10" s="41"/>
      <c r="H10" s="41"/>
      <c r="I10" s="41"/>
      <c r="J10" s="41"/>
      <c r="K10" s="41"/>
      <c r="L10" s="2"/>
    </row>
    <row r="11" spans="1:12" ht="17.25" thickBot="1">
      <c r="A11" s="41"/>
      <c r="D11" s="41"/>
      <c r="E11" s="84"/>
      <c r="F11" s="26"/>
      <c r="G11" s="84"/>
      <c r="H11" s="41"/>
      <c r="I11" s="41"/>
      <c r="J11" s="41" t="s">
        <v>0</v>
      </c>
      <c r="K11" s="41"/>
      <c r="L11" s="2"/>
    </row>
    <row r="12" spans="1:12" ht="27" thickBot="1">
      <c r="A12" s="25" t="s">
        <v>392</v>
      </c>
      <c r="D12" s="41"/>
      <c r="E12" s="41"/>
      <c r="F12" s="29" t="s">
        <v>74</v>
      </c>
      <c r="G12" s="41"/>
      <c r="H12" s="41"/>
      <c r="I12" s="41"/>
      <c r="J12" s="41"/>
      <c r="K12" s="10"/>
    </row>
    <row r="13" spans="1:12" ht="21" thickBot="1">
      <c r="A13" s="28"/>
      <c r="D13" s="41"/>
      <c r="E13" s="84"/>
      <c r="F13" s="34" t="s">
        <v>469</v>
      </c>
      <c r="G13" s="84"/>
      <c r="H13" s="41"/>
      <c r="I13" s="41"/>
      <c r="J13" s="41"/>
      <c r="K13" s="10"/>
    </row>
    <row r="14" spans="1:12" ht="20.25">
      <c r="A14" s="28"/>
      <c r="B14" s="41"/>
      <c r="C14" s="41"/>
      <c r="D14" s="41" t="s">
        <v>0</v>
      </c>
      <c r="E14" s="41" t="s">
        <v>0</v>
      </c>
      <c r="F14" s="11" t="s">
        <v>0</v>
      </c>
      <c r="G14" s="41"/>
      <c r="H14" s="41"/>
      <c r="I14" s="41"/>
      <c r="J14" s="41"/>
      <c r="K14" s="10"/>
    </row>
    <row r="15" spans="1:12" ht="17.25" thickBot="1">
      <c r="A15" s="39" t="s">
        <v>0</v>
      </c>
      <c r="B15" s="39" t="s">
        <v>0</v>
      </c>
      <c r="C15" s="39" t="s">
        <v>0</v>
      </c>
      <c r="D15" s="39"/>
      <c r="E15" s="39"/>
      <c r="F15" s="39"/>
      <c r="G15" s="39" t="s">
        <v>0</v>
      </c>
      <c r="H15" s="84"/>
      <c r="I15" s="84"/>
      <c r="J15" s="84"/>
      <c r="K15" s="10"/>
    </row>
    <row r="16" spans="1:12" ht="17.25">
      <c r="A16" s="250"/>
      <c r="B16" s="251"/>
      <c r="C16" s="268"/>
      <c r="D16" s="235" t="s">
        <v>13</v>
      </c>
      <c r="E16" s="264" t="s">
        <v>13</v>
      </c>
      <c r="F16" s="235" t="s">
        <v>13</v>
      </c>
      <c r="G16" s="252" t="s">
        <v>243</v>
      </c>
      <c r="H16" s="265" t="s">
        <v>470</v>
      </c>
      <c r="I16" s="252" t="s">
        <v>470</v>
      </c>
      <c r="J16" s="265" t="s">
        <v>470</v>
      </c>
      <c r="K16" s="10"/>
    </row>
    <row r="17" spans="1:12" ht="17.25">
      <c r="A17" s="85" t="s">
        <v>0</v>
      </c>
      <c r="B17" s="86" t="s">
        <v>3</v>
      </c>
      <c r="C17" s="238" t="s">
        <v>5</v>
      </c>
      <c r="D17" s="88" t="s">
        <v>10</v>
      </c>
      <c r="E17" s="266" t="s">
        <v>10</v>
      </c>
      <c r="F17" s="88" t="s">
        <v>19</v>
      </c>
      <c r="G17" s="89" t="s">
        <v>470</v>
      </c>
      <c r="H17" s="86" t="s">
        <v>12</v>
      </c>
      <c r="I17" s="90" t="s">
        <v>11</v>
      </c>
      <c r="J17" s="91" t="s">
        <v>152</v>
      </c>
      <c r="K17" s="10"/>
    </row>
    <row r="18" spans="1:12" ht="17.25">
      <c r="A18" s="85" t="s">
        <v>2</v>
      </c>
      <c r="B18" s="86" t="s">
        <v>4</v>
      </c>
      <c r="C18" s="238" t="s">
        <v>6</v>
      </c>
      <c r="D18" s="88" t="s">
        <v>45</v>
      </c>
      <c r="E18" s="266" t="s">
        <v>46</v>
      </c>
      <c r="F18" s="88" t="s">
        <v>10</v>
      </c>
      <c r="G18" s="89" t="s">
        <v>10</v>
      </c>
      <c r="H18" s="86" t="s">
        <v>72</v>
      </c>
      <c r="I18" s="255" t="s">
        <v>370</v>
      </c>
      <c r="J18" s="91" t="s">
        <v>244</v>
      </c>
      <c r="K18" s="10" t="s">
        <v>0</v>
      </c>
    </row>
    <row r="19" spans="1:12" ht="18" thickBot="1">
      <c r="A19" s="92" t="s">
        <v>0</v>
      </c>
      <c r="B19" s="93" t="s">
        <v>0</v>
      </c>
      <c r="C19" s="111" t="s">
        <v>0</v>
      </c>
      <c r="D19" s="93" t="s">
        <v>0</v>
      </c>
      <c r="E19" s="94" t="s">
        <v>0</v>
      </c>
      <c r="F19" s="93" t="s">
        <v>0</v>
      </c>
      <c r="G19" s="94" t="s">
        <v>0</v>
      </c>
      <c r="H19" s="95" t="s">
        <v>61</v>
      </c>
      <c r="I19" s="96" t="s">
        <v>60</v>
      </c>
      <c r="J19" s="95" t="s">
        <v>60</v>
      </c>
      <c r="K19" s="10"/>
    </row>
    <row r="20" spans="1:12" ht="16.5">
      <c r="A20" s="269" t="s">
        <v>7</v>
      </c>
      <c r="B20" s="289" t="s">
        <v>7</v>
      </c>
      <c r="C20" s="269" t="s">
        <v>7</v>
      </c>
      <c r="D20" s="295" t="s">
        <v>7</v>
      </c>
      <c r="E20" s="295" t="s">
        <v>7</v>
      </c>
      <c r="F20" s="40" t="s">
        <v>15</v>
      </c>
      <c r="G20" s="269" t="s">
        <v>7</v>
      </c>
      <c r="H20" s="269" t="s">
        <v>8</v>
      </c>
      <c r="I20" s="269" t="s">
        <v>8</v>
      </c>
      <c r="J20" s="269" t="s">
        <v>8</v>
      </c>
      <c r="K20" s="10"/>
    </row>
    <row r="21" spans="1:12" ht="17.25">
      <c r="A21" s="86"/>
      <c r="B21" s="87"/>
      <c r="C21" s="86"/>
      <c r="D21" s="238"/>
      <c r="E21" s="87"/>
      <c r="F21" s="85"/>
      <c r="G21" s="86"/>
      <c r="H21" s="86"/>
      <c r="I21" s="112"/>
      <c r="J21" s="98"/>
      <c r="K21" s="10"/>
    </row>
    <row r="22" spans="1:12" ht="17.25">
      <c r="A22" s="99" t="s">
        <v>393</v>
      </c>
      <c r="B22" s="86" t="s">
        <v>394</v>
      </c>
      <c r="C22" s="86" t="s">
        <v>395</v>
      </c>
      <c r="D22" s="100">
        <v>41.22</v>
      </c>
      <c r="E22" s="91">
        <v>30.75</v>
      </c>
      <c r="F22" s="101">
        <f>AVERAGE(D22,E22)</f>
        <v>35.984999999999999</v>
      </c>
      <c r="G22" s="57">
        <v>39.07</v>
      </c>
      <c r="H22" s="336">
        <f>126090353-12870477</f>
        <v>113219876</v>
      </c>
      <c r="I22" s="102">
        <v>0</v>
      </c>
      <c r="J22" s="336">
        <f>353000000+2182000000</f>
        <v>2535000000</v>
      </c>
      <c r="K22" s="10"/>
      <c r="L22" t="s">
        <v>0</v>
      </c>
    </row>
    <row r="23" spans="1:12" ht="17.25">
      <c r="A23" s="99" t="s">
        <v>396</v>
      </c>
      <c r="B23" s="86" t="s">
        <v>397</v>
      </c>
      <c r="C23" s="86" t="s">
        <v>395</v>
      </c>
      <c r="D23" s="100">
        <v>85.91</v>
      </c>
      <c r="E23" s="91">
        <v>54.87</v>
      </c>
      <c r="F23" s="101">
        <f t="shared" ref="F23:F30" si="0">AVERAGE(D23,E23)</f>
        <v>70.39</v>
      </c>
      <c r="G23" s="57">
        <v>82.61</v>
      </c>
      <c r="H23" s="337">
        <f>18269090-7232733</f>
        <v>11036357</v>
      </c>
      <c r="I23" s="102">
        <v>0</v>
      </c>
      <c r="J23" s="336">
        <f>1819717000+439937000</f>
        <v>2259654000</v>
      </c>
      <c r="K23" s="10"/>
      <c r="L23" t="s">
        <v>0</v>
      </c>
    </row>
    <row r="24" spans="1:12" ht="17.25">
      <c r="A24" s="99" t="s">
        <v>398</v>
      </c>
      <c r="B24" s="86" t="s">
        <v>399</v>
      </c>
      <c r="C24" s="86" t="s">
        <v>395</v>
      </c>
      <c r="D24" s="100">
        <v>14.67</v>
      </c>
      <c r="E24" s="91">
        <v>10.86</v>
      </c>
      <c r="F24" s="101">
        <f t="shared" si="0"/>
        <v>12.765000000000001</v>
      </c>
      <c r="G24" s="100">
        <v>13.74</v>
      </c>
      <c r="H24" s="336">
        <v>654273192</v>
      </c>
      <c r="I24" s="102">
        <v>0</v>
      </c>
      <c r="J24" s="336">
        <f>3632000000+29270000000</f>
        <v>32902000000</v>
      </c>
      <c r="K24" s="10"/>
    </row>
    <row r="25" spans="1:12" ht="17.25">
      <c r="A25" s="99" t="s">
        <v>400</v>
      </c>
      <c r="B25" s="86" t="s">
        <v>401</v>
      </c>
      <c r="C25" s="86" t="s">
        <v>395</v>
      </c>
      <c r="D25" s="57">
        <v>42.7</v>
      </c>
      <c r="E25" s="101">
        <v>30.6</v>
      </c>
      <c r="F25" s="101">
        <f t="shared" si="0"/>
        <v>36.650000000000006</v>
      </c>
      <c r="G25" s="57">
        <v>40.229999999999997</v>
      </c>
      <c r="H25" s="336">
        <f>654671194-11224246</f>
        <v>643446948</v>
      </c>
      <c r="I25" s="102">
        <v>0</v>
      </c>
      <c r="J25" s="336">
        <f>2983000000+17071000000</f>
        <v>20054000000</v>
      </c>
      <c r="K25" s="10"/>
    </row>
    <row r="26" spans="1:12" ht="17.25">
      <c r="A26" s="99" t="s">
        <v>402</v>
      </c>
      <c r="B26" s="86" t="s">
        <v>403</v>
      </c>
      <c r="C26" s="86" t="s">
        <v>395</v>
      </c>
      <c r="D26" s="100">
        <v>5.94</v>
      </c>
      <c r="E26" s="91">
        <v>3.42</v>
      </c>
      <c r="F26" s="101">
        <f t="shared" si="0"/>
        <v>4.68</v>
      </c>
      <c r="G26" s="57">
        <v>5.55</v>
      </c>
      <c r="H26" s="336">
        <f>339000000-159000000</f>
        <v>180000000</v>
      </c>
      <c r="I26" s="102">
        <v>0</v>
      </c>
      <c r="J26" s="336">
        <f>307000000+4409000000</f>
        <v>4716000000</v>
      </c>
      <c r="K26" s="10"/>
    </row>
    <row r="27" spans="1:12" ht="17.25">
      <c r="A27" s="314" t="s">
        <v>404</v>
      </c>
      <c r="B27" s="91" t="s">
        <v>405</v>
      </c>
      <c r="C27" s="91" t="s">
        <v>395</v>
      </c>
      <c r="D27" s="100">
        <v>53.76</v>
      </c>
      <c r="E27" s="101">
        <v>36.909999999999997</v>
      </c>
      <c r="F27" s="101">
        <f t="shared" si="0"/>
        <v>45.334999999999994</v>
      </c>
      <c r="G27" s="57">
        <v>52.2</v>
      </c>
      <c r="H27" s="336">
        <f>82840372-42615347</f>
        <v>40225025</v>
      </c>
      <c r="I27" s="102">
        <v>0</v>
      </c>
      <c r="J27" s="336">
        <f>443869000+2562183000</f>
        <v>3006052000</v>
      </c>
      <c r="K27" s="10"/>
    </row>
    <row r="28" spans="1:12" ht="17.25">
      <c r="A28" s="99" t="s">
        <v>406</v>
      </c>
      <c r="B28" s="86" t="s">
        <v>407</v>
      </c>
      <c r="C28" s="86" t="s">
        <v>395</v>
      </c>
      <c r="D28" s="100">
        <v>30.49</v>
      </c>
      <c r="E28" s="101">
        <v>22.01</v>
      </c>
      <c r="F28" s="101">
        <f t="shared" si="0"/>
        <v>26.25</v>
      </c>
      <c r="G28" s="57">
        <v>28.88</v>
      </c>
      <c r="H28" s="336">
        <f>888111634-291599001</f>
        <v>596512633</v>
      </c>
      <c r="I28" s="102">
        <v>0</v>
      </c>
      <c r="J28" s="336">
        <f>29000000+7978000000</f>
        <v>8007000000</v>
      </c>
      <c r="K28" s="10"/>
    </row>
    <row r="29" spans="1:12" ht="17.25">
      <c r="A29" s="99" t="s">
        <v>408</v>
      </c>
      <c r="B29" s="86" t="s">
        <v>409</v>
      </c>
      <c r="C29" s="86" t="s">
        <v>395</v>
      </c>
      <c r="D29" s="57">
        <v>16.77</v>
      </c>
      <c r="E29" s="91">
        <v>8.32</v>
      </c>
      <c r="F29" s="101">
        <f t="shared" si="0"/>
        <v>12.545</v>
      </c>
      <c r="G29" s="57">
        <v>15.94</v>
      </c>
      <c r="H29" s="336">
        <f>109263005-2040655</f>
        <v>107222350</v>
      </c>
      <c r="I29" s="102">
        <v>0</v>
      </c>
      <c r="J29" s="336">
        <f>315580000+3055221000</f>
        <v>3370801000</v>
      </c>
      <c r="K29" s="10"/>
    </row>
    <row r="30" spans="1:12" ht="18" thickBot="1">
      <c r="A30" s="292" t="s">
        <v>410</v>
      </c>
      <c r="B30" s="93" t="s">
        <v>411</v>
      </c>
      <c r="C30" s="93" t="s">
        <v>395</v>
      </c>
      <c r="D30" s="378">
        <v>43.87</v>
      </c>
      <c r="E30" s="379">
        <v>33.68</v>
      </c>
      <c r="F30" s="346">
        <f t="shared" si="0"/>
        <v>38.774999999999999</v>
      </c>
      <c r="G30" s="377">
        <v>41.26</v>
      </c>
      <c r="H30" s="338">
        <f>328018739</f>
        <v>328018739</v>
      </c>
      <c r="I30" s="330">
        <v>0</v>
      </c>
      <c r="J30" s="339">
        <f>4018000000+172000000+25057000000+91000000</f>
        <v>29338000000</v>
      </c>
      <c r="K30" s="10"/>
    </row>
    <row r="31" spans="1:12" ht="17.25">
      <c r="A31" s="103"/>
      <c r="B31" s="103"/>
      <c r="C31" s="103"/>
      <c r="D31" s="103"/>
      <c r="E31" s="103"/>
      <c r="F31" s="103"/>
      <c r="G31" s="103"/>
      <c r="H31" s="103"/>
      <c r="I31" s="103"/>
      <c r="J31" s="103"/>
      <c r="K31" s="10"/>
      <c r="L31" t="s">
        <v>0</v>
      </c>
    </row>
    <row r="32" spans="1:12" ht="17.25">
      <c r="A32" s="103"/>
      <c r="B32" s="103"/>
      <c r="C32" s="103"/>
      <c r="D32" s="103" t="s">
        <v>0</v>
      </c>
      <c r="E32" s="103"/>
      <c r="F32" s="103"/>
      <c r="G32" s="103"/>
      <c r="H32" s="103" t="s">
        <v>0</v>
      </c>
      <c r="I32" s="103"/>
      <c r="J32" s="103" t="s">
        <v>0</v>
      </c>
      <c r="K32" s="10"/>
    </row>
    <row r="33" spans="1:12" ht="18" thickBot="1">
      <c r="A33" s="104" t="s">
        <v>0</v>
      </c>
      <c r="B33" s="105"/>
      <c r="C33" s="105"/>
      <c r="D33" s="105"/>
      <c r="E33" s="105"/>
      <c r="F33" s="26"/>
      <c r="G33" s="105"/>
      <c r="H33" s="105"/>
      <c r="I33" s="105"/>
      <c r="J33" s="103"/>
      <c r="K33" s="103"/>
      <c r="L33" s="4"/>
    </row>
    <row r="34" spans="1:12" ht="17.25">
      <c r="A34" s="106"/>
      <c r="B34" s="455"/>
      <c r="C34" s="455"/>
      <c r="D34" s="455"/>
      <c r="E34" s="265" t="s">
        <v>0</v>
      </c>
      <c r="F34" s="265" t="s">
        <v>0</v>
      </c>
      <c r="G34" s="265" t="s">
        <v>0</v>
      </c>
      <c r="H34" s="150"/>
      <c r="I34" s="455"/>
      <c r="J34" s="108"/>
      <c r="K34" s="455"/>
      <c r="L34" s="4"/>
    </row>
    <row r="35" spans="1:12" ht="17.25">
      <c r="A35" s="85"/>
      <c r="B35" s="86"/>
      <c r="C35" s="86"/>
      <c r="D35" s="456" t="s">
        <v>470</v>
      </c>
      <c r="E35" s="86" t="s">
        <v>470</v>
      </c>
      <c r="F35" s="86" t="s">
        <v>470</v>
      </c>
      <c r="G35" s="86" t="s">
        <v>470</v>
      </c>
      <c r="H35" s="460" t="s">
        <v>470</v>
      </c>
      <c r="I35" s="456" t="s">
        <v>470</v>
      </c>
      <c r="J35" s="109" t="s">
        <v>470</v>
      </c>
      <c r="K35" s="456" t="s">
        <v>470</v>
      </c>
      <c r="L35" s="5"/>
    </row>
    <row r="36" spans="1:12" ht="17.25">
      <c r="A36" s="85" t="s">
        <v>0</v>
      </c>
      <c r="B36" s="86" t="s">
        <v>3</v>
      </c>
      <c r="C36" s="86" t="s">
        <v>5</v>
      </c>
      <c r="D36" s="86" t="s">
        <v>12</v>
      </c>
      <c r="E36" s="91" t="s">
        <v>151</v>
      </c>
      <c r="F36" s="91" t="s">
        <v>295</v>
      </c>
      <c r="G36" s="91" t="s">
        <v>511</v>
      </c>
      <c r="H36" s="85" t="s">
        <v>209</v>
      </c>
      <c r="I36" s="91" t="s">
        <v>16</v>
      </c>
      <c r="J36" s="110" t="s">
        <v>17</v>
      </c>
      <c r="K36" s="91" t="s">
        <v>51</v>
      </c>
      <c r="L36" s="5"/>
    </row>
    <row r="37" spans="1:12" ht="18" thickBot="1">
      <c r="A37" s="92" t="s">
        <v>2</v>
      </c>
      <c r="B37" s="93" t="s">
        <v>4</v>
      </c>
      <c r="C37" s="93" t="s">
        <v>6</v>
      </c>
      <c r="D37" s="93" t="s">
        <v>14</v>
      </c>
      <c r="E37" s="93" t="s">
        <v>14</v>
      </c>
      <c r="F37" s="93" t="s">
        <v>308</v>
      </c>
      <c r="G37" s="93" t="s">
        <v>308</v>
      </c>
      <c r="H37" s="92" t="s">
        <v>14</v>
      </c>
      <c r="I37" s="93" t="s">
        <v>510</v>
      </c>
      <c r="J37" s="111" t="s">
        <v>0</v>
      </c>
      <c r="K37" s="93" t="s">
        <v>362</v>
      </c>
      <c r="L37" s="1"/>
    </row>
    <row r="38" spans="1:12" ht="15.75">
      <c r="A38" s="269" t="s">
        <v>7</v>
      </c>
      <c r="B38" s="269" t="s">
        <v>7</v>
      </c>
      <c r="C38" s="269" t="s">
        <v>7</v>
      </c>
      <c r="D38" s="269" t="s">
        <v>15</v>
      </c>
      <c r="E38" s="269" t="s">
        <v>8</v>
      </c>
      <c r="F38" s="269" t="s">
        <v>8</v>
      </c>
      <c r="G38" s="269" t="s">
        <v>8</v>
      </c>
      <c r="H38" s="288" t="s">
        <v>8</v>
      </c>
      <c r="I38" s="97" t="s">
        <v>15</v>
      </c>
      <c r="J38" s="295" t="s">
        <v>15</v>
      </c>
      <c r="K38" s="97" t="s">
        <v>15</v>
      </c>
      <c r="L38" s="5"/>
    </row>
    <row r="39" spans="1:12" ht="17.25">
      <c r="A39" s="86"/>
      <c r="B39" s="86"/>
      <c r="C39" s="86"/>
      <c r="D39" s="343"/>
      <c r="E39" s="343"/>
      <c r="F39" s="98"/>
      <c r="G39" s="98"/>
      <c r="H39" s="197"/>
      <c r="I39" s="98"/>
      <c r="J39" s="112"/>
      <c r="K39" s="98"/>
      <c r="L39" s="4"/>
    </row>
    <row r="40" spans="1:12" ht="17.25">
      <c r="A40" s="98" t="str">
        <f>+A22</f>
        <v xml:space="preserve">Alaska Air </v>
      </c>
      <c r="B40" s="86" t="str">
        <f>+B22</f>
        <v>ALK</v>
      </c>
      <c r="C40" s="86" t="str">
        <f>+C22</f>
        <v>AirTrans</v>
      </c>
      <c r="D40" s="340">
        <f>(+H22)*G22</f>
        <v>4423500555.3199997</v>
      </c>
      <c r="E40" s="354">
        <f t="shared" ref="E40:E48" si="1">(1/1)*I23</f>
        <v>0</v>
      </c>
      <c r="F40" s="340">
        <f t="shared" ref="F40:F48" si="2">+G71</f>
        <v>1283000000</v>
      </c>
      <c r="G40" s="340">
        <v>0</v>
      </c>
      <c r="H40" s="457">
        <f>J22*(1473/1660)</f>
        <v>2249430722.8915663</v>
      </c>
      <c r="I40" s="336">
        <f>+D40+E40+F40+G40+H40</f>
        <v>7955931278.211566</v>
      </c>
      <c r="J40" s="113">
        <f t="shared" ref="J40:J48" si="3">(+D40)/I40</f>
        <v>0.55600034749349536</v>
      </c>
      <c r="K40" s="461">
        <f>(+E40+F40+G40+H40)/I40</f>
        <v>0.44399965250650458</v>
      </c>
      <c r="L40" s="4"/>
    </row>
    <row r="41" spans="1:12" ht="17.25">
      <c r="A41" s="98" t="str">
        <f t="shared" ref="A41:C48" si="4">+A23</f>
        <v xml:space="preserve">Allegiant Travel Co. </v>
      </c>
      <c r="B41" s="86" t="str">
        <f t="shared" si="4"/>
        <v>ALGT</v>
      </c>
      <c r="C41" s="86" t="str">
        <f t="shared" si="4"/>
        <v>AirTrans</v>
      </c>
      <c r="D41" s="340">
        <f t="shared" ref="D41:D48" si="5">(+H23)*G23</f>
        <v>911713451.76999998</v>
      </c>
      <c r="E41" s="340">
        <f t="shared" si="1"/>
        <v>0</v>
      </c>
      <c r="F41" s="340">
        <f t="shared" si="2"/>
        <v>103283000</v>
      </c>
      <c r="G41" s="340">
        <v>0</v>
      </c>
      <c r="H41" s="457">
        <f>J23*(1561939/1626114)</f>
        <v>2170476183.7767835</v>
      </c>
      <c r="I41" s="336">
        <f t="shared" ref="I41:I47" si="6">+D41+E41+F41+G41+H41</f>
        <v>3185472635.5467834</v>
      </c>
      <c r="J41" s="113">
        <f t="shared" si="3"/>
        <v>0.28620978927778645</v>
      </c>
      <c r="K41" s="461">
        <f t="shared" ref="K41:K48" si="7">(+E41+F41+G41+H41)/I41</f>
        <v>0.71379021072221349</v>
      </c>
      <c r="L41" s="4"/>
    </row>
    <row r="42" spans="1:12" ht="17.25">
      <c r="A42" s="98" t="str">
        <f t="shared" si="4"/>
        <v xml:space="preserve">American Airlines </v>
      </c>
      <c r="B42" s="86" t="str">
        <f t="shared" si="4"/>
        <v>AAL</v>
      </c>
      <c r="C42" s="86" t="str">
        <f t="shared" si="4"/>
        <v>AirTrans</v>
      </c>
      <c r="D42" s="340">
        <f t="shared" si="5"/>
        <v>8989713658.0799999</v>
      </c>
      <c r="E42" s="340">
        <f t="shared" si="1"/>
        <v>0</v>
      </c>
      <c r="F42" s="340">
        <f t="shared" si="2"/>
        <v>7761000000</v>
      </c>
      <c r="G42" s="340">
        <v>0</v>
      </c>
      <c r="H42" s="457">
        <f>J24*(32569000000/34903000000)</f>
        <v>30701808956.250179</v>
      </c>
      <c r="I42" s="336">
        <f t="shared" si="6"/>
        <v>47452522614.330177</v>
      </c>
      <c r="J42" s="113">
        <f t="shared" si="3"/>
        <v>0.18944648593592783</v>
      </c>
      <c r="K42" s="461">
        <f t="shared" si="7"/>
        <v>0.81055351406407228</v>
      </c>
      <c r="L42" s="4"/>
    </row>
    <row r="43" spans="1:12" ht="17.25">
      <c r="A43" s="98" t="str">
        <f t="shared" si="4"/>
        <v xml:space="preserve">Delta Air Lines </v>
      </c>
      <c r="B43" s="86" t="str">
        <f t="shared" si="4"/>
        <v>DAL</v>
      </c>
      <c r="C43" s="86" t="str">
        <f t="shared" si="4"/>
        <v>AirTrans</v>
      </c>
      <c r="D43" s="340">
        <f t="shared" si="5"/>
        <v>25885870718.039997</v>
      </c>
      <c r="E43" s="340">
        <f t="shared" si="1"/>
        <v>0</v>
      </c>
      <c r="F43" s="340">
        <f t="shared" si="2"/>
        <v>7227000000</v>
      </c>
      <c r="G43" s="340">
        <v>0</v>
      </c>
      <c r="H43" s="457">
        <f>J25*((20700000000/21381000000))</f>
        <v>19415265890.276413</v>
      </c>
      <c r="I43" s="336">
        <f t="shared" si="6"/>
        <v>52528136608.316406</v>
      </c>
      <c r="J43" s="113">
        <f t="shared" si="3"/>
        <v>0.49280009513875789</v>
      </c>
      <c r="K43" s="461">
        <f t="shared" si="7"/>
        <v>0.50719990486124211</v>
      </c>
      <c r="L43" s="4"/>
    </row>
    <row r="44" spans="1:12" ht="17.25">
      <c r="A44" s="98" t="str">
        <f t="shared" si="4"/>
        <v xml:space="preserve">JetBlue Airways </v>
      </c>
      <c r="B44" s="86" t="str">
        <f t="shared" si="4"/>
        <v>JBLU</v>
      </c>
      <c r="C44" s="86" t="str">
        <f t="shared" si="4"/>
        <v>AirTrans</v>
      </c>
      <c r="D44" s="340">
        <f t="shared" si="5"/>
        <v>999000000</v>
      </c>
      <c r="E44" s="340">
        <f t="shared" si="1"/>
        <v>0</v>
      </c>
      <c r="F44" s="340">
        <f t="shared" si="2"/>
        <v>664000000</v>
      </c>
      <c r="G44" s="340">
        <v>0</v>
      </c>
      <c r="H44" s="458">
        <f>J26*(2848/3645)</f>
        <v>3684819753.0864196</v>
      </c>
      <c r="I44" s="336">
        <f t="shared" si="6"/>
        <v>5347819753.0864201</v>
      </c>
      <c r="J44" s="113">
        <f t="shared" si="3"/>
        <v>0.18680509929741759</v>
      </c>
      <c r="K44" s="461">
        <f t="shared" si="7"/>
        <v>0.81319490070258238</v>
      </c>
      <c r="L44" s="4"/>
    </row>
    <row r="45" spans="1:12" ht="17.25">
      <c r="A45" s="98" t="str">
        <f t="shared" si="4"/>
        <v>Skywest Inc</v>
      </c>
      <c r="B45" s="86" t="str">
        <f t="shared" si="4"/>
        <v>SKYW</v>
      </c>
      <c r="C45" s="86" t="str">
        <f t="shared" si="4"/>
        <v>AirTrans</v>
      </c>
      <c r="D45" s="340">
        <f t="shared" si="5"/>
        <v>2099746305</v>
      </c>
      <c r="E45" s="340">
        <f t="shared" si="1"/>
        <v>0</v>
      </c>
      <c r="F45" s="340">
        <f t="shared" si="2"/>
        <v>86727000</v>
      </c>
      <c r="G45" s="340">
        <v>0</v>
      </c>
      <c r="H45" s="458">
        <f>J27*(3264704/3409311)</f>
        <v>2878549357.5118256</v>
      </c>
      <c r="I45" s="336">
        <f t="shared" si="6"/>
        <v>5065022662.5118256</v>
      </c>
      <c r="J45" s="113">
        <f t="shared" si="3"/>
        <v>0.41455812637148248</v>
      </c>
      <c r="K45" s="461">
        <f t="shared" si="7"/>
        <v>0.58544187362851752</v>
      </c>
      <c r="L45" s="4"/>
    </row>
    <row r="46" spans="1:12" ht="17.25">
      <c r="A46" s="98" t="str">
        <f t="shared" si="4"/>
        <v xml:space="preserve">Southwest Airlines </v>
      </c>
      <c r="B46" s="86" t="str">
        <f t="shared" si="4"/>
        <v>LUV</v>
      </c>
      <c r="C46" s="86" t="str">
        <f t="shared" si="4"/>
        <v>AirTrans</v>
      </c>
      <c r="D46" s="340">
        <f t="shared" si="5"/>
        <v>17227284841.040001</v>
      </c>
      <c r="E46" s="340">
        <f t="shared" si="1"/>
        <v>0</v>
      </c>
      <c r="F46" s="340">
        <f t="shared" si="2"/>
        <v>1193000000</v>
      </c>
      <c r="G46" s="340">
        <v>0</v>
      </c>
      <c r="H46" s="458">
        <f>J28*(13800/12419)</f>
        <v>8897383042.1128922</v>
      </c>
      <c r="I46" s="336">
        <f t="shared" si="6"/>
        <v>27317667883.152893</v>
      </c>
      <c r="J46" s="113">
        <f t="shared" si="3"/>
        <v>0.63062794799054778</v>
      </c>
      <c r="K46" s="461">
        <f t="shared" si="7"/>
        <v>0.36937205200945217</v>
      </c>
      <c r="L46" s="4"/>
    </row>
    <row r="47" spans="1:12" ht="17.25">
      <c r="A47" s="98" t="str">
        <f t="shared" si="4"/>
        <v xml:space="preserve">Spirit Airlines </v>
      </c>
      <c r="B47" s="86" t="str">
        <f t="shared" si="4"/>
        <v>SAVE</v>
      </c>
      <c r="C47" s="86" t="str">
        <f t="shared" si="4"/>
        <v>AirTrans</v>
      </c>
      <c r="D47" s="340">
        <f t="shared" si="5"/>
        <v>1709124259</v>
      </c>
      <c r="E47" s="340">
        <f t="shared" si="1"/>
        <v>0</v>
      </c>
      <c r="F47" s="340">
        <f t="shared" si="2"/>
        <v>3523736000</v>
      </c>
      <c r="G47" s="340">
        <v>0</v>
      </c>
      <c r="H47" s="458">
        <f>J29*(3355/3642.4)</f>
        <v>3104831252.7454424</v>
      </c>
      <c r="I47" s="336">
        <f t="shared" si="6"/>
        <v>8337691511.7454424</v>
      </c>
      <c r="J47" s="113">
        <f t="shared" si="3"/>
        <v>0.20498770632042798</v>
      </c>
      <c r="K47" s="461">
        <f t="shared" si="7"/>
        <v>0.79501229367957205</v>
      </c>
      <c r="L47" s="4"/>
    </row>
    <row r="48" spans="1:12" ht="18" thickBot="1">
      <c r="A48" s="344" t="str">
        <f t="shared" si="4"/>
        <v>United Airlines Holdings Inc</v>
      </c>
      <c r="B48" s="93" t="str">
        <f t="shared" si="4"/>
        <v>UAL</v>
      </c>
      <c r="C48" s="93" t="str">
        <f t="shared" si="4"/>
        <v>AirTrans</v>
      </c>
      <c r="D48" s="341">
        <f t="shared" si="5"/>
        <v>13534053171.139999</v>
      </c>
      <c r="E48" s="341">
        <f t="shared" si="1"/>
        <v>0</v>
      </c>
      <c r="F48" s="341">
        <f t="shared" si="2"/>
        <v>5079000000</v>
      </c>
      <c r="G48" s="341">
        <v>0</v>
      </c>
      <c r="H48" s="459">
        <f>J30*(29371/31194)</f>
        <v>27623465987.048794</v>
      </c>
      <c r="I48" s="339">
        <f>+D48+E48+F48+G48+H48</f>
        <v>46236519158.188797</v>
      </c>
      <c r="J48" s="331">
        <f t="shared" si="3"/>
        <v>0.29271349611842545</v>
      </c>
      <c r="K48" s="462">
        <f t="shared" si="7"/>
        <v>0.70728650388157444</v>
      </c>
      <c r="L48" s="4"/>
    </row>
    <row r="49" spans="1:11" ht="17.25">
      <c r="A49" s="10"/>
      <c r="B49" s="10"/>
      <c r="C49" s="10"/>
      <c r="D49" s="10"/>
      <c r="E49" s="10"/>
      <c r="F49" s="10"/>
      <c r="H49" s="10"/>
      <c r="I49" s="116" t="s">
        <v>45</v>
      </c>
      <c r="J49" s="119">
        <f>MAX(J40:J48)</f>
        <v>0.63062794799054778</v>
      </c>
      <c r="K49" s="119">
        <f>MAX(K40:K48)</f>
        <v>0.81319490070258238</v>
      </c>
    </row>
    <row r="50" spans="1:11" ht="17.25">
      <c r="A50" s="10"/>
      <c r="B50" s="10"/>
      <c r="C50" s="10"/>
      <c r="D50" s="10"/>
      <c r="E50" s="10" t="s">
        <v>0</v>
      </c>
      <c r="F50" s="10"/>
      <c r="H50" s="10" t="s">
        <v>0</v>
      </c>
      <c r="I50" s="311" t="s">
        <v>46</v>
      </c>
      <c r="J50" s="361">
        <f>MIN(J40:J48)</f>
        <v>0.18680509929741759</v>
      </c>
      <c r="K50" s="361">
        <f>MIN(K40:K48)</f>
        <v>0.36937205200945217</v>
      </c>
    </row>
    <row r="51" spans="1:11" ht="17.25">
      <c r="A51" s="10"/>
      <c r="B51" s="10"/>
      <c r="C51" s="10"/>
      <c r="D51" s="10"/>
      <c r="E51" s="117"/>
      <c r="F51" s="315" t="s">
        <v>0</v>
      </c>
      <c r="H51" s="10" t="s">
        <v>0</v>
      </c>
      <c r="I51" s="12" t="s">
        <v>18</v>
      </c>
      <c r="J51" s="118">
        <f>MEDIAN(J40:J48)</f>
        <v>0.29271349611842545</v>
      </c>
      <c r="K51" s="119">
        <f>MEDIAN(K40:K48)</f>
        <v>0.70728650388157444</v>
      </c>
    </row>
    <row r="52" spans="1:11" ht="17.25">
      <c r="A52" s="10"/>
      <c r="B52" s="10"/>
      <c r="C52" s="10"/>
      <c r="D52" s="10" t="s">
        <v>0</v>
      </c>
      <c r="E52" s="296" t="s">
        <v>0</v>
      </c>
      <c r="F52" s="315" t="s">
        <v>0</v>
      </c>
      <c r="H52" s="10" t="s">
        <v>0</v>
      </c>
      <c r="I52" s="12" t="s">
        <v>429</v>
      </c>
      <c r="J52" s="118">
        <f>AVERAGE(J40:J48)</f>
        <v>0.36157212154936319</v>
      </c>
      <c r="K52" s="119">
        <f>AVERAGE(K40:K48)</f>
        <v>0.63842787845063687</v>
      </c>
    </row>
    <row r="53" spans="1:11" ht="18" thickBot="1">
      <c r="A53" s="10"/>
      <c r="B53" s="10"/>
      <c r="C53" s="10"/>
      <c r="D53" s="10"/>
      <c r="E53" s="117"/>
      <c r="F53" s="10"/>
      <c r="H53" s="10"/>
      <c r="I53" s="10"/>
      <c r="J53" s="60"/>
      <c r="K53" s="60"/>
    </row>
    <row r="54" spans="1:11" ht="27" thickBot="1">
      <c r="A54" s="10"/>
      <c r="B54" s="10"/>
      <c r="C54" s="10"/>
      <c r="D54" s="10"/>
      <c r="E54" s="117"/>
      <c r="F54" s="10"/>
      <c r="H54" s="10"/>
      <c r="I54" s="201" t="s">
        <v>211</v>
      </c>
      <c r="J54" s="429">
        <v>0.36</v>
      </c>
      <c r="K54" s="430">
        <v>0.64</v>
      </c>
    </row>
    <row r="55" spans="1:11" ht="17.25">
      <c r="A55" s="10"/>
      <c r="B55" s="10"/>
      <c r="C55" s="10"/>
      <c r="D55" s="10"/>
      <c r="E55" s="117"/>
      <c r="F55" s="10"/>
      <c r="G55" s="10"/>
      <c r="H55" s="10"/>
      <c r="I55" s="60"/>
      <c r="J55" s="60" t="s">
        <v>0</v>
      </c>
      <c r="K55" s="10"/>
    </row>
    <row r="56" spans="1:11" ht="16.5">
      <c r="E56" s="117"/>
      <c r="F56" s="10"/>
      <c r="G56" s="10"/>
      <c r="H56" s="10"/>
      <c r="I56" s="10"/>
      <c r="J56" s="10"/>
      <c r="K56" s="10"/>
    </row>
    <row r="57" spans="1:11" ht="16.5">
      <c r="E57" s="117"/>
      <c r="F57" s="10"/>
      <c r="G57" s="10"/>
      <c r="H57" s="10"/>
      <c r="I57" s="10"/>
      <c r="J57" s="10"/>
      <c r="K57" s="10"/>
    </row>
    <row r="58" spans="1:11" ht="26.25">
      <c r="A58" s="20" t="s">
        <v>71</v>
      </c>
      <c r="B58" s="10"/>
      <c r="C58" s="72"/>
      <c r="D58" s="121"/>
      <c r="E58" s="316"/>
      <c r="H58" s="10"/>
      <c r="I58" s="10"/>
      <c r="J58" s="10"/>
      <c r="K58" s="10"/>
    </row>
    <row r="59" spans="1:11" ht="16.5">
      <c r="A59" s="83" t="s">
        <v>54</v>
      </c>
      <c r="B59" s="10"/>
      <c r="C59" s="72"/>
      <c r="D59" s="121"/>
      <c r="E59" s="316"/>
      <c r="H59" s="10"/>
      <c r="I59" s="10"/>
      <c r="J59" s="10"/>
      <c r="K59" s="10"/>
    </row>
    <row r="60" spans="1:11" ht="16.5">
      <c r="A60" s="10" t="s">
        <v>155</v>
      </c>
      <c r="B60" s="10"/>
      <c r="C60" s="10"/>
      <c r="D60" s="10"/>
    </row>
    <row r="61" spans="1:11" ht="16.5">
      <c r="A61" s="10" t="s">
        <v>153</v>
      </c>
      <c r="B61" s="10"/>
      <c r="C61" s="10"/>
      <c r="D61" s="10"/>
    </row>
    <row r="62" spans="1:11" ht="16.5">
      <c r="A62" s="10" t="s">
        <v>154</v>
      </c>
      <c r="B62" s="10"/>
      <c r="C62" s="10"/>
      <c r="D62" s="10"/>
    </row>
    <row r="63" spans="1:11" ht="16.5">
      <c r="A63" s="10" t="s">
        <v>513</v>
      </c>
      <c r="B63" s="10"/>
      <c r="C63" s="10"/>
      <c r="D63" s="10"/>
    </row>
    <row r="64" spans="1:11" ht="16.5">
      <c r="A64" s="10" t="s">
        <v>512</v>
      </c>
      <c r="B64" s="10"/>
      <c r="C64" s="10"/>
      <c r="D64" s="10"/>
    </row>
    <row r="65" spans="1:11" ht="16.5">
      <c r="A65" s="10" t="s">
        <v>387</v>
      </c>
      <c r="B65" s="10"/>
      <c r="C65" s="10"/>
      <c r="D65" s="10"/>
    </row>
    <row r="66" spans="1:11" ht="16.5">
      <c r="A66" s="10" t="s">
        <v>388</v>
      </c>
      <c r="B66" s="10"/>
      <c r="C66" s="10"/>
      <c r="D66" s="10"/>
    </row>
    <row r="67" spans="1:11" ht="16.5">
      <c r="A67" s="10"/>
      <c r="B67" s="10"/>
      <c r="C67" s="10"/>
      <c r="D67" s="10"/>
    </row>
    <row r="68" spans="1:11" ht="26.25">
      <c r="A68" s="267" t="s">
        <v>315</v>
      </c>
      <c r="B68" s="10"/>
      <c r="C68" s="10"/>
      <c r="D68" s="10"/>
    </row>
    <row r="69" spans="1:11" ht="17.25" customHeight="1">
      <c r="A69" s="342" t="s">
        <v>412</v>
      </c>
      <c r="B69" s="10"/>
      <c r="C69" s="10"/>
      <c r="D69" s="10"/>
    </row>
    <row r="70" spans="1:11" ht="16.5">
      <c r="A70" s="125" t="s">
        <v>413</v>
      </c>
      <c r="B70" s="10"/>
      <c r="C70" s="10"/>
      <c r="E70" s="463" t="s">
        <v>2</v>
      </c>
      <c r="F70" s="464" t="s">
        <v>390</v>
      </c>
      <c r="G70" s="464" t="s">
        <v>391</v>
      </c>
      <c r="H70" s="464" t="s">
        <v>514</v>
      </c>
      <c r="I70" s="463" t="s">
        <v>389</v>
      </c>
    </row>
    <row r="71" spans="1:11" ht="24.95" customHeight="1">
      <c r="A71" s="267" t="s">
        <v>380</v>
      </c>
      <c r="B71" s="10"/>
      <c r="C71" s="10"/>
      <c r="E71" s="465" t="str">
        <f>A40</f>
        <v xml:space="preserve">Alaska Air </v>
      </c>
      <c r="F71" s="466">
        <v>1195000000</v>
      </c>
      <c r="G71" s="466">
        <f>158000000+1125000000</f>
        <v>1283000000</v>
      </c>
      <c r="H71" s="466">
        <f>158000000+1125000000</f>
        <v>1283000000</v>
      </c>
      <c r="I71" s="467">
        <v>690000000</v>
      </c>
      <c r="K71" s="495"/>
    </row>
    <row r="72" spans="1:11" ht="24.95" customHeight="1">
      <c r="B72" s="10"/>
      <c r="C72" s="10"/>
      <c r="E72" s="465" t="str">
        <f t="shared" ref="E72:E79" si="8">A41</f>
        <v xml:space="preserve">Allegiant Travel Co. </v>
      </c>
      <c r="F72" s="466">
        <v>100707000</v>
      </c>
      <c r="G72" s="468">
        <f>20873000+82410000</f>
        <v>103283000</v>
      </c>
      <c r="H72" s="468">
        <v>103283000</v>
      </c>
      <c r="I72" s="467">
        <v>25246000</v>
      </c>
      <c r="J72" s="434"/>
    </row>
    <row r="73" spans="1:11" ht="24.95" customHeight="1">
      <c r="A73" s="125" t="s">
        <v>0</v>
      </c>
      <c r="B73" s="10"/>
      <c r="C73" s="10"/>
      <c r="E73" s="465" t="str">
        <f t="shared" si="8"/>
        <v xml:space="preserve">American Airlines </v>
      </c>
      <c r="F73" s="466">
        <v>7939000000</v>
      </c>
      <c r="G73" s="466">
        <v>7761000000</v>
      </c>
      <c r="H73" s="466">
        <v>7761000000</v>
      </c>
      <c r="I73" s="467">
        <v>2016000000</v>
      </c>
    </row>
    <row r="74" spans="1:11" ht="24.95" customHeight="1">
      <c r="A74" s="125" t="s">
        <v>0</v>
      </c>
      <c r="B74" s="10"/>
      <c r="C74" s="10"/>
      <c r="E74" s="465" t="str">
        <f t="shared" si="8"/>
        <v xml:space="preserve">Delta Air Lines </v>
      </c>
      <c r="F74" s="466">
        <v>7004000000</v>
      </c>
      <c r="G74" s="466">
        <f>759000000+6468000000</f>
        <v>7227000000</v>
      </c>
      <c r="H74" s="466">
        <v>7227000000</v>
      </c>
      <c r="I74" s="469">
        <f>532000000+2563000000</f>
        <v>3095000000</v>
      </c>
      <c r="J74" s="435"/>
    </row>
    <row r="75" spans="1:11" ht="24.95" customHeight="1">
      <c r="A75" s="125" t="s">
        <v>0</v>
      </c>
      <c r="B75" s="10"/>
      <c r="C75" s="10"/>
      <c r="E75" s="465" t="str">
        <f t="shared" si="8"/>
        <v xml:space="preserve">JetBlue Airways </v>
      </c>
      <c r="F75" s="466">
        <v>593000000</v>
      </c>
      <c r="G75" s="466">
        <f>117000000+547000000</f>
        <v>664000000</v>
      </c>
      <c r="H75" s="466">
        <v>889000000</v>
      </c>
      <c r="I75" s="469">
        <v>167000000</v>
      </c>
    </row>
    <row r="76" spans="1:11" ht="24.95" customHeight="1">
      <c r="A76" s="318"/>
      <c r="B76" s="10"/>
      <c r="C76" s="10"/>
      <c r="E76" s="465" t="str">
        <f t="shared" si="8"/>
        <v>Skywest Inc</v>
      </c>
      <c r="F76" s="470">
        <v>86727000</v>
      </c>
      <c r="G76" s="470">
        <f>19335000+67392000</f>
        <v>86727000</v>
      </c>
      <c r="H76" s="470">
        <v>129063000</v>
      </c>
      <c r="I76" s="471">
        <v>48169000</v>
      </c>
    </row>
    <row r="77" spans="1:11" ht="24.95" customHeight="1">
      <c r="B77" s="10"/>
      <c r="C77" s="10"/>
      <c r="E77" s="465" t="str">
        <f t="shared" si="8"/>
        <v xml:space="preserve">Southwest Airlines </v>
      </c>
      <c r="F77" s="470">
        <v>1223000000</v>
      </c>
      <c r="G77" s="470">
        <f>208000000+985000000</f>
        <v>1193000000</v>
      </c>
      <c r="H77" s="470">
        <v>1193000000</v>
      </c>
      <c r="I77" s="472">
        <f>1789000000</f>
        <v>1789000000</v>
      </c>
    </row>
    <row r="78" spans="1:11" ht="24.95" customHeight="1">
      <c r="A78" s="317"/>
      <c r="E78" s="465" t="str">
        <f t="shared" si="8"/>
        <v xml:space="preserve">Spirit Airlines </v>
      </c>
      <c r="F78" s="470">
        <v>3561028000</v>
      </c>
      <c r="G78" s="470">
        <f>224865000+3298871000</f>
        <v>3523736000</v>
      </c>
      <c r="H78" s="470">
        <f>352421600-480000</f>
        <v>351941600</v>
      </c>
      <c r="I78" s="471">
        <f>408262000+381239000</f>
        <v>789501000</v>
      </c>
    </row>
    <row r="79" spans="1:11" ht="24.95" customHeight="1">
      <c r="E79" s="465" t="str">
        <f t="shared" si="8"/>
        <v>United Airlines Holdings Inc</v>
      </c>
      <c r="F79" s="470">
        <v>3914000000</v>
      </c>
      <c r="G79" s="473">
        <f>576000000+4503000000</f>
        <v>5079000000</v>
      </c>
      <c r="H79" s="470">
        <v>5079000000</v>
      </c>
      <c r="I79" s="472">
        <f>3076000000+197000000</f>
        <v>3273000000</v>
      </c>
    </row>
  </sheetData>
  <pageMargins left="0.25" right="0.25" top="0.75" bottom="0.75" header="0.3" footer="0.3"/>
  <pageSetup scale="34" orientation="landscape" r:id="rId1"/>
  <rowBreaks count="1" manualBreakCount="1">
    <brk id="54" max="11" man="1"/>
  </rowBreaks>
  <colBreaks count="1" manualBreakCount="1">
    <brk id="11" max="79"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F50-7DB7-41D1-AD2F-655311479817}">
  <sheetPr>
    <tabColor rgb="FF92D050"/>
    <pageSetUpPr fitToPage="1"/>
  </sheetPr>
  <dimension ref="A1:I64"/>
  <sheetViews>
    <sheetView view="pageBreakPreview" topLeftCell="A12" zoomScale="70" zoomScaleNormal="80" zoomScaleSheetLayoutView="70" zoomScalePageLayoutView="70" workbookViewId="0">
      <pane xSplit="1" topLeftCell="B1" activePane="topRight" state="frozen"/>
      <selection pane="topRight" activeCell="D46" sqref="D46"/>
    </sheetView>
  </sheetViews>
  <sheetFormatPr defaultRowHeight="15"/>
  <cols>
    <col min="1" max="1" width="62.42578125" customWidth="1"/>
    <col min="2" max="2" width="11.5703125" bestFit="1" customWidth="1"/>
    <col min="3" max="3" width="20.42578125" bestFit="1" customWidth="1"/>
    <col min="4" max="4" width="30.140625" customWidth="1"/>
    <col min="5" max="5" width="28" customWidth="1"/>
    <col min="6" max="6" width="29.140625" customWidth="1"/>
    <col min="7" max="7" width="23.42578125" customWidth="1"/>
    <col min="8" max="8" width="12.85546875" customWidth="1"/>
    <col min="9" max="9" width="25.85546875" bestFit="1" customWidth="1"/>
    <col min="10" max="10" width="30.140625" bestFit="1" customWidth="1"/>
    <col min="11" max="11" width="9.140625" customWidth="1"/>
  </cols>
  <sheetData>
    <row r="1" spans="1:9" ht="26.25">
      <c r="A1" s="21" t="s">
        <v>1</v>
      </c>
      <c r="B1" s="10"/>
      <c r="C1" s="10"/>
      <c r="D1" s="10"/>
      <c r="E1" s="10"/>
      <c r="F1" s="10"/>
      <c r="G1" s="10"/>
      <c r="H1" s="10"/>
    </row>
    <row r="2" spans="1:9" ht="17.25">
      <c r="A2" s="22" t="s">
        <v>9</v>
      </c>
      <c r="B2" s="10"/>
      <c r="C2" s="10"/>
      <c r="D2" s="10"/>
      <c r="E2" s="10"/>
      <c r="F2" s="10"/>
      <c r="G2" s="10"/>
      <c r="H2" s="10"/>
    </row>
    <row r="3" spans="1:9" ht="16.5">
      <c r="A3" s="23" t="s">
        <v>467</v>
      </c>
      <c r="B3" s="10"/>
      <c r="C3" s="10"/>
      <c r="D3" s="10"/>
      <c r="E3" s="10"/>
      <c r="F3" s="10"/>
      <c r="G3" s="10"/>
      <c r="H3" s="10"/>
    </row>
    <row r="4" spans="1:9" ht="16.5">
      <c r="A4" s="23"/>
      <c r="B4" s="10"/>
      <c r="C4" s="10"/>
      <c r="D4" s="10"/>
      <c r="E4" s="10"/>
      <c r="F4" s="200" t="s">
        <v>0</v>
      </c>
      <c r="G4" s="10"/>
      <c r="H4" s="10"/>
    </row>
    <row r="5" spans="1:9" ht="16.5">
      <c r="B5" s="10"/>
      <c r="C5" s="10"/>
      <c r="D5" s="10"/>
      <c r="E5" s="24"/>
      <c r="F5" s="200" t="s">
        <v>0</v>
      </c>
      <c r="G5" s="10"/>
      <c r="H5" s="10" t="s">
        <v>0</v>
      </c>
    </row>
    <row r="6" spans="1:9" ht="16.5">
      <c r="A6" s="83"/>
      <c r="B6" s="32"/>
      <c r="C6" s="32"/>
      <c r="D6" s="32"/>
      <c r="E6" s="32"/>
      <c r="F6" s="32"/>
      <c r="G6" s="12"/>
      <c r="H6" s="82"/>
      <c r="I6" s="3"/>
    </row>
    <row r="7" spans="1:9" ht="16.5">
      <c r="A7" s="41"/>
      <c r="B7" s="41"/>
      <c r="C7" s="41"/>
      <c r="D7" s="41"/>
      <c r="E7" s="41"/>
      <c r="F7" s="41"/>
      <c r="G7" s="41"/>
      <c r="H7" s="41"/>
      <c r="I7" s="2"/>
    </row>
    <row r="8" spans="1:9" ht="17.25" thickBot="1">
      <c r="A8" s="41"/>
      <c r="B8" s="41"/>
      <c r="C8" s="41"/>
      <c r="D8" s="84"/>
      <c r="E8" s="26"/>
      <c r="F8" s="84"/>
      <c r="H8" s="41"/>
      <c r="I8" s="2"/>
    </row>
    <row r="9" spans="1:9" ht="27" thickBot="1">
      <c r="A9" s="25" t="str">
        <f>+'S&amp;D'!A12</f>
        <v>Air Passenger Carriers</v>
      </c>
      <c r="B9" s="41"/>
      <c r="C9" s="41"/>
      <c r="D9" s="41"/>
      <c r="E9" s="29" t="s">
        <v>306</v>
      </c>
      <c r="F9" s="41"/>
      <c r="H9" s="10"/>
    </row>
    <row r="10" spans="1:9" ht="21" thickBot="1">
      <c r="A10" s="28"/>
      <c r="B10" s="41"/>
      <c r="C10" s="41"/>
      <c r="D10" s="84"/>
      <c r="E10" s="34" t="s">
        <v>469</v>
      </c>
      <c r="F10" s="84"/>
      <c r="H10" s="10"/>
    </row>
    <row r="11" spans="1:9" ht="20.25">
      <c r="A11" s="28"/>
      <c r="B11" s="41"/>
      <c r="C11" s="41"/>
      <c r="D11" s="41"/>
      <c r="E11" s="32"/>
      <c r="F11" s="41"/>
      <c r="H11" s="10"/>
    </row>
    <row r="12" spans="1:9" ht="20.25">
      <c r="A12" s="28"/>
      <c r="B12" s="41"/>
      <c r="C12" s="41"/>
      <c r="D12" s="41"/>
      <c r="E12" s="32"/>
      <c r="F12" s="41"/>
      <c r="H12" s="10"/>
    </row>
    <row r="13" spans="1:9" ht="16.5">
      <c r="B13" s="41"/>
      <c r="C13" s="41"/>
      <c r="D13" s="41"/>
      <c r="E13" s="32"/>
      <c r="F13" s="41"/>
      <c r="H13" s="10"/>
    </row>
    <row r="14" spans="1:9" ht="20.25">
      <c r="A14" s="28"/>
      <c r="B14" s="41"/>
      <c r="C14" s="41"/>
      <c r="D14" s="41"/>
      <c r="E14" s="11" t="s">
        <v>0</v>
      </c>
      <c r="F14" s="41"/>
      <c r="H14" s="10"/>
    </row>
    <row r="15" spans="1:9" ht="17.25" thickBot="1">
      <c r="A15" s="39" t="s">
        <v>0</v>
      </c>
      <c r="B15" s="39" t="s">
        <v>0</v>
      </c>
      <c r="C15" s="39" t="s">
        <v>0</v>
      </c>
      <c r="D15" s="39"/>
      <c r="E15" s="39"/>
      <c r="F15" s="39"/>
      <c r="H15" s="10"/>
    </row>
    <row r="16" spans="1:9" ht="17.25">
      <c r="A16" s="250"/>
      <c r="B16" s="251"/>
      <c r="C16" s="252"/>
      <c r="D16" s="235" t="s">
        <v>0</v>
      </c>
      <c r="E16" s="236" t="s">
        <v>0</v>
      </c>
      <c r="F16" s="235" t="s">
        <v>0</v>
      </c>
      <c r="H16" s="10"/>
    </row>
    <row r="17" spans="1:8" ht="17.25">
      <c r="A17" s="85" t="s">
        <v>0</v>
      </c>
      <c r="B17" s="86" t="s">
        <v>3</v>
      </c>
      <c r="C17" s="87" t="s">
        <v>5</v>
      </c>
      <c r="D17" s="88" t="s">
        <v>0</v>
      </c>
      <c r="E17" s="237" t="s">
        <v>0</v>
      </c>
      <c r="F17" s="88" t="s">
        <v>298</v>
      </c>
      <c r="H17" s="10"/>
    </row>
    <row r="18" spans="1:8" ht="17.25">
      <c r="A18" s="85"/>
      <c r="B18" s="86" t="s">
        <v>4</v>
      </c>
      <c r="C18" s="87" t="s">
        <v>6</v>
      </c>
      <c r="D18" s="88" t="s">
        <v>307</v>
      </c>
      <c r="E18" s="237" t="s">
        <v>307</v>
      </c>
      <c r="F18" s="88" t="s">
        <v>129</v>
      </c>
      <c r="H18" s="10"/>
    </row>
    <row r="19" spans="1:8" ht="18" thickBot="1">
      <c r="A19" s="92" t="s">
        <v>2</v>
      </c>
      <c r="B19" s="93" t="s">
        <v>0</v>
      </c>
      <c r="C19" s="94" t="s">
        <v>0</v>
      </c>
      <c r="D19" s="287" t="s">
        <v>296</v>
      </c>
      <c r="E19" s="286" t="s">
        <v>60</v>
      </c>
      <c r="F19" s="93" t="s">
        <v>0</v>
      </c>
      <c r="H19" s="10"/>
    </row>
    <row r="20" spans="1:8" ht="16.5">
      <c r="A20" s="288" t="s">
        <v>7</v>
      </c>
      <c r="B20" s="269" t="s">
        <v>7</v>
      </c>
      <c r="C20" s="289" t="s">
        <v>7</v>
      </c>
      <c r="D20" s="269" t="s">
        <v>7</v>
      </c>
      <c r="E20" s="295" t="s">
        <v>297</v>
      </c>
      <c r="F20" s="97"/>
      <c r="H20" s="10"/>
    </row>
    <row r="21" spans="1:8" ht="17.25">
      <c r="A21" s="85"/>
      <c r="B21" s="86"/>
      <c r="C21" s="87"/>
      <c r="D21" s="86"/>
      <c r="E21" s="238"/>
      <c r="F21" s="86"/>
      <c r="H21" s="10"/>
    </row>
    <row r="22" spans="1:8" ht="17.25">
      <c r="A22" s="99" t="str">
        <f>+'S&amp;D'!A22</f>
        <v xml:space="preserve">Alaska Air </v>
      </c>
      <c r="B22" s="77" t="str">
        <f>+'S&amp;D'!B22</f>
        <v>ALK</v>
      </c>
      <c r="C22" s="87" t="str">
        <f>+'S&amp;D'!C22</f>
        <v>AirTrans</v>
      </c>
      <c r="D22" s="253">
        <f>+'S&amp;D'!D40</f>
        <v>4423500555.3199997</v>
      </c>
      <c r="E22" s="254">
        <v>4113000000</v>
      </c>
      <c r="F22" s="101">
        <f>+D22/E22</f>
        <v>1.0754924763724774</v>
      </c>
      <c r="H22" s="10"/>
    </row>
    <row r="23" spans="1:8" ht="17.25">
      <c r="A23" s="99" t="str">
        <f>+'S&amp;D'!A23</f>
        <v xml:space="preserve">Allegiant Travel Co. </v>
      </c>
      <c r="B23" s="77" t="str">
        <f>+'S&amp;D'!B23</f>
        <v>ALGT</v>
      </c>
      <c r="C23" s="87" t="str">
        <f>+'S&amp;D'!C23</f>
        <v>AirTrans</v>
      </c>
      <c r="D23" s="253">
        <f>+'S&amp;D'!D41</f>
        <v>911713451.76999998</v>
      </c>
      <c r="E23" s="254">
        <v>1328560000</v>
      </c>
      <c r="F23" s="101">
        <f t="shared" ref="F23:F24" si="0">+D23/E23</f>
        <v>0.68624183459535137</v>
      </c>
      <c r="H23" s="10"/>
    </row>
    <row r="24" spans="1:8" ht="17.25">
      <c r="A24" s="99" t="str">
        <f>+'S&amp;D'!A24</f>
        <v xml:space="preserve">American Airlines </v>
      </c>
      <c r="B24" s="77" t="str">
        <f>+'S&amp;D'!B24</f>
        <v>AAL</v>
      </c>
      <c r="C24" s="87" t="str">
        <f>+'S&amp;D'!C24</f>
        <v>AirTrans</v>
      </c>
      <c r="D24" s="253">
        <f>+'S&amp;D'!D42</f>
        <v>8989713658.0799999</v>
      </c>
      <c r="E24" s="254">
        <v>-5202000000</v>
      </c>
      <c r="F24" s="101">
        <f t="shared" si="0"/>
        <v>-1.728126424083045</v>
      </c>
      <c r="H24" s="10" t="s">
        <v>420</v>
      </c>
    </row>
    <row r="25" spans="1:8" ht="17.25">
      <c r="A25" s="99" t="str">
        <f>+'S&amp;D'!A25</f>
        <v xml:space="preserve">Delta Air Lines </v>
      </c>
      <c r="B25" s="77" t="str">
        <f>+'S&amp;D'!B25</f>
        <v>DAL</v>
      </c>
      <c r="C25" s="87" t="str">
        <f>+'S&amp;D'!C25</f>
        <v>AirTrans</v>
      </c>
      <c r="D25" s="253">
        <f>+'S&amp;D'!D43</f>
        <v>25885870718.039997</v>
      </c>
      <c r="E25" s="254">
        <v>11105000000</v>
      </c>
      <c r="F25" s="101">
        <f t="shared" ref="F25:F30" si="1">+D25/E25</f>
        <v>2.331010420354795</v>
      </c>
      <c r="H25" s="10"/>
    </row>
    <row r="26" spans="1:8" ht="17.25">
      <c r="A26" s="99" t="str">
        <f>+'S&amp;D'!A26</f>
        <v xml:space="preserve">JetBlue Airways </v>
      </c>
      <c r="B26" s="77" t="str">
        <f>+'S&amp;D'!B26</f>
        <v>JBLU</v>
      </c>
      <c r="C26" s="87" t="str">
        <f>+'S&amp;D'!C26</f>
        <v>AirTrans</v>
      </c>
      <c r="D26" s="253">
        <f>+'S&amp;D'!D44</f>
        <v>999000000</v>
      </c>
      <c r="E26" s="254">
        <v>3337000000</v>
      </c>
      <c r="F26" s="101">
        <f t="shared" si="1"/>
        <v>0.29937069223853763</v>
      </c>
      <c r="H26" s="10"/>
    </row>
    <row r="27" spans="1:8" ht="17.25">
      <c r="A27" s="99" t="str">
        <f>+'S&amp;D'!A27</f>
        <v>Skywest Inc</v>
      </c>
      <c r="B27" s="77" t="str">
        <f>+'S&amp;D'!B27</f>
        <v>SKYW</v>
      </c>
      <c r="C27" s="87" t="str">
        <f>+'S&amp;D'!C27</f>
        <v>AirTrans</v>
      </c>
      <c r="D27" s="253">
        <f>+'S&amp;D'!D45</f>
        <v>2099746305</v>
      </c>
      <c r="E27" s="254">
        <v>2113502000</v>
      </c>
      <c r="F27" s="101">
        <f t="shared" si="1"/>
        <v>0.99349151550365222</v>
      </c>
      <c r="H27" s="10"/>
    </row>
    <row r="28" spans="1:8" ht="17.25">
      <c r="A28" s="99" t="str">
        <f>+'S&amp;D'!A28</f>
        <v xml:space="preserve">Southwest Airlines </v>
      </c>
      <c r="B28" s="77" t="str">
        <f>+'S&amp;D'!B28</f>
        <v>LUV</v>
      </c>
      <c r="C28" s="87" t="str">
        <f>+'S&amp;D'!C28</f>
        <v>AirTrans</v>
      </c>
      <c r="D28" s="253">
        <f>+'S&amp;D'!D46</f>
        <v>17227284841.040001</v>
      </c>
      <c r="E28" s="254">
        <v>10515000000</v>
      </c>
      <c r="F28" s="101">
        <f t="shared" si="1"/>
        <v>1.6383532896852118</v>
      </c>
      <c r="H28" s="10"/>
    </row>
    <row r="29" spans="1:8" ht="17.25">
      <c r="A29" s="99" t="str">
        <f>+'S&amp;D'!A29</f>
        <v xml:space="preserve">Spirit Airlines </v>
      </c>
      <c r="B29" s="77" t="str">
        <f>+'S&amp;D'!B29</f>
        <v>SAVE</v>
      </c>
      <c r="C29" s="87" t="str">
        <f>+'S&amp;D'!C29</f>
        <v>AirTrans</v>
      </c>
      <c r="D29" s="253">
        <f>+'S&amp;D'!D47</f>
        <v>1709124259</v>
      </c>
      <c r="E29" s="254">
        <v>1134342000</v>
      </c>
      <c r="F29" s="101">
        <f t="shared" si="1"/>
        <v>1.5067098450026535</v>
      </c>
      <c r="H29" s="10"/>
    </row>
    <row r="30" spans="1:8" ht="18" thickBot="1">
      <c r="A30" s="292" t="str">
        <f>+'S&amp;D'!A30</f>
        <v>United Airlines Holdings Inc</v>
      </c>
      <c r="B30" s="78" t="str">
        <f>+'S&amp;D'!B30</f>
        <v>UAL</v>
      </c>
      <c r="C30" s="94" t="str">
        <f>+'S&amp;D'!C30</f>
        <v>AirTrans</v>
      </c>
      <c r="D30" s="293">
        <f>+'S&amp;D'!D48</f>
        <v>13534053171.139999</v>
      </c>
      <c r="E30" s="320">
        <v>9324000000</v>
      </c>
      <c r="F30" s="101">
        <f t="shared" si="1"/>
        <v>1.4515286541334191</v>
      </c>
      <c r="G30" t="s">
        <v>0</v>
      </c>
      <c r="H30" s="10"/>
    </row>
    <row r="31" spans="1:8" ht="27" customHeight="1" thickBot="1">
      <c r="A31" s="114"/>
      <c r="B31" s="105"/>
      <c r="C31" s="105"/>
      <c r="D31" s="115"/>
      <c r="E31" s="319" t="s">
        <v>305</v>
      </c>
      <c r="F31" s="202">
        <f>AVERAGE(F22:F30)</f>
        <v>0.91711914486700585</v>
      </c>
      <c r="H31" s="10"/>
    </row>
    <row r="32" spans="1:8" ht="17.25">
      <c r="A32" s="103"/>
      <c r="B32" s="103"/>
      <c r="C32" s="103"/>
      <c r="D32" s="103"/>
      <c r="E32" s="247"/>
      <c r="F32" s="249"/>
      <c r="H32" s="10"/>
    </row>
    <row r="33" spans="1:8" ht="17.25">
      <c r="A33" s="103"/>
      <c r="B33" s="103"/>
      <c r="C33" s="103"/>
      <c r="D33" s="103"/>
      <c r="E33" s="247"/>
      <c r="F33" s="249"/>
      <c r="H33" s="10"/>
    </row>
    <row r="34" spans="1:8" ht="17.25">
      <c r="A34" s="103"/>
      <c r="B34" s="103"/>
      <c r="C34" s="103"/>
      <c r="D34" s="103"/>
      <c r="E34" s="247"/>
      <c r="F34" s="249"/>
      <c r="H34" s="10"/>
    </row>
    <row r="35" spans="1:8" ht="18" thickBot="1">
      <c r="A35" s="103"/>
      <c r="B35" s="103"/>
      <c r="C35" s="103"/>
      <c r="D35" s="103"/>
      <c r="E35" s="103"/>
      <c r="F35" s="103"/>
      <c r="H35" s="10"/>
    </row>
    <row r="36" spans="1:8" ht="17.25">
      <c r="A36" s="250"/>
      <c r="B36" s="251"/>
      <c r="C36" s="252"/>
      <c r="D36" s="235" t="s">
        <v>0</v>
      </c>
      <c r="E36" s="236" t="s">
        <v>0</v>
      </c>
      <c r="F36" s="235" t="s">
        <v>0</v>
      </c>
      <c r="H36" s="10"/>
    </row>
    <row r="37" spans="1:8" ht="17.25">
      <c r="A37" s="85" t="s">
        <v>0</v>
      </c>
      <c r="B37" s="86" t="s">
        <v>3</v>
      </c>
      <c r="C37" s="87" t="s">
        <v>5</v>
      </c>
      <c r="D37" s="88" t="s">
        <v>0</v>
      </c>
      <c r="E37" s="237" t="s">
        <v>0</v>
      </c>
      <c r="F37" s="88" t="s">
        <v>298</v>
      </c>
      <c r="H37" s="10"/>
    </row>
    <row r="38" spans="1:8" ht="17.25">
      <c r="A38" s="85"/>
      <c r="B38" s="86" t="s">
        <v>4</v>
      </c>
      <c r="C38" s="87" t="s">
        <v>6</v>
      </c>
      <c r="D38" s="88" t="s">
        <v>299</v>
      </c>
      <c r="E38" s="237" t="s">
        <v>299</v>
      </c>
      <c r="F38" s="88" t="s">
        <v>129</v>
      </c>
    </row>
    <row r="39" spans="1:8" ht="18" thickBot="1">
      <c r="A39" s="92" t="s">
        <v>2</v>
      </c>
      <c r="B39" s="93" t="s">
        <v>0</v>
      </c>
      <c r="C39" s="94" t="s">
        <v>0</v>
      </c>
      <c r="D39" s="287" t="s">
        <v>296</v>
      </c>
      <c r="E39" s="286" t="s">
        <v>60</v>
      </c>
      <c r="F39" s="93" t="s">
        <v>0</v>
      </c>
    </row>
    <row r="40" spans="1:8">
      <c r="A40" s="288" t="s">
        <v>7</v>
      </c>
      <c r="B40" s="269" t="s">
        <v>7</v>
      </c>
      <c r="C40" s="289" t="s">
        <v>7</v>
      </c>
      <c r="D40" s="269" t="s">
        <v>297</v>
      </c>
      <c r="E40" s="295" t="s">
        <v>297</v>
      </c>
      <c r="F40" s="269"/>
    </row>
    <row r="41" spans="1:8" ht="17.25">
      <c r="A41" s="85"/>
      <c r="B41" s="86"/>
      <c r="C41" s="87"/>
      <c r="D41" s="86"/>
      <c r="E41" s="238"/>
      <c r="F41" s="86"/>
    </row>
    <row r="42" spans="1:8" ht="17.25">
      <c r="A42" s="99" t="str">
        <f t="shared" ref="A42:C50" si="2">+A22</f>
        <v xml:space="preserve">Alaska Air </v>
      </c>
      <c r="B42" s="77" t="str">
        <f t="shared" si="2"/>
        <v>ALK</v>
      </c>
      <c r="C42" s="87" t="str">
        <f t="shared" si="2"/>
        <v>AirTrans</v>
      </c>
      <c r="D42" s="253">
        <f>+'S&amp;D'!H40</f>
        <v>2249430722.8915663</v>
      </c>
      <c r="E42" s="254">
        <f>+'S&amp;D'!J22</f>
        <v>2535000000</v>
      </c>
      <c r="F42" s="101">
        <f>+D42/E42</f>
        <v>0.88734939759036147</v>
      </c>
    </row>
    <row r="43" spans="1:8" ht="17.25">
      <c r="A43" s="99" t="str">
        <f t="shared" si="2"/>
        <v xml:space="preserve">Allegiant Travel Co. </v>
      </c>
      <c r="B43" s="77" t="str">
        <f t="shared" si="2"/>
        <v>ALGT</v>
      </c>
      <c r="C43" s="87" t="str">
        <f t="shared" si="2"/>
        <v>AirTrans</v>
      </c>
      <c r="D43" s="253">
        <f>+'S&amp;D'!H41</f>
        <v>2170476183.7767835</v>
      </c>
      <c r="E43" s="254">
        <f>+'S&amp;D'!J23</f>
        <v>2259654000</v>
      </c>
      <c r="F43" s="101">
        <f t="shared" ref="F43:F44" si="3">+D43/E43</f>
        <v>0.96053474725634258</v>
      </c>
    </row>
    <row r="44" spans="1:8" ht="17.25">
      <c r="A44" s="99" t="str">
        <f t="shared" si="2"/>
        <v xml:space="preserve">American Airlines </v>
      </c>
      <c r="B44" s="77" t="str">
        <f t="shared" si="2"/>
        <v>AAL</v>
      </c>
      <c r="C44" s="87" t="str">
        <f t="shared" si="2"/>
        <v>AirTrans</v>
      </c>
      <c r="D44" s="253">
        <f>+'S&amp;D'!H42</f>
        <v>30701808956.250179</v>
      </c>
      <c r="E44" s="254">
        <f>+'S&amp;D'!J24</f>
        <v>32902000000</v>
      </c>
      <c r="F44" s="101">
        <f t="shared" si="3"/>
        <v>0.93312895739621238</v>
      </c>
    </row>
    <row r="45" spans="1:8" ht="17.25">
      <c r="A45" s="99" t="str">
        <f t="shared" si="2"/>
        <v xml:space="preserve">Delta Air Lines </v>
      </c>
      <c r="B45" s="77" t="str">
        <f t="shared" si="2"/>
        <v>DAL</v>
      </c>
      <c r="C45" s="87" t="str">
        <f t="shared" si="2"/>
        <v>AirTrans</v>
      </c>
      <c r="D45" s="253">
        <f>+'S&amp;D'!H43</f>
        <v>19415265890.276413</v>
      </c>
      <c r="E45" s="254">
        <f>+'S&amp;D'!J25</f>
        <v>20054000000</v>
      </c>
      <c r="F45" s="101">
        <f t="shared" ref="F45:F47" si="4">+D45/E45</f>
        <v>0.96814929142696782</v>
      </c>
    </row>
    <row r="46" spans="1:8" ht="17.25">
      <c r="A46" s="99" t="str">
        <f t="shared" si="2"/>
        <v xml:space="preserve">JetBlue Airways </v>
      </c>
      <c r="B46" s="77" t="str">
        <f t="shared" si="2"/>
        <v>JBLU</v>
      </c>
      <c r="C46" s="87" t="str">
        <f t="shared" si="2"/>
        <v>AirTrans</v>
      </c>
      <c r="D46" s="253">
        <f>+'S&amp;D'!H44</f>
        <v>3684819753.0864196</v>
      </c>
      <c r="E46" s="254">
        <f>+'S&amp;D'!J26</f>
        <v>4716000000</v>
      </c>
      <c r="F46" s="101">
        <f t="shared" si="4"/>
        <v>0.78134430727023318</v>
      </c>
    </row>
    <row r="47" spans="1:8" ht="17.25">
      <c r="A47" s="99" t="str">
        <f t="shared" si="2"/>
        <v>Skywest Inc</v>
      </c>
      <c r="B47" s="77" t="str">
        <f t="shared" si="2"/>
        <v>SKYW</v>
      </c>
      <c r="C47" s="87" t="str">
        <f t="shared" si="2"/>
        <v>AirTrans</v>
      </c>
      <c r="D47" s="253">
        <f>+'S&amp;D'!H45</f>
        <v>2878549357.5118256</v>
      </c>
      <c r="E47" s="254">
        <f>+'S&amp;D'!J27</f>
        <v>3006052000</v>
      </c>
      <c r="F47" s="101">
        <f t="shared" si="4"/>
        <v>0.95758468499940308</v>
      </c>
    </row>
    <row r="48" spans="1:8" ht="17.25">
      <c r="A48" s="99" t="str">
        <f t="shared" si="2"/>
        <v xml:space="preserve">Southwest Airlines </v>
      </c>
      <c r="B48" s="77" t="str">
        <f t="shared" si="2"/>
        <v>LUV</v>
      </c>
      <c r="C48" s="87" t="str">
        <f t="shared" si="2"/>
        <v>AirTrans</v>
      </c>
      <c r="D48" s="253">
        <f>+'S&amp;D'!H46</f>
        <v>8897383042.1128922</v>
      </c>
      <c r="E48" s="254">
        <f>+'S&amp;D'!J28</f>
        <v>8007000000</v>
      </c>
      <c r="F48" s="101">
        <f t="shared" ref="F48" si="5">+D48/E48</f>
        <v>1.1112005797568243</v>
      </c>
    </row>
    <row r="49" spans="1:7" ht="17.25">
      <c r="A49" s="99" t="str">
        <f t="shared" si="2"/>
        <v xml:space="preserve">Spirit Airlines </v>
      </c>
      <c r="B49" s="77" t="str">
        <f t="shared" si="2"/>
        <v>SAVE</v>
      </c>
      <c r="C49" s="87" t="str">
        <f t="shared" si="2"/>
        <v>AirTrans</v>
      </c>
      <c r="D49" s="253">
        <f>+'S&amp;D'!H47</f>
        <v>3104831252.7454424</v>
      </c>
      <c r="E49" s="254">
        <f>+'S&amp;D'!J29</f>
        <v>3370801000</v>
      </c>
      <c r="F49" s="101">
        <f t="shared" ref="F49:F50" si="6">+D49/E49</f>
        <v>0.92109598067208431</v>
      </c>
    </row>
    <row r="50" spans="1:7" ht="18" thickBot="1">
      <c r="A50" s="292" t="str">
        <f t="shared" si="2"/>
        <v>United Airlines Holdings Inc</v>
      </c>
      <c r="B50" s="78" t="str">
        <f t="shared" si="2"/>
        <v>UAL</v>
      </c>
      <c r="C50" s="94" t="str">
        <f t="shared" si="2"/>
        <v>AirTrans</v>
      </c>
      <c r="D50" s="293">
        <f>+'S&amp;D'!H48</f>
        <v>27623465987.048794</v>
      </c>
      <c r="E50" s="320">
        <f>+'S&amp;D'!J30</f>
        <v>29338000000</v>
      </c>
      <c r="F50" s="346">
        <f t="shared" si="6"/>
        <v>0.94155927421940122</v>
      </c>
      <c r="G50" t="s">
        <v>0</v>
      </c>
    </row>
    <row r="51" spans="1:7" ht="27.75" customHeight="1" thickBot="1">
      <c r="A51" s="290"/>
      <c r="B51" s="148"/>
      <c r="C51" s="148"/>
      <c r="D51" s="291"/>
      <c r="E51" s="319" t="s">
        <v>305</v>
      </c>
      <c r="F51" s="345">
        <f>AVERAGE(F42:F50)</f>
        <v>0.9402163578430921</v>
      </c>
    </row>
    <row r="56" spans="1:7">
      <c r="C56" s="239" t="s">
        <v>300</v>
      </c>
      <c r="D56" s="239" t="s">
        <v>301</v>
      </c>
      <c r="E56" s="239"/>
    </row>
    <row r="57" spans="1:7">
      <c r="A57" s="241"/>
      <c r="B57" s="241"/>
      <c r="C57" s="240" t="s">
        <v>35</v>
      </c>
      <c r="D57" s="240" t="s">
        <v>302</v>
      </c>
      <c r="E57" s="240" t="s">
        <v>303</v>
      </c>
    </row>
    <row r="58" spans="1:7" ht="17.25">
      <c r="A58" s="87" t="s">
        <v>39</v>
      </c>
      <c r="B58" s="136" t="s">
        <v>0</v>
      </c>
      <c r="C58" s="136">
        <f>+'Yield CapRate'!C23</f>
        <v>0.36</v>
      </c>
      <c r="D58" s="245">
        <f>+F31</f>
        <v>0.91711914486700585</v>
      </c>
      <c r="E58" s="246">
        <f>+C58*D58</f>
        <v>0.33016289215212208</v>
      </c>
      <c r="F58" s="137" t="s">
        <v>0</v>
      </c>
    </row>
    <row r="59" spans="1:7" ht="17.25">
      <c r="A59" s="242" t="s">
        <v>41</v>
      </c>
      <c r="B59" s="243" t="str">
        <f>'S&amp;D'!J37</f>
        <v xml:space="preserve"> </v>
      </c>
      <c r="C59" s="243">
        <f>+'Yield CapRate'!C25</f>
        <v>0.64</v>
      </c>
      <c r="D59" s="244">
        <f>+F51</f>
        <v>0.9402163578430921</v>
      </c>
      <c r="E59" s="244">
        <f>+C59*D59</f>
        <v>0.60173846901957895</v>
      </c>
      <c r="F59" s="137" t="s">
        <v>0</v>
      </c>
    </row>
    <row r="60" spans="1:7">
      <c r="D60" s="247" t="s">
        <v>304</v>
      </c>
      <c r="E60" s="248">
        <f>+E58+E59</f>
        <v>0.93190136117170108</v>
      </c>
    </row>
    <row r="63" spans="1:7" ht="20.25">
      <c r="A63" s="28" t="s">
        <v>431</v>
      </c>
    </row>
    <row r="64" spans="1:7" ht="19.5" customHeight="1">
      <c r="A64" s="28" t="s">
        <v>378</v>
      </c>
    </row>
  </sheetData>
  <pageMargins left="0.25" right="0.25" top="0.75" bottom="0.75" header="0.3" footer="0.3"/>
  <pageSetup scale="45" orientation="landscape" r:id="rId1"/>
  <rowBreaks count="1" manualBreakCount="1">
    <brk id="35" max="6" man="1"/>
  </rowBreaks>
  <colBreaks count="1" manualBreakCount="1">
    <brk id="8" max="71"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145E-BF36-4A2C-868C-9B0DC0104C72}">
  <sheetPr>
    <tabColor rgb="FF92D050"/>
  </sheetPr>
  <dimension ref="A1:L77"/>
  <sheetViews>
    <sheetView view="pageBreakPreview" topLeftCell="A9" zoomScale="70" zoomScaleNormal="80" zoomScaleSheetLayoutView="70" workbookViewId="0">
      <selection activeCell="L36" sqref="L36"/>
    </sheetView>
  </sheetViews>
  <sheetFormatPr defaultRowHeight="15"/>
  <cols>
    <col min="1" max="1" width="41" customWidth="1"/>
    <col min="2" max="2" width="10.85546875" bestFit="1" customWidth="1"/>
    <col min="3" max="3" width="10.7109375" customWidth="1"/>
    <col min="4" max="4" width="28.5703125" customWidth="1"/>
    <col min="5" max="5" width="22.28515625" customWidth="1"/>
    <col min="6" max="6" width="26.5703125" customWidth="1"/>
    <col min="7" max="7" width="26.42578125" customWidth="1"/>
    <col min="8" max="8" width="23.85546875" customWidth="1"/>
    <col min="9" max="9" width="15" customWidth="1"/>
    <col min="10" max="10" width="14.140625" bestFit="1" customWidth="1"/>
    <col min="11" max="11" width="16.7109375" customWidth="1"/>
    <col min="12" max="12" width="23.140625" customWidth="1"/>
  </cols>
  <sheetData>
    <row r="1" spans="1:12" ht="26.25">
      <c r="A1" s="21" t="s">
        <v>1</v>
      </c>
      <c r="B1" s="10"/>
      <c r="C1" s="10"/>
      <c r="D1" s="10"/>
      <c r="E1" s="10"/>
      <c r="F1" s="10"/>
      <c r="G1" s="10"/>
      <c r="H1" s="10"/>
      <c r="I1" s="10"/>
      <c r="J1" s="10"/>
      <c r="K1" s="10"/>
      <c r="L1" s="10"/>
    </row>
    <row r="2" spans="1:12" ht="17.25">
      <c r="A2" s="22" t="s">
        <v>9</v>
      </c>
      <c r="B2" s="10"/>
      <c r="C2" s="10"/>
      <c r="D2" s="10"/>
      <c r="E2" s="10"/>
      <c r="F2" s="10"/>
      <c r="G2" s="10"/>
      <c r="H2" s="10"/>
      <c r="I2" s="10"/>
      <c r="J2" s="10"/>
      <c r="K2" s="10"/>
      <c r="L2" s="10"/>
    </row>
    <row r="3" spans="1:12" ht="16.5">
      <c r="A3" s="23" t="s">
        <v>467</v>
      </c>
      <c r="B3" s="10"/>
      <c r="C3" s="10"/>
      <c r="D3" s="10"/>
      <c r="E3" s="10"/>
      <c r="F3" s="10"/>
      <c r="G3" s="10"/>
      <c r="H3" s="10"/>
      <c r="I3" s="10"/>
      <c r="J3" s="10"/>
      <c r="K3" s="10"/>
      <c r="L3" s="10"/>
    </row>
    <row r="4" spans="1:12" ht="16.5">
      <c r="A4" s="23"/>
      <c r="B4" s="10"/>
      <c r="C4" s="10"/>
      <c r="D4" s="10"/>
      <c r="E4" s="10"/>
      <c r="F4" s="10"/>
      <c r="G4" s="10"/>
      <c r="H4" s="10"/>
      <c r="I4" s="10"/>
      <c r="J4" s="10"/>
      <c r="K4" s="10"/>
      <c r="L4" s="10"/>
    </row>
    <row r="5" spans="1:12" ht="16.5">
      <c r="A5" s="23"/>
      <c r="B5" s="10"/>
      <c r="C5" s="10"/>
      <c r="D5" s="10"/>
      <c r="E5" s="10"/>
      <c r="F5" s="10"/>
      <c r="G5" s="10"/>
      <c r="H5" s="10"/>
      <c r="I5" s="10"/>
      <c r="J5" s="10"/>
      <c r="K5" s="10"/>
      <c r="L5" s="10"/>
    </row>
    <row r="6" spans="1:12" ht="16.5">
      <c r="A6" s="23"/>
      <c r="B6" s="10"/>
      <c r="C6" s="10"/>
      <c r="D6" s="10"/>
      <c r="E6" s="10"/>
      <c r="F6" s="10"/>
      <c r="G6" s="10"/>
      <c r="H6" s="10"/>
      <c r="I6" s="10"/>
      <c r="J6" s="10"/>
      <c r="K6" s="10"/>
      <c r="L6" s="10"/>
    </row>
    <row r="7" spans="1:12" ht="17.25" thickBot="1">
      <c r="A7" s="10"/>
      <c r="B7" s="10"/>
      <c r="C7" s="10"/>
      <c r="D7" s="10"/>
      <c r="E7" s="10"/>
      <c r="F7" s="26"/>
      <c r="G7" s="26"/>
      <c r="H7" s="27" t="s">
        <v>0</v>
      </c>
      <c r="I7" s="10"/>
      <c r="J7" s="10"/>
      <c r="K7" s="10"/>
      <c r="L7" s="10"/>
    </row>
    <row r="8" spans="1:12" ht="27" thickBot="1">
      <c r="A8" s="260" t="str">
        <f>+'S&amp;D'!A12</f>
        <v>Air Passenger Carriers</v>
      </c>
      <c r="B8" s="261"/>
      <c r="C8" s="193"/>
      <c r="D8" s="10"/>
      <c r="E8" s="10"/>
      <c r="F8" s="10"/>
      <c r="G8" s="29" t="s">
        <v>75</v>
      </c>
      <c r="H8" s="10"/>
      <c r="I8" s="10"/>
      <c r="J8" s="10"/>
      <c r="K8" s="10"/>
      <c r="L8" s="10"/>
    </row>
    <row r="9" spans="1:12" ht="20.25">
      <c r="A9" s="28"/>
      <c r="B9" s="10"/>
      <c r="C9" s="10"/>
      <c r="D9" s="10"/>
      <c r="E9" s="10"/>
      <c r="F9" s="10"/>
      <c r="G9" s="87" t="s">
        <v>76</v>
      </c>
      <c r="H9" s="10"/>
      <c r="I9" s="10"/>
      <c r="J9" s="10"/>
      <c r="K9" s="10"/>
      <c r="L9" s="10"/>
    </row>
    <row r="10" spans="1:12" ht="18" customHeight="1" thickBot="1">
      <c r="A10" s="38" t="s">
        <v>0</v>
      </c>
      <c r="B10" s="38" t="s">
        <v>0</v>
      </c>
      <c r="C10" s="38" t="s">
        <v>0</v>
      </c>
      <c r="D10" s="10"/>
      <c r="E10" s="10"/>
      <c r="F10" s="31" t="s">
        <v>0</v>
      </c>
      <c r="G10" s="34" t="s">
        <v>469</v>
      </c>
      <c r="H10" s="31" t="s">
        <v>0</v>
      </c>
      <c r="I10" s="38" t="s">
        <v>0</v>
      </c>
      <c r="J10" s="10"/>
      <c r="K10" s="10"/>
      <c r="L10" s="10"/>
    </row>
    <row r="11" spans="1:12" ht="18" customHeight="1">
      <c r="A11" s="38"/>
      <c r="B11" s="38"/>
      <c r="C11" s="38"/>
      <c r="D11" s="10"/>
      <c r="E11" s="10"/>
      <c r="J11" s="10"/>
      <c r="K11" s="10"/>
      <c r="L11" s="10"/>
    </row>
    <row r="12" spans="1:12" ht="18" customHeight="1">
      <c r="A12" s="38"/>
      <c r="B12" s="38"/>
      <c r="C12" s="38"/>
      <c r="D12" s="10" t="s">
        <v>0</v>
      </c>
      <c r="E12" s="10" t="s">
        <v>0</v>
      </c>
      <c r="G12" s="11" t="s">
        <v>0</v>
      </c>
      <c r="J12" s="10"/>
      <c r="K12" s="10"/>
      <c r="L12" s="10" t="s">
        <v>0</v>
      </c>
    </row>
    <row r="13" spans="1:12" ht="17.25" thickBot="1">
      <c r="A13" s="31"/>
      <c r="B13" s="31"/>
      <c r="C13" s="31"/>
      <c r="D13" s="31"/>
      <c r="E13" s="34"/>
      <c r="F13" s="31"/>
      <c r="G13" s="31"/>
      <c r="H13" s="31"/>
      <c r="I13" s="31"/>
      <c r="J13" s="26"/>
      <c r="K13" s="26"/>
      <c r="L13" s="26"/>
    </row>
    <row r="14" spans="1:12" ht="15" customHeight="1" thickBot="1">
      <c r="A14" s="31" t="s">
        <v>24</v>
      </c>
      <c r="B14" s="31" t="s">
        <v>88</v>
      </c>
      <c r="C14" s="31" t="s">
        <v>89</v>
      </c>
      <c r="D14" s="39" t="s">
        <v>90</v>
      </c>
      <c r="E14" s="31" t="s">
        <v>91</v>
      </c>
      <c r="F14" s="31" t="s">
        <v>92</v>
      </c>
      <c r="G14" s="31" t="s">
        <v>93</v>
      </c>
      <c r="H14" s="31" t="s">
        <v>94</v>
      </c>
      <c r="I14" s="31" t="s">
        <v>95</v>
      </c>
      <c r="J14" s="31" t="s">
        <v>96</v>
      </c>
      <c r="K14" s="31" t="s">
        <v>97</v>
      </c>
      <c r="L14" s="31" t="s">
        <v>105</v>
      </c>
    </row>
    <row r="15" spans="1:12" ht="16.5">
      <c r="A15" s="32" t="s">
        <v>0</v>
      </c>
      <c r="B15" s="32" t="s">
        <v>3</v>
      </c>
      <c r="C15" s="32" t="s">
        <v>77</v>
      </c>
      <c r="D15" s="32" t="s">
        <v>80</v>
      </c>
      <c r="E15" s="32" t="s">
        <v>80</v>
      </c>
      <c r="F15" s="32" t="s">
        <v>81</v>
      </c>
      <c r="G15" s="32" t="s">
        <v>84</v>
      </c>
      <c r="H15" s="32" t="s">
        <v>86</v>
      </c>
      <c r="I15" s="32" t="s">
        <v>108</v>
      </c>
      <c r="J15" s="32" t="s">
        <v>108</v>
      </c>
      <c r="K15" s="32" t="s">
        <v>101</v>
      </c>
      <c r="L15" s="32" t="s">
        <v>103</v>
      </c>
    </row>
    <row r="16" spans="1:12" ht="17.25" thickBot="1">
      <c r="A16" s="34" t="s">
        <v>2</v>
      </c>
      <c r="B16" s="34" t="s">
        <v>4</v>
      </c>
      <c r="C16" s="34" t="s">
        <v>78</v>
      </c>
      <c r="D16" s="34" t="s">
        <v>83</v>
      </c>
      <c r="E16" s="34" t="s">
        <v>82</v>
      </c>
      <c r="F16" s="34" t="s">
        <v>19</v>
      </c>
      <c r="G16" s="34" t="s">
        <v>85</v>
      </c>
      <c r="H16" s="34" t="s">
        <v>87</v>
      </c>
      <c r="I16" s="34" t="s">
        <v>0</v>
      </c>
      <c r="J16" s="34" t="s">
        <v>0</v>
      </c>
      <c r="K16" s="34" t="s">
        <v>102</v>
      </c>
      <c r="L16" s="34" t="s">
        <v>84</v>
      </c>
    </row>
    <row r="17" spans="1:12">
      <c r="A17" s="40" t="s">
        <v>7</v>
      </c>
      <c r="B17" s="40" t="s">
        <v>7</v>
      </c>
      <c r="C17" s="40" t="s">
        <v>79</v>
      </c>
      <c r="D17" s="40" t="s">
        <v>246</v>
      </c>
      <c r="E17" s="40" t="s">
        <v>246</v>
      </c>
      <c r="F17" s="40" t="s">
        <v>106</v>
      </c>
      <c r="G17" s="40" t="s">
        <v>245</v>
      </c>
      <c r="H17" s="40" t="s">
        <v>98</v>
      </c>
      <c r="I17" s="40" t="s">
        <v>99</v>
      </c>
      <c r="J17" s="40" t="s">
        <v>100</v>
      </c>
      <c r="K17" s="40" t="s">
        <v>107</v>
      </c>
      <c r="L17" s="40" t="s">
        <v>104</v>
      </c>
    </row>
    <row r="18" spans="1:12" ht="16.5">
      <c r="A18" s="32"/>
      <c r="B18" s="32"/>
      <c r="C18" s="32"/>
      <c r="D18" s="32"/>
      <c r="E18" s="32"/>
      <c r="F18" s="32"/>
      <c r="G18" s="32"/>
      <c r="H18" s="32"/>
      <c r="I18" s="32"/>
      <c r="J18" s="32"/>
      <c r="K18" s="32"/>
      <c r="L18" s="32"/>
    </row>
    <row r="19" spans="1:12" ht="16.5">
      <c r="A19" s="10"/>
      <c r="B19" s="10"/>
      <c r="C19" s="10"/>
      <c r="D19" s="10"/>
      <c r="E19" s="10"/>
      <c r="F19" s="10"/>
      <c r="G19" s="10"/>
      <c r="H19" s="10"/>
      <c r="I19" s="10"/>
      <c r="J19" s="10"/>
      <c r="K19" s="10"/>
      <c r="L19" s="10"/>
    </row>
    <row r="20" spans="1:12" ht="22.5" customHeight="1">
      <c r="A20" s="60" t="str">
        <f>+'S&amp;D'!A22</f>
        <v xml:space="preserve">Alaska Air </v>
      </c>
      <c r="B20" s="87" t="str">
        <f>+'S&amp;D'!B22</f>
        <v>ALK</v>
      </c>
      <c r="C20" s="63">
        <f>+'Growth &amp; Inflation Rates'!D93</f>
        <v>2.2200000000000001E-2</v>
      </c>
      <c r="D20" s="360">
        <v>12730000000</v>
      </c>
      <c r="E20" s="132">
        <v>11384000000</v>
      </c>
      <c r="F20" s="132">
        <f>(D20+E20)/2</f>
        <v>12057000000</v>
      </c>
      <c r="G20" s="132">
        <v>451000000</v>
      </c>
      <c r="H20" s="16">
        <f>+F20/G20</f>
        <v>26.733924611973393</v>
      </c>
      <c r="I20" s="42">
        <f>+C20*H20</f>
        <v>0.59349312638580931</v>
      </c>
      <c r="J20" s="43">
        <f>1/(1+C20)^H20</f>
        <v>0.55599206485218977</v>
      </c>
      <c r="K20" s="133">
        <f>(G20*I20)/(1-J20)</f>
        <v>602839226.084764</v>
      </c>
      <c r="L20" s="134">
        <f>+K20/G20</f>
        <v>1.3366723416513615</v>
      </c>
    </row>
    <row r="21" spans="1:12" ht="22.5" customHeight="1">
      <c r="A21" s="60" t="str">
        <f>+'S&amp;D'!A23</f>
        <v xml:space="preserve">Allegiant Travel Co. </v>
      </c>
      <c r="B21" s="87" t="str">
        <f>+'S&amp;D'!B23</f>
        <v>ALGT</v>
      </c>
      <c r="C21" s="63">
        <f>+'Growth &amp; Inflation Rates'!D93</f>
        <v>2.2200000000000001E-2</v>
      </c>
      <c r="D21" s="360">
        <v>4411977000</v>
      </c>
      <c r="E21" s="132">
        <v>3625530000</v>
      </c>
      <c r="F21" s="132">
        <f t="shared" ref="F21:F22" si="0">(D21+E21)/2</f>
        <v>4018753500</v>
      </c>
      <c r="G21" s="132">
        <v>223130000</v>
      </c>
      <c r="H21" s="16">
        <f t="shared" ref="H21:H22" si="1">+F21/G21</f>
        <v>18.010816564334693</v>
      </c>
      <c r="I21" s="42">
        <f t="shared" ref="I21:I22" si="2">+C21*H21</f>
        <v>0.39984012772823019</v>
      </c>
      <c r="J21" s="43">
        <f t="shared" ref="J21:J22" si="3">1/(1+C21)^H21</f>
        <v>0.6733658317462532</v>
      </c>
      <c r="K21" s="133">
        <f t="shared" ref="K21:K22" si="4">(G21*I21)/(1-J21)</f>
        <v>273138380.39960355</v>
      </c>
      <c r="L21" s="134">
        <f t="shared" ref="L21:L22" si="5">+K21/G21</f>
        <v>1.2241221727226439</v>
      </c>
    </row>
    <row r="22" spans="1:12" ht="22.5" customHeight="1">
      <c r="A22" s="60" t="str">
        <f>+'S&amp;D'!A24</f>
        <v xml:space="preserve">American Airlines </v>
      </c>
      <c r="B22" s="87" t="str">
        <f>+'S&amp;D'!B24</f>
        <v>AAL</v>
      </c>
      <c r="C22" s="63">
        <f>+'Growth &amp; Inflation Rates'!D93</f>
        <v>2.2200000000000001E-2</v>
      </c>
      <c r="D22" s="360">
        <v>52861000000</v>
      </c>
      <c r="E22" s="132">
        <v>50229000000</v>
      </c>
      <c r="F22" s="132">
        <f t="shared" si="0"/>
        <v>51545000000</v>
      </c>
      <c r="G22" s="132">
        <v>1936000000</v>
      </c>
      <c r="H22" s="16">
        <f t="shared" si="1"/>
        <v>26.624483471074381</v>
      </c>
      <c r="I22" s="42">
        <f t="shared" si="2"/>
        <v>0.59106353305785131</v>
      </c>
      <c r="J22" s="43">
        <f t="shared" si="3"/>
        <v>0.55732973005653819</v>
      </c>
      <c r="K22" s="133">
        <f t="shared" si="4"/>
        <v>2584991759.5463347</v>
      </c>
      <c r="L22" s="134">
        <f t="shared" si="5"/>
        <v>1.3352230162945944</v>
      </c>
    </row>
    <row r="23" spans="1:12" ht="22.5" customHeight="1">
      <c r="A23" s="60" t="str">
        <f>+'S&amp;D'!A25</f>
        <v xml:space="preserve">Delta Air Lines </v>
      </c>
      <c r="B23" s="87" t="str">
        <f>+'S&amp;D'!B25</f>
        <v>DAL</v>
      </c>
      <c r="C23" s="63">
        <f>+'Growth &amp; Inflation Rates'!D93</f>
        <v>2.2200000000000001E-2</v>
      </c>
      <c r="D23" s="360">
        <f>35486000000+21707000000</f>
        <v>57193000000</v>
      </c>
      <c r="E23" s="132">
        <f>33109000000+20370000000</f>
        <v>53479000000</v>
      </c>
      <c r="F23" s="132">
        <f t="shared" ref="F23:F28" si="6">(D23+E23)/2</f>
        <v>55336000000</v>
      </c>
      <c r="G23" s="132">
        <v>2341000000</v>
      </c>
      <c r="H23" s="16">
        <f t="shared" ref="H23:H28" si="7">+F23/G23</f>
        <v>23.637761640324648</v>
      </c>
      <c r="I23" s="42">
        <f t="shared" ref="I23:I28" si="8">+C23*H23</f>
        <v>0.52475830841520721</v>
      </c>
      <c r="J23" s="43">
        <f t="shared" ref="J23:J28" si="9">1/(1+C23)^H23</f>
        <v>0.59510448240948677</v>
      </c>
      <c r="K23" s="133">
        <f t="shared" ref="K23:K28" si="10">(G23*I23)/(1-J23)</f>
        <v>3034015311.6794667</v>
      </c>
      <c r="L23" s="134">
        <f t="shared" ref="L23:L28" si="11">+K23/G23</f>
        <v>1.2960338794017372</v>
      </c>
    </row>
    <row r="24" spans="1:12" ht="22.5" customHeight="1">
      <c r="A24" s="60" t="str">
        <f>+'S&amp;D'!A26</f>
        <v xml:space="preserve">JetBlue Airways </v>
      </c>
      <c r="B24" s="87" t="str">
        <f>+'S&amp;D'!B26</f>
        <v>JBLU</v>
      </c>
      <c r="C24" s="63">
        <f>+'Growth &amp; Inflation Rates'!D93</f>
        <v>2.2200000000000001E-2</v>
      </c>
      <c r="D24" s="360">
        <f>13189000000+1310000000</f>
        <v>14499000000</v>
      </c>
      <c r="E24" s="132">
        <f>12142000000+1314000000</f>
        <v>13456000000</v>
      </c>
      <c r="F24" s="132">
        <f t="shared" si="6"/>
        <v>13977500000</v>
      </c>
      <c r="G24" s="132">
        <v>621000000</v>
      </c>
      <c r="H24" s="16">
        <f t="shared" si="7"/>
        <v>22.508051529790659</v>
      </c>
      <c r="I24" s="42">
        <f t="shared" si="8"/>
        <v>0.49967874396135264</v>
      </c>
      <c r="J24" s="43">
        <f t="shared" si="9"/>
        <v>0.61005079535490936</v>
      </c>
      <c r="K24" s="133">
        <f t="shared" si="10"/>
        <v>795745949.22540665</v>
      </c>
      <c r="L24" s="134">
        <f t="shared" si="11"/>
        <v>1.281394443197112</v>
      </c>
    </row>
    <row r="25" spans="1:12" ht="22.5" customHeight="1">
      <c r="A25" s="60" t="str">
        <f>+'S&amp;D'!A27</f>
        <v>Skywest Inc</v>
      </c>
      <c r="B25" s="87" t="str">
        <f>+'S&amp;D'!B27</f>
        <v>SKYW</v>
      </c>
      <c r="C25" s="63">
        <f>+'Growth &amp; Inflation Rates'!D93</f>
        <v>2.2200000000000001E-2</v>
      </c>
      <c r="D25" s="360">
        <v>8682787000</v>
      </c>
      <c r="E25" s="132">
        <v>8432564000</v>
      </c>
      <c r="F25" s="132">
        <f t="shared" si="6"/>
        <v>8557675500</v>
      </c>
      <c r="G25" s="132">
        <v>383115000</v>
      </c>
      <c r="H25" s="16">
        <f t="shared" si="7"/>
        <v>22.337093300967073</v>
      </c>
      <c r="I25" s="42">
        <f t="shared" si="8"/>
        <v>0.49588347128146903</v>
      </c>
      <c r="J25" s="43">
        <f t="shared" si="9"/>
        <v>0.61234508208217442</v>
      </c>
      <c r="K25" s="133">
        <f t="shared" si="10"/>
        <v>490076063.32050133</v>
      </c>
      <c r="L25" s="134">
        <f t="shared" si="11"/>
        <v>1.2791878765396847</v>
      </c>
    </row>
    <row r="26" spans="1:12" ht="22.5" customHeight="1">
      <c r="A26" s="60" t="str">
        <f>+'S&amp;D'!A28</f>
        <v xml:space="preserve">Southwest Airlines </v>
      </c>
      <c r="B26" s="87" t="str">
        <f>+'S&amp;D'!B28</f>
        <v>LUV</v>
      </c>
      <c r="C26" s="63">
        <f>+'Growth &amp; Inflation Rates'!D93</f>
        <v>2.2200000000000001E-2</v>
      </c>
      <c r="D26" s="360">
        <v>33818000000</v>
      </c>
      <c r="E26" s="132">
        <v>30984000000</v>
      </c>
      <c r="F26" s="132">
        <f t="shared" si="6"/>
        <v>32401000000</v>
      </c>
      <c r="G26" s="132">
        <v>1522000000</v>
      </c>
      <c r="H26" s="16">
        <f t="shared" si="7"/>
        <v>21.288436268068331</v>
      </c>
      <c r="I26" s="42">
        <f t="shared" si="8"/>
        <v>0.47260328515111699</v>
      </c>
      <c r="J26" s="43">
        <f t="shared" si="9"/>
        <v>0.62660823524661813</v>
      </c>
      <c r="K26" s="133">
        <f t="shared" si="10"/>
        <v>1926400815.1735363</v>
      </c>
      <c r="L26" s="134">
        <f t="shared" si="11"/>
        <v>1.2657035579326783</v>
      </c>
    </row>
    <row r="27" spans="1:12" ht="22.5" customHeight="1">
      <c r="A27" s="60" t="str">
        <f>+'S&amp;D'!A29</f>
        <v xml:space="preserve">Spirit Airlines </v>
      </c>
      <c r="B27" s="87" t="str">
        <f>+'S&amp;D'!B29</f>
        <v>SAVE</v>
      </c>
      <c r="C27" s="63">
        <f>+'Growth &amp; Inflation Rates'!D93</f>
        <v>2.2200000000000001E-2</v>
      </c>
      <c r="D27" s="360">
        <f>3519128000+1169021000</f>
        <v>4688149000</v>
      </c>
      <c r="E27" s="132">
        <f>3749498000+1098819000</f>
        <v>4848317000</v>
      </c>
      <c r="F27" s="132">
        <f t="shared" si="6"/>
        <v>4768233000</v>
      </c>
      <c r="G27" s="132">
        <v>320872000</v>
      </c>
      <c r="H27" s="16">
        <f t="shared" si="7"/>
        <v>14.860233987384378</v>
      </c>
      <c r="I27" s="42">
        <f t="shared" si="8"/>
        <v>0.32989719451993321</v>
      </c>
      <c r="J27" s="43">
        <f t="shared" si="9"/>
        <v>0.72159687236306791</v>
      </c>
      <c r="K27" s="133">
        <f t="shared" si="10"/>
        <v>380221204.76335353</v>
      </c>
      <c r="L27" s="134">
        <f t="shared" si="11"/>
        <v>1.1849622427739208</v>
      </c>
    </row>
    <row r="28" spans="1:12" ht="22.5" customHeight="1">
      <c r="A28" s="60" t="str">
        <f>+'S&amp;D'!A30</f>
        <v>United Airlines Holdings Inc</v>
      </c>
      <c r="B28" s="87" t="str">
        <f>+'S&amp;D'!B30</f>
        <v>UAL</v>
      </c>
      <c r="C28" s="63">
        <f>+'Growth &amp; Inflation Rates'!D93</f>
        <v>2.2200000000000001E-2</v>
      </c>
      <c r="D28" s="360">
        <v>62525000000</v>
      </c>
      <c r="E28" s="132">
        <v>54929000000</v>
      </c>
      <c r="F28" s="132">
        <f t="shared" si="6"/>
        <v>58727000000</v>
      </c>
      <c r="G28" s="132">
        <v>2671000000</v>
      </c>
      <c r="H28" s="16">
        <f t="shared" si="7"/>
        <v>21.986896293523024</v>
      </c>
      <c r="I28" s="42">
        <f t="shared" si="8"/>
        <v>0.48810909771621114</v>
      </c>
      <c r="J28" s="43">
        <f t="shared" si="9"/>
        <v>0.61707175732843378</v>
      </c>
      <c r="K28" s="133">
        <f t="shared" si="10"/>
        <v>3404657203.9299917</v>
      </c>
      <c r="L28" s="134">
        <f t="shared" si="11"/>
        <v>1.2746751044290496</v>
      </c>
    </row>
    <row r="29" spans="1:12" ht="22.5" customHeight="1" thickBot="1">
      <c r="A29" s="68"/>
      <c r="B29" s="68"/>
      <c r="C29" s="44"/>
      <c r="D29" s="44"/>
      <c r="E29" s="44"/>
      <c r="F29" s="44"/>
      <c r="G29" s="44" t="s">
        <v>0</v>
      </c>
      <c r="H29" s="44"/>
      <c r="I29" s="44" t="s">
        <v>44</v>
      </c>
      <c r="J29" s="44"/>
      <c r="K29" s="44"/>
      <c r="L29" s="44"/>
    </row>
    <row r="30" spans="1:12" ht="22.5" customHeight="1" thickTop="1">
      <c r="A30" s="10"/>
      <c r="B30" s="10"/>
      <c r="C30" s="45" t="s">
        <v>0</v>
      </c>
      <c r="D30" s="45" t="s">
        <v>0</v>
      </c>
      <c r="E30" s="32" t="s">
        <v>0</v>
      </c>
      <c r="F30" s="32"/>
      <c r="G30" s="45" t="s">
        <v>0</v>
      </c>
      <c r="H30" s="32"/>
      <c r="I30" s="45" t="s">
        <v>0</v>
      </c>
      <c r="J30" s="45" t="s">
        <v>0</v>
      </c>
      <c r="K30" s="12" t="s">
        <v>45</v>
      </c>
      <c r="L30" s="356">
        <f>MAX(L20:L28)</f>
        <v>1.3366723416513615</v>
      </c>
    </row>
    <row r="31" spans="1:12" ht="22.5" customHeight="1">
      <c r="B31" s="10"/>
      <c r="C31" s="45"/>
      <c r="D31" s="45" t="s">
        <v>0</v>
      </c>
      <c r="E31" s="32" t="s">
        <v>0</v>
      </c>
      <c r="F31" s="32"/>
      <c r="G31" s="45"/>
      <c r="H31" s="32"/>
      <c r="I31" s="45"/>
      <c r="J31" s="45"/>
      <c r="K31" s="309" t="s">
        <v>46</v>
      </c>
      <c r="L31" s="355">
        <f>MIN(L20:L28)</f>
        <v>1.1849622427739208</v>
      </c>
    </row>
    <row r="32" spans="1:12" ht="22.5" customHeight="1">
      <c r="B32" s="10"/>
      <c r="C32" s="10"/>
      <c r="D32" s="10"/>
      <c r="E32" s="10"/>
      <c r="F32" s="10"/>
      <c r="G32" s="10"/>
      <c r="H32" s="10"/>
      <c r="I32" s="10"/>
      <c r="J32" s="10"/>
      <c r="K32" s="12" t="s">
        <v>18</v>
      </c>
      <c r="L32" s="52">
        <f>MEDIAN(L20:L28)</f>
        <v>1.2791878765396847</v>
      </c>
    </row>
    <row r="33" spans="1:12" ht="22.5" customHeight="1">
      <c r="A33" s="10" t="s">
        <v>0</v>
      </c>
      <c r="B33" s="10"/>
      <c r="C33" s="10"/>
      <c r="D33" s="10"/>
      <c r="E33" s="10"/>
      <c r="F33" s="10"/>
      <c r="G33" s="10"/>
      <c r="H33" s="10"/>
      <c r="I33" s="10"/>
      <c r="J33" s="10"/>
      <c r="K33" s="12" t="s">
        <v>429</v>
      </c>
      <c r="L33" s="52">
        <f>AVERAGE(L20:L28)</f>
        <v>1.2753305149936425</v>
      </c>
    </row>
    <row r="34" spans="1:12" ht="22.5" customHeight="1" thickBot="1">
      <c r="A34" s="10"/>
      <c r="B34" s="10"/>
      <c r="C34" s="10"/>
      <c r="D34" s="10"/>
      <c r="E34" s="10"/>
      <c r="F34" s="10"/>
      <c r="G34" s="10" t="s">
        <v>0</v>
      </c>
      <c r="H34" s="10"/>
      <c r="I34" s="10"/>
      <c r="J34" s="10"/>
      <c r="K34" s="10"/>
      <c r="L34" s="10"/>
    </row>
    <row r="35" spans="1:12" ht="22.5" customHeight="1" thickBot="1">
      <c r="A35" s="10"/>
      <c r="B35" s="10"/>
      <c r="C35" s="10"/>
      <c r="D35" s="10"/>
      <c r="E35" s="10"/>
      <c r="F35" s="10"/>
      <c r="G35" s="10"/>
      <c r="H35" s="10"/>
      <c r="I35" s="10"/>
      <c r="J35" s="10"/>
      <c r="K35" s="199" t="s">
        <v>211</v>
      </c>
      <c r="L35" s="420">
        <v>1.2753000000000001</v>
      </c>
    </row>
    <row r="36" spans="1:12" ht="16.5">
      <c r="A36" s="10"/>
      <c r="B36" s="10"/>
      <c r="C36" s="10"/>
      <c r="D36" s="10"/>
      <c r="E36" s="10"/>
      <c r="F36" s="10"/>
      <c r="G36" s="10"/>
      <c r="H36" s="10"/>
      <c r="I36" s="10"/>
      <c r="J36" s="10"/>
      <c r="K36" s="10"/>
      <c r="L36" s="10"/>
    </row>
    <row r="37" spans="1:12" ht="16.5">
      <c r="A37" s="10"/>
      <c r="B37" s="10"/>
      <c r="C37" s="10"/>
      <c r="D37" s="10"/>
      <c r="E37" s="10"/>
      <c r="F37" s="10"/>
      <c r="G37" s="10"/>
      <c r="H37" s="10"/>
      <c r="I37" s="10"/>
      <c r="J37" s="10"/>
      <c r="K37" s="10"/>
      <c r="L37" s="10"/>
    </row>
    <row r="38" spans="1:12" ht="16.5">
      <c r="A38" s="10" t="s">
        <v>71</v>
      </c>
      <c r="B38" s="10"/>
      <c r="C38" s="10"/>
      <c r="D38" s="10"/>
      <c r="E38" s="10"/>
      <c r="F38" s="10"/>
      <c r="G38" s="10"/>
      <c r="H38" s="10"/>
      <c r="I38" s="10"/>
      <c r="J38" s="10"/>
      <c r="K38" s="10"/>
      <c r="L38" s="10"/>
    </row>
    <row r="39" spans="1:12" ht="16.5">
      <c r="A39" s="10" t="s">
        <v>267</v>
      </c>
    </row>
    <row r="40" spans="1:12" ht="16.5">
      <c r="A40" s="10"/>
    </row>
    <row r="41" spans="1:12" ht="16.5">
      <c r="A41" s="10" t="s">
        <v>377</v>
      </c>
    </row>
    <row r="42" spans="1:12" ht="20.25">
      <c r="A42" s="232"/>
      <c r="B42" s="232"/>
      <c r="C42" s="232"/>
      <c r="D42" s="232"/>
      <c r="E42" s="232"/>
      <c r="F42" s="232"/>
      <c r="G42" s="232"/>
      <c r="H42" s="232"/>
      <c r="I42" s="232"/>
      <c r="J42" s="232"/>
      <c r="K42" s="232"/>
      <c r="L42" s="232"/>
    </row>
    <row r="43" spans="1:12" ht="26.25">
      <c r="A43" s="21" t="s">
        <v>1</v>
      </c>
      <c r="B43" s="10"/>
      <c r="C43" s="10"/>
      <c r="D43" s="10"/>
      <c r="E43" s="10"/>
      <c r="F43" s="10"/>
      <c r="G43" s="10"/>
      <c r="H43" s="10"/>
      <c r="I43" s="10"/>
      <c r="J43" s="10"/>
      <c r="K43" s="232"/>
      <c r="L43" s="232"/>
    </row>
    <row r="44" spans="1:12" ht="20.25">
      <c r="A44" s="22" t="s">
        <v>9</v>
      </c>
      <c r="B44" s="10"/>
      <c r="C44" s="10"/>
      <c r="D44" s="10"/>
      <c r="E44" s="10"/>
      <c r="F44" s="10"/>
      <c r="G44" s="10"/>
      <c r="H44" s="10"/>
      <c r="I44" s="10"/>
      <c r="J44" s="10"/>
      <c r="K44" s="232"/>
      <c r="L44" s="232"/>
    </row>
    <row r="45" spans="1:12" ht="20.25">
      <c r="A45" s="23" t="s">
        <v>467</v>
      </c>
      <c r="B45" s="10"/>
      <c r="C45" s="10"/>
      <c r="D45" s="10"/>
      <c r="E45" s="10"/>
      <c r="F45" s="10"/>
      <c r="G45" s="10"/>
      <c r="H45" s="10"/>
      <c r="I45" s="10"/>
      <c r="J45" s="10"/>
      <c r="K45" s="232"/>
      <c r="L45" s="232"/>
    </row>
    <row r="46" spans="1:12" ht="20.25">
      <c r="A46" s="23"/>
      <c r="B46" s="10"/>
      <c r="C46" s="10"/>
      <c r="D46" s="10"/>
      <c r="E46" s="10"/>
      <c r="F46" s="10"/>
      <c r="G46" s="10"/>
      <c r="H46" s="10"/>
      <c r="I46" s="10"/>
      <c r="J46" s="10"/>
      <c r="K46" s="232"/>
      <c r="L46" s="232"/>
    </row>
    <row r="47" spans="1:12" ht="20.25">
      <c r="A47" s="23"/>
      <c r="B47" s="10"/>
      <c r="C47" s="10"/>
      <c r="D47" s="10"/>
      <c r="E47" s="10"/>
      <c r="F47" s="10"/>
      <c r="G47" s="10"/>
      <c r="H47" s="10"/>
      <c r="I47" s="10"/>
      <c r="J47" s="10"/>
      <c r="K47" s="232"/>
      <c r="L47" s="232"/>
    </row>
    <row r="48" spans="1:12" ht="20.25">
      <c r="A48" s="23"/>
      <c r="B48" s="10"/>
      <c r="C48" s="10"/>
      <c r="D48" s="10"/>
      <c r="E48" s="10"/>
      <c r="F48" s="10"/>
      <c r="G48" s="10"/>
      <c r="H48" s="10"/>
      <c r="I48" s="10"/>
      <c r="J48" s="10"/>
      <c r="K48" s="232"/>
      <c r="L48" s="232"/>
    </row>
    <row r="49" spans="1:12" ht="21" thickBot="1">
      <c r="B49" s="10"/>
      <c r="C49" s="10"/>
      <c r="D49" s="10"/>
      <c r="E49" s="10"/>
      <c r="F49" s="26"/>
      <c r="G49" s="26"/>
      <c r="H49" s="27" t="s">
        <v>0</v>
      </c>
      <c r="I49" s="10"/>
      <c r="J49" s="10"/>
      <c r="K49" s="232"/>
      <c r="L49" s="232"/>
    </row>
    <row r="50" spans="1:12" ht="26.25">
      <c r="B50" s="10"/>
      <c r="C50" s="10"/>
      <c r="D50" s="10"/>
      <c r="E50" s="10"/>
      <c r="F50" s="10"/>
      <c r="G50" s="29" t="s">
        <v>293</v>
      </c>
      <c r="H50" s="10"/>
      <c r="I50" s="10"/>
      <c r="J50" s="10"/>
      <c r="K50" s="232"/>
      <c r="L50" s="232"/>
    </row>
    <row r="51" spans="1:12" ht="21" thickBot="1">
      <c r="B51" s="38" t="s">
        <v>0</v>
      </c>
      <c r="C51" s="38" t="s">
        <v>0</v>
      </c>
      <c r="D51" s="10"/>
      <c r="E51" s="10"/>
      <c r="F51" s="31" t="s">
        <v>0</v>
      </c>
      <c r="G51" s="34" t="s">
        <v>469</v>
      </c>
      <c r="H51" s="31" t="s">
        <v>0</v>
      </c>
      <c r="I51" s="38" t="s">
        <v>0</v>
      </c>
      <c r="J51" s="10"/>
      <c r="K51" s="232"/>
      <c r="L51" s="232"/>
    </row>
    <row r="52" spans="1:12" ht="20.25">
      <c r="A52" s="232"/>
      <c r="B52" s="232"/>
      <c r="C52" s="232"/>
      <c r="D52" s="232"/>
      <c r="E52" s="232"/>
      <c r="F52" s="232"/>
      <c r="G52" s="232"/>
      <c r="H52" s="232"/>
      <c r="I52" s="232"/>
      <c r="J52" s="232"/>
      <c r="K52" s="232"/>
      <c r="L52" s="232"/>
    </row>
    <row r="53" spans="1:12" ht="20.25">
      <c r="A53" s="232"/>
      <c r="B53" s="232"/>
      <c r="C53" s="232"/>
      <c r="D53" s="232"/>
      <c r="E53" s="232"/>
      <c r="F53" s="232"/>
      <c r="G53" s="232"/>
      <c r="H53" s="232"/>
      <c r="I53" s="232"/>
      <c r="J53" s="232"/>
      <c r="K53" s="232"/>
      <c r="L53" s="232"/>
    </row>
    <row r="54" spans="1:12" ht="20.25">
      <c r="A54" s="232"/>
      <c r="B54" s="232"/>
      <c r="C54" s="232"/>
      <c r="D54" s="232"/>
      <c r="E54" s="232"/>
      <c r="F54" s="232"/>
      <c r="G54" s="232"/>
      <c r="H54" s="232"/>
      <c r="I54" s="232"/>
      <c r="J54" s="232"/>
      <c r="K54" s="232"/>
      <c r="L54" s="232"/>
    </row>
    <row r="55" spans="1:12" ht="16.5">
      <c r="A55" s="38"/>
      <c r="B55" s="38"/>
      <c r="C55" s="38"/>
      <c r="D55" s="10"/>
      <c r="E55" s="10"/>
      <c r="J55" s="10"/>
      <c r="K55" s="10"/>
      <c r="L55" s="10"/>
    </row>
    <row r="56" spans="1:12" ht="31.5">
      <c r="A56" s="226" t="s">
        <v>282</v>
      </c>
      <c r="B56" s="38"/>
      <c r="C56" s="228" t="s">
        <v>287</v>
      </c>
      <c r="D56" s="10"/>
      <c r="E56" s="10"/>
      <c r="J56" s="10"/>
      <c r="K56" s="10"/>
      <c r="L56" s="10"/>
    </row>
    <row r="57" spans="1:12" ht="31.5">
      <c r="A57" s="226" t="s">
        <v>286</v>
      </c>
      <c r="B57" s="38"/>
      <c r="C57" s="228" t="s">
        <v>292</v>
      </c>
      <c r="D57" s="10"/>
      <c r="E57" s="10"/>
      <c r="J57" s="10"/>
      <c r="K57" s="10"/>
      <c r="L57" s="10"/>
    </row>
    <row r="58" spans="1:12" ht="17.25">
      <c r="A58" s="227" t="s">
        <v>283</v>
      </c>
      <c r="B58" s="38"/>
      <c r="C58" s="38"/>
      <c r="D58" s="10"/>
      <c r="E58" s="10"/>
      <c r="J58" s="10"/>
      <c r="K58" s="10"/>
      <c r="L58" s="10"/>
    </row>
    <row r="59" spans="1:12" ht="17.25">
      <c r="A59" s="227" t="s">
        <v>284</v>
      </c>
      <c r="B59" s="38"/>
      <c r="C59" s="38"/>
      <c r="D59" s="10"/>
      <c r="E59" s="10"/>
      <c r="J59" s="10"/>
      <c r="K59" s="10"/>
      <c r="L59" s="10"/>
    </row>
    <row r="60" spans="1:12" ht="17.25">
      <c r="A60" s="227" t="s">
        <v>285</v>
      </c>
      <c r="B60" s="38"/>
      <c r="C60" s="38"/>
      <c r="D60" s="10"/>
      <c r="E60" s="10"/>
      <c r="J60" s="10"/>
      <c r="K60" s="10"/>
      <c r="L60" s="10"/>
    </row>
    <row r="66" spans="1:9" ht="31.5">
      <c r="A66" s="229" t="s">
        <v>291</v>
      </c>
      <c r="B66" s="103"/>
      <c r="C66" s="103"/>
      <c r="D66" s="103"/>
      <c r="E66" s="103"/>
      <c r="F66" s="103"/>
      <c r="G66" s="10"/>
      <c r="H66" s="10"/>
      <c r="I66" s="10"/>
    </row>
    <row r="67" spans="1:9" ht="17.25">
      <c r="A67" s="103"/>
      <c r="B67" s="103"/>
      <c r="C67" s="103"/>
      <c r="D67" s="103"/>
      <c r="E67" s="103"/>
      <c r="F67" s="103"/>
      <c r="G67" s="10"/>
      <c r="H67" s="10"/>
      <c r="I67" s="10"/>
    </row>
    <row r="68" spans="1:9" ht="18" thickBot="1">
      <c r="A68" s="230" t="s">
        <v>288</v>
      </c>
      <c r="B68" s="105"/>
      <c r="C68" s="105"/>
      <c r="D68" s="231" t="s">
        <v>290</v>
      </c>
      <c r="E68" s="105"/>
      <c r="F68" s="103"/>
      <c r="G68" s="10"/>
      <c r="H68" s="10"/>
      <c r="I68" s="10"/>
    </row>
    <row r="69" spans="1:9" ht="17.25">
      <c r="A69" s="103"/>
      <c r="B69" s="103"/>
      <c r="C69" s="103"/>
      <c r="D69" s="103" t="s">
        <v>289</v>
      </c>
      <c r="E69" s="103"/>
      <c r="F69" s="103"/>
      <c r="G69" s="10"/>
      <c r="H69" s="10"/>
      <c r="I69" s="10"/>
    </row>
    <row r="70" spans="1:9" ht="17.25">
      <c r="A70" s="103"/>
      <c r="B70" s="103"/>
      <c r="C70" s="103"/>
      <c r="D70" s="103"/>
      <c r="E70" s="103"/>
      <c r="F70" s="103"/>
      <c r="G70" s="10"/>
      <c r="H70" s="10"/>
      <c r="I70" s="10"/>
    </row>
    <row r="71" spans="1:9" ht="16.5">
      <c r="A71" s="10"/>
      <c r="B71" s="10"/>
      <c r="C71" s="10"/>
      <c r="D71" s="10"/>
      <c r="E71" s="10"/>
      <c r="F71" s="10"/>
      <c r="G71" s="10"/>
      <c r="H71" s="10"/>
      <c r="I71" s="10"/>
    </row>
    <row r="72" spans="1:9" ht="16.5">
      <c r="A72" s="10"/>
      <c r="B72" s="10"/>
      <c r="C72" s="10"/>
      <c r="D72" s="10"/>
      <c r="E72" s="10"/>
      <c r="F72" s="10"/>
      <c r="G72" s="10"/>
      <c r="H72" s="10"/>
      <c r="I72" s="10"/>
    </row>
    <row r="73" spans="1:9" ht="16.5">
      <c r="A73" s="10"/>
      <c r="B73" s="10"/>
      <c r="C73" s="10"/>
      <c r="D73" s="10"/>
      <c r="E73" s="10"/>
      <c r="F73" s="10"/>
      <c r="G73" s="10"/>
      <c r="H73" s="10"/>
      <c r="I73" s="10"/>
    </row>
    <row r="74" spans="1:9" ht="16.5">
      <c r="A74" s="10"/>
      <c r="B74" s="10"/>
      <c r="C74" s="10"/>
      <c r="D74" s="10"/>
      <c r="E74" s="10"/>
      <c r="F74" s="10"/>
      <c r="G74" s="10"/>
      <c r="H74" s="10"/>
      <c r="I74" s="10"/>
    </row>
    <row r="75" spans="1:9" ht="16.5">
      <c r="A75" s="10"/>
      <c r="B75" s="10"/>
      <c r="C75" s="10"/>
      <c r="D75" s="10"/>
      <c r="E75" s="10"/>
      <c r="F75" s="10"/>
      <c r="G75" s="10"/>
      <c r="H75" s="10"/>
      <c r="I75" s="10"/>
    </row>
    <row r="76" spans="1:9" ht="16.5">
      <c r="A76" s="10" t="s">
        <v>0</v>
      </c>
      <c r="B76" s="10"/>
      <c r="C76" s="10"/>
      <c r="D76" s="10"/>
      <c r="E76" s="10"/>
      <c r="F76" s="10"/>
      <c r="G76" s="10"/>
      <c r="H76" s="10"/>
      <c r="I76" s="10"/>
    </row>
    <row r="77" spans="1:9" ht="16.5">
      <c r="A77" s="10"/>
      <c r="B77" s="10"/>
      <c r="C77" s="10"/>
      <c r="D77" s="10"/>
      <c r="E77" s="10"/>
      <c r="F77" s="10"/>
      <c r="G77" s="10"/>
      <c r="H77" s="10"/>
      <c r="I77" s="10"/>
    </row>
  </sheetData>
  <pageMargins left="0.25" right="0.25" top="0.75" bottom="0.75" header="0.3" footer="0.3"/>
  <pageSetup scale="51" orientation="landscape" r:id="rId1"/>
  <rowBreaks count="1" manualBreakCount="1">
    <brk id="41" max="11"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19DCF-8362-451B-93E3-8D44BC877730}">
  <sheetPr>
    <tabColor rgb="FF92D050"/>
  </sheetPr>
  <dimension ref="A1:I37"/>
  <sheetViews>
    <sheetView view="pageBreakPreview" topLeftCell="A5" zoomScale="60" zoomScaleNormal="80" workbookViewId="0">
      <selection activeCell="I18" sqref="I18"/>
    </sheetView>
  </sheetViews>
  <sheetFormatPr defaultRowHeight="15"/>
  <cols>
    <col min="1" max="1" width="45.140625" customWidth="1"/>
    <col min="2" max="2" width="17" customWidth="1"/>
    <col min="3" max="3" width="22.7109375" customWidth="1"/>
    <col min="4" max="4" width="20.140625" customWidth="1"/>
    <col min="5" max="5" width="24.5703125" customWidth="1"/>
    <col min="6" max="6" width="23.5703125" customWidth="1"/>
    <col min="7" max="7" width="21.28515625" customWidth="1"/>
    <col min="8" max="8" width="19.7109375" customWidth="1"/>
    <col min="9" max="9" width="28.28515625" customWidth="1"/>
    <col min="10" max="10" width="14.140625" bestFit="1" customWidth="1"/>
    <col min="12" max="12" width="10.5703125" customWidth="1"/>
  </cols>
  <sheetData>
    <row r="1" spans="1:9" ht="26.25">
      <c r="A1" s="21" t="s">
        <v>1</v>
      </c>
      <c r="B1" s="10"/>
      <c r="C1" s="10"/>
      <c r="D1" s="10"/>
      <c r="E1" s="10"/>
      <c r="F1" s="10"/>
      <c r="G1" s="10"/>
      <c r="H1" s="10"/>
      <c r="I1" s="10"/>
    </row>
    <row r="2" spans="1:9" ht="17.25">
      <c r="A2" s="22" t="s">
        <v>9</v>
      </c>
      <c r="B2" s="10"/>
      <c r="C2" s="10"/>
      <c r="D2" s="10"/>
      <c r="E2" s="10"/>
      <c r="F2" s="10"/>
      <c r="G2" s="10"/>
      <c r="H2" s="10"/>
      <c r="I2" s="10"/>
    </row>
    <row r="3" spans="1:9" ht="16.5">
      <c r="A3" s="23" t="s">
        <v>467</v>
      </c>
      <c r="B3" s="10"/>
      <c r="C3" s="10"/>
      <c r="D3" s="10"/>
      <c r="E3" s="10"/>
      <c r="F3" s="10"/>
      <c r="G3" s="10"/>
      <c r="H3" s="10"/>
      <c r="I3" s="10"/>
    </row>
    <row r="4" spans="1:9" ht="16.5">
      <c r="A4" s="23"/>
      <c r="B4" s="10"/>
      <c r="C4" s="10"/>
      <c r="D4" s="10"/>
      <c r="E4" s="10"/>
      <c r="F4" s="10"/>
      <c r="G4" s="10"/>
      <c r="H4" s="10"/>
      <c r="I4" s="10"/>
    </row>
    <row r="5" spans="1:9" ht="16.5">
      <c r="A5" s="23"/>
      <c r="B5" s="10"/>
      <c r="C5" s="10"/>
      <c r="D5" s="10"/>
      <c r="E5" s="10"/>
      <c r="F5" s="10"/>
      <c r="G5" s="10"/>
      <c r="H5" s="10"/>
      <c r="I5" s="10"/>
    </row>
    <row r="6" spans="1:9" ht="16.5">
      <c r="A6" s="23"/>
      <c r="B6" s="10"/>
      <c r="C6" s="10"/>
      <c r="D6" s="10"/>
      <c r="E6" s="10"/>
      <c r="F6" s="10"/>
      <c r="G6" s="10"/>
      <c r="H6" s="10"/>
      <c r="I6" s="10"/>
    </row>
    <row r="7" spans="1:9" ht="17.25" thickBot="1">
      <c r="A7" s="10"/>
      <c r="B7" s="10"/>
      <c r="C7" s="10"/>
      <c r="H7" s="24"/>
      <c r="I7" s="10"/>
    </row>
    <row r="8" spans="1:9" ht="21" thickBot="1">
      <c r="A8" s="260" t="str">
        <f>+'S&amp;D'!A12</f>
        <v>Air Passenger Carriers</v>
      </c>
      <c r="B8" s="193"/>
      <c r="C8" s="10"/>
      <c r="D8" s="26"/>
      <c r="E8" s="26"/>
      <c r="F8" s="26"/>
      <c r="H8" s="10"/>
      <c r="I8" s="10"/>
    </row>
    <row r="9" spans="1:9" ht="26.25">
      <c r="A9" s="28"/>
      <c r="B9" s="10"/>
      <c r="C9" s="10"/>
      <c r="D9" s="10"/>
      <c r="E9" s="29" t="s">
        <v>122</v>
      </c>
      <c r="F9" s="29"/>
      <c r="H9" s="10"/>
      <c r="I9" s="10"/>
    </row>
    <row r="10" spans="1:9" ht="21" thickBot="1">
      <c r="A10" s="28"/>
      <c r="B10" s="10"/>
      <c r="C10" s="10"/>
      <c r="D10" s="26"/>
      <c r="E10" s="34" t="s">
        <v>469</v>
      </c>
      <c r="F10" s="34"/>
      <c r="H10" s="10"/>
      <c r="I10" s="10"/>
    </row>
    <row r="11" spans="1:9" ht="20.25">
      <c r="A11" s="28"/>
      <c r="B11" s="10"/>
      <c r="I11" s="10"/>
    </row>
    <row r="12" spans="1:9" ht="17.25" thickBot="1">
      <c r="A12" s="31" t="s">
        <v>0</v>
      </c>
      <c r="B12" s="31" t="s">
        <v>0</v>
      </c>
      <c r="C12" s="31" t="s">
        <v>0</v>
      </c>
      <c r="D12" s="31" t="s">
        <v>0</v>
      </c>
      <c r="E12" s="31" t="s">
        <v>0</v>
      </c>
      <c r="F12" s="31"/>
      <c r="G12" s="31"/>
      <c r="H12" s="26"/>
      <c r="I12" s="26"/>
    </row>
    <row r="13" spans="1:9" ht="17.25">
      <c r="A13" s="87" t="s">
        <v>0</v>
      </c>
      <c r="B13" s="87" t="s">
        <v>3</v>
      </c>
      <c r="C13" s="87" t="s">
        <v>5</v>
      </c>
      <c r="D13" s="87" t="s">
        <v>21</v>
      </c>
      <c r="E13" s="179" t="s">
        <v>231</v>
      </c>
      <c r="F13" s="179" t="s">
        <v>338</v>
      </c>
      <c r="G13" s="87" t="s">
        <v>20</v>
      </c>
      <c r="H13" s="87" t="s">
        <v>146</v>
      </c>
      <c r="I13" s="87" t="s">
        <v>146</v>
      </c>
    </row>
    <row r="14" spans="1:9" ht="18" thickBot="1">
      <c r="A14" s="94" t="s">
        <v>2</v>
      </c>
      <c r="B14" s="94" t="s">
        <v>4</v>
      </c>
      <c r="C14" s="94" t="s">
        <v>6</v>
      </c>
      <c r="D14" s="94" t="s">
        <v>23</v>
      </c>
      <c r="E14" s="94" t="s">
        <v>339</v>
      </c>
      <c r="F14" s="94" t="s">
        <v>192</v>
      </c>
      <c r="G14" s="94" t="s">
        <v>22</v>
      </c>
      <c r="H14" s="94" t="s">
        <v>170</v>
      </c>
      <c r="I14" s="94" t="s">
        <v>118</v>
      </c>
    </row>
    <row r="15" spans="1:9">
      <c r="A15" s="36" t="s">
        <v>7</v>
      </c>
      <c r="B15" s="36" t="s">
        <v>7</v>
      </c>
      <c r="C15" s="36" t="s">
        <v>7</v>
      </c>
      <c r="D15" s="36" t="s">
        <v>7</v>
      </c>
      <c r="E15" s="222" t="s">
        <v>272</v>
      </c>
      <c r="F15" s="222" t="s">
        <v>272</v>
      </c>
      <c r="G15" s="36" t="s">
        <v>7</v>
      </c>
      <c r="H15" s="36" t="s">
        <v>7</v>
      </c>
      <c r="I15" s="222" t="s">
        <v>471</v>
      </c>
    </row>
    <row r="16" spans="1:9" ht="17.25" thickBot="1">
      <c r="A16" s="32"/>
      <c r="B16" s="32"/>
      <c r="C16" s="32"/>
      <c r="D16" s="32"/>
      <c r="G16" s="32"/>
      <c r="H16" s="32"/>
      <c r="I16" s="32"/>
    </row>
    <row r="17" spans="1:9" ht="16.5">
      <c r="A17" s="150"/>
      <c r="B17" s="107"/>
      <c r="C17" s="107"/>
      <c r="D17" s="107"/>
      <c r="E17" s="297"/>
      <c r="F17" s="297"/>
      <c r="G17" s="107"/>
      <c r="H17" s="107"/>
      <c r="I17" s="151"/>
    </row>
    <row r="18" spans="1:9" ht="20.25" customHeight="1">
      <c r="A18" s="99" t="str">
        <f>+'S&amp;D'!A22</f>
        <v xml:space="preserve">Alaska Air </v>
      </c>
      <c r="B18" s="87" t="str">
        <f>+'S&amp;D'!B22</f>
        <v>ALK</v>
      </c>
      <c r="C18" s="87" t="str">
        <f>+'S&amp;D'!C22</f>
        <v>AirTrans</v>
      </c>
      <c r="D18" s="332">
        <v>0.25</v>
      </c>
      <c r="E18" s="136">
        <v>0.13</v>
      </c>
      <c r="F18" s="136">
        <v>0.13</v>
      </c>
      <c r="G18" s="87" t="s">
        <v>88</v>
      </c>
      <c r="H18" s="412">
        <v>1.5</v>
      </c>
      <c r="I18" s="412">
        <v>1.55</v>
      </c>
    </row>
    <row r="19" spans="1:9" ht="20.25" customHeight="1">
      <c r="A19" s="99" t="str">
        <f>+'S&amp;D'!A23</f>
        <v xml:space="preserve">Allegiant Travel Co. </v>
      </c>
      <c r="B19" s="87" t="str">
        <f>+'S&amp;D'!B23</f>
        <v>ALGT</v>
      </c>
      <c r="C19" s="87" t="str">
        <f>+'S&amp;D'!C23</f>
        <v>AirTrans</v>
      </c>
      <c r="D19" s="137">
        <v>0.27</v>
      </c>
      <c r="E19" s="136">
        <v>0.11</v>
      </c>
      <c r="F19" s="136">
        <v>0.08</v>
      </c>
      <c r="G19" s="87" t="s">
        <v>25</v>
      </c>
      <c r="H19" s="412">
        <v>1.3</v>
      </c>
      <c r="I19" s="412">
        <v>1.45</v>
      </c>
    </row>
    <row r="20" spans="1:9" ht="20.25" customHeight="1">
      <c r="A20" s="99" t="str">
        <f>+'S&amp;D'!A24</f>
        <v xml:space="preserve">American Airlines </v>
      </c>
      <c r="B20" s="87" t="str">
        <f>+'S&amp;D'!B24</f>
        <v>AAL</v>
      </c>
      <c r="C20" s="87" t="str">
        <f>+'S&amp;D'!C24</f>
        <v>AirTrans</v>
      </c>
      <c r="D20" s="348">
        <v>0.23</v>
      </c>
      <c r="E20" s="349" t="s">
        <v>515</v>
      </c>
      <c r="F20" s="349" t="s">
        <v>515</v>
      </c>
      <c r="G20" s="87" t="s">
        <v>414</v>
      </c>
      <c r="H20" s="412">
        <v>1.6</v>
      </c>
      <c r="I20" s="412">
        <v>1.65</v>
      </c>
    </row>
    <row r="21" spans="1:9" ht="20.25" customHeight="1">
      <c r="A21" s="99" t="str">
        <f>+'S&amp;D'!A25</f>
        <v xml:space="preserve">Delta Air Lines </v>
      </c>
      <c r="B21" s="87" t="str">
        <f>+'S&amp;D'!B25</f>
        <v>DAL</v>
      </c>
      <c r="C21" s="87" t="str">
        <f>+'S&amp;D'!C25</f>
        <v>AirTrans</v>
      </c>
      <c r="D21" s="137">
        <v>0.24</v>
      </c>
      <c r="E21" s="136">
        <v>0.33500000000000002</v>
      </c>
      <c r="F21" s="136">
        <v>0.31</v>
      </c>
      <c r="G21" s="87" t="s">
        <v>25</v>
      </c>
      <c r="H21" s="412">
        <v>1.55</v>
      </c>
      <c r="I21" s="412">
        <v>1.6</v>
      </c>
    </row>
    <row r="22" spans="1:9" ht="20.25" customHeight="1">
      <c r="A22" s="99" t="str">
        <f>+'S&amp;D'!A26</f>
        <v xml:space="preserve">JetBlue Airways </v>
      </c>
      <c r="B22" s="87" t="str">
        <f>+'S&amp;D'!B26</f>
        <v>JBLU</v>
      </c>
      <c r="C22" s="87" t="str">
        <f>+'S&amp;D'!C26</f>
        <v>AirTrans</v>
      </c>
      <c r="D22" s="348" t="s">
        <v>515</v>
      </c>
      <c r="E22" s="136" t="s">
        <v>515</v>
      </c>
      <c r="F22" s="136" t="s">
        <v>515</v>
      </c>
      <c r="G22" s="87" t="s">
        <v>414</v>
      </c>
      <c r="H22" s="412">
        <v>1.65</v>
      </c>
      <c r="I22" s="412">
        <v>1.8</v>
      </c>
    </row>
    <row r="23" spans="1:9" ht="20.25" customHeight="1">
      <c r="A23" s="99" t="str">
        <f>+'S&amp;D'!A27</f>
        <v>Skywest Inc</v>
      </c>
      <c r="B23" s="87" t="str">
        <f>+'S&amp;D'!B27</f>
        <v>SKYW</v>
      </c>
      <c r="C23" s="87" t="str">
        <f>+'S&amp;D'!C27</f>
        <v>AirTrans</v>
      </c>
      <c r="D23" s="137">
        <v>0.25</v>
      </c>
      <c r="E23" s="136">
        <v>8.5000000000000006E-2</v>
      </c>
      <c r="F23" s="136">
        <v>8.5000000000000006E-2</v>
      </c>
      <c r="G23" s="87" t="s">
        <v>25</v>
      </c>
      <c r="H23" s="412">
        <v>1.65</v>
      </c>
      <c r="I23" s="412">
        <v>1.65</v>
      </c>
    </row>
    <row r="24" spans="1:9" ht="20.25" customHeight="1">
      <c r="A24" s="99" t="str">
        <f>+'S&amp;D'!A28</f>
        <v xml:space="preserve">Southwest Airlines </v>
      </c>
      <c r="B24" s="87" t="str">
        <f>+'S&amp;D'!B28</f>
        <v>LUV</v>
      </c>
      <c r="C24" s="87" t="str">
        <f>+'S&amp;D'!C28</f>
        <v>AirTrans</v>
      </c>
      <c r="D24" s="137">
        <v>0.23499999999999999</v>
      </c>
      <c r="E24" s="136">
        <v>0.13</v>
      </c>
      <c r="F24" s="136">
        <v>8.5000000000000006E-2</v>
      </c>
      <c r="G24" s="87" t="s">
        <v>25</v>
      </c>
      <c r="H24" s="412">
        <v>1.05</v>
      </c>
      <c r="I24" s="412">
        <v>1.1000000000000001</v>
      </c>
    </row>
    <row r="25" spans="1:9" ht="20.25" customHeight="1">
      <c r="A25" s="99" t="str">
        <f>+'S&amp;D'!A29</f>
        <v xml:space="preserve">Spirit Airlines </v>
      </c>
      <c r="B25" s="87" t="str">
        <f>+'S&amp;D'!B29</f>
        <v>SAVE</v>
      </c>
      <c r="C25" s="87" t="str">
        <f>+'S&amp;D'!C29</f>
        <v>AirTrans</v>
      </c>
      <c r="D25" s="348" t="s">
        <v>515</v>
      </c>
      <c r="E25" s="136" t="s">
        <v>515</v>
      </c>
      <c r="F25" s="136" t="s">
        <v>515</v>
      </c>
      <c r="G25" s="87" t="s">
        <v>89</v>
      </c>
      <c r="H25" s="412">
        <v>1.85</v>
      </c>
      <c r="I25" s="412">
        <v>1.8</v>
      </c>
    </row>
    <row r="26" spans="1:9" ht="20.25" customHeight="1">
      <c r="A26" s="99" t="str">
        <f>+'S&amp;D'!A30</f>
        <v>United Airlines Holdings Inc</v>
      </c>
      <c r="B26" s="87" t="str">
        <f>+'S&amp;D'!B30</f>
        <v>UAL</v>
      </c>
      <c r="C26" s="87" t="str">
        <f>+'S&amp;D'!C30</f>
        <v>AirTrans</v>
      </c>
      <c r="D26" s="137">
        <v>0.23</v>
      </c>
      <c r="E26" s="136">
        <v>0.255</v>
      </c>
      <c r="F26" s="136">
        <v>0.255</v>
      </c>
      <c r="G26" s="87" t="s">
        <v>414</v>
      </c>
      <c r="H26" s="412">
        <v>1.6</v>
      </c>
      <c r="I26" s="412">
        <v>1.7</v>
      </c>
    </row>
    <row r="27" spans="1:9" ht="20.25" customHeight="1" thickBot="1">
      <c r="A27" s="99" t="s">
        <v>0</v>
      </c>
      <c r="B27" s="87" t="s">
        <v>0</v>
      </c>
      <c r="C27" s="87" t="s">
        <v>0</v>
      </c>
      <c r="D27" s="298" t="s">
        <v>0</v>
      </c>
      <c r="E27" s="256" t="s">
        <v>0</v>
      </c>
      <c r="F27" s="256" t="s">
        <v>0</v>
      </c>
      <c r="G27" s="333" t="s">
        <v>0</v>
      </c>
      <c r="H27" s="62" t="s">
        <v>0</v>
      </c>
      <c r="I27" s="334" t="s">
        <v>0</v>
      </c>
    </row>
    <row r="28" spans="1:9" ht="20.25" customHeight="1" thickTop="1">
      <c r="A28" s="103"/>
      <c r="B28" s="103"/>
      <c r="C28" s="4"/>
      <c r="D28" s="175" t="s">
        <v>0</v>
      </c>
      <c r="E28" s="4"/>
      <c r="F28" s="4"/>
      <c r="G28" s="116" t="s">
        <v>45</v>
      </c>
      <c r="H28" s="350"/>
      <c r="I28" s="350">
        <f>MAX(I18:I26)</f>
        <v>1.8</v>
      </c>
    </row>
    <row r="29" spans="1:9" ht="20.25" customHeight="1">
      <c r="A29" s="103"/>
      <c r="B29" s="103"/>
      <c r="C29" s="4"/>
      <c r="D29" s="175" t="s">
        <v>0</v>
      </c>
      <c r="E29" s="4"/>
      <c r="F29" s="4"/>
      <c r="G29" s="116" t="s">
        <v>46</v>
      </c>
      <c r="H29" s="351"/>
      <c r="I29" s="351">
        <f>MIN(I18:I26)</f>
        <v>1.1000000000000001</v>
      </c>
    </row>
    <row r="30" spans="1:9" ht="20.25" customHeight="1">
      <c r="A30" s="103"/>
      <c r="B30" s="103"/>
      <c r="C30" s="4"/>
      <c r="D30" s="176" t="s">
        <v>0</v>
      </c>
      <c r="E30" s="4"/>
      <c r="F30" s="4"/>
      <c r="G30" s="116" t="s">
        <v>18</v>
      </c>
      <c r="H30" s="177"/>
      <c r="I30" s="177">
        <f>MEDIAN(I18:I27)</f>
        <v>1.65</v>
      </c>
    </row>
    <row r="31" spans="1:9" ht="20.25" customHeight="1">
      <c r="A31" s="103"/>
      <c r="B31" s="103"/>
      <c r="C31" s="4"/>
      <c r="D31" s="119" t="s">
        <v>0</v>
      </c>
      <c r="E31" s="4"/>
      <c r="F31" s="4"/>
      <c r="G31" s="116" t="s">
        <v>429</v>
      </c>
      <c r="H31" s="178"/>
      <c r="I31" s="178">
        <f>AVERAGE(I18:I27)</f>
        <v>1.588888888888889</v>
      </c>
    </row>
    <row r="32" spans="1:9" ht="20.25" customHeight="1" thickBot="1">
      <c r="A32" s="10"/>
      <c r="B32" s="10"/>
      <c r="C32" s="10"/>
      <c r="D32" s="10" t="s">
        <v>0</v>
      </c>
      <c r="G32" s="10"/>
      <c r="H32" s="10"/>
      <c r="I32" s="10"/>
    </row>
    <row r="33" spans="1:9" ht="20.25" customHeight="1" thickBot="1">
      <c r="A33" s="10"/>
      <c r="B33" s="10"/>
      <c r="C33" s="10"/>
      <c r="D33" s="10"/>
      <c r="G33" s="10"/>
      <c r="H33" s="199" t="s">
        <v>73</v>
      </c>
      <c r="I33" s="401">
        <v>1.59</v>
      </c>
    </row>
    <row r="34" spans="1:9" ht="20.25" customHeight="1">
      <c r="A34" s="10"/>
      <c r="B34" s="10"/>
      <c r="C34" s="10"/>
      <c r="D34" s="10"/>
      <c r="G34" s="10"/>
      <c r="H34" s="66"/>
      <c r="I34" s="277"/>
    </row>
    <row r="35" spans="1:9" ht="20.25" customHeight="1">
      <c r="A35" s="10"/>
      <c r="B35" s="10"/>
      <c r="C35" s="10"/>
      <c r="D35" s="10"/>
      <c r="G35" s="10"/>
      <c r="H35" s="66"/>
      <c r="I35" s="277"/>
    </row>
    <row r="36" spans="1:9" ht="17.25">
      <c r="A36" s="103" t="s">
        <v>341</v>
      </c>
    </row>
    <row r="37" spans="1:9" ht="17.25">
      <c r="A37" s="103" t="s">
        <v>340</v>
      </c>
    </row>
  </sheetData>
  <pageMargins left="0.25" right="0.25"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0854-9225-4685-BC0B-402957CF1047}">
  <sheetPr>
    <tabColor rgb="FF92D050"/>
  </sheetPr>
  <dimension ref="A1:L32"/>
  <sheetViews>
    <sheetView view="pageBreakPreview" zoomScale="60" zoomScaleNormal="80" workbookViewId="0">
      <selection activeCell="K15" sqref="K15"/>
    </sheetView>
  </sheetViews>
  <sheetFormatPr defaultRowHeight="15"/>
  <cols>
    <col min="1" max="1" width="50.42578125" customWidth="1"/>
    <col min="2" max="2" width="10.85546875" bestFit="1" customWidth="1"/>
    <col min="3" max="3" width="19.140625" bestFit="1"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21" t="s">
        <v>1</v>
      </c>
      <c r="B1" s="10"/>
      <c r="C1" s="10"/>
      <c r="D1" s="10"/>
      <c r="E1" s="10"/>
      <c r="F1" s="10"/>
      <c r="G1" s="10"/>
      <c r="H1" s="10"/>
      <c r="I1" s="10"/>
      <c r="J1" s="10"/>
    </row>
    <row r="2" spans="1:11" ht="17.25">
      <c r="A2" s="22" t="s">
        <v>9</v>
      </c>
      <c r="B2" s="10"/>
      <c r="C2" s="10"/>
      <c r="D2" s="10"/>
      <c r="E2" s="10"/>
      <c r="F2" s="10"/>
      <c r="G2" s="10"/>
      <c r="H2" s="10"/>
      <c r="I2" s="10"/>
      <c r="J2" s="10"/>
    </row>
    <row r="3" spans="1:11" ht="16.5">
      <c r="A3" s="23" t="s">
        <v>467</v>
      </c>
      <c r="B3" s="10"/>
      <c r="C3" s="10"/>
      <c r="D3" s="10"/>
      <c r="E3" s="10"/>
      <c r="F3" s="10"/>
      <c r="G3" s="10"/>
      <c r="H3" s="10"/>
      <c r="I3" s="10"/>
      <c r="J3" s="10"/>
    </row>
    <row r="4" spans="1:11" ht="16.5">
      <c r="A4" s="23"/>
      <c r="B4" s="10"/>
      <c r="C4" s="10"/>
      <c r="D4" s="10"/>
      <c r="E4" s="10"/>
      <c r="F4" s="10"/>
      <c r="G4" s="10"/>
      <c r="H4" s="10"/>
      <c r="I4" s="10"/>
      <c r="J4" s="10"/>
    </row>
    <row r="5" spans="1:11" ht="17.25" thickBot="1">
      <c r="A5" s="10"/>
      <c r="B5" s="10"/>
      <c r="C5" s="10"/>
      <c r="D5" s="10"/>
      <c r="E5" s="10"/>
      <c r="F5" s="10"/>
      <c r="G5" s="24"/>
      <c r="H5" s="10"/>
      <c r="I5" s="10"/>
      <c r="J5" s="10"/>
    </row>
    <row r="6" spans="1:11" ht="21" thickBot="1">
      <c r="A6" s="260" t="str">
        <f>+'S&amp;D'!A12</f>
        <v>Air Passenger Carriers</v>
      </c>
      <c r="B6" s="193"/>
      <c r="C6" s="10"/>
      <c r="D6" s="26"/>
      <c r="E6" s="26"/>
      <c r="F6" s="27" t="s">
        <v>0</v>
      </c>
      <c r="G6" s="10"/>
      <c r="H6" s="10"/>
      <c r="I6" s="10"/>
      <c r="J6" s="10"/>
    </row>
    <row r="7" spans="1:11" ht="26.25">
      <c r="A7" s="28"/>
      <c r="B7" s="10"/>
      <c r="C7" s="10"/>
      <c r="D7" s="10"/>
      <c r="E7" s="29" t="s">
        <v>171</v>
      </c>
      <c r="F7" s="10"/>
      <c r="G7" s="10"/>
      <c r="H7" s="10"/>
      <c r="I7" s="10"/>
      <c r="J7" s="10"/>
    </row>
    <row r="8" spans="1:11" ht="21" thickBot="1">
      <c r="A8" s="28"/>
      <c r="B8" s="10"/>
      <c r="C8" s="10"/>
      <c r="D8" s="26"/>
      <c r="E8" s="30" t="s">
        <v>469</v>
      </c>
      <c r="F8" s="26"/>
      <c r="G8" s="10"/>
      <c r="H8" s="10"/>
      <c r="I8" s="10"/>
      <c r="J8" s="10"/>
    </row>
    <row r="9" spans="1:11" ht="17.25" thickBot="1">
      <c r="A9" s="31" t="s">
        <v>0</v>
      </c>
      <c r="B9" s="31" t="s">
        <v>0</v>
      </c>
      <c r="C9" s="31" t="s">
        <v>0</v>
      </c>
      <c r="D9" s="31" t="s">
        <v>0</v>
      </c>
      <c r="E9" s="31" t="s">
        <v>0</v>
      </c>
      <c r="F9" s="31"/>
      <c r="G9" s="26"/>
      <c r="H9" s="26"/>
      <c r="I9" s="26"/>
      <c r="J9" s="26"/>
      <c r="K9" s="148"/>
    </row>
    <row r="10" spans="1:11" ht="16.5">
      <c r="A10" s="32" t="s">
        <v>0</v>
      </c>
      <c r="B10" s="32" t="s">
        <v>3</v>
      </c>
      <c r="C10" s="32" t="s">
        <v>5</v>
      </c>
      <c r="D10" s="32" t="s">
        <v>166</v>
      </c>
      <c r="E10" s="32" t="s">
        <v>167</v>
      </c>
      <c r="F10" s="32" t="s">
        <v>169</v>
      </c>
      <c r="G10" s="32" t="s">
        <v>167</v>
      </c>
      <c r="H10" s="32" t="s">
        <v>169</v>
      </c>
      <c r="I10" s="32" t="s">
        <v>167</v>
      </c>
      <c r="J10" s="32" t="s">
        <v>169</v>
      </c>
      <c r="K10" s="32" t="s">
        <v>275</v>
      </c>
    </row>
    <row r="11" spans="1:11" ht="16.5">
      <c r="A11" s="32"/>
      <c r="B11" s="32" t="s">
        <v>4</v>
      </c>
      <c r="C11" s="32" t="s">
        <v>6</v>
      </c>
      <c r="D11" s="32" t="s">
        <v>27</v>
      </c>
      <c r="E11" s="32" t="s">
        <v>168</v>
      </c>
      <c r="F11" s="32" t="s">
        <v>119</v>
      </c>
      <c r="G11" s="32" t="s">
        <v>168</v>
      </c>
      <c r="H11" s="32" t="s">
        <v>119</v>
      </c>
      <c r="I11" s="32" t="s">
        <v>168</v>
      </c>
      <c r="J11" s="32" t="s">
        <v>119</v>
      </c>
      <c r="K11" s="32" t="s">
        <v>183</v>
      </c>
    </row>
    <row r="12" spans="1:11" ht="17.25" thickBot="1">
      <c r="A12" s="34" t="s">
        <v>2</v>
      </c>
      <c r="B12" s="34" t="s">
        <v>0</v>
      </c>
      <c r="C12" s="34" t="s">
        <v>0</v>
      </c>
      <c r="D12" s="34" t="s">
        <v>0</v>
      </c>
      <c r="E12" s="34" t="s">
        <v>170</v>
      </c>
      <c r="F12" s="34" t="s">
        <v>170</v>
      </c>
      <c r="G12" s="34" t="s">
        <v>273</v>
      </c>
      <c r="H12" s="34" t="s">
        <v>273</v>
      </c>
      <c r="I12" s="34" t="s">
        <v>274</v>
      </c>
      <c r="J12" s="34" t="s">
        <v>274</v>
      </c>
      <c r="K12" s="224" t="s">
        <v>276</v>
      </c>
    </row>
    <row r="13" spans="1:11">
      <c r="A13" s="36" t="s">
        <v>7</v>
      </c>
      <c r="B13" s="36" t="s">
        <v>7</v>
      </c>
      <c r="C13" s="36" t="s">
        <v>7</v>
      </c>
      <c r="D13" s="37" t="s">
        <v>112</v>
      </c>
      <c r="E13" s="36" t="s">
        <v>7</v>
      </c>
      <c r="F13" s="36" t="s">
        <v>15</v>
      </c>
      <c r="G13" s="36" t="s">
        <v>7</v>
      </c>
      <c r="H13" s="36" t="s">
        <v>15</v>
      </c>
      <c r="I13" s="36" t="s">
        <v>7</v>
      </c>
      <c r="J13" s="36" t="s">
        <v>15</v>
      </c>
      <c r="K13" s="36" t="s">
        <v>15</v>
      </c>
    </row>
    <row r="14" spans="1:11" ht="16.5">
      <c r="A14" s="32"/>
      <c r="B14" s="32"/>
      <c r="C14" s="32"/>
      <c r="D14" s="32"/>
      <c r="E14" s="32"/>
      <c r="F14" s="32"/>
      <c r="G14" s="10"/>
      <c r="H14" s="10"/>
      <c r="I14" s="10"/>
      <c r="J14" s="10"/>
      <c r="K14" s="10"/>
    </row>
    <row r="15" spans="1:11" ht="16.5">
      <c r="A15" s="10"/>
      <c r="B15" s="10"/>
      <c r="C15" s="10"/>
      <c r="D15" s="10"/>
      <c r="E15" s="10"/>
      <c r="F15" s="10"/>
      <c r="G15" s="10"/>
      <c r="H15" s="10"/>
      <c r="I15" s="10"/>
      <c r="J15" s="10"/>
      <c r="K15" s="10"/>
    </row>
    <row r="16" spans="1:11" ht="17.25">
      <c r="A16" s="60" t="str">
        <f>+'S&amp;D'!A22</f>
        <v xml:space="preserve">Alaska Air </v>
      </c>
      <c r="B16" s="87" t="str">
        <f>+'S&amp;D'!B22</f>
        <v>ALK</v>
      </c>
      <c r="C16" s="87" t="str">
        <f>+'S&amp;D'!C22</f>
        <v>AirTrans</v>
      </c>
      <c r="D16" s="57">
        <f>+'S&amp;D'!G22</f>
        <v>39.07</v>
      </c>
      <c r="E16" s="362" t="s">
        <v>522</v>
      </c>
      <c r="F16" s="63" t="s">
        <v>419</v>
      </c>
      <c r="G16" s="362" t="s">
        <v>522</v>
      </c>
      <c r="H16" s="63" t="s">
        <v>419</v>
      </c>
      <c r="I16" s="59">
        <v>2.4</v>
      </c>
      <c r="J16" s="63">
        <f>+I16/D16</f>
        <v>6.1428205784489376E-2</v>
      </c>
      <c r="K16" s="223" t="s">
        <v>419</v>
      </c>
    </row>
    <row r="17" spans="1:12" ht="17.25">
      <c r="A17" s="60" t="str">
        <f>+'S&amp;D'!A23</f>
        <v xml:space="preserve">Allegiant Travel Co. </v>
      </c>
      <c r="B17" s="87" t="str">
        <f>+'S&amp;D'!B23</f>
        <v>ALGT</v>
      </c>
      <c r="C17" s="87" t="str">
        <f>+'S&amp;D'!C23</f>
        <v>AirTrans</v>
      </c>
      <c r="D17" s="57">
        <f>+'S&amp;D'!G23</f>
        <v>82.61</v>
      </c>
      <c r="E17" s="59">
        <v>2.4</v>
      </c>
      <c r="F17" s="63">
        <f t="shared" ref="F17" si="0">+E17/D17</f>
        <v>2.9052172860428518E-2</v>
      </c>
      <c r="G17" s="59">
        <v>2.4</v>
      </c>
      <c r="H17" s="63">
        <f t="shared" ref="H17" si="1">+G17/D17</f>
        <v>2.9052172860428518E-2</v>
      </c>
      <c r="I17" s="59">
        <v>2.8</v>
      </c>
      <c r="J17" s="63">
        <f t="shared" ref="J17" si="2">+I17/D17</f>
        <v>3.3894201670499939E-2</v>
      </c>
      <c r="K17" s="223">
        <f>RATE(3,,-G17,I17)</f>
        <v>5.2726599609396574E-2</v>
      </c>
    </row>
    <row r="18" spans="1:12" ht="17.25">
      <c r="A18" s="60" t="str">
        <f>+'S&amp;D'!A24</f>
        <v xml:space="preserve">American Airlines </v>
      </c>
      <c r="B18" s="87" t="str">
        <f>+'S&amp;D'!B24</f>
        <v>AAL</v>
      </c>
      <c r="C18" s="87" t="str">
        <f>+'S&amp;D'!C24</f>
        <v>AirTrans</v>
      </c>
      <c r="D18" s="57">
        <f>+'S&amp;D'!G24</f>
        <v>13.74</v>
      </c>
      <c r="E18" s="362" t="s">
        <v>522</v>
      </c>
      <c r="F18" s="63" t="s">
        <v>419</v>
      </c>
      <c r="G18" s="362" t="s">
        <v>522</v>
      </c>
      <c r="H18" s="63" t="s">
        <v>419</v>
      </c>
      <c r="I18" s="362" t="s">
        <v>522</v>
      </c>
      <c r="J18" s="63" t="s">
        <v>419</v>
      </c>
      <c r="K18" s="223" t="s">
        <v>419</v>
      </c>
    </row>
    <row r="19" spans="1:12" ht="17.25">
      <c r="A19" s="60" t="str">
        <f>+'S&amp;D'!A25</f>
        <v xml:space="preserve">Delta Air Lines </v>
      </c>
      <c r="B19" s="87" t="str">
        <f>+'S&amp;D'!B25</f>
        <v>DAL</v>
      </c>
      <c r="C19" s="87" t="str">
        <f>+'S&amp;D'!C25</f>
        <v>AirTrans</v>
      </c>
      <c r="D19" s="57">
        <f>+'S&amp;D'!G25</f>
        <v>40.229999999999997</v>
      </c>
      <c r="E19" s="59">
        <v>0.4</v>
      </c>
      <c r="F19" s="63">
        <f t="shared" ref="F19:F22" si="3">+E19/D19</f>
        <v>9.9428287347750454E-3</v>
      </c>
      <c r="G19" s="59">
        <v>0.48</v>
      </c>
      <c r="H19" s="63">
        <f t="shared" ref="H19" si="4">+G19/D19</f>
        <v>1.1931394481730053E-2</v>
      </c>
      <c r="I19" s="59">
        <v>1.5</v>
      </c>
      <c r="J19" s="63">
        <f t="shared" ref="J19:J22" si="5">+I19/D19</f>
        <v>3.7285607755406416E-2</v>
      </c>
      <c r="K19" s="223">
        <f t="shared" ref="K19" si="6">RATE(3,,-G19,I19)</f>
        <v>0.46200886910643302</v>
      </c>
    </row>
    <row r="20" spans="1:12" ht="17.25">
      <c r="A20" s="60" t="str">
        <f>+'S&amp;D'!A26</f>
        <v xml:space="preserve">JetBlue Airways </v>
      </c>
      <c r="B20" s="87" t="str">
        <f>+'S&amp;D'!B26</f>
        <v>JBLU</v>
      </c>
      <c r="C20" s="87" t="str">
        <f>+'S&amp;D'!C26</f>
        <v>AirTrans</v>
      </c>
      <c r="D20" s="57">
        <f>+'S&amp;D'!G26</f>
        <v>5.55</v>
      </c>
      <c r="E20" s="362" t="s">
        <v>522</v>
      </c>
      <c r="F20" s="63" t="s">
        <v>419</v>
      </c>
      <c r="G20" s="362" t="s">
        <v>522</v>
      </c>
      <c r="H20" s="63" t="s">
        <v>419</v>
      </c>
      <c r="I20" s="362" t="s">
        <v>522</v>
      </c>
      <c r="J20" s="63" t="s">
        <v>419</v>
      </c>
      <c r="K20" s="223" t="s">
        <v>419</v>
      </c>
      <c r="L20" t="s">
        <v>418</v>
      </c>
    </row>
    <row r="21" spans="1:12" ht="17.25">
      <c r="A21" s="60" t="str">
        <f>+'S&amp;D'!A27</f>
        <v>Skywest Inc</v>
      </c>
      <c r="B21" s="87" t="str">
        <f>+'S&amp;D'!B27</f>
        <v>SKYW</v>
      </c>
      <c r="C21" s="87" t="str">
        <f>+'S&amp;D'!C27</f>
        <v>AirTrans</v>
      </c>
      <c r="D21" s="57">
        <f>+'S&amp;D'!G27</f>
        <v>52.2</v>
      </c>
      <c r="E21" s="362" t="s">
        <v>522</v>
      </c>
      <c r="F21" s="63" t="s">
        <v>419</v>
      </c>
      <c r="G21" s="362" t="s">
        <v>522</v>
      </c>
      <c r="H21" s="63" t="s">
        <v>419</v>
      </c>
      <c r="I21" s="59">
        <v>0.32</v>
      </c>
      <c r="J21" s="63">
        <f t="shared" si="5"/>
        <v>6.1302681992337167E-3</v>
      </c>
      <c r="K21" s="223" t="s">
        <v>419</v>
      </c>
    </row>
    <row r="22" spans="1:12" ht="17.25">
      <c r="A22" s="60" t="str">
        <f>+'S&amp;D'!A28</f>
        <v xml:space="preserve">Southwest Airlines </v>
      </c>
      <c r="B22" s="87" t="str">
        <f>+'S&amp;D'!B28</f>
        <v>LUV</v>
      </c>
      <c r="C22" s="87" t="str">
        <f>+'S&amp;D'!C28</f>
        <v>AirTrans</v>
      </c>
      <c r="D22" s="57">
        <f>+'S&amp;D'!G28</f>
        <v>28.88</v>
      </c>
      <c r="E22" s="59">
        <v>0.76</v>
      </c>
      <c r="F22" s="63">
        <f t="shared" si="3"/>
        <v>2.6315789473684213E-2</v>
      </c>
      <c r="G22" s="59">
        <v>0.88</v>
      </c>
      <c r="H22" s="63">
        <f t="shared" ref="H22" si="7">+G22/D22</f>
        <v>3.0470914127423823E-2</v>
      </c>
      <c r="I22" s="59">
        <v>1.2</v>
      </c>
      <c r="J22" s="63">
        <f t="shared" si="5"/>
        <v>4.1551246537396121E-2</v>
      </c>
      <c r="K22" s="223">
        <f t="shared" ref="K22" si="8">RATE(3,,-G22,I22)</f>
        <v>0.1089182339303882</v>
      </c>
    </row>
    <row r="23" spans="1:12" ht="17.25">
      <c r="A23" s="60" t="str">
        <f>+'S&amp;D'!A29</f>
        <v xml:space="preserve">Spirit Airlines </v>
      </c>
      <c r="B23" s="87" t="str">
        <f>+'S&amp;D'!B29</f>
        <v>SAVE</v>
      </c>
      <c r="C23" s="87" t="str">
        <f>+'S&amp;D'!C29</f>
        <v>AirTrans</v>
      </c>
      <c r="D23" s="57">
        <f>+'S&amp;D'!G29</f>
        <v>15.94</v>
      </c>
      <c r="E23" s="362" t="s">
        <v>522</v>
      </c>
      <c r="F23" s="63" t="s">
        <v>419</v>
      </c>
      <c r="G23" s="362" t="s">
        <v>522</v>
      </c>
      <c r="H23" s="63" t="s">
        <v>419</v>
      </c>
      <c r="I23" s="362" t="s">
        <v>522</v>
      </c>
      <c r="J23" s="63" t="s">
        <v>419</v>
      </c>
      <c r="K23" s="223" t="s">
        <v>419</v>
      </c>
      <c r="L23" t="s">
        <v>418</v>
      </c>
    </row>
    <row r="24" spans="1:12" ht="17.25">
      <c r="A24" s="60" t="str">
        <f>+'S&amp;D'!A30</f>
        <v>United Airlines Holdings Inc</v>
      </c>
      <c r="B24" s="87" t="str">
        <f>+'S&amp;D'!B30</f>
        <v>UAL</v>
      </c>
      <c r="C24" s="87" t="str">
        <f>+'S&amp;D'!C30</f>
        <v>AirTrans</v>
      </c>
      <c r="D24" s="57">
        <f>+'S&amp;D'!G30</f>
        <v>41.26</v>
      </c>
      <c r="E24" s="362" t="s">
        <v>522</v>
      </c>
      <c r="F24" s="63" t="s">
        <v>419</v>
      </c>
      <c r="G24" s="362" t="s">
        <v>522</v>
      </c>
      <c r="H24" s="63" t="s">
        <v>419</v>
      </c>
      <c r="I24" s="362" t="s">
        <v>522</v>
      </c>
      <c r="J24" s="63" t="s">
        <v>419</v>
      </c>
      <c r="K24" s="223" t="s">
        <v>419</v>
      </c>
      <c r="L24" t="s">
        <v>418</v>
      </c>
    </row>
    <row r="25" spans="1:12" ht="17.25" thickBot="1">
      <c r="A25" s="10"/>
      <c r="B25" s="10"/>
      <c r="C25" s="41"/>
      <c r="D25" s="44"/>
      <c r="E25" s="44"/>
      <c r="F25" s="44"/>
      <c r="G25" s="44"/>
      <c r="H25" s="44"/>
      <c r="I25" s="44"/>
      <c r="J25" s="44"/>
      <c r="K25" s="44"/>
    </row>
    <row r="26" spans="1:12" ht="17.25" thickTop="1">
      <c r="A26" s="10"/>
      <c r="B26" s="10"/>
      <c r="D26" s="12" t="s">
        <v>45</v>
      </c>
      <c r="E26" s="14">
        <f>MAX(E16:E24)</f>
        <v>2.4</v>
      </c>
      <c r="F26" s="356">
        <f>MAX(F16:F24)</f>
        <v>2.9052172860428518E-2</v>
      </c>
      <c r="G26" s="14">
        <f t="shared" ref="G26:K26" si="9">MAX(G16:G24)</f>
        <v>2.4</v>
      </c>
      <c r="H26" s="356">
        <f t="shared" si="9"/>
        <v>3.0470914127423823E-2</v>
      </c>
      <c r="I26" s="14">
        <f t="shared" si="9"/>
        <v>2.8</v>
      </c>
      <c r="J26" s="356">
        <f t="shared" si="9"/>
        <v>6.1428205784489376E-2</v>
      </c>
      <c r="K26" s="356">
        <f t="shared" si="9"/>
        <v>0.46200886910643302</v>
      </c>
    </row>
    <row r="27" spans="1:12" ht="16.5">
      <c r="A27" s="10"/>
      <c r="B27" s="10"/>
      <c r="D27" s="12" t="s">
        <v>46</v>
      </c>
      <c r="E27" s="308">
        <f>MIN(E16:E24)</f>
        <v>0.4</v>
      </c>
      <c r="F27" s="355">
        <f>MIN(F16:F24)</f>
        <v>9.9428287347750454E-3</v>
      </c>
      <c r="G27" s="308">
        <f t="shared" ref="G27:K27" si="10">MIN(G16:G24)</f>
        <v>0.48</v>
      </c>
      <c r="H27" s="355">
        <f t="shared" si="10"/>
        <v>1.1931394481730053E-2</v>
      </c>
      <c r="I27" s="308">
        <f t="shared" si="10"/>
        <v>0.32</v>
      </c>
      <c r="J27" s="355">
        <f t="shared" si="10"/>
        <v>6.1302681992337167E-3</v>
      </c>
      <c r="K27" s="355">
        <f t="shared" si="10"/>
        <v>5.2726599609396574E-2</v>
      </c>
    </row>
    <row r="28" spans="1:12" ht="16.5">
      <c r="A28" s="10"/>
      <c r="B28" s="10"/>
      <c r="D28" s="12" t="s">
        <v>18</v>
      </c>
      <c r="E28" s="15">
        <f t="shared" ref="E28:J28" si="11">MEDIAN(E16:E24)</f>
        <v>0.76</v>
      </c>
      <c r="F28" s="52">
        <f t="shared" si="11"/>
        <v>2.6315789473684213E-2</v>
      </c>
      <c r="G28" s="15">
        <f t="shared" si="11"/>
        <v>0.88</v>
      </c>
      <c r="H28" s="52">
        <f t="shared" si="11"/>
        <v>2.9052172860428518E-2</v>
      </c>
      <c r="I28" s="15">
        <f t="shared" si="11"/>
        <v>1.5</v>
      </c>
      <c r="J28" s="52">
        <f t="shared" si="11"/>
        <v>3.7285607755406416E-2</v>
      </c>
      <c r="K28" s="52">
        <f t="shared" ref="K28" si="12">MEDIAN(K16:K24)</f>
        <v>0.1089182339303882</v>
      </c>
    </row>
    <row r="29" spans="1:12" ht="16.5">
      <c r="A29" s="10"/>
      <c r="B29" s="10"/>
      <c r="D29" s="12" t="s">
        <v>429</v>
      </c>
      <c r="E29" s="19">
        <f t="shared" ref="E29:J29" si="13">AVERAGE(E16:E24)</f>
        <v>1.1866666666666665</v>
      </c>
      <c r="F29" s="54">
        <f t="shared" si="13"/>
        <v>2.1770263689629258E-2</v>
      </c>
      <c r="G29" s="19">
        <f t="shared" si="13"/>
        <v>1.2533333333333332</v>
      </c>
      <c r="H29" s="54">
        <f t="shared" si="13"/>
        <v>2.3818160489860796E-2</v>
      </c>
      <c r="I29" s="19">
        <f t="shared" si="13"/>
        <v>1.6439999999999997</v>
      </c>
      <c r="J29" s="54">
        <f t="shared" si="13"/>
        <v>3.6057905989405108E-2</v>
      </c>
      <c r="K29" s="54">
        <f t="shared" ref="K29" si="14">AVERAGE(K16:K24)</f>
        <v>0.2078845675487393</v>
      </c>
    </row>
    <row r="30" spans="1:12" ht="16.5">
      <c r="A30" s="10"/>
      <c r="B30" s="10"/>
      <c r="C30" s="10"/>
      <c r="D30" s="10"/>
      <c r="E30" s="10"/>
      <c r="F30" s="10"/>
      <c r="G30" s="10"/>
      <c r="H30" s="10"/>
      <c r="I30" s="10"/>
      <c r="J30" s="10"/>
      <c r="K30" s="10"/>
    </row>
    <row r="31" spans="1:12" ht="26.25">
      <c r="A31" s="10"/>
      <c r="B31" s="10"/>
      <c r="C31" s="10"/>
      <c r="D31" s="10"/>
      <c r="E31" s="10"/>
      <c r="F31" s="47" t="s">
        <v>0</v>
      </c>
      <c r="G31" s="61" t="s">
        <v>0</v>
      </c>
      <c r="H31" s="10"/>
      <c r="I31" s="10"/>
      <c r="J31" s="10"/>
      <c r="K31" s="10"/>
    </row>
    <row r="32" spans="1:12" ht="18.75">
      <c r="A32" s="225" t="s">
        <v>277</v>
      </c>
    </row>
  </sheetData>
  <pageMargins left="0.25" right="0.25" top="0.75" bottom="0.75" header="0.3" footer="0.3"/>
  <pageSetup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96C7-3CA4-4A86-9548-2C135C060B79}">
  <sheetPr>
    <tabColor rgb="FF92D050"/>
  </sheetPr>
  <dimension ref="A1:L31"/>
  <sheetViews>
    <sheetView view="pageBreakPreview" zoomScale="60" zoomScaleNormal="80" workbookViewId="0">
      <selection activeCell="F25" sqref="F25:K26"/>
    </sheetView>
  </sheetViews>
  <sheetFormatPr defaultRowHeight="15"/>
  <cols>
    <col min="1" max="1" width="51.5703125" customWidth="1"/>
    <col min="2" max="2" width="10.85546875" bestFit="1" customWidth="1"/>
    <col min="3" max="3" width="19.140625" bestFit="1" customWidth="1"/>
    <col min="4" max="4" width="15.28515625" customWidth="1"/>
    <col min="5" max="5" width="16" customWidth="1"/>
    <col min="6" max="6" width="20" customWidth="1"/>
    <col min="7" max="7" width="16.5703125" customWidth="1"/>
    <col min="8" max="8" width="19.140625" customWidth="1"/>
    <col min="9" max="10" width="20.140625" customWidth="1"/>
    <col min="11" max="11" width="17.7109375" customWidth="1"/>
    <col min="12" max="12" width="23.7109375" customWidth="1"/>
  </cols>
  <sheetData>
    <row r="1" spans="1:11" ht="26.25">
      <c r="A1" s="21" t="s">
        <v>1</v>
      </c>
      <c r="B1" s="10"/>
      <c r="C1" s="10"/>
      <c r="D1" s="10"/>
      <c r="E1" s="10"/>
      <c r="F1" s="10"/>
      <c r="G1" s="10"/>
      <c r="H1" s="10"/>
      <c r="I1" s="10"/>
      <c r="J1" s="10"/>
    </row>
    <row r="2" spans="1:11" ht="17.25">
      <c r="A2" s="22" t="s">
        <v>9</v>
      </c>
      <c r="B2" s="10"/>
      <c r="C2" s="10"/>
      <c r="D2" s="10"/>
      <c r="E2" s="10"/>
      <c r="F2" s="10"/>
      <c r="G2" s="10"/>
      <c r="H2" s="10"/>
      <c r="I2" s="10"/>
      <c r="J2" s="10"/>
    </row>
    <row r="3" spans="1:11" ht="16.5">
      <c r="A3" s="23" t="s">
        <v>467</v>
      </c>
      <c r="B3" s="10"/>
      <c r="C3" s="10"/>
      <c r="D3" s="10"/>
      <c r="E3" s="10"/>
      <c r="F3" s="10"/>
      <c r="G3" s="10"/>
      <c r="H3" s="10"/>
      <c r="I3" s="10"/>
      <c r="J3" s="10"/>
    </row>
    <row r="4" spans="1:11" ht="16.5">
      <c r="A4" s="23"/>
      <c r="B4" s="10"/>
      <c r="C4" s="10"/>
      <c r="D4" s="10"/>
      <c r="E4" s="10"/>
      <c r="F4" s="10"/>
      <c r="G4" s="10"/>
      <c r="H4" s="10"/>
      <c r="I4" s="10"/>
      <c r="J4" s="10"/>
    </row>
    <row r="5" spans="1:11" ht="17.25" thickBot="1">
      <c r="A5" s="10"/>
      <c r="B5" s="10"/>
      <c r="C5" s="10"/>
      <c r="D5" s="10"/>
      <c r="E5" s="10"/>
      <c r="F5" s="10"/>
      <c r="G5" s="24"/>
      <c r="H5" s="10"/>
      <c r="I5" s="10"/>
      <c r="J5" s="10"/>
    </row>
    <row r="6" spans="1:11" ht="21" thickBot="1">
      <c r="A6" s="260" t="str">
        <f>+'S&amp;D'!A12</f>
        <v>Air Passenger Carriers</v>
      </c>
      <c r="B6" s="193"/>
      <c r="C6" s="10"/>
      <c r="D6" s="26"/>
      <c r="E6" s="26"/>
      <c r="F6" s="27" t="s">
        <v>0</v>
      </c>
      <c r="G6" s="10"/>
      <c r="H6" s="10"/>
      <c r="I6" s="10"/>
      <c r="J6" s="10"/>
    </row>
    <row r="7" spans="1:11" ht="26.25">
      <c r="A7" s="28"/>
      <c r="B7" s="10"/>
      <c r="C7" s="10"/>
      <c r="D7" s="10"/>
      <c r="E7" s="29" t="s">
        <v>278</v>
      </c>
      <c r="F7" s="10"/>
      <c r="G7" s="10"/>
      <c r="H7" s="10"/>
      <c r="I7" s="10"/>
      <c r="J7" s="10"/>
    </row>
    <row r="8" spans="1:11" ht="21" thickBot="1">
      <c r="A8" s="28"/>
      <c r="B8" s="10"/>
      <c r="C8" s="10"/>
      <c r="D8" s="26"/>
      <c r="E8" s="30" t="s">
        <v>469</v>
      </c>
      <c r="F8" s="26"/>
      <c r="G8" s="10"/>
      <c r="H8" s="10"/>
      <c r="I8" s="10"/>
      <c r="J8" s="10"/>
    </row>
    <row r="9" spans="1:11" ht="17.25" thickBot="1">
      <c r="A9" s="31" t="s">
        <v>0</v>
      </c>
      <c r="B9" s="31" t="s">
        <v>0</v>
      </c>
      <c r="C9" s="31" t="s">
        <v>0</v>
      </c>
      <c r="D9" s="31" t="s">
        <v>0</v>
      </c>
      <c r="E9" s="31" t="s">
        <v>0</v>
      </c>
      <c r="F9" s="31"/>
      <c r="G9" s="26"/>
      <c r="H9" s="26"/>
      <c r="I9" s="26"/>
      <c r="J9" s="26"/>
      <c r="K9" s="148"/>
    </row>
    <row r="10" spans="1:11" ht="16.5">
      <c r="A10" s="32" t="s">
        <v>0</v>
      </c>
      <c r="B10" s="32" t="s">
        <v>3</v>
      </c>
      <c r="C10" s="32" t="s">
        <v>5</v>
      </c>
      <c r="D10" s="32" t="s">
        <v>166</v>
      </c>
      <c r="E10" s="32" t="s">
        <v>172</v>
      </c>
      <c r="F10" s="32" t="s">
        <v>172</v>
      </c>
      <c r="G10" s="32" t="s">
        <v>172</v>
      </c>
      <c r="H10" s="32" t="s">
        <v>172</v>
      </c>
      <c r="I10" s="32" t="s">
        <v>172</v>
      </c>
      <c r="J10" s="32" t="s">
        <v>172</v>
      </c>
      <c r="K10" s="32" t="s">
        <v>275</v>
      </c>
    </row>
    <row r="11" spans="1:11" ht="16.5">
      <c r="A11" s="32"/>
      <c r="B11" s="32" t="s">
        <v>4</v>
      </c>
      <c r="C11" s="32" t="s">
        <v>6</v>
      </c>
      <c r="D11" s="32" t="s">
        <v>27</v>
      </c>
      <c r="E11" s="32" t="s">
        <v>168</v>
      </c>
      <c r="F11" s="32" t="s">
        <v>119</v>
      </c>
      <c r="G11" s="32" t="s">
        <v>168</v>
      </c>
      <c r="H11" s="32" t="s">
        <v>119</v>
      </c>
      <c r="I11" s="32" t="s">
        <v>168</v>
      </c>
      <c r="J11" s="32" t="s">
        <v>119</v>
      </c>
      <c r="K11" s="32" t="s">
        <v>183</v>
      </c>
    </row>
    <row r="12" spans="1:11" ht="17.25" thickBot="1">
      <c r="A12" s="34" t="s">
        <v>2</v>
      </c>
      <c r="B12" s="34" t="s">
        <v>0</v>
      </c>
      <c r="C12" s="34" t="s">
        <v>0</v>
      </c>
      <c r="D12" s="34" t="s">
        <v>0</v>
      </c>
      <c r="E12" s="34" t="s">
        <v>170</v>
      </c>
      <c r="F12" s="34" t="s">
        <v>170</v>
      </c>
      <c r="G12" s="34" t="s">
        <v>273</v>
      </c>
      <c r="H12" s="34" t="s">
        <v>273</v>
      </c>
      <c r="I12" s="34" t="s">
        <v>274</v>
      </c>
      <c r="J12" s="34" t="s">
        <v>274</v>
      </c>
      <c r="K12" s="224" t="s">
        <v>276</v>
      </c>
    </row>
    <row r="13" spans="1:11">
      <c r="A13" s="36" t="s">
        <v>7</v>
      </c>
      <c r="B13" s="36" t="s">
        <v>7</v>
      </c>
      <c r="C13" s="36" t="s">
        <v>7</v>
      </c>
      <c r="D13" s="37" t="s">
        <v>112</v>
      </c>
      <c r="E13" s="36" t="s">
        <v>7</v>
      </c>
      <c r="F13" s="36" t="s">
        <v>15</v>
      </c>
      <c r="G13" s="36" t="s">
        <v>7</v>
      </c>
      <c r="H13" s="36" t="s">
        <v>15</v>
      </c>
      <c r="I13" s="36" t="s">
        <v>7</v>
      </c>
      <c r="J13" s="36" t="s">
        <v>15</v>
      </c>
      <c r="K13" s="36" t="s">
        <v>15</v>
      </c>
    </row>
    <row r="14" spans="1:11" ht="16.5">
      <c r="A14" s="32"/>
      <c r="B14" s="32"/>
      <c r="C14" s="32"/>
      <c r="D14" s="32"/>
      <c r="E14" s="32"/>
      <c r="F14" s="32"/>
      <c r="G14" s="10"/>
      <c r="H14" s="10"/>
      <c r="I14" s="10"/>
      <c r="J14" s="10"/>
      <c r="K14" s="10"/>
    </row>
    <row r="15" spans="1:11" ht="16.5">
      <c r="A15" s="10"/>
      <c r="B15" s="10"/>
      <c r="C15" s="10"/>
      <c r="D15" s="10"/>
      <c r="E15" s="10"/>
      <c r="F15" s="10"/>
      <c r="G15" s="10"/>
      <c r="H15" s="10"/>
      <c r="I15" s="10"/>
      <c r="J15" s="10"/>
      <c r="K15" s="10"/>
    </row>
    <row r="16" spans="1:11" ht="17.25">
      <c r="A16" s="41" t="str">
        <f>+'S&amp;D'!A22</f>
        <v xml:space="preserve">Alaska Air </v>
      </c>
      <c r="B16" s="32" t="str">
        <f>+'S&amp;D'!B22</f>
        <v>ALK</v>
      </c>
      <c r="C16" s="32" t="str">
        <f>+'S&amp;D'!C22</f>
        <v>AirTrans</v>
      </c>
      <c r="D16" s="57">
        <f>+'S&amp;D'!G22</f>
        <v>39.07</v>
      </c>
      <c r="E16" s="59">
        <v>4.53</v>
      </c>
      <c r="F16" s="63">
        <f>+E16/D16</f>
        <v>0.11594573841822371</v>
      </c>
      <c r="G16" s="59">
        <v>4.55</v>
      </c>
      <c r="H16" s="63">
        <f>+G16/D16</f>
        <v>0.11645764013309444</v>
      </c>
      <c r="I16" s="59">
        <v>13.45</v>
      </c>
      <c r="J16" s="63">
        <f>+I16/D16</f>
        <v>0.34425390325057587</v>
      </c>
      <c r="K16" s="223">
        <f t="shared" ref="K16" si="0">RATE(3,,-G16,I16)</f>
        <v>0.43517093085091585</v>
      </c>
    </row>
    <row r="17" spans="1:12" ht="17.25">
      <c r="A17" s="41" t="str">
        <f>+'S&amp;D'!A23</f>
        <v xml:space="preserve">Allegiant Travel Co. </v>
      </c>
      <c r="B17" s="32" t="str">
        <f>+'S&amp;D'!B23</f>
        <v>ALGT</v>
      </c>
      <c r="C17" s="32" t="str">
        <f>+'S&amp;D'!C23</f>
        <v>AirTrans</v>
      </c>
      <c r="D17" s="57">
        <f>+'S&amp;D'!G23</f>
        <v>82.61</v>
      </c>
      <c r="E17" s="59">
        <v>7.31</v>
      </c>
      <c r="F17" s="63">
        <f t="shared" ref="F17:F18" si="1">+E17/D17</f>
        <v>8.8488076504055199E-2</v>
      </c>
      <c r="G17" s="59">
        <v>8.5500000000000007</v>
      </c>
      <c r="H17" s="63">
        <f t="shared" ref="H17:H18" si="2">+G17/D17</f>
        <v>0.10349836581527661</v>
      </c>
      <c r="I17" s="59">
        <v>28.75</v>
      </c>
      <c r="J17" s="63">
        <f t="shared" ref="J17:J18" si="3">+I17/D17</f>
        <v>0.3480208207238833</v>
      </c>
      <c r="K17" s="223">
        <f t="shared" ref="K17:K18" si="4">RATE(3,,-G17,I17)</f>
        <v>0.49815671348219387</v>
      </c>
    </row>
    <row r="18" spans="1:12" ht="17.25">
      <c r="A18" s="41" t="str">
        <f>+'S&amp;D'!A24</f>
        <v xml:space="preserve">American Airlines </v>
      </c>
      <c r="B18" s="32" t="str">
        <f>+'S&amp;D'!B24</f>
        <v>AAL</v>
      </c>
      <c r="C18" s="32" t="str">
        <f>+'S&amp;D'!C24</f>
        <v>AirTrans</v>
      </c>
      <c r="D18" s="57">
        <f>+'S&amp;D'!G24</f>
        <v>13.74</v>
      </c>
      <c r="E18" s="59">
        <v>2.65</v>
      </c>
      <c r="F18" s="63">
        <f t="shared" si="1"/>
        <v>0.19286754002911208</v>
      </c>
      <c r="G18" s="59">
        <v>2.25</v>
      </c>
      <c r="H18" s="63">
        <f t="shared" si="2"/>
        <v>0.16375545851528384</v>
      </c>
      <c r="I18" s="59">
        <v>3.2</v>
      </c>
      <c r="J18" s="63">
        <f t="shared" si="3"/>
        <v>0.23289665211062591</v>
      </c>
      <c r="K18" s="223">
        <f t="shared" si="4"/>
        <v>0.12457688706907946</v>
      </c>
    </row>
    <row r="19" spans="1:12" ht="17.25">
      <c r="A19" s="41" t="str">
        <f>+'S&amp;D'!A25</f>
        <v xml:space="preserve">Delta Air Lines </v>
      </c>
      <c r="B19" s="32" t="str">
        <f>+'S&amp;D'!B25</f>
        <v>DAL</v>
      </c>
      <c r="C19" s="32" t="str">
        <f>+'S&amp;D'!C25</f>
        <v>AirTrans</v>
      </c>
      <c r="D19" s="57">
        <f>+'S&amp;D'!G25</f>
        <v>40.229999999999997</v>
      </c>
      <c r="E19" s="59">
        <v>6.25</v>
      </c>
      <c r="F19" s="63">
        <f t="shared" ref="F19:F24" si="5">+E19/D19</f>
        <v>0.15535669898086008</v>
      </c>
      <c r="G19" s="59">
        <v>6.45</v>
      </c>
      <c r="H19" s="63">
        <f t="shared" ref="H19:H24" si="6">+G19/D19</f>
        <v>0.16032811334824759</v>
      </c>
      <c r="I19" s="59">
        <v>9</v>
      </c>
      <c r="J19" s="63">
        <f t="shared" ref="J19:J24" si="7">+I19/D19</f>
        <v>0.2237136465324385</v>
      </c>
      <c r="K19" s="223">
        <f t="shared" ref="K19:K24" si="8">RATE(3,,-G19,I19)</f>
        <v>0.11744870942148625</v>
      </c>
    </row>
    <row r="20" spans="1:12" ht="17.25">
      <c r="A20" s="41" t="str">
        <f>+'S&amp;D'!A26</f>
        <v xml:space="preserve">JetBlue Airways </v>
      </c>
      <c r="B20" s="32" t="str">
        <f>+'S&amp;D'!B26</f>
        <v>JBLU</v>
      </c>
      <c r="C20" s="32" t="str">
        <f>+'S&amp;D'!C26</f>
        <v>AirTrans</v>
      </c>
      <c r="D20" s="57">
        <f>+'S&amp;D'!G26</f>
        <v>5.55</v>
      </c>
      <c r="E20" s="59">
        <v>0.45</v>
      </c>
      <c r="F20" s="63">
        <f t="shared" si="5"/>
        <v>8.1081081081081086E-2</v>
      </c>
      <c r="G20" s="59">
        <v>0.6</v>
      </c>
      <c r="H20" s="63">
        <f t="shared" si="6"/>
        <v>0.10810810810810811</v>
      </c>
      <c r="I20" s="59">
        <v>1.25</v>
      </c>
      <c r="J20" s="63">
        <f t="shared" si="7"/>
        <v>0.22522522522522523</v>
      </c>
      <c r="K20" s="223">
        <f t="shared" si="8"/>
        <v>0.27718238732258837</v>
      </c>
      <c r="L20" t="s">
        <v>0</v>
      </c>
    </row>
    <row r="21" spans="1:12" ht="17.25">
      <c r="A21" s="41" t="str">
        <f>+'S&amp;D'!A27</f>
        <v>Skywest Inc</v>
      </c>
      <c r="B21" s="32" t="str">
        <f>+'S&amp;D'!B27</f>
        <v>SKYW</v>
      </c>
      <c r="C21" s="32" t="str">
        <f>+'S&amp;D'!C27</f>
        <v>AirTrans</v>
      </c>
      <c r="D21" s="57">
        <f>+'S&amp;D'!G27</f>
        <v>52.2</v>
      </c>
      <c r="E21" s="59">
        <v>0.87</v>
      </c>
      <c r="F21" s="63">
        <f t="shared" si="5"/>
        <v>1.6666666666666666E-2</v>
      </c>
      <c r="G21" s="59">
        <v>4.5</v>
      </c>
      <c r="H21" s="63">
        <f t="shared" si="6"/>
        <v>8.620689655172413E-2</v>
      </c>
      <c r="I21" s="59">
        <v>7</v>
      </c>
      <c r="J21" s="63">
        <f t="shared" si="7"/>
        <v>0.13409961685823754</v>
      </c>
      <c r="K21" s="223">
        <f t="shared" si="8"/>
        <v>0.1586755482954833</v>
      </c>
    </row>
    <row r="22" spans="1:12" ht="17.25">
      <c r="A22" s="41" t="str">
        <f>+'S&amp;D'!A28</f>
        <v xml:space="preserve">Southwest Airlines </v>
      </c>
      <c r="B22" s="32" t="str">
        <f>+'S&amp;D'!B28</f>
        <v>LUV</v>
      </c>
      <c r="C22" s="32" t="str">
        <f>+'S&amp;D'!C28</f>
        <v>AirTrans</v>
      </c>
      <c r="D22" s="57">
        <f>+'S&amp;D'!G28</f>
        <v>28.88</v>
      </c>
      <c r="E22" s="59">
        <v>1.57</v>
      </c>
      <c r="F22" s="63">
        <f t="shared" si="5"/>
        <v>5.4362880886426594E-2</v>
      </c>
      <c r="G22" s="59">
        <v>2.2999999999999998</v>
      </c>
      <c r="H22" s="63">
        <f t="shared" si="6"/>
        <v>7.9639889196675903E-2</v>
      </c>
      <c r="I22" s="59">
        <v>3.7</v>
      </c>
      <c r="J22" s="63">
        <f t="shared" si="7"/>
        <v>0.12811634349030471</v>
      </c>
      <c r="K22" s="223">
        <f t="shared" si="8"/>
        <v>0.17172212176389359</v>
      </c>
    </row>
    <row r="23" spans="1:12" ht="17.25">
      <c r="A23" s="41" t="str">
        <f>+'S&amp;D'!A29</f>
        <v xml:space="preserve">Spirit Airlines </v>
      </c>
      <c r="B23" s="32" t="str">
        <f>+'S&amp;D'!B29</f>
        <v>SAVE</v>
      </c>
      <c r="C23" s="32" t="str">
        <f>+'S&amp;D'!C29</f>
        <v>AirTrans</v>
      </c>
      <c r="D23" s="57">
        <f>+'S&amp;D'!G29</f>
        <v>15.94</v>
      </c>
      <c r="E23" s="59">
        <v>3.3</v>
      </c>
      <c r="F23" s="63">
        <f t="shared" si="5"/>
        <v>0.20702634880803011</v>
      </c>
      <c r="G23" s="59">
        <v>3</v>
      </c>
      <c r="H23" s="63">
        <f t="shared" si="6"/>
        <v>0.18820577164366376</v>
      </c>
      <c r="I23" s="59">
        <v>1.25</v>
      </c>
      <c r="J23" s="63">
        <f t="shared" si="7"/>
        <v>7.8419071518193231E-2</v>
      </c>
      <c r="K23" s="223">
        <f t="shared" si="8"/>
        <v>-0.25309920890713888</v>
      </c>
      <c r="L23" t="s">
        <v>0</v>
      </c>
    </row>
    <row r="24" spans="1:12" ht="18" thickBot="1">
      <c r="A24" s="41" t="str">
        <f>+'S&amp;D'!A30</f>
        <v>United Airlines Holdings Inc</v>
      </c>
      <c r="B24" s="32" t="str">
        <f>+'S&amp;D'!B30</f>
        <v>UAL</v>
      </c>
      <c r="C24" s="32" t="str">
        <f>+'S&amp;D'!C30</f>
        <v>AirTrans</v>
      </c>
      <c r="D24" s="57">
        <f>+'S&amp;D'!G30</f>
        <v>41.26</v>
      </c>
      <c r="E24" s="347">
        <v>10.050000000000001</v>
      </c>
      <c r="F24" s="321">
        <f t="shared" si="5"/>
        <v>0.24357731459040236</v>
      </c>
      <c r="G24" s="347">
        <v>9.6</v>
      </c>
      <c r="H24" s="321">
        <f t="shared" si="6"/>
        <v>0.23267086766844403</v>
      </c>
      <c r="I24" s="347">
        <v>15.5</v>
      </c>
      <c r="J24" s="321">
        <f t="shared" si="7"/>
        <v>0.37566650508967525</v>
      </c>
      <c r="K24" s="335">
        <f t="shared" si="8"/>
        <v>0.17314984719746868</v>
      </c>
    </row>
    <row r="25" spans="1:12" ht="17.25" thickTop="1">
      <c r="A25" s="10"/>
      <c r="B25" s="10"/>
      <c r="D25" s="12" t="s">
        <v>45</v>
      </c>
      <c r="E25" s="14">
        <f>MAX(E16:E24)</f>
        <v>10.050000000000001</v>
      </c>
      <c r="F25" s="356">
        <f t="shared" ref="F25:K25" si="9">MAX(F16:F24)</f>
        <v>0.24357731459040236</v>
      </c>
      <c r="G25" s="14">
        <f t="shared" si="9"/>
        <v>9.6</v>
      </c>
      <c r="H25" s="356">
        <f t="shared" si="9"/>
        <v>0.23267086766844403</v>
      </c>
      <c r="I25" s="14">
        <f t="shared" si="9"/>
        <v>28.75</v>
      </c>
      <c r="J25" s="356">
        <f t="shared" si="9"/>
        <v>0.37566650508967525</v>
      </c>
      <c r="K25" s="356">
        <f t="shared" si="9"/>
        <v>0.49815671348219387</v>
      </c>
    </row>
    <row r="26" spans="1:12" ht="16.5">
      <c r="A26" s="10"/>
      <c r="B26" s="10"/>
      <c r="D26" s="309" t="s">
        <v>46</v>
      </c>
      <c r="E26" s="308">
        <f>MIN(E16:E24)</f>
        <v>0.45</v>
      </c>
      <c r="F26" s="355">
        <f t="shared" ref="F26:K26" si="10">MIN(F16:F24)</f>
        <v>1.6666666666666666E-2</v>
      </c>
      <c r="G26" s="308">
        <f t="shared" si="10"/>
        <v>0.6</v>
      </c>
      <c r="H26" s="355">
        <f t="shared" si="10"/>
        <v>7.9639889196675903E-2</v>
      </c>
      <c r="I26" s="308">
        <f t="shared" si="10"/>
        <v>1.25</v>
      </c>
      <c r="J26" s="355">
        <f t="shared" si="10"/>
        <v>7.8419071518193231E-2</v>
      </c>
      <c r="K26" s="355">
        <f t="shared" si="10"/>
        <v>-0.25309920890713888</v>
      </c>
    </row>
    <row r="27" spans="1:12" ht="16.5">
      <c r="A27" s="10"/>
      <c r="B27" s="10"/>
      <c r="D27" s="12" t="s">
        <v>18</v>
      </c>
      <c r="E27" s="15">
        <f t="shared" ref="E27:K27" si="11">MEDIAN(E16:E24)</f>
        <v>3.3</v>
      </c>
      <c r="F27" s="52">
        <f t="shared" si="11"/>
        <v>0.11594573841822371</v>
      </c>
      <c r="G27" s="15">
        <f t="shared" si="11"/>
        <v>4.5</v>
      </c>
      <c r="H27" s="52">
        <f t="shared" si="11"/>
        <v>0.11645764013309444</v>
      </c>
      <c r="I27" s="15">
        <f t="shared" si="11"/>
        <v>7</v>
      </c>
      <c r="J27" s="52">
        <f t="shared" si="11"/>
        <v>0.22522522522522523</v>
      </c>
      <c r="K27" s="52">
        <f t="shared" si="11"/>
        <v>0.17172212176389359</v>
      </c>
    </row>
    <row r="28" spans="1:12" ht="16.5">
      <c r="A28" s="10"/>
      <c r="B28" s="10"/>
      <c r="D28" s="12" t="s">
        <v>429</v>
      </c>
      <c r="E28" s="19">
        <f t="shared" ref="E28:K28" si="12">AVERAGE(E16:E24)</f>
        <v>4.108888888888889</v>
      </c>
      <c r="F28" s="54">
        <f t="shared" si="12"/>
        <v>0.12837470510720644</v>
      </c>
      <c r="G28" s="19">
        <f t="shared" si="12"/>
        <v>4.6444444444444448</v>
      </c>
      <c r="H28" s="54">
        <f t="shared" si="12"/>
        <v>0.13765234566450202</v>
      </c>
      <c r="I28" s="19">
        <f t="shared" si="12"/>
        <v>9.2333333333333343</v>
      </c>
      <c r="J28" s="54">
        <f t="shared" si="12"/>
        <v>0.23226797608879549</v>
      </c>
      <c r="K28" s="54">
        <f t="shared" si="12"/>
        <v>0.18922043738844119</v>
      </c>
    </row>
    <row r="29" spans="1:12" ht="16.5">
      <c r="A29" s="10"/>
      <c r="B29" s="10"/>
      <c r="C29" s="10"/>
      <c r="D29" s="10"/>
      <c r="E29" s="10"/>
      <c r="F29" s="10"/>
      <c r="G29" s="10"/>
      <c r="H29" s="10"/>
      <c r="I29" s="10"/>
      <c r="J29" s="10"/>
      <c r="K29" s="10"/>
    </row>
    <row r="30" spans="1:12" ht="26.25">
      <c r="A30" s="10"/>
      <c r="B30" s="10"/>
      <c r="C30" s="10"/>
      <c r="D30" s="10"/>
      <c r="E30" s="10"/>
      <c r="F30" s="47" t="s">
        <v>0</v>
      </c>
      <c r="G30" s="61" t="s">
        <v>0</v>
      </c>
      <c r="H30" s="10"/>
      <c r="I30" s="10"/>
      <c r="J30" s="10"/>
      <c r="K30" s="10"/>
    </row>
    <row r="31" spans="1:12" ht="18.75">
      <c r="A31" s="225" t="s">
        <v>277</v>
      </c>
    </row>
  </sheetData>
  <pageMargins left="0.25" right="0.25" top="0.75" bottom="0.75" header="0.3" footer="0.3"/>
  <pageSetup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CD99C54C01C8BC45B805DF7256220975" ma:contentTypeVersion="1" ma:contentTypeDescription="Upload an image." ma:contentTypeScope="" ma:versionID="f51725491132dd0a64f9fd5ab78ea23f">
  <xsd:schema xmlns:xsd="http://www.w3.org/2001/XMLSchema" xmlns:xs="http://www.w3.org/2001/XMLSchema" xmlns:p="http://schemas.microsoft.com/office/2006/metadata/properties" xmlns:ns1="http://schemas.microsoft.com/sharepoint/v3" xmlns:ns2="6E03B4ED-B723-45B9-840F-361B28E24C99" xmlns:ns3="http://schemas.microsoft.com/sharepoint/v3/fields" targetNamespace="http://schemas.microsoft.com/office/2006/metadata/properties" ma:root="true" ma:fieldsID="97c48875acb44c11a63d22310fa806dc" ns1:_="" ns2:_="" ns3:_="">
    <xsd:import namespace="http://schemas.microsoft.com/sharepoint/v3"/>
    <xsd:import namespace="6E03B4ED-B723-45B9-840F-361B28E24C99"/>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E03B4ED-B723-45B9-840F-361B28E24C99"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6E03B4ED-B723-45B9-840F-361B28E24C99"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F27FEF32-6DAC-4604-9A04-D61A8B8CB846}"/>
</file>

<file path=customXml/itemProps2.xml><?xml version="1.0" encoding="utf-8"?>
<ds:datastoreItem xmlns:ds="http://schemas.openxmlformats.org/officeDocument/2006/customXml" ds:itemID="{5995BBD4-3009-46F6-957D-F3869036BF37}"/>
</file>

<file path=customXml/itemProps3.xml><?xml version="1.0" encoding="utf-8"?>
<ds:datastoreItem xmlns:ds="http://schemas.openxmlformats.org/officeDocument/2006/customXml" ds:itemID="{3FCAAB34-902A-4A7B-BBF5-9AD2B9A8B3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 Sheet</vt:lpstr>
      <vt:lpstr>Yield CapRate</vt:lpstr>
      <vt:lpstr>Direct CapRates</vt:lpstr>
      <vt:lpstr>S&amp;D</vt:lpstr>
      <vt:lpstr>Market to Book Ratios</vt:lpstr>
      <vt:lpstr>Maintenance CapEx</vt:lpstr>
      <vt:lpstr>Beta for CAPM</vt:lpstr>
      <vt:lpstr>Dividends </vt:lpstr>
      <vt:lpstr>Earnings</vt:lpstr>
      <vt:lpstr>Direct Debt</vt:lpstr>
      <vt:lpstr>Yield Debt</vt:lpstr>
      <vt:lpstr>Direct GCF</vt:lpstr>
      <vt:lpstr>Direct NOPAT</vt:lpstr>
      <vt:lpstr>Growth &amp; Inflation Rates</vt:lpstr>
      <vt:lpstr>Indicated Yield Equity Rate </vt:lpstr>
      <vt:lpstr>CAPM</vt:lpstr>
      <vt:lpstr>Single Stage Div Growth Model</vt:lpstr>
      <vt:lpstr>Two-Stage Div Growth Model</vt:lpstr>
      <vt:lpstr>Multiples</vt:lpstr>
      <vt:lpstr>Info</vt:lpstr>
      <vt:lpstr>'Beta for CAPM'!Print_Area</vt:lpstr>
      <vt:lpstr>CAPM!Print_Area</vt:lpstr>
      <vt:lpstr>'Cover Sheet'!Print_Area</vt:lpstr>
      <vt:lpstr>'Direct CapRates'!Print_Area</vt:lpstr>
      <vt:lpstr>'Direct Debt'!Print_Area</vt:lpstr>
      <vt:lpstr>'Direct GCF'!Print_Area</vt:lpstr>
      <vt:lpstr>'Direct NOPAT'!Print_Area</vt:lpstr>
      <vt:lpstr>'Dividends '!Print_Area</vt:lpstr>
      <vt:lpstr>Earnings!Print_Area</vt:lpstr>
      <vt:lpstr>'Growth &amp; Inflation Rates'!Print_Area</vt:lpstr>
      <vt:lpstr>'Indicated Yield Equity Rate '!Print_Area</vt:lpstr>
      <vt:lpstr>'Maintenance CapEx'!Print_Area</vt:lpstr>
      <vt:lpstr>'Market to Book Ratios'!Print_Area</vt:lpstr>
      <vt:lpstr>Multiples!Print_Area</vt:lpstr>
      <vt:lpstr>'S&amp;D'!Print_Area</vt:lpstr>
      <vt:lpstr>'Single Stage Div Growth Model'!Print_Area</vt:lpstr>
      <vt:lpstr>'Two-Stage Div Growth Model'!Print_Area</vt:lpstr>
      <vt:lpstr>'Yield CapRate'!Print_Area</vt:lpstr>
      <vt:lpstr>'Yield Debt'!Print_Area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Cap Rate Study - Air Passenger Carriers</dc:title>
  <dc:creator>%USERNAME%</dc:creator>
  <cp:keywords/>
  <dc:description/>
  <cp:lastModifiedBy>Carbin, Robert A (DOR)</cp:lastModifiedBy>
  <cp:lastPrinted>2023-05-30T15:13:54Z</cp:lastPrinted>
  <dcterms:created xsi:type="dcterms:W3CDTF">2016-02-12T19:29:24Z</dcterms:created>
  <dcterms:modified xsi:type="dcterms:W3CDTF">2024-08-12T20:07:48Z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0x0101009148F5A04DDD49CBA7127AADA5FB792B00AADE34325A8B49CDA8BB4DB53328F21400CD99C54C01C8BC45B805DF7256220975</vt:lpwstr>
  </property>
</Properties>
</file>