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6.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E3596B4D-D7BF-404B-9003-3C4F0DF33A66}" xr6:coauthVersionLast="47" xr6:coauthVersionMax="47" xr10:uidLastSave="{00000000-0000-0000-0000-000000000000}"/>
  <bookViews>
    <workbookView xWindow="-110" yWindow="-110" windowWidth="19420" windowHeight="10420" tabRatio="694" activeTab="10"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Earnings" sheetId="27" r:id="rId8"/>
    <sheet name="Dividends " sheetId="17" r:id="rId9"/>
    <sheet name="Direct Debt" sheetId="13" r:id="rId10"/>
    <sheet name="Yield Debt" sheetId="8" r:id="rId11"/>
    <sheet name="Direct GCF" sheetId="5" r:id="rId12"/>
    <sheet name="Direct NOPAT" sheetId="12" r:id="rId13"/>
    <sheet name="Growth &amp; Inflation Rates" sheetId="24" r:id="rId14"/>
    <sheet name="Indicated Yield Equity Rate " sheetId="36" r:id="rId15"/>
    <sheet name="CAPM" sheetId="35" r:id="rId16"/>
    <sheet name="Single Stage Div Growth Model" sheetId="19" r:id="rId17"/>
    <sheet name="Two-Stage Dividend Growth Model" sheetId="20" r:id="rId18"/>
    <sheet name="Multiples" sheetId="31" r:id="rId19"/>
    <sheet name="Info" sheetId="9" r:id="rId20"/>
  </sheets>
  <definedNames>
    <definedName name="_xlnm.Print_Area" localSheetId="6">'Beta for CAPM'!$A$1:$I$37</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Debt'!$A$1:$K$34</definedName>
    <definedName name="_xlnm.Print_Area" localSheetId="11">'Direct GCF'!$A$1:$N$34</definedName>
    <definedName name="_xlnm.Print_Area" localSheetId="12">'Direct NOPAT'!$A$1:$N$60</definedName>
    <definedName name="_xlnm.Print_Area" localSheetId="8">'Dividends '!$A$1:$K$31</definedName>
    <definedName name="_xlnm.Print_Area" localSheetId="7">Earnings!$A$1:$K$31</definedName>
    <definedName name="_xlnm.Print_Area" localSheetId="13">'Growth &amp; Inflation Rates'!$A$1:$H$117</definedName>
    <definedName name="_xlnm.Print_Area" localSheetId="14">'Indicated Yield Equity Rate '!$A$1:$F$61</definedName>
    <definedName name="_xlnm.Print_Area" localSheetId="5">'Maintenance CapEx'!$A$1:$L$77</definedName>
    <definedName name="_xlnm.Print_Area" localSheetId="4">'Market to Book Ratios'!$A$1:$G$60</definedName>
    <definedName name="_xlnm.Print_Area" localSheetId="18">Multiples!$A$1:$I$38</definedName>
    <definedName name="_xlnm.Print_Area" localSheetId="3">'S&amp;D'!$A$1:$L$90</definedName>
    <definedName name="_xlnm.Print_Area" localSheetId="16">'Single Stage Div Growth Model'!$A$1:$K$45</definedName>
    <definedName name="_xlnm.Print_Area" localSheetId="17">'Two-Stage Dividend Growth Model'!$A$1:$I$43</definedName>
    <definedName name="_xlnm.Print_Area" localSheetId="1">'Yield CapRate'!$A$1:$H$35</definedName>
    <definedName name="_xlnm.Print_Area" localSheetId="10">'Yield Debt'!$A$1:$M$64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9" i="36" l="1"/>
  <c r="J22" i="19"/>
  <c r="F55" i="12"/>
  <c r="G55" i="12"/>
  <c r="E55" i="12"/>
  <c r="G54" i="12"/>
  <c r="F54" i="12"/>
  <c r="E54" i="12"/>
  <c r="M25" i="12"/>
  <c r="L25" i="12"/>
  <c r="M24" i="12"/>
  <c r="L24" i="12"/>
  <c r="K25" i="12"/>
  <c r="K24" i="12"/>
  <c r="G25" i="12"/>
  <c r="F25" i="12"/>
  <c r="G24" i="12"/>
  <c r="F24" i="12"/>
  <c r="E25" i="12"/>
  <c r="E24" i="12"/>
  <c r="J24" i="8"/>
  <c r="J23" i="8"/>
  <c r="H25" i="31"/>
  <c r="G25" i="31"/>
  <c r="F25" i="31"/>
  <c r="H24" i="31"/>
  <c r="G24" i="31"/>
  <c r="F24" i="31"/>
  <c r="E25" i="31"/>
  <c r="E24" i="31"/>
  <c r="J25" i="19"/>
  <c r="I25" i="19"/>
  <c r="H25" i="19"/>
  <c r="G25" i="19"/>
  <c r="J24" i="19"/>
  <c r="I24" i="19"/>
  <c r="H24" i="19"/>
  <c r="G24" i="19"/>
  <c r="F25" i="19"/>
  <c r="F24" i="19"/>
  <c r="M26" i="5"/>
  <c r="L26" i="5"/>
  <c r="J26" i="5"/>
  <c r="M25" i="5"/>
  <c r="L25" i="5"/>
  <c r="J25" i="5"/>
  <c r="F26" i="5"/>
  <c r="E26" i="5"/>
  <c r="F25" i="5"/>
  <c r="E25" i="5"/>
  <c r="D26" i="5"/>
  <c r="D25" i="5"/>
  <c r="J22" i="13"/>
  <c r="I22" i="13"/>
  <c r="I21" i="13"/>
  <c r="J28" i="13" l="1"/>
  <c r="J27" i="13"/>
  <c r="K17" i="17"/>
  <c r="K25" i="17" s="1"/>
  <c r="J17" i="17"/>
  <c r="H17" i="17"/>
  <c r="J25" i="17"/>
  <c r="I25" i="17"/>
  <c r="H25" i="17"/>
  <c r="G25" i="17"/>
  <c r="F25" i="17"/>
  <c r="J24" i="17"/>
  <c r="I24" i="17"/>
  <c r="H24" i="17"/>
  <c r="G24" i="17"/>
  <c r="F24" i="17"/>
  <c r="E25" i="17"/>
  <c r="E24" i="17"/>
  <c r="K25" i="27"/>
  <c r="J25" i="27"/>
  <c r="I25" i="27"/>
  <c r="H25" i="27"/>
  <c r="G25" i="27"/>
  <c r="F25" i="27"/>
  <c r="K24" i="27"/>
  <c r="J24" i="27"/>
  <c r="I24" i="27"/>
  <c r="H24" i="27"/>
  <c r="G24" i="27"/>
  <c r="F24" i="27"/>
  <c r="E25" i="27"/>
  <c r="E24" i="27"/>
  <c r="I26" i="14"/>
  <c r="I25" i="14"/>
  <c r="H26" i="14"/>
  <c r="H25" i="14"/>
  <c r="K24" i="17" l="1"/>
  <c r="L29" i="11"/>
  <c r="L28" i="11"/>
  <c r="J22" i="3"/>
  <c r="J23" i="3"/>
  <c r="J27" i="3"/>
  <c r="J28" i="3"/>
  <c r="H26" i="3"/>
  <c r="H28" i="3"/>
  <c r="H22" i="3"/>
  <c r="J25" i="3"/>
  <c r="J24" i="3" l="1"/>
  <c r="H27" i="3"/>
  <c r="F23" i="3" l="1"/>
  <c r="C43" i="3"/>
  <c r="E44" i="3"/>
  <c r="H44" i="3"/>
  <c r="D26" i="11"/>
  <c r="E26" i="11"/>
  <c r="H43" i="3"/>
  <c r="E25" i="11"/>
  <c r="D25" i="11"/>
  <c r="J26" i="3"/>
  <c r="H42" i="3" s="1"/>
  <c r="H41" i="3"/>
  <c r="H39" i="3"/>
  <c r="H38" i="3" l="1"/>
  <c r="E20" i="11" l="1"/>
  <c r="D20" i="11"/>
  <c r="F93" i="24" l="1"/>
  <c r="E90" i="24" l="1"/>
  <c r="E89" i="24"/>
  <c r="D86" i="24"/>
  <c r="F86" i="24" s="1"/>
  <c r="D85" i="24"/>
  <c r="F85" i="24" s="1"/>
  <c r="D84" i="24"/>
  <c r="F84" i="24" s="1"/>
  <c r="D83" i="24"/>
  <c r="F83" i="24" s="1"/>
  <c r="D82" i="24"/>
  <c r="F82" i="24" s="1"/>
  <c r="D81" i="24"/>
  <c r="F81" i="24" s="1"/>
  <c r="D80" i="24"/>
  <c r="D79" i="24"/>
  <c r="D89" i="24" s="1"/>
  <c r="B46" i="35"/>
  <c r="E46" i="35" s="1"/>
  <c r="D15" i="10"/>
  <c r="F89" i="24" l="1"/>
  <c r="D90" i="24"/>
  <c r="F90" i="24"/>
  <c r="F79" i="24"/>
  <c r="F80" i="24"/>
  <c r="A6" i="35"/>
  <c r="A48" i="35"/>
  <c r="A47" i="35"/>
  <c r="A45" i="35"/>
  <c r="B59" i="35"/>
  <c r="E59" i="35" s="1"/>
  <c r="B58" i="35"/>
  <c r="E58" i="35" s="1"/>
  <c r="B48" i="35"/>
  <c r="B47" i="35"/>
  <c r="E47" i="35" s="1"/>
  <c r="A6" i="31"/>
  <c r="A6" i="20"/>
  <c r="A6" i="19"/>
  <c r="A6" i="36"/>
  <c r="A7" i="24"/>
  <c r="A6" i="12"/>
  <c r="A6" i="5"/>
  <c r="A6" i="8"/>
  <c r="A6" i="13"/>
  <c r="A6" i="17"/>
  <c r="A6" i="27"/>
  <c r="A8" i="14"/>
  <c r="A8" i="11"/>
  <c r="A9" i="29"/>
  <c r="D16" i="7"/>
  <c r="D48" i="10"/>
  <c r="A16" i="6"/>
  <c r="E16" i="35"/>
  <c r="E33" i="35" s="1"/>
  <c r="F59" i="35" s="1"/>
  <c r="C16" i="35"/>
  <c r="B61" i="35"/>
  <c r="E61" i="35" s="1"/>
  <c r="B57" i="35"/>
  <c r="E57" i="35" s="1"/>
  <c r="B55" i="35"/>
  <c r="E55" i="35" s="1"/>
  <c r="B54" i="35"/>
  <c r="E54" i="35" s="1"/>
  <c r="B52" i="35"/>
  <c r="E52" i="35" s="1"/>
  <c r="B50" i="35"/>
  <c r="E50" i="35" s="1"/>
  <c r="B45" i="35"/>
  <c r="E45" i="35" s="1"/>
  <c r="B43" i="35"/>
  <c r="E43" i="35" s="1"/>
  <c r="B42" i="35"/>
  <c r="E42" i="35" s="1"/>
  <c r="C35" i="35" l="1"/>
  <c r="D35" i="35" s="1"/>
  <c r="C20" i="35"/>
  <c r="E22" i="35"/>
  <c r="F48" i="35" s="1"/>
  <c r="C21" i="35"/>
  <c r="C22" i="35"/>
  <c r="C29" i="35"/>
  <c r="D29" i="35" s="1"/>
  <c r="E21" i="35"/>
  <c r="F47" i="35" s="1"/>
  <c r="E48" i="35"/>
  <c r="C19" i="35"/>
  <c r="C45" i="35" s="1"/>
  <c r="D45" i="35" s="1"/>
  <c r="C42" i="35"/>
  <c r="D42" i="35" s="1"/>
  <c r="C31" i="35"/>
  <c r="C57" i="35" s="1"/>
  <c r="D57" i="35" s="1"/>
  <c r="C28" i="35"/>
  <c r="C54" i="35" s="1"/>
  <c r="D54" i="35" s="1"/>
  <c r="F42" i="35"/>
  <c r="E28" i="35"/>
  <c r="F54" i="35" s="1"/>
  <c r="F61" i="35"/>
  <c r="E17" i="35"/>
  <c r="E20" i="35" s="1"/>
  <c r="E19" i="35"/>
  <c r="F45" i="35" s="1"/>
  <c r="E29" i="35"/>
  <c r="F55" i="35" s="1"/>
  <c r="E24" i="35"/>
  <c r="F50" i="35" s="1"/>
  <c r="E31" i="35"/>
  <c r="F57" i="35" s="1"/>
  <c r="E26" i="35"/>
  <c r="F52" i="35" s="1"/>
  <c r="C17" i="35"/>
  <c r="C26" i="35"/>
  <c r="C33" i="35"/>
  <c r="C59" i="35" s="1"/>
  <c r="D59" i="35" s="1"/>
  <c r="G59" i="35" s="1"/>
  <c r="D40" i="36" s="1"/>
  <c r="D16" i="35"/>
  <c r="F16" i="35" s="1"/>
  <c r="C24" i="35"/>
  <c r="C46" i="35" l="1"/>
  <c r="D46" i="35" s="1"/>
  <c r="D20" i="35"/>
  <c r="F20" i="35" s="1"/>
  <c r="D18" i="36" s="1"/>
  <c r="F29" i="35"/>
  <c r="F46" i="35"/>
  <c r="G54" i="35"/>
  <c r="D36" i="36" s="1"/>
  <c r="F35" i="35"/>
  <c r="C43" i="35"/>
  <c r="D43" i="35" s="1"/>
  <c r="C32" i="35"/>
  <c r="G42" i="35"/>
  <c r="D28" i="36" s="1"/>
  <c r="D19" i="35"/>
  <c r="F19" i="35" s="1"/>
  <c r="F43" i="35"/>
  <c r="E32" i="35"/>
  <c r="F58" i="35" s="1"/>
  <c r="C55" i="35"/>
  <c r="D55" i="35" s="1"/>
  <c r="G55" i="35" s="1"/>
  <c r="D37" i="36" s="1"/>
  <c r="G57" i="35"/>
  <c r="D38" i="36" s="1"/>
  <c r="D22" i="35"/>
  <c r="F22" i="35" s="1"/>
  <c r="D20" i="36" s="1"/>
  <c r="C48" i="35"/>
  <c r="D48" i="35" s="1"/>
  <c r="G48" i="35" s="1"/>
  <c r="D33" i="36" s="1"/>
  <c r="D28" i="35"/>
  <c r="F28" i="35" s="1"/>
  <c r="D31" i="35"/>
  <c r="C47" i="35"/>
  <c r="D47" i="35" s="1"/>
  <c r="G47" i="35" s="1"/>
  <c r="D32" i="36" s="1"/>
  <c r="D21" i="35"/>
  <c r="F21" i="35" s="1"/>
  <c r="D19" i="36" s="1"/>
  <c r="G45" i="35"/>
  <c r="D30" i="36" s="1"/>
  <c r="D17" i="35"/>
  <c r="F17" i="35" s="1"/>
  <c r="F31" i="35"/>
  <c r="D25" i="36" s="1"/>
  <c r="C50" i="35"/>
  <c r="D50" i="35" s="1"/>
  <c r="G50" i="35" s="1"/>
  <c r="D34" i="36" s="1"/>
  <c r="D24" i="35"/>
  <c r="F24" i="35" s="1"/>
  <c r="D26" i="35"/>
  <c r="F26" i="35" s="1"/>
  <c r="C52" i="35"/>
  <c r="D52" i="35" s="1"/>
  <c r="G52" i="35" s="1"/>
  <c r="D35" i="36" s="1"/>
  <c r="C61" i="35"/>
  <c r="D61" i="35" s="1"/>
  <c r="G61" i="35" s="1"/>
  <c r="D33" i="35"/>
  <c r="F33" i="35" s="1"/>
  <c r="D27" i="36" s="1"/>
  <c r="G43" i="35" l="1"/>
  <c r="D29" i="36" s="1"/>
  <c r="G46" i="35"/>
  <c r="D31" i="36" s="1"/>
  <c r="D32" i="35"/>
  <c r="F32" i="35" s="1"/>
  <c r="D26" i="36" s="1"/>
  <c r="C58" i="35"/>
  <c r="D58" i="35" s="1"/>
  <c r="G58" i="35" s="1"/>
  <c r="D39" i="36" s="1"/>
  <c r="J27" i="8"/>
  <c r="I27" i="8"/>
  <c r="G27" i="8"/>
  <c r="D23" i="7"/>
  <c r="D44" i="36"/>
  <c r="D43" i="36"/>
  <c r="D42" i="36"/>
  <c r="D41" i="36"/>
  <c r="D19" i="31" l="1"/>
  <c r="F19" i="31" s="1"/>
  <c r="C19" i="31"/>
  <c r="B19" i="31"/>
  <c r="E24" i="20"/>
  <c r="C24" i="20"/>
  <c r="B24" i="20"/>
  <c r="A24" i="20"/>
  <c r="D20" i="19"/>
  <c r="C20" i="19"/>
  <c r="B20" i="19"/>
  <c r="A20" i="19"/>
  <c r="D49" i="12"/>
  <c r="F49" i="12" s="1"/>
  <c r="G49" i="12" s="1"/>
  <c r="C49" i="12"/>
  <c r="A49" i="12"/>
  <c r="D19" i="12"/>
  <c r="J19" i="12" s="1"/>
  <c r="L19" i="12" s="1"/>
  <c r="M19" i="12" s="1"/>
  <c r="C19" i="12"/>
  <c r="A19" i="12"/>
  <c r="C20" i="5"/>
  <c r="I20" i="5" s="1"/>
  <c r="L20" i="5" s="1"/>
  <c r="M20" i="5" s="1"/>
  <c r="B20" i="5"/>
  <c r="H20" i="5" s="1"/>
  <c r="A20" i="5"/>
  <c r="E18" i="8"/>
  <c r="D18" i="8"/>
  <c r="C18" i="8"/>
  <c r="B18" i="8"/>
  <c r="A18" i="8"/>
  <c r="G22" i="13"/>
  <c r="F22" i="13"/>
  <c r="H22" i="13" s="1"/>
  <c r="B22" i="13"/>
  <c r="A22" i="13"/>
  <c r="K19" i="27"/>
  <c r="D19" i="27"/>
  <c r="H19" i="27" s="1"/>
  <c r="C19" i="27"/>
  <c r="B19" i="27"/>
  <c r="A19" i="27"/>
  <c r="K19" i="17"/>
  <c r="D19" i="17"/>
  <c r="J19" i="17" s="1"/>
  <c r="C19" i="17"/>
  <c r="B19" i="17"/>
  <c r="A19" i="17"/>
  <c r="C21" i="14"/>
  <c r="B21" i="14"/>
  <c r="A21" i="14"/>
  <c r="C23" i="11"/>
  <c r="B23" i="11"/>
  <c r="A23" i="11"/>
  <c r="E43" i="29"/>
  <c r="D43" i="29"/>
  <c r="C43" i="29"/>
  <c r="B43" i="29"/>
  <c r="A43" i="29"/>
  <c r="C25" i="29"/>
  <c r="B25" i="29"/>
  <c r="A25" i="29"/>
  <c r="E41" i="3"/>
  <c r="D41" i="3"/>
  <c r="E20" i="19" s="1"/>
  <c r="C41" i="3"/>
  <c r="B41" i="3"/>
  <c r="A41" i="3"/>
  <c r="F25" i="3"/>
  <c r="D25" i="29" l="1"/>
  <c r="F25" i="29" s="1"/>
  <c r="F19" i="17"/>
  <c r="J19" i="27"/>
  <c r="F19" i="27"/>
  <c r="E20" i="5"/>
  <c r="F20" i="5" s="1"/>
  <c r="H19" i="17"/>
  <c r="F20" i="19" s="1"/>
  <c r="I20" i="19" s="1"/>
  <c r="H19" i="31"/>
  <c r="I41" i="3"/>
  <c r="J41" i="3" s="1"/>
  <c r="D15" i="36"/>
  <c r="F43" i="29"/>
  <c r="F23" i="11"/>
  <c r="H23" i="11" s="1"/>
  <c r="J23" i="11" s="1"/>
  <c r="F19" i="12"/>
  <c r="G19" i="12" s="1"/>
  <c r="J20" i="19" l="1"/>
  <c r="D24" i="20"/>
  <c r="K41" i="3"/>
  <c r="I23" i="11"/>
  <c r="K23" i="11" s="1"/>
  <c r="L23" i="11" s="1"/>
  <c r="D17" i="36"/>
  <c r="D23" i="36"/>
  <c r="D22" i="36"/>
  <c r="D21" i="36"/>
  <c r="D16" i="36"/>
  <c r="D24" i="36"/>
  <c r="F22" i="11"/>
  <c r="D46" i="36" l="1"/>
  <c r="D47" i="36"/>
  <c r="D50" i="36"/>
  <c r="D48" i="36"/>
  <c r="M32" i="5" l="1"/>
  <c r="L32" i="5"/>
  <c r="C26" i="11" l="1"/>
  <c r="C25" i="11"/>
  <c r="C24" i="11"/>
  <c r="C22" i="11"/>
  <c r="C21" i="11"/>
  <c r="C20" i="11"/>
  <c r="B23" i="5" l="1"/>
  <c r="B22" i="5"/>
  <c r="B21" i="5"/>
  <c r="B19" i="5"/>
  <c r="B18" i="5"/>
  <c r="B17" i="5"/>
  <c r="A23" i="5"/>
  <c r="A22" i="5"/>
  <c r="A21" i="5"/>
  <c r="A19" i="5"/>
  <c r="A18" i="5"/>
  <c r="A17" i="5"/>
  <c r="F28" i="3"/>
  <c r="F27" i="3"/>
  <c r="F26" i="3"/>
  <c r="F24" i="3"/>
  <c r="F22" i="3"/>
  <c r="F21" i="20" l="1"/>
  <c r="F27" i="20" l="1"/>
  <c r="F23" i="20"/>
  <c r="F26" i="20"/>
  <c r="F22" i="20"/>
  <c r="F25" i="20"/>
  <c r="F24" i="20"/>
  <c r="G24" i="20" s="1"/>
  <c r="H24" i="20" s="1"/>
  <c r="G24" i="24"/>
  <c r="G25" i="13"/>
  <c r="G24" i="13"/>
  <c r="G23" i="13"/>
  <c r="G21" i="13"/>
  <c r="G20" i="13"/>
  <c r="G19" i="13"/>
  <c r="F23" i="13" l="1"/>
  <c r="F25" i="13"/>
  <c r="F24" i="13"/>
  <c r="F21" i="13"/>
  <c r="F20" i="13"/>
  <c r="F19" i="13"/>
  <c r="E40" i="29"/>
  <c r="E27" i="20"/>
  <c r="E26" i="20"/>
  <c r="E25" i="20"/>
  <c r="E23" i="20"/>
  <c r="E22" i="20"/>
  <c r="C27" i="20"/>
  <c r="B27" i="20"/>
  <c r="C26" i="20"/>
  <c r="B26" i="20"/>
  <c r="C25" i="20"/>
  <c r="B25" i="20"/>
  <c r="C23" i="20"/>
  <c r="B23" i="20"/>
  <c r="C22" i="20"/>
  <c r="B22" i="20"/>
  <c r="C21" i="20"/>
  <c r="B21" i="20"/>
  <c r="A27" i="20"/>
  <c r="A26" i="20"/>
  <c r="A25" i="20"/>
  <c r="A23" i="20"/>
  <c r="A22" i="20"/>
  <c r="A21" i="20"/>
  <c r="D23" i="19"/>
  <c r="D22" i="19"/>
  <c r="D21" i="19"/>
  <c r="D19" i="19"/>
  <c r="D18" i="19"/>
  <c r="C23" i="19"/>
  <c r="B23" i="19"/>
  <c r="A23" i="19"/>
  <c r="C22" i="19"/>
  <c r="B22" i="19"/>
  <c r="A22" i="19"/>
  <c r="C21" i="19"/>
  <c r="B21" i="19"/>
  <c r="A21" i="19"/>
  <c r="C19" i="19"/>
  <c r="B19" i="19"/>
  <c r="A19" i="19"/>
  <c r="C18" i="19"/>
  <c r="B18" i="19"/>
  <c r="A18" i="19"/>
  <c r="C17" i="19"/>
  <c r="B17" i="19"/>
  <c r="A17" i="19"/>
  <c r="E21" i="20"/>
  <c r="C22" i="12" l="1"/>
  <c r="A22" i="12"/>
  <c r="C21" i="12"/>
  <c r="A21" i="12"/>
  <c r="C20" i="12"/>
  <c r="A20" i="12"/>
  <c r="C18" i="12"/>
  <c r="A18" i="12"/>
  <c r="C17" i="12"/>
  <c r="A17" i="12"/>
  <c r="C16" i="12"/>
  <c r="A16" i="12"/>
  <c r="C52" i="12"/>
  <c r="A52" i="12"/>
  <c r="C51" i="12"/>
  <c r="A51" i="12"/>
  <c r="C50" i="12"/>
  <c r="A50" i="12"/>
  <c r="C48" i="12"/>
  <c r="A48" i="12"/>
  <c r="C47" i="12"/>
  <c r="A47" i="12"/>
  <c r="C46" i="12"/>
  <c r="A46" i="12"/>
  <c r="G26" i="8" l="1"/>
  <c r="G25" i="8"/>
  <c r="D52" i="12" l="1"/>
  <c r="F52" i="12" s="1"/>
  <c r="G52" i="12" s="1"/>
  <c r="D51" i="12"/>
  <c r="F51" i="12" s="1"/>
  <c r="G51" i="12" s="1"/>
  <c r="D50" i="12"/>
  <c r="F50" i="12" s="1"/>
  <c r="G50" i="12" s="1"/>
  <c r="D48" i="12"/>
  <c r="F48" i="12" s="1"/>
  <c r="G48" i="12" s="1"/>
  <c r="D47" i="12"/>
  <c r="D46" i="12"/>
  <c r="F46" i="12" s="1"/>
  <c r="G46" i="12" s="1"/>
  <c r="E57" i="12"/>
  <c r="E56" i="12"/>
  <c r="F47" i="12" l="1"/>
  <c r="G47" i="12" s="1"/>
  <c r="G56" i="12" s="1"/>
  <c r="F56" i="12" l="1"/>
  <c r="G57" i="12"/>
  <c r="F57" i="12"/>
  <c r="D22" i="31" l="1"/>
  <c r="C22" i="31"/>
  <c r="B22" i="31"/>
  <c r="D21" i="31"/>
  <c r="C21" i="31"/>
  <c r="B21" i="31"/>
  <c r="D20" i="31"/>
  <c r="C20" i="31"/>
  <c r="B20" i="31"/>
  <c r="D18" i="31"/>
  <c r="C18" i="31"/>
  <c r="B18" i="31"/>
  <c r="D17" i="31"/>
  <c r="C17" i="31"/>
  <c r="B17" i="31"/>
  <c r="D16" i="31"/>
  <c r="C16" i="31"/>
  <c r="B16" i="31"/>
  <c r="F16" i="31" l="1"/>
  <c r="H16" i="31"/>
  <c r="F21" i="31"/>
  <c r="H21" i="31"/>
  <c r="F20" i="31"/>
  <c r="H20" i="31"/>
  <c r="F18" i="31"/>
  <c r="H18" i="31"/>
  <c r="F17" i="31"/>
  <c r="H17" i="31"/>
  <c r="F22" i="31"/>
  <c r="H22" i="31"/>
  <c r="F27" i="31" l="1"/>
  <c r="F26" i="31"/>
  <c r="H26" i="31"/>
  <c r="H27" i="31"/>
  <c r="C21" i="8"/>
  <c r="B21" i="8"/>
  <c r="A21" i="8"/>
  <c r="C20" i="8"/>
  <c r="B20" i="8"/>
  <c r="A20" i="8"/>
  <c r="C19" i="8"/>
  <c r="B19" i="8"/>
  <c r="A19" i="8"/>
  <c r="C17" i="8"/>
  <c r="B17" i="8"/>
  <c r="A17" i="8"/>
  <c r="C16" i="8"/>
  <c r="B16" i="8"/>
  <c r="A16" i="8"/>
  <c r="C15" i="8"/>
  <c r="B15" i="8"/>
  <c r="A15" i="8"/>
  <c r="B25" i="13"/>
  <c r="A25" i="13"/>
  <c r="B24" i="13"/>
  <c r="A24" i="13"/>
  <c r="B23" i="13"/>
  <c r="A23" i="13"/>
  <c r="B21" i="13"/>
  <c r="A21" i="13"/>
  <c r="B20" i="13"/>
  <c r="A20" i="13"/>
  <c r="B19" i="13"/>
  <c r="A19" i="13"/>
  <c r="C22" i="27"/>
  <c r="B22" i="27"/>
  <c r="A22" i="27"/>
  <c r="C21" i="27"/>
  <c r="B21" i="27"/>
  <c r="A21" i="27"/>
  <c r="C20" i="27"/>
  <c r="B20" i="27"/>
  <c r="A20" i="27"/>
  <c r="C18" i="27"/>
  <c r="B18" i="27"/>
  <c r="A18" i="27"/>
  <c r="C17" i="27"/>
  <c r="B17" i="27"/>
  <c r="A17" i="27"/>
  <c r="C16" i="27"/>
  <c r="B16" i="27"/>
  <c r="A16" i="27"/>
  <c r="C22" i="17"/>
  <c r="B22" i="17"/>
  <c r="A22" i="17"/>
  <c r="C21" i="17"/>
  <c r="B21" i="17"/>
  <c r="A21" i="17"/>
  <c r="C20" i="17"/>
  <c r="B20" i="17"/>
  <c r="A20" i="17"/>
  <c r="C18" i="17"/>
  <c r="B18" i="17"/>
  <c r="A18" i="17"/>
  <c r="C17" i="17"/>
  <c r="B17" i="17"/>
  <c r="A17" i="17"/>
  <c r="C16" i="17"/>
  <c r="B16" i="17"/>
  <c r="A16" i="17"/>
  <c r="C24" i="14"/>
  <c r="B24" i="14"/>
  <c r="A24" i="14"/>
  <c r="C23" i="14"/>
  <c r="B23" i="14"/>
  <c r="A23" i="14"/>
  <c r="C22" i="14"/>
  <c r="B22" i="14"/>
  <c r="A22" i="14"/>
  <c r="C20" i="14"/>
  <c r="B20" i="14"/>
  <c r="A20" i="14"/>
  <c r="C19" i="14"/>
  <c r="B19" i="14"/>
  <c r="A19" i="14"/>
  <c r="C18" i="14"/>
  <c r="B18" i="14"/>
  <c r="A18" i="14"/>
  <c r="B26" i="11"/>
  <c r="A26" i="11"/>
  <c r="B25" i="11"/>
  <c r="A25" i="11"/>
  <c r="B24" i="11"/>
  <c r="A24" i="11"/>
  <c r="B22" i="11"/>
  <c r="A22" i="11"/>
  <c r="B21" i="11"/>
  <c r="A21" i="11"/>
  <c r="B20" i="11"/>
  <c r="A20" i="11"/>
  <c r="C28" i="29"/>
  <c r="B28" i="29"/>
  <c r="A28" i="29"/>
  <c r="C27" i="29"/>
  <c r="B27" i="29"/>
  <c r="A27" i="29"/>
  <c r="C26" i="29"/>
  <c r="B26" i="29"/>
  <c r="A26" i="29"/>
  <c r="C24" i="29"/>
  <c r="B24" i="29"/>
  <c r="A24" i="29"/>
  <c r="C23" i="29"/>
  <c r="B23" i="29"/>
  <c r="A23" i="29"/>
  <c r="C22" i="29"/>
  <c r="B22" i="29"/>
  <c r="A22" i="29"/>
  <c r="C46" i="29"/>
  <c r="B46" i="29"/>
  <c r="A46" i="29"/>
  <c r="C45" i="29"/>
  <c r="B45" i="29"/>
  <c r="A45" i="29"/>
  <c r="C44" i="29"/>
  <c r="B44" i="29"/>
  <c r="A44" i="29"/>
  <c r="C42" i="29"/>
  <c r="B42" i="29"/>
  <c r="A42" i="29"/>
  <c r="C41" i="29"/>
  <c r="B41" i="29"/>
  <c r="A41" i="29"/>
  <c r="C40" i="29"/>
  <c r="B40" i="29"/>
  <c r="A40" i="29"/>
  <c r="H23" i="5"/>
  <c r="H22" i="5"/>
  <c r="H21" i="5"/>
  <c r="H19" i="5"/>
  <c r="H18" i="5"/>
  <c r="H17" i="5"/>
  <c r="D21" i="8"/>
  <c r="D20" i="8"/>
  <c r="D19" i="8"/>
  <c r="D17" i="8"/>
  <c r="D16" i="8"/>
  <c r="D15" i="8"/>
  <c r="G64" i="10"/>
  <c r="K16" i="17"/>
  <c r="B55" i="29"/>
  <c r="I27" i="27"/>
  <c r="G27" i="27"/>
  <c r="E27" i="27"/>
  <c r="I26" i="27"/>
  <c r="G26" i="27"/>
  <c r="E26" i="27"/>
  <c r="K22" i="27"/>
  <c r="D22" i="27"/>
  <c r="H22" i="27" s="1"/>
  <c r="K21" i="27"/>
  <c r="D21" i="27"/>
  <c r="J21" i="27" s="1"/>
  <c r="K20" i="27"/>
  <c r="D20" i="27"/>
  <c r="H20" i="27" s="1"/>
  <c r="K18" i="27"/>
  <c r="D18" i="27"/>
  <c r="F18" i="27" s="1"/>
  <c r="K17" i="27"/>
  <c r="D17" i="27"/>
  <c r="H17" i="27" s="1"/>
  <c r="K16" i="27"/>
  <c r="D16" i="27"/>
  <c r="J16" i="27" s="1"/>
  <c r="K22" i="17"/>
  <c r="K21" i="17"/>
  <c r="K20" i="17"/>
  <c r="K18" i="17"/>
  <c r="A24" i="24" l="1"/>
  <c r="A15" i="24"/>
  <c r="G26" i="20"/>
  <c r="G25" i="20"/>
  <c r="G22" i="20"/>
  <c r="J17" i="27"/>
  <c r="F22" i="27"/>
  <c r="J22" i="27"/>
  <c r="F17" i="27"/>
  <c r="H21" i="27"/>
  <c r="F20" i="27"/>
  <c r="J20" i="27"/>
  <c r="K27" i="27"/>
  <c r="D16" i="24" s="1"/>
  <c r="H18" i="27"/>
  <c r="K26" i="27"/>
  <c r="D15" i="24" s="1"/>
  <c r="F16" i="27"/>
  <c r="J18" i="27"/>
  <c r="F21" i="27"/>
  <c r="H16" i="27"/>
  <c r="K26" i="17"/>
  <c r="C15" i="24" s="1"/>
  <c r="K27" i="17"/>
  <c r="C16" i="24" s="1"/>
  <c r="J27" i="27" l="1"/>
  <c r="J26" i="27"/>
  <c r="F27" i="27"/>
  <c r="F26" i="27"/>
  <c r="H27" i="27"/>
  <c r="H26" i="27"/>
  <c r="I27" i="17" l="1"/>
  <c r="I26" i="17"/>
  <c r="H24" i="24" l="1"/>
  <c r="D58" i="10"/>
  <c r="G31" i="10" l="1"/>
  <c r="D25" i="10"/>
  <c r="G21" i="20" l="1"/>
  <c r="H27" i="19"/>
  <c r="G27" i="19"/>
  <c r="H26" i="19"/>
  <c r="G26" i="19"/>
  <c r="D17" i="19"/>
  <c r="G27" i="17"/>
  <c r="G26" i="17"/>
  <c r="D22" i="17"/>
  <c r="J22" i="17" s="1"/>
  <c r="D21" i="17"/>
  <c r="J21" i="17" s="1"/>
  <c r="D20" i="17"/>
  <c r="J20" i="17" s="1"/>
  <c r="D18" i="17"/>
  <c r="J18" i="17" s="1"/>
  <c r="D17" i="17"/>
  <c r="D16" i="17"/>
  <c r="J16" i="17" s="1"/>
  <c r="E27" i="17"/>
  <c r="E26" i="17"/>
  <c r="I28" i="14"/>
  <c r="I27" i="14"/>
  <c r="I26" i="8"/>
  <c r="I25" i="8"/>
  <c r="F26" i="11"/>
  <c r="H26" i="11" s="1"/>
  <c r="F25" i="11"/>
  <c r="H25" i="11" s="1"/>
  <c r="F24" i="11"/>
  <c r="H24" i="11" s="1"/>
  <c r="H22" i="11"/>
  <c r="F21" i="11"/>
  <c r="H21" i="11" s="1"/>
  <c r="F20" i="11"/>
  <c r="H20" i="11" s="1"/>
  <c r="E21" i="8"/>
  <c r="E20" i="8"/>
  <c r="E19" i="8"/>
  <c r="E17" i="8"/>
  <c r="E16" i="8"/>
  <c r="E15" i="8"/>
  <c r="C23" i="5"/>
  <c r="I23" i="5" s="1"/>
  <c r="L23" i="5" s="1"/>
  <c r="C22" i="5"/>
  <c r="I22" i="5" s="1"/>
  <c r="L22" i="5" s="1"/>
  <c r="C21" i="5"/>
  <c r="I21" i="5" s="1"/>
  <c r="L21" i="5" s="1"/>
  <c r="C19" i="5"/>
  <c r="I19" i="5" s="1"/>
  <c r="L19" i="5" s="1"/>
  <c r="C18" i="5"/>
  <c r="I18" i="5" s="1"/>
  <c r="L18" i="5" s="1"/>
  <c r="C17" i="5"/>
  <c r="I17" i="5" s="1"/>
  <c r="L17" i="5" s="1"/>
  <c r="J33" i="12"/>
  <c r="D23" i="10" s="1"/>
  <c r="I33" i="12"/>
  <c r="H28" i="14"/>
  <c r="H27" i="14"/>
  <c r="J25" i="13"/>
  <c r="J24" i="13"/>
  <c r="J23" i="13"/>
  <c r="J21" i="13"/>
  <c r="J20" i="13"/>
  <c r="J19" i="13"/>
  <c r="H25" i="13"/>
  <c r="I25" i="13" s="1"/>
  <c r="H24" i="13"/>
  <c r="I24" i="13" s="1"/>
  <c r="H23" i="13"/>
  <c r="I23" i="13" s="1"/>
  <c r="H21" i="13"/>
  <c r="H20" i="13"/>
  <c r="I20" i="13" s="1"/>
  <c r="H19" i="13"/>
  <c r="I19" i="13" s="1"/>
  <c r="K27" i="12"/>
  <c r="E27" i="12"/>
  <c r="K26" i="12"/>
  <c r="E26" i="12"/>
  <c r="D22" i="12"/>
  <c r="J22" i="12" s="1"/>
  <c r="D21" i="12"/>
  <c r="D20" i="12"/>
  <c r="F20" i="12" s="1"/>
  <c r="G20" i="12" s="1"/>
  <c r="D18" i="12"/>
  <c r="F18" i="12" s="1"/>
  <c r="G18" i="12" s="1"/>
  <c r="D17" i="12"/>
  <c r="J17" i="12" s="1"/>
  <c r="D16" i="12"/>
  <c r="J16" i="12" s="1"/>
  <c r="I27" i="13" l="1"/>
  <c r="I28" i="13"/>
  <c r="J30" i="13"/>
  <c r="J32" i="13" s="1"/>
  <c r="I30" i="13"/>
  <c r="J27" i="17"/>
  <c r="J26" i="17"/>
  <c r="J29" i="13"/>
  <c r="I29" i="13"/>
  <c r="J18" i="12"/>
  <c r="L22" i="12"/>
  <c r="M22" i="12" s="1"/>
  <c r="L16" i="12"/>
  <c r="F17" i="17"/>
  <c r="H20" i="17"/>
  <c r="F20" i="17"/>
  <c r="H22" i="17"/>
  <c r="F22" i="17"/>
  <c r="H18" i="17"/>
  <c r="F18" i="17"/>
  <c r="H16" i="17"/>
  <c r="D21" i="20" s="1"/>
  <c r="H21" i="20" s="1"/>
  <c r="F16" i="17"/>
  <c r="H21" i="17"/>
  <c r="F21" i="17"/>
  <c r="J20" i="12"/>
  <c r="L17" i="12"/>
  <c r="M17" i="12" s="1"/>
  <c r="J21" i="12"/>
  <c r="F16" i="12"/>
  <c r="G16" i="12" s="1"/>
  <c r="F21" i="12"/>
  <c r="G21" i="12" s="1"/>
  <c r="F22" i="12"/>
  <c r="G22" i="12" s="1"/>
  <c r="F17" i="12"/>
  <c r="G17" i="12" s="1"/>
  <c r="F19" i="19" l="1"/>
  <c r="D23" i="20"/>
  <c r="F21" i="19"/>
  <c r="D25" i="20"/>
  <c r="H25" i="20" s="1"/>
  <c r="F22" i="19"/>
  <c r="D26" i="20"/>
  <c r="H26" i="20" s="1"/>
  <c r="F23" i="19"/>
  <c r="D27" i="20"/>
  <c r="F18" i="19"/>
  <c r="J18" i="19" s="1"/>
  <c r="D22" i="20"/>
  <c r="H22" i="20" s="1"/>
  <c r="L18" i="12"/>
  <c r="M18" i="12" s="1"/>
  <c r="F26" i="17"/>
  <c r="F27" i="17"/>
  <c r="L21" i="12"/>
  <c r="M21" i="12" s="1"/>
  <c r="L20" i="12"/>
  <c r="M20" i="12" s="1"/>
  <c r="F17" i="19"/>
  <c r="H26" i="17"/>
  <c r="H27" i="17"/>
  <c r="G26" i="12"/>
  <c r="F27" i="12"/>
  <c r="F26" i="12"/>
  <c r="M16" i="12"/>
  <c r="G27" i="12"/>
  <c r="H29" i="20" l="1"/>
  <c r="H28" i="20"/>
  <c r="I23" i="19"/>
  <c r="J21" i="19"/>
  <c r="I21" i="19"/>
  <c r="I17" i="19"/>
  <c r="J17" i="19"/>
  <c r="H31" i="20"/>
  <c r="I22" i="19"/>
  <c r="I18" i="19"/>
  <c r="H30" i="20"/>
  <c r="L27" i="12"/>
  <c r="L26" i="12"/>
  <c r="F27" i="19"/>
  <c r="F26" i="19"/>
  <c r="M27" i="12"/>
  <c r="M26" i="12"/>
  <c r="J27" i="19" l="1"/>
  <c r="J26" i="19"/>
  <c r="I27" i="19"/>
  <c r="I26" i="19"/>
  <c r="J28" i="5"/>
  <c r="J27" i="5"/>
  <c r="J26" i="11"/>
  <c r="J25" i="11"/>
  <c r="J24" i="11"/>
  <c r="J22" i="11"/>
  <c r="J21" i="11"/>
  <c r="J20" i="11"/>
  <c r="I26" i="11"/>
  <c r="I25" i="11"/>
  <c r="I24" i="11"/>
  <c r="I22" i="11"/>
  <c r="I21" i="11"/>
  <c r="I20" i="11"/>
  <c r="D56" i="10"/>
  <c r="F56" i="10" s="1"/>
  <c r="C58" i="10"/>
  <c r="C56" i="10"/>
  <c r="F58" i="10"/>
  <c r="F25" i="10"/>
  <c r="C25" i="10"/>
  <c r="F23" i="10"/>
  <c r="C23" i="10"/>
  <c r="K22" i="11" l="1"/>
  <c r="L22" i="11" s="1"/>
  <c r="K21" i="11"/>
  <c r="L21" i="11" s="1"/>
  <c r="K20" i="11"/>
  <c r="L20" i="11" s="1"/>
  <c r="K26" i="11"/>
  <c r="L26" i="11" s="1"/>
  <c r="K25" i="11"/>
  <c r="L25" i="11" s="1"/>
  <c r="K24" i="11"/>
  <c r="L24" i="11" s="1"/>
  <c r="G25" i="10"/>
  <c r="C27" i="10"/>
  <c r="C60" i="10"/>
  <c r="G23" i="10"/>
  <c r="G56" i="10"/>
  <c r="G58" i="10"/>
  <c r="E46" i="29"/>
  <c r="E45" i="29"/>
  <c r="E44" i="29"/>
  <c r="E42" i="29"/>
  <c r="E41" i="29"/>
  <c r="D42" i="29" l="1"/>
  <c r="D46" i="29"/>
  <c r="D40" i="29"/>
  <c r="D44" i="29"/>
  <c r="D41" i="29"/>
  <c r="D45" i="29"/>
  <c r="L30" i="11"/>
  <c r="L31" i="11"/>
  <c r="G27" i="10"/>
  <c r="G60" i="10"/>
  <c r="M18" i="5"/>
  <c r="M19" i="5"/>
  <c r="M21" i="5"/>
  <c r="M22" i="5"/>
  <c r="M23" i="5"/>
  <c r="F45" i="29" l="1"/>
  <c r="F44" i="29"/>
  <c r="F46" i="29"/>
  <c r="F41" i="29"/>
  <c r="F40" i="29"/>
  <c r="F42" i="29"/>
  <c r="M17" i="5"/>
  <c r="L27" i="5"/>
  <c r="L28" i="5"/>
  <c r="F47" i="29" l="1"/>
  <c r="D55" i="29" s="1"/>
  <c r="M28" i="5"/>
  <c r="M27" i="5"/>
  <c r="E43" i="3"/>
  <c r="E17" i="5" l="1"/>
  <c r="E40" i="3" l="1"/>
  <c r="A44" i="3" l="1"/>
  <c r="A43" i="3"/>
  <c r="A42" i="3"/>
  <c r="A40" i="3"/>
  <c r="A39" i="3"/>
  <c r="D44" i="3"/>
  <c r="D43" i="3"/>
  <c r="I43" i="3" s="1"/>
  <c r="K43" i="3" s="1"/>
  <c r="D42" i="3"/>
  <c r="D40" i="3"/>
  <c r="I40" i="3" s="1"/>
  <c r="K40" i="3" s="1"/>
  <c r="D39" i="3"/>
  <c r="D28" i="29" l="1"/>
  <c r="F28" i="29" s="1"/>
  <c r="E23" i="19"/>
  <c r="D24" i="29"/>
  <c r="F24" i="29" s="1"/>
  <c r="E19" i="19"/>
  <c r="D26" i="29"/>
  <c r="F26" i="29" s="1"/>
  <c r="E21" i="19"/>
  <c r="D27" i="29"/>
  <c r="F27" i="29" s="1"/>
  <c r="E22" i="19"/>
  <c r="D23" i="29"/>
  <c r="F23" i="29" s="1"/>
  <c r="E18" i="19"/>
  <c r="C23" i="7" l="1"/>
  <c r="C54" i="29" s="1"/>
  <c r="C25" i="7"/>
  <c r="C55" i="29" s="1"/>
  <c r="E55" i="29" s="1"/>
  <c r="D25" i="7" l="1"/>
  <c r="J25" i="8" l="1"/>
  <c r="J26" i="8" l="1"/>
  <c r="E42" i="3" l="1"/>
  <c r="D38" i="3"/>
  <c r="D22" i="29" l="1"/>
  <c r="F22" i="29" s="1"/>
  <c r="F29" i="29" s="1"/>
  <c r="D54" i="29" s="1"/>
  <c r="E54" i="29" s="1"/>
  <c r="E56" i="29" s="1"/>
  <c r="I42" i="3"/>
  <c r="K42" i="3" s="1"/>
  <c r="I44" i="3"/>
  <c r="K44" i="3" s="1"/>
  <c r="E17" i="19"/>
  <c r="J43" i="3"/>
  <c r="J44" i="3" l="1"/>
  <c r="J42" i="3"/>
  <c r="D28" i="5" l="1"/>
  <c r="D27" i="5"/>
  <c r="E39" i="3" l="1"/>
  <c r="E38" i="3"/>
  <c r="I38" i="3" s="1"/>
  <c r="K38" i="3" s="1"/>
  <c r="I39" i="3" l="1"/>
  <c r="J39" i="3" s="1"/>
  <c r="J40" i="3"/>
  <c r="K39" i="3" l="1"/>
  <c r="K48" i="3" s="1"/>
  <c r="J38" i="3"/>
  <c r="J47" i="3" s="1"/>
  <c r="B44" i="3" l="1"/>
  <c r="B43" i="3"/>
  <c r="B42" i="3"/>
  <c r="B40" i="3"/>
  <c r="B39" i="3"/>
  <c r="C44" i="3"/>
  <c r="C42" i="3"/>
  <c r="C40" i="3"/>
  <c r="C39" i="3"/>
  <c r="C38" i="3"/>
  <c r="B38" i="3" l="1"/>
  <c r="A38" i="3"/>
  <c r="E23" i="5"/>
  <c r="F23" i="5" s="1"/>
  <c r="E22" i="5"/>
  <c r="F22" i="5" s="1"/>
  <c r="E21" i="5"/>
  <c r="F21" i="5" s="1"/>
  <c r="E19" i="5"/>
  <c r="F19" i="5" s="1"/>
  <c r="E18" i="5"/>
  <c r="F18" i="5" s="1"/>
  <c r="E27" i="5" l="1"/>
  <c r="K47" i="3"/>
  <c r="E28" i="5"/>
  <c r="J48" i="3"/>
  <c r="F17" i="5"/>
  <c r="F27" i="5" s="1"/>
  <c r="F23" i="7" l="1"/>
  <c r="G23" i="7" s="1"/>
  <c r="F28"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rev4279</author>
    <author>Baker, Mike A (DOR)</author>
    <author>rev3569</author>
  </authors>
  <commentList>
    <comment ref="G22" authorId="0" shapeId="0" xr:uid="{86945B7C-C99A-4A15-9E8C-A6FE139EE70F}">
      <text>
        <r>
          <rPr>
            <b/>
            <sz val="9"/>
            <color indexed="81"/>
            <rFont val="Tahoma"/>
            <family val="2"/>
          </rPr>
          <t>rev4175:</t>
        </r>
        <r>
          <rPr>
            <sz val="9"/>
            <color indexed="81"/>
            <rFont val="Tahoma"/>
            <family val="2"/>
          </rPr>
          <t xml:space="preserve">
12/29 Close</t>
        </r>
      </text>
    </comment>
    <comment ref="H22" authorId="1" shapeId="0" xr:uid="{8723C618-119C-4D6D-86C6-A75A4EF07F70}">
      <text>
        <r>
          <rPr>
            <b/>
            <sz val="9"/>
            <color indexed="81"/>
            <rFont val="Tahoma"/>
            <family val="2"/>
          </rPr>
          <t>rev4279:</t>
        </r>
        <r>
          <rPr>
            <sz val="9"/>
            <color indexed="81"/>
            <rFont val="Tahoma"/>
            <family val="2"/>
          </rPr>
          <t xml:space="preserve">
10K PG 119  Corrected by M Baker
</t>
        </r>
      </text>
    </comment>
    <comment ref="I22" authorId="1" shapeId="0" xr:uid="{11B72FD0-DA07-440C-869C-B24F0DE979EF}">
      <text>
        <r>
          <rPr>
            <b/>
            <sz val="9"/>
            <color indexed="81"/>
            <rFont val="Tahoma"/>
            <family val="2"/>
          </rPr>
          <t>rev4279:</t>
        </r>
        <r>
          <rPr>
            <sz val="9"/>
            <color indexed="81"/>
            <rFont val="Tahoma"/>
            <family val="2"/>
          </rPr>
          <t xml:space="preserve">
10K PG 119</t>
        </r>
      </text>
    </comment>
    <comment ref="J22" authorId="1" shapeId="0" xr:uid="{018C99EA-1B8F-40AD-8BFB-62BF8C8F9752}">
      <text>
        <r>
          <rPr>
            <b/>
            <sz val="9"/>
            <color indexed="81"/>
            <rFont val="Tahoma"/>
            <family val="2"/>
          </rPr>
          <t>rev4279:</t>
        </r>
        <r>
          <rPr>
            <sz val="9"/>
            <color indexed="81"/>
            <rFont val="Tahoma"/>
            <family val="2"/>
          </rPr>
          <t xml:space="preserve">
10K PG 119</t>
        </r>
      </text>
    </comment>
    <comment ref="G23" authorId="0" shapeId="0" xr:uid="{7BC3FCB5-E648-46FC-BF4F-2B5C8C115368}">
      <text>
        <r>
          <rPr>
            <b/>
            <sz val="9"/>
            <color indexed="81"/>
            <rFont val="Tahoma"/>
            <family val="2"/>
          </rPr>
          <t>rev4175:</t>
        </r>
        <r>
          <rPr>
            <sz val="9"/>
            <color indexed="81"/>
            <rFont val="Tahoma"/>
            <family val="2"/>
          </rPr>
          <t xml:space="preserve">
12/29 Close</t>
        </r>
      </text>
    </comment>
    <comment ref="H23" authorId="1" shapeId="0" xr:uid="{DF3FCA69-25E0-401C-8F8A-49E4E5333AFF}">
      <text>
        <r>
          <rPr>
            <b/>
            <sz val="9"/>
            <color indexed="81"/>
            <rFont val="Tahoma"/>
            <family val="2"/>
          </rPr>
          <t>rev4279:</t>
        </r>
        <r>
          <rPr>
            <sz val="9"/>
            <color indexed="81"/>
            <rFont val="Tahoma"/>
            <family val="2"/>
          </rPr>
          <t xml:space="preserve">
10K PG 94 
Mike Baker corrected the figure originally entered of 835000000
</t>
        </r>
      </text>
    </comment>
    <comment ref="I23" authorId="1" shapeId="0" xr:uid="{61904471-3D71-48B6-A220-840E92E7C894}">
      <text>
        <r>
          <rPr>
            <b/>
            <sz val="9"/>
            <color indexed="81"/>
            <rFont val="Tahoma"/>
            <family val="2"/>
          </rPr>
          <t>rev4279:</t>
        </r>
        <r>
          <rPr>
            <sz val="9"/>
            <color indexed="81"/>
            <rFont val="Tahoma"/>
            <family val="2"/>
          </rPr>
          <t xml:space="preserve">
10K PG 94</t>
        </r>
      </text>
    </comment>
    <comment ref="J23" authorId="2" shapeId="0" xr:uid="{21024BE2-1C89-4CBE-A836-32D22B1190C4}">
      <text>
        <r>
          <rPr>
            <b/>
            <sz val="9"/>
            <color indexed="81"/>
            <rFont val="Tahoma"/>
            <family val="2"/>
          </rPr>
          <t>Baker, Mike A (DOR):</t>
        </r>
        <r>
          <rPr>
            <sz val="9"/>
            <color indexed="81"/>
            <rFont val="Tahoma"/>
            <family val="2"/>
          </rPr>
          <t xml:space="preserve">
corrected by mBaker
</t>
        </r>
      </text>
    </comment>
    <comment ref="G25" authorId="0" shapeId="0" xr:uid="{A81A537A-ADB6-43B0-BDF3-195BAF921789}">
      <text>
        <r>
          <rPr>
            <b/>
            <sz val="9"/>
            <color indexed="81"/>
            <rFont val="Tahoma"/>
            <family val="2"/>
          </rPr>
          <t>rev4175:</t>
        </r>
        <r>
          <rPr>
            <sz val="9"/>
            <color indexed="81"/>
            <rFont val="Tahoma"/>
            <family val="2"/>
          </rPr>
          <t xml:space="preserve">
12/29 Close</t>
        </r>
      </text>
    </comment>
    <comment ref="H25" authorId="1" shapeId="0" xr:uid="{37BBA966-C3A9-4824-840F-2239B445E20F}">
      <text>
        <r>
          <rPr>
            <b/>
            <sz val="9"/>
            <color indexed="81"/>
            <rFont val="Tahoma"/>
            <family val="2"/>
          </rPr>
          <t>rev4279:</t>
        </r>
        <r>
          <rPr>
            <sz val="9"/>
            <color indexed="81"/>
            <rFont val="Tahoma"/>
            <family val="2"/>
          </rPr>
          <t xml:space="preserve">
10K PG 62</t>
        </r>
      </text>
    </comment>
    <comment ref="G26" authorId="0" shapeId="0" xr:uid="{14A73217-8FE2-409C-AC8B-FCD4C0D36502}">
      <text>
        <r>
          <rPr>
            <b/>
            <sz val="9"/>
            <color indexed="81"/>
            <rFont val="Tahoma"/>
            <family val="2"/>
          </rPr>
          <t>rev4175:</t>
        </r>
        <r>
          <rPr>
            <sz val="9"/>
            <color indexed="81"/>
            <rFont val="Tahoma"/>
            <family val="2"/>
          </rPr>
          <t xml:space="preserve">
12/29 Close</t>
        </r>
      </text>
    </comment>
    <comment ref="H26" authorId="1" shapeId="0" xr:uid="{71E4EBEA-9379-4904-9AB1-6C0A3CDB726B}">
      <text>
        <r>
          <rPr>
            <b/>
            <sz val="9"/>
            <color indexed="81"/>
            <rFont val="Tahoma"/>
            <family val="2"/>
          </rPr>
          <t>rev4279:</t>
        </r>
        <r>
          <rPr>
            <sz val="9"/>
            <color indexed="81"/>
            <rFont val="Tahoma"/>
            <family val="2"/>
          </rPr>
          <t xml:space="preserve">
10K PG 86  corrected by Mbaker from 148931430 to 208130950
</t>
        </r>
      </text>
    </comment>
    <comment ref="I26" authorId="1" shapeId="0" xr:uid="{62F26889-7667-4395-BF37-FA7603637716}">
      <text>
        <r>
          <rPr>
            <b/>
            <sz val="9"/>
            <color indexed="81"/>
            <rFont val="Tahoma"/>
            <family val="2"/>
          </rPr>
          <t>rev4279:</t>
        </r>
        <r>
          <rPr>
            <sz val="9"/>
            <color indexed="81"/>
            <rFont val="Tahoma"/>
            <family val="2"/>
          </rPr>
          <t xml:space="preserve">
10K PG 86</t>
        </r>
      </text>
    </comment>
    <comment ref="J26" authorId="1" shapeId="0" xr:uid="{2D840B13-451C-49C5-8F57-E4794BABAF5B}">
      <text>
        <r>
          <rPr>
            <b/>
            <sz val="9"/>
            <color indexed="81"/>
            <rFont val="Tahoma"/>
            <family val="2"/>
          </rPr>
          <t>rev4279:</t>
        </r>
        <r>
          <rPr>
            <sz val="9"/>
            <color indexed="81"/>
            <rFont val="Tahoma"/>
            <family val="2"/>
          </rPr>
          <t xml:space="preserve">
10K PG 86</t>
        </r>
      </text>
    </comment>
    <comment ref="G27" authorId="0" shapeId="0" xr:uid="{6A7C43C8-C8DF-49A6-812B-B749F6DEBB77}">
      <text>
        <r>
          <rPr>
            <b/>
            <sz val="9"/>
            <color indexed="81"/>
            <rFont val="Tahoma"/>
            <family val="2"/>
          </rPr>
          <t>rev4175:</t>
        </r>
        <r>
          <rPr>
            <sz val="9"/>
            <color indexed="81"/>
            <rFont val="Tahoma"/>
            <family val="2"/>
          </rPr>
          <t xml:space="preserve">
12/29 Close</t>
        </r>
      </text>
    </comment>
    <comment ref="H27" authorId="1" shapeId="0" xr:uid="{D33D3EA2-E5FF-430C-A69B-DC8DD7987B3C}">
      <text>
        <r>
          <rPr>
            <b/>
            <sz val="9"/>
            <color indexed="81"/>
            <rFont val="Tahoma"/>
            <family val="2"/>
          </rPr>
          <t>rev4279:</t>
        </r>
        <r>
          <rPr>
            <sz val="9"/>
            <color indexed="81"/>
            <rFont val="Tahoma"/>
            <family val="2"/>
          </rPr>
          <t xml:space="preserve">
10K PG II-80
TREASURY ON PG II-79</t>
        </r>
      </text>
    </comment>
    <comment ref="J27" authorId="1" shapeId="0" xr:uid="{98F15193-CC04-4B7D-8FBB-3A6D154A0E1F}">
      <text>
        <r>
          <rPr>
            <b/>
            <sz val="9"/>
            <color indexed="81"/>
            <rFont val="Tahoma"/>
            <family val="2"/>
          </rPr>
          <t>rev4279:</t>
        </r>
        <r>
          <rPr>
            <sz val="9"/>
            <color indexed="81"/>
            <rFont val="Tahoma"/>
            <family val="2"/>
          </rPr>
          <t xml:space="preserve">
10K PG II-79</t>
        </r>
      </text>
    </comment>
    <comment ref="G28" authorId="0" shapeId="0" xr:uid="{C78904E6-6611-4AC1-B119-CA5D82D78A1E}">
      <text>
        <r>
          <rPr>
            <b/>
            <sz val="9"/>
            <color indexed="81"/>
            <rFont val="Tahoma"/>
            <family val="2"/>
          </rPr>
          <t>rev4175:</t>
        </r>
        <r>
          <rPr>
            <sz val="9"/>
            <color indexed="81"/>
            <rFont val="Tahoma"/>
            <family val="2"/>
          </rPr>
          <t xml:space="preserve">
12/29 Close</t>
        </r>
      </text>
    </comment>
    <comment ref="H28" authorId="1" shapeId="0" xr:uid="{CEB5CF07-9C69-4235-88E7-613C253BE9D7}">
      <text>
        <r>
          <rPr>
            <b/>
            <sz val="9"/>
            <color indexed="81"/>
            <rFont val="Tahoma"/>
            <family val="2"/>
          </rPr>
          <t>rev4279:</t>
        </r>
        <r>
          <rPr>
            <sz val="9"/>
            <color indexed="81"/>
            <rFont val="Tahoma"/>
            <family val="2"/>
          </rPr>
          <t xml:space="preserve">
10K PG 83  Corrected by Mbaker
</t>
        </r>
      </text>
    </comment>
    <comment ref="I28" authorId="1" shapeId="0" xr:uid="{E29AAE01-813D-40E1-B118-6EAB9B3605EC}">
      <text>
        <r>
          <rPr>
            <b/>
            <sz val="9"/>
            <color indexed="81"/>
            <rFont val="Tahoma"/>
            <family val="2"/>
          </rPr>
          <t>rev4279:</t>
        </r>
        <r>
          <rPr>
            <sz val="9"/>
            <color indexed="81"/>
            <rFont val="Tahoma"/>
            <family val="2"/>
          </rPr>
          <t xml:space="preserve">
10K PG 83</t>
        </r>
      </text>
    </comment>
    <comment ref="J28" authorId="1" shapeId="0" xr:uid="{1B0DC2E7-58DC-49A7-8AEA-AE58AD77C3F7}">
      <text>
        <r>
          <rPr>
            <b/>
            <sz val="9"/>
            <color indexed="81"/>
            <rFont val="Tahoma"/>
            <family val="2"/>
          </rPr>
          <t>rev4279:</t>
        </r>
        <r>
          <rPr>
            <sz val="9"/>
            <color indexed="81"/>
            <rFont val="Tahoma"/>
            <family val="2"/>
          </rPr>
          <t xml:space="preserve">
10K PG 82 &amp; P118 note 13
</t>
        </r>
      </text>
    </comment>
    <comment ref="F34" authorId="3" shapeId="0" xr:uid="{CEF678F7-6580-4CF3-AC8E-A803AFF27478}">
      <text>
        <r>
          <rPr>
            <b/>
            <sz val="11"/>
            <color indexed="81"/>
            <rFont val="Tahoma"/>
            <family val="2"/>
          </rPr>
          <t>rev3569:</t>
        </r>
        <r>
          <rPr>
            <sz val="11"/>
            <color indexed="81"/>
            <rFont val="Tahoma"/>
            <family val="2"/>
          </rPr>
          <t xml:space="preserve">
identify present value in 10K</t>
        </r>
      </text>
    </comment>
    <comment ref="G34" authorId="3" shapeId="0" xr:uid="{83A88F76-25A8-49A4-A435-A96383B012AB}">
      <text>
        <r>
          <rPr>
            <b/>
            <sz val="11"/>
            <color indexed="81"/>
            <rFont val="Tahoma"/>
            <family val="2"/>
          </rPr>
          <t>rev3569:</t>
        </r>
        <r>
          <rPr>
            <sz val="11"/>
            <color indexed="81"/>
            <rFont val="Tahoma"/>
            <family val="2"/>
          </rPr>
          <t xml:space="preserve">
identify present value in 10K</t>
        </r>
      </text>
    </comment>
    <comment ref="F38" authorId="1" shapeId="0" xr:uid="{A0A58B6A-8069-4BD2-8DC1-030FEB278CF5}">
      <text>
        <r>
          <rPr>
            <b/>
            <sz val="9"/>
            <color indexed="81"/>
            <rFont val="Tahoma"/>
            <family val="2"/>
          </rPr>
          <t>rev4279:</t>
        </r>
        <r>
          <rPr>
            <sz val="9"/>
            <color indexed="81"/>
            <rFont val="Tahoma"/>
            <family val="2"/>
          </rPr>
          <t xml:space="preserve">
10K PG 158 NOTE 14</t>
        </r>
      </text>
    </comment>
    <comment ref="G38" authorId="1" shapeId="0" xr:uid="{DB40883F-2872-4BCF-A957-4916A849FEB9}">
      <text>
        <r>
          <rPr>
            <b/>
            <sz val="9"/>
            <color indexed="81"/>
            <rFont val="Tahoma"/>
            <family val="2"/>
          </rPr>
          <t>rev4279:</t>
        </r>
        <r>
          <rPr>
            <sz val="9"/>
            <color indexed="81"/>
            <rFont val="Tahoma"/>
            <family val="2"/>
          </rPr>
          <t xml:space="preserve">
10K PG 158 NOTE 14</t>
        </r>
      </text>
    </comment>
    <comment ref="H38" authorId="1" shapeId="0" xr:uid="{86754C47-3101-4131-9C0B-5C087B715AAC}">
      <text>
        <r>
          <rPr>
            <b/>
            <sz val="9"/>
            <color indexed="81"/>
            <rFont val="Tahoma"/>
            <family val="2"/>
          </rPr>
          <t>rev4279:</t>
        </r>
        <r>
          <rPr>
            <sz val="9"/>
            <color indexed="81"/>
            <rFont val="Tahoma"/>
            <family val="2"/>
          </rPr>
          <t xml:space="preserve">
10K PG144 NOTE 5</t>
        </r>
      </text>
    </comment>
    <comment ref="F39" authorId="1" shapeId="0" xr:uid="{ED086EBB-24EA-4049-BBB0-398221571162}">
      <text>
        <r>
          <rPr>
            <b/>
            <sz val="9"/>
            <color indexed="81"/>
            <rFont val="Tahoma"/>
            <family val="2"/>
          </rPr>
          <t>rev4279:</t>
        </r>
        <r>
          <rPr>
            <sz val="9"/>
            <color indexed="81"/>
            <rFont val="Tahoma"/>
            <family val="2"/>
          </rPr>
          <t xml:space="preserve">
10K PG 164 NOTE 15</t>
        </r>
      </text>
    </comment>
    <comment ref="G39" authorId="1" shapeId="0" xr:uid="{8C149F89-ADD6-46C9-A283-C2B046D39678}">
      <text>
        <r>
          <rPr>
            <b/>
            <sz val="9"/>
            <color indexed="81"/>
            <rFont val="Tahoma"/>
            <family val="2"/>
          </rPr>
          <t>rev4279:</t>
        </r>
        <r>
          <rPr>
            <sz val="9"/>
            <color indexed="81"/>
            <rFont val="Tahoma"/>
            <family val="2"/>
          </rPr>
          <t xml:space="preserve">
10K PG 164 NOTE 15</t>
        </r>
      </text>
    </comment>
    <comment ref="H39" authorId="1" shapeId="0" xr:uid="{C1669452-0A15-4114-AD6A-D24789240153}">
      <text>
        <r>
          <rPr>
            <b/>
            <sz val="9"/>
            <color indexed="81"/>
            <rFont val="Tahoma"/>
            <family val="2"/>
          </rPr>
          <t>rev4279:</t>
        </r>
        <r>
          <rPr>
            <sz val="9"/>
            <color indexed="81"/>
            <rFont val="Tahoma"/>
            <family val="2"/>
          </rPr>
          <t xml:space="preserve">
10K PG 133 NOTE 6</t>
        </r>
      </text>
    </comment>
    <comment ref="F40" authorId="2" shapeId="0" xr:uid="{02834377-A790-48FC-985E-2DB7BC1573AD}">
      <text>
        <r>
          <rPr>
            <sz val="9"/>
            <color indexed="81"/>
            <rFont val="Tahoma"/>
            <family val="2"/>
          </rPr>
          <t xml:space="preserve">See Note 11 on page 125
</t>
        </r>
      </text>
    </comment>
    <comment ref="H40" authorId="1" shapeId="0" xr:uid="{0544FDE7-EF68-44F4-82C3-83A4E834BD2A}">
      <text>
        <r>
          <rPr>
            <b/>
            <sz val="9"/>
            <color indexed="81"/>
            <rFont val="Tahoma"/>
            <family val="2"/>
          </rPr>
          <t>rev4279:</t>
        </r>
        <r>
          <rPr>
            <sz val="9"/>
            <color indexed="81"/>
            <rFont val="Tahoma"/>
            <family val="2"/>
          </rPr>
          <t xml:space="preserve">
10K PG 149
 NOTE 18</t>
        </r>
      </text>
    </comment>
    <comment ref="F41" authorId="1" shapeId="0" xr:uid="{0314664D-C973-40D1-BBA6-98709FD2BC45}">
      <text>
        <r>
          <rPr>
            <b/>
            <sz val="9"/>
            <color indexed="81"/>
            <rFont val="Tahoma"/>
            <family val="2"/>
          </rPr>
          <t>rev4279:</t>
        </r>
        <r>
          <rPr>
            <sz val="9"/>
            <color indexed="81"/>
            <rFont val="Tahoma"/>
            <family val="2"/>
          </rPr>
          <t xml:space="preserve">
10K PG 97 NOTE 10</t>
        </r>
      </text>
    </comment>
    <comment ref="H41" authorId="1" shapeId="0" xr:uid="{337C0189-CC0F-401F-A87D-77C1F4E7A2B9}">
      <text>
        <r>
          <rPr>
            <b/>
            <sz val="9"/>
            <color indexed="81"/>
            <rFont val="Tahoma"/>
            <family val="2"/>
          </rPr>
          <t>rev4279:</t>
        </r>
        <r>
          <rPr>
            <sz val="9"/>
            <color indexed="81"/>
            <rFont val="Tahoma"/>
            <family val="2"/>
          </rPr>
          <t xml:space="preserve">
10K PG 89 NOTE 4</t>
        </r>
      </text>
    </comment>
    <comment ref="F42" authorId="1" shapeId="0" xr:uid="{AB065C58-5B92-4AB1-B4C1-36D19465B7DD}">
      <text>
        <r>
          <rPr>
            <b/>
            <sz val="9"/>
            <color indexed="81"/>
            <rFont val="Tahoma"/>
            <family val="2"/>
          </rPr>
          <t>rev4279:</t>
        </r>
        <r>
          <rPr>
            <sz val="9"/>
            <color indexed="81"/>
            <rFont val="Tahoma"/>
            <family val="2"/>
          </rPr>
          <t xml:space="preserve">
10K PG 123</t>
        </r>
      </text>
    </comment>
    <comment ref="H42" authorId="1" shapeId="0" xr:uid="{13B12C03-719A-489A-B726-E02CF126BC53}">
      <text>
        <r>
          <rPr>
            <b/>
            <sz val="9"/>
            <color indexed="81"/>
            <rFont val="Tahoma"/>
            <family val="2"/>
          </rPr>
          <t>rev4279:</t>
        </r>
        <r>
          <rPr>
            <sz val="9"/>
            <color indexed="81"/>
            <rFont val="Tahoma"/>
            <family val="2"/>
          </rPr>
          <t xml:space="preserve">
10K PG 109 NOTE 5</t>
        </r>
      </text>
    </comment>
    <comment ref="F43" authorId="1" shapeId="0" xr:uid="{20983348-3A1E-4A5E-90C4-D9D658FA6521}">
      <text>
        <r>
          <rPr>
            <b/>
            <sz val="9"/>
            <color indexed="81"/>
            <rFont val="Tahoma"/>
            <family val="2"/>
          </rPr>
          <t>rev4279:</t>
        </r>
        <r>
          <rPr>
            <sz val="9"/>
            <color indexed="81"/>
            <rFont val="Tahoma"/>
            <family val="2"/>
          </rPr>
          <t xml:space="preserve">
10K PG II-191 NOTE 9</t>
        </r>
      </text>
    </comment>
    <comment ref="G43" authorId="1" shapeId="0" xr:uid="{68A349C3-D202-4A4F-9D54-568FA5FDEA18}">
      <text>
        <r>
          <rPr>
            <b/>
            <sz val="9"/>
            <color indexed="81"/>
            <rFont val="Tahoma"/>
            <family val="2"/>
          </rPr>
          <t>rev4279:</t>
        </r>
        <r>
          <rPr>
            <sz val="9"/>
            <color indexed="81"/>
            <rFont val="Tahoma"/>
            <family val="2"/>
          </rPr>
          <t xml:space="preserve">
10K PG II-191 NOTE 9</t>
        </r>
      </text>
    </comment>
    <comment ref="H43" authorId="1" shapeId="0" xr:uid="{61DF26D8-90BD-4252-B162-E7FA8FC57176}">
      <text>
        <r>
          <rPr>
            <b/>
            <sz val="9"/>
            <color indexed="81"/>
            <rFont val="Tahoma"/>
            <family val="2"/>
          </rPr>
          <t>rev4279:</t>
        </r>
        <r>
          <rPr>
            <sz val="9"/>
            <color indexed="81"/>
            <rFont val="Tahoma"/>
            <family val="2"/>
          </rPr>
          <t xml:space="preserve">
10K PG II-239 NOTE 13</t>
        </r>
      </text>
    </comment>
    <comment ref="F44" authorId="1" shapeId="0" xr:uid="{FF9C5368-C3D3-46D6-A34C-50548D9BEEF2}">
      <text>
        <r>
          <rPr>
            <b/>
            <sz val="9"/>
            <color indexed="81"/>
            <rFont val="Tahoma"/>
            <family val="2"/>
          </rPr>
          <t>rev4279:</t>
        </r>
        <r>
          <rPr>
            <sz val="9"/>
            <color indexed="81"/>
            <rFont val="Tahoma"/>
            <family val="2"/>
          </rPr>
          <t xml:space="preserve">
10K PG 118 NOTE 13</t>
        </r>
      </text>
    </comment>
    <comment ref="G44" authorId="1" shapeId="0" xr:uid="{01CC6693-FDA0-4679-B17B-DA6C8F026BDB}">
      <text>
        <r>
          <rPr>
            <b/>
            <sz val="9"/>
            <color indexed="81"/>
            <rFont val="Tahoma"/>
            <family val="2"/>
          </rPr>
          <t>rev4279:</t>
        </r>
        <r>
          <rPr>
            <sz val="9"/>
            <color indexed="81"/>
            <rFont val="Tahoma"/>
            <family val="2"/>
          </rPr>
          <t xml:space="preserve">
10K PG 118 NOTE 13</t>
        </r>
      </text>
    </comment>
    <comment ref="H44" authorId="1" shapeId="0" xr:uid="{F46C00DE-DAB2-4A34-B1CF-36CF020AC553}">
      <text>
        <r>
          <rPr>
            <b/>
            <sz val="9"/>
            <color indexed="81"/>
            <rFont val="Tahoma"/>
            <family val="2"/>
          </rPr>
          <t>rev4279:</t>
        </r>
        <r>
          <rPr>
            <sz val="9"/>
            <color indexed="81"/>
            <rFont val="Tahoma"/>
            <family val="2"/>
          </rPr>
          <t xml:space="preserve">
10K PG 156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
  <commentList>
    <comment ref="E22" authorId="0" shapeId="0" xr:uid="{4FEA1386-2744-4761-93C5-D8F44E476027}">
      <text>
        <r>
          <rPr>
            <sz val="9"/>
            <color indexed="81"/>
            <rFont val="Tahoma"/>
            <family val="2"/>
          </rPr>
          <t>10K PG 119</t>
        </r>
      </text>
    </comment>
    <comment ref="E23" authorId="1" shapeId="0" xr:uid="{0D46C705-9BAF-489F-B27F-7819516472F0}">
      <text>
        <r>
          <rPr>
            <b/>
            <sz val="9"/>
            <color indexed="81"/>
            <rFont val="Tahoma"/>
            <family val="2"/>
          </rPr>
          <t>rev4279:</t>
        </r>
        <r>
          <rPr>
            <sz val="9"/>
            <color indexed="81"/>
            <rFont val="Tahoma"/>
            <family val="2"/>
          </rPr>
          <t xml:space="preserve">
10K PG 94</t>
        </r>
      </text>
    </comment>
    <comment ref="E24" authorId="1" shapeId="0" xr:uid="{137A35B5-8DCB-446E-952F-0AC8DB7BDA5C}">
      <text>
        <r>
          <rPr>
            <b/>
            <sz val="9"/>
            <color indexed="81"/>
            <rFont val="Tahoma"/>
            <family val="2"/>
          </rPr>
          <t>rev4279:</t>
        </r>
        <r>
          <rPr>
            <sz val="9"/>
            <color indexed="81"/>
            <rFont val="Tahoma"/>
            <family val="2"/>
          </rPr>
          <t xml:space="preserve">
10K PG 94
</t>
        </r>
      </text>
    </comment>
    <comment ref="E25" authorId="1" shapeId="0" xr:uid="{8842821F-9993-4239-9871-479BC0EC73AB}">
      <text>
        <r>
          <rPr>
            <b/>
            <sz val="9"/>
            <color indexed="81"/>
            <rFont val="Tahoma"/>
            <family val="2"/>
          </rPr>
          <t>rev4279:</t>
        </r>
        <r>
          <rPr>
            <sz val="9"/>
            <color indexed="81"/>
            <rFont val="Tahoma"/>
            <family val="2"/>
          </rPr>
          <t xml:space="preserve">
10K PG 62</t>
        </r>
      </text>
    </comment>
    <comment ref="E26" authorId="1" shapeId="0" xr:uid="{74C2F131-D730-4E88-93BD-AE11BE79B371}">
      <text>
        <r>
          <rPr>
            <b/>
            <sz val="9"/>
            <color indexed="81"/>
            <rFont val="Tahoma"/>
            <family val="2"/>
          </rPr>
          <t>rev4279:</t>
        </r>
        <r>
          <rPr>
            <sz val="9"/>
            <color indexed="81"/>
            <rFont val="Tahoma"/>
            <family val="2"/>
          </rPr>
          <t xml:space="preserve">
10K PG 86</t>
        </r>
      </text>
    </comment>
    <comment ref="E27" authorId="1" shapeId="0" xr:uid="{A283857F-A2A5-406B-B7A8-50ADAD1F29DB}">
      <text>
        <r>
          <rPr>
            <b/>
            <sz val="9"/>
            <color indexed="81"/>
            <rFont val="Tahoma"/>
            <family val="2"/>
          </rPr>
          <t>rev4279:</t>
        </r>
        <r>
          <rPr>
            <sz val="9"/>
            <color indexed="81"/>
            <rFont val="Tahoma"/>
            <family val="2"/>
          </rPr>
          <t xml:space="preserve">
10K PG II-79</t>
        </r>
      </text>
    </comment>
    <comment ref="E28" authorId="1" shapeId="0" xr:uid="{2D761E34-1E29-477A-B1AE-B04F2A2C98A6}">
      <text>
        <r>
          <rPr>
            <b/>
            <sz val="9"/>
            <color indexed="81"/>
            <rFont val="Tahoma"/>
            <family val="2"/>
          </rPr>
          <t>rev4279:</t>
        </r>
        <r>
          <rPr>
            <sz val="9"/>
            <color indexed="81"/>
            <rFont val="Tahoma"/>
            <family val="2"/>
          </rPr>
          <t xml:space="preserve">
10K PG 83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
  <commentList>
    <comment ref="D20" authorId="0" shapeId="0" xr:uid="{F1710017-BD7D-49A8-98D5-3831B0BD4E4E}">
      <text>
        <r>
          <rPr>
            <sz val="9"/>
            <color indexed="81"/>
            <rFont val="Tahoma"/>
            <family val="2"/>
          </rPr>
          <t>10K PG 119</t>
        </r>
      </text>
    </comment>
    <comment ref="G20" authorId="0" shapeId="0" xr:uid="{CA005A75-17FC-469D-96D3-C8263E5D8266}">
      <text>
        <r>
          <rPr>
            <sz val="9"/>
            <color indexed="81"/>
            <rFont val="Tahoma"/>
            <family val="2"/>
          </rPr>
          <t>10K PG 123</t>
        </r>
      </text>
    </comment>
    <comment ref="D21" authorId="1" shapeId="0" xr:uid="{3165D1E0-CCB6-46C3-9196-98651833074E}">
      <text>
        <r>
          <rPr>
            <b/>
            <sz val="9"/>
            <color indexed="81"/>
            <rFont val="Tahoma"/>
            <family val="2"/>
          </rPr>
          <t>rev4279:</t>
        </r>
        <r>
          <rPr>
            <sz val="9"/>
            <color indexed="81"/>
            <rFont val="Tahoma"/>
            <family val="2"/>
          </rPr>
          <t xml:space="preserve">
10K PG 93</t>
        </r>
      </text>
    </comment>
    <comment ref="G21" authorId="1" shapeId="0" xr:uid="{97E18204-78DC-4AD0-952B-BD0310FE3FA4}">
      <text>
        <r>
          <rPr>
            <b/>
            <sz val="9"/>
            <color indexed="81"/>
            <rFont val="Tahoma"/>
            <family val="2"/>
          </rPr>
          <t>rev4279:</t>
        </r>
        <r>
          <rPr>
            <sz val="9"/>
            <color indexed="81"/>
            <rFont val="Tahoma"/>
            <family val="2"/>
          </rPr>
          <t xml:space="preserve">
10K PG 91</t>
        </r>
      </text>
    </comment>
    <comment ref="D22" authorId="1" shapeId="0" xr:uid="{9B23810C-6B68-4DAD-8F6F-E0456E3D3194}">
      <text>
        <r>
          <rPr>
            <b/>
            <sz val="9"/>
            <color indexed="81"/>
            <rFont val="Tahoma"/>
            <family val="2"/>
          </rPr>
          <t>rev4279:</t>
        </r>
        <r>
          <rPr>
            <sz val="9"/>
            <color indexed="81"/>
            <rFont val="Tahoma"/>
            <family val="2"/>
          </rPr>
          <t xml:space="preserve">
10K PG 117 NOTE 8
</t>
        </r>
      </text>
    </comment>
    <comment ref="G22" authorId="1" shapeId="0" xr:uid="{D4DD0B3B-0C8A-4EA1-9CD0-95BB70F4F69F}">
      <text>
        <r>
          <rPr>
            <b/>
            <sz val="9"/>
            <color indexed="81"/>
            <rFont val="Tahoma"/>
            <family val="2"/>
          </rPr>
          <t>rev4279:</t>
        </r>
        <r>
          <rPr>
            <sz val="9"/>
            <color indexed="81"/>
            <rFont val="Tahoma"/>
            <family val="2"/>
          </rPr>
          <t xml:space="preserve">
10K PG 91
</t>
        </r>
      </text>
    </comment>
    <comment ref="D23" authorId="1" shapeId="0" xr:uid="{7DFB3487-E08D-41E7-B203-0FCF0989A9F2}">
      <text>
        <r>
          <rPr>
            <b/>
            <sz val="9"/>
            <color indexed="81"/>
            <rFont val="Tahoma"/>
            <family val="2"/>
          </rPr>
          <t>rev4279:</t>
        </r>
        <r>
          <rPr>
            <sz val="9"/>
            <color indexed="81"/>
            <rFont val="Tahoma"/>
            <family val="2"/>
          </rPr>
          <t xml:space="preserve">
10K PG 74 NOTE 7</t>
        </r>
      </text>
    </comment>
    <comment ref="G23" authorId="1" shapeId="0" xr:uid="{3BBB92C1-1266-4BDC-9E73-A37583084E8F}">
      <text>
        <r>
          <rPr>
            <b/>
            <sz val="9"/>
            <color indexed="81"/>
            <rFont val="Tahoma"/>
            <family val="2"/>
          </rPr>
          <t>rev4279:</t>
        </r>
        <r>
          <rPr>
            <sz val="9"/>
            <color indexed="81"/>
            <rFont val="Tahoma"/>
            <family val="2"/>
          </rPr>
          <t xml:space="preserve">
10K PG 60</t>
        </r>
      </text>
    </comment>
    <comment ref="D24" authorId="1" shapeId="0" xr:uid="{DC8B10F2-3CD9-42F3-9537-1C086681576F}">
      <text>
        <r>
          <rPr>
            <b/>
            <sz val="9"/>
            <color indexed="81"/>
            <rFont val="Tahoma"/>
            <family val="2"/>
          </rPr>
          <t>rev4279:</t>
        </r>
        <r>
          <rPr>
            <sz val="9"/>
            <color indexed="81"/>
            <rFont val="Tahoma"/>
            <family val="2"/>
          </rPr>
          <t xml:space="preserve">
10K PG 122 NOTE 9</t>
        </r>
      </text>
    </comment>
    <comment ref="G24" authorId="1" shapeId="0" xr:uid="{9CFD979F-4022-44A6-91D5-3132F359E651}">
      <text>
        <r>
          <rPr>
            <b/>
            <sz val="9"/>
            <color indexed="81"/>
            <rFont val="Tahoma"/>
            <family val="2"/>
          </rPr>
          <t>rev4279:</t>
        </r>
        <r>
          <rPr>
            <sz val="9"/>
            <color indexed="81"/>
            <rFont val="Tahoma"/>
            <family val="2"/>
          </rPr>
          <t xml:space="preserve">
10</t>
        </r>
      </text>
    </comment>
    <comment ref="D25" authorId="1" shapeId="0" xr:uid="{A33337EB-06C7-447C-8314-8716D1EF565B}">
      <text>
        <r>
          <rPr>
            <b/>
            <sz val="9"/>
            <color indexed="81"/>
            <rFont val="Tahoma"/>
            <family val="2"/>
          </rPr>
          <t>rev4279:</t>
        </r>
        <r>
          <rPr>
            <sz val="9"/>
            <color indexed="81"/>
            <rFont val="Tahoma"/>
            <family val="2"/>
          </rPr>
          <t xml:space="preserve">
10K PG II-78</t>
        </r>
      </text>
    </comment>
    <comment ref="G25" authorId="1" shapeId="0" xr:uid="{CBB3CB9F-588E-44E6-8DE0-5A12E934233C}">
      <text>
        <r>
          <rPr>
            <b/>
            <sz val="9"/>
            <color indexed="81"/>
            <rFont val="Tahoma"/>
            <family val="2"/>
          </rPr>
          <t>rev4279:</t>
        </r>
        <r>
          <rPr>
            <sz val="9"/>
            <color indexed="81"/>
            <rFont val="Tahoma"/>
            <family val="2"/>
          </rPr>
          <t xml:space="preserve">
10K PG II-75</t>
        </r>
      </text>
    </comment>
    <comment ref="D26" authorId="1" shapeId="0" xr:uid="{0C1FCAD6-A524-49C9-8E37-AAA0E9831E7B}">
      <text>
        <r>
          <rPr>
            <b/>
            <sz val="9"/>
            <color indexed="81"/>
            <rFont val="Tahoma"/>
            <family val="2"/>
          </rPr>
          <t>rev4279:</t>
        </r>
        <r>
          <rPr>
            <sz val="9"/>
            <color indexed="81"/>
            <rFont val="Tahoma"/>
            <family val="2"/>
          </rPr>
          <t xml:space="preserve">
10K PG 154 NOTE 22</t>
        </r>
      </text>
    </comment>
    <comment ref="G26" authorId="1" shapeId="0" xr:uid="{63ADB497-4128-43A1-8A01-4CBD0B0A988D}">
      <text>
        <r>
          <rPr>
            <b/>
            <sz val="9"/>
            <color indexed="81"/>
            <rFont val="Tahoma"/>
            <family val="2"/>
          </rPr>
          <t>rev4279:</t>
        </r>
        <r>
          <rPr>
            <sz val="9"/>
            <color indexed="81"/>
            <rFont val="Tahoma"/>
            <family val="2"/>
          </rPr>
          <t xml:space="preserve">
10K PG 79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
  <commentList>
    <comment ref="C19" authorId="0" shapeId="0" xr:uid="{707C3008-26E8-4303-B3E1-2116564BAE04}">
      <text>
        <r>
          <rPr>
            <sz val="9"/>
            <color indexed="81"/>
            <rFont val="Tahoma"/>
            <family val="2"/>
          </rPr>
          <t>10K PG 120</t>
        </r>
      </text>
    </comment>
    <comment ref="C20" authorId="1" shapeId="0" xr:uid="{EE23F883-10B5-4011-BCA4-FAE3A0CD002A}">
      <text>
        <r>
          <rPr>
            <b/>
            <sz val="9"/>
            <color indexed="81"/>
            <rFont val="Tahoma"/>
            <family val="2"/>
          </rPr>
          <t>rev4279:</t>
        </r>
        <r>
          <rPr>
            <sz val="9"/>
            <color indexed="81"/>
            <rFont val="Tahoma"/>
            <family val="2"/>
          </rPr>
          <t xml:space="preserve">
10K PG 91</t>
        </r>
      </text>
    </comment>
    <comment ref="C21" authorId="1" shapeId="0" xr:uid="{97D36F28-FD98-4CBE-91DE-3D87DEF63AD5}">
      <text>
        <r>
          <rPr>
            <b/>
            <sz val="9"/>
            <color indexed="81"/>
            <rFont val="Tahoma"/>
            <family val="2"/>
          </rPr>
          <t>rev4279:</t>
        </r>
        <r>
          <rPr>
            <sz val="9"/>
            <color indexed="81"/>
            <rFont val="Tahoma"/>
            <family val="2"/>
          </rPr>
          <t xml:space="preserve">
10K PG 91
</t>
        </r>
      </text>
    </comment>
    <comment ref="C22" authorId="1" shapeId="0" xr:uid="{B4C4E78B-0195-425E-86F0-8502D5E2B9B8}">
      <text>
        <r>
          <rPr>
            <b/>
            <sz val="9"/>
            <color indexed="81"/>
            <rFont val="Tahoma"/>
            <family val="2"/>
          </rPr>
          <t>rev4279:</t>
        </r>
        <r>
          <rPr>
            <sz val="9"/>
            <color indexed="81"/>
            <rFont val="Tahoma"/>
            <family val="2"/>
          </rPr>
          <t xml:space="preserve">
10K PG 60</t>
        </r>
      </text>
    </comment>
    <comment ref="C23" authorId="1" shapeId="0" xr:uid="{C74A4E3E-C22C-4DEF-9C68-96B730681935}">
      <text>
        <r>
          <rPr>
            <b/>
            <sz val="9"/>
            <color indexed="81"/>
            <rFont val="Tahoma"/>
            <family val="2"/>
          </rPr>
          <t>rev4279:</t>
        </r>
        <r>
          <rPr>
            <sz val="9"/>
            <color indexed="81"/>
            <rFont val="Tahoma"/>
            <family val="2"/>
          </rPr>
          <t xml:space="preserve">
10K PG 83</t>
        </r>
      </text>
    </comment>
    <comment ref="C24" authorId="1" shapeId="0" xr:uid="{B27F7114-0007-4E15-A585-D13496D03E04}">
      <text>
        <r>
          <rPr>
            <b/>
            <sz val="9"/>
            <color indexed="81"/>
            <rFont val="Tahoma"/>
            <family val="2"/>
          </rPr>
          <t>rev4279:</t>
        </r>
        <r>
          <rPr>
            <sz val="9"/>
            <color indexed="81"/>
            <rFont val="Tahoma"/>
            <family val="2"/>
          </rPr>
          <t xml:space="preserve">
10K PG II-75</t>
        </r>
      </text>
    </comment>
    <comment ref="C25" authorId="1" shapeId="0" xr:uid="{0B25576A-7BA0-4102-B210-03A46B310742}">
      <text>
        <r>
          <rPr>
            <b/>
            <sz val="9"/>
            <color indexed="81"/>
            <rFont val="Tahoma"/>
            <family val="2"/>
          </rPr>
          <t>rev4279:</t>
        </r>
        <r>
          <rPr>
            <sz val="9"/>
            <color indexed="81"/>
            <rFont val="Tahoma"/>
            <family val="2"/>
          </rPr>
          <t xml:space="preserve">
10K PG 79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F16" authorId="0" shapeId="0" xr:uid="{E233C07A-5992-4A35-B33E-8DDF2DCAC6FF}">
      <text>
        <r>
          <rPr>
            <b/>
            <sz val="9"/>
            <color indexed="81"/>
            <rFont val="Tahoma"/>
            <family val="2"/>
          </rPr>
          <t>Baker, Mike A (DOR):</t>
        </r>
        <r>
          <rPr>
            <sz val="9"/>
            <color indexed="81"/>
            <rFont val="Tahoma"/>
            <family val="2"/>
          </rPr>
          <t xml:space="preserve">
See 10K page 79
</t>
        </r>
      </text>
    </comment>
    <comment ref="H16" authorId="0" shapeId="0" xr:uid="{597BCFA3-2C4F-4D70-8AFD-42E39690892A}">
      <text>
        <r>
          <rPr>
            <b/>
            <sz val="9"/>
            <color indexed="81"/>
            <rFont val="Tahoma"/>
            <family val="2"/>
          </rPr>
          <t>Baker, Mike A (DOR):</t>
        </r>
        <r>
          <rPr>
            <sz val="9"/>
            <color indexed="81"/>
            <rFont val="Tahoma"/>
            <family val="2"/>
          </rPr>
          <t xml:space="preserve">
See 10K page 79
</t>
        </r>
      </text>
    </comment>
    <comment ref="F17" authorId="0" shapeId="0" xr:uid="{8FC3B301-D0B6-4582-A8CB-035C8ADF0856}">
      <text>
        <r>
          <rPr>
            <b/>
            <sz val="9"/>
            <color indexed="81"/>
            <rFont val="Tahoma"/>
            <family val="2"/>
          </rPr>
          <t>Baker, Mike A (DOR):</t>
        </r>
        <r>
          <rPr>
            <sz val="9"/>
            <color indexed="81"/>
            <rFont val="Tahoma"/>
            <family val="2"/>
          </rPr>
          <t xml:space="preserve">
See page 73
</t>
        </r>
      </text>
    </comment>
    <comment ref="H17" authorId="0" shapeId="0" xr:uid="{B2E0C5EC-DD49-4203-89EF-21AEF499F10B}">
      <text>
        <r>
          <rPr>
            <b/>
            <sz val="9"/>
            <color indexed="81"/>
            <rFont val="Tahoma"/>
            <family val="2"/>
          </rPr>
          <t>Baker, Mike A (DOR):</t>
        </r>
        <r>
          <rPr>
            <sz val="9"/>
            <color indexed="81"/>
            <rFont val="Tahoma"/>
            <family val="2"/>
          </rPr>
          <t xml:space="preserve">
See page 73</t>
        </r>
      </text>
    </comment>
    <comment ref="H18" authorId="0" shapeId="0" xr:uid="{26331326-44B9-4AA3-8CC2-E564EBAB2BCD}">
      <text>
        <r>
          <rPr>
            <b/>
            <sz val="9"/>
            <color indexed="81"/>
            <rFont val="Tahoma"/>
            <family val="2"/>
          </rPr>
          <t>Baker, Mike A (DOR):</t>
        </r>
        <r>
          <rPr>
            <sz val="9"/>
            <color indexed="81"/>
            <rFont val="Tahoma"/>
            <family val="2"/>
          </rPr>
          <t xml:space="preserve">
See page 46-48 of 10K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E16" authorId="0" shapeId="0" xr:uid="{CCBA3893-B5E0-458D-A1A8-B4865A96567B}">
      <text>
        <r>
          <rPr>
            <b/>
            <sz val="9"/>
            <color indexed="81"/>
            <rFont val="Tahoma"/>
            <family val="2"/>
          </rPr>
          <t>Baker, Mike A (DOR):</t>
        </r>
        <r>
          <rPr>
            <sz val="9"/>
            <color indexed="81"/>
            <rFont val="Tahoma"/>
            <family val="2"/>
          </rPr>
          <t xml:space="preserve">
d.82 reported by valueline
</t>
        </r>
      </text>
    </comment>
    <comment ref="E22" authorId="0" shapeId="0" xr:uid="{2F05794F-D7AC-491E-9BDF-5527273886C8}">
      <text>
        <r>
          <rPr>
            <b/>
            <sz val="9"/>
            <color indexed="81"/>
            <rFont val="Tahoma"/>
            <family val="2"/>
          </rPr>
          <t>Baker, Mike A (DOR):</t>
        </r>
        <r>
          <rPr>
            <sz val="9"/>
            <color indexed="81"/>
            <rFont val="Tahoma"/>
            <family val="2"/>
          </rPr>
          <t xml:space="preserve">
d.2.90 reported by valueline</t>
        </r>
      </text>
    </comment>
  </commentList>
</comments>
</file>

<file path=xl/sharedStrings.xml><?xml version="1.0" encoding="utf-8"?>
<sst xmlns="http://schemas.openxmlformats.org/spreadsheetml/2006/main" count="1611" uniqueCount="532">
  <si>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</si>
  <si>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</si>
  <si>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</si>
  <si>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</si>
  <si>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</si>
  <si>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</si>
  <si>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</si>
  <si>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</si>
  <si>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</si>
  <si>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</si>
  <si>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</si>
  <si>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</si>
  <si>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</si>
  <si>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</si>
  <si>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</si>
  <si>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</si>
  <si>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</si>
  <si>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</si>
  <si>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</si>
  <si>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</si>
  <si>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</si>
  <si>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</si>
  <si>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</si>
  <si>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</si>
  <si>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</si>
  <si>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</si>
  <si>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</si>
  <si>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</si>
  <si>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</si>
  <si>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</si>
  <si>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</si>
  <si>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</si>
  <si>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</si>
  <si>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</si>
  <si>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</si>
  <si>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</si>
  <si>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</si>
  <si>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</si>
  <si>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</si>
  <si>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</si>
  <si>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</si>
  <si>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</si>
  <si>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</si>
  <si>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</si>
  <si>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Industry &gt; Electric Companies</t>
  </si>
  <si>
    <t>ALE</t>
  </si>
  <si>
    <t>LNT</t>
  </si>
  <si>
    <t>CMS</t>
  </si>
  <si>
    <t>AEE</t>
  </si>
  <si>
    <t>AEP</t>
  </si>
  <si>
    <t>CNP</t>
  </si>
  <si>
    <t>A+</t>
  </si>
  <si>
    <t xml:space="preserve">  </t>
  </si>
  <si>
    <t>High</t>
  </si>
  <si>
    <t>Low</t>
  </si>
  <si>
    <t>SO</t>
  </si>
  <si>
    <t>Mergent Bond</t>
  </si>
  <si>
    <t>Rating</t>
  </si>
  <si>
    <t>Debt Rate</t>
  </si>
  <si>
    <t>S&amp;P</t>
  </si>
  <si>
    <t>S &amp; P</t>
  </si>
  <si>
    <t>% LT Debt &amp; Pref Stock</t>
  </si>
  <si>
    <t>Baa1</t>
  </si>
  <si>
    <t>Baa2</t>
  </si>
  <si>
    <t>BBB+</t>
  </si>
  <si>
    <t>BBB</t>
  </si>
  <si>
    <t xml:space="preserve">Guideline companies were selected from Electric (East &amp; Central &amp; West) Value Line Industry groups. </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</si>
  <si>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</si>
  <si>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</si>
  <si>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</si>
  <si>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</si>
  <si>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</si>
  <si>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</si>
  <si>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BBB-</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</si>
  <si>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</si>
  <si>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</si>
  <si>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</si>
  <si>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</si>
  <si>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</si>
  <si>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</si>
  <si>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</si>
  <si>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</si>
  <si>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</si>
  <si>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</si>
  <si>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</si>
  <si>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</si>
  <si>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</si>
  <si>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</si>
  <si>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</si>
  <si>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</si>
  <si>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</si>
  <si>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</si>
  <si>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</si>
  <si>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</si>
  <si>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</si>
  <si>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</si>
  <si>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</si>
  <si>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</si>
  <si>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</si>
  <si>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</si>
  <si>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</si>
  <si>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</si>
  <si>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</si>
  <si>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</si>
  <si>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</si>
  <si>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</si>
  <si>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</si>
  <si>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</si>
  <si>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</si>
  <si>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</si>
  <si>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</si>
  <si>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</si>
  <si>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</si>
  <si>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</si>
  <si>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</si>
  <si>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</si>
  <si>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</si>
  <si>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</si>
  <si>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</si>
  <si>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</si>
  <si>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</si>
  <si>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</si>
  <si>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</si>
  <si>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</si>
  <si>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</si>
  <si>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</si>
  <si>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</si>
  <si>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</si>
  <si>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</si>
  <si>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</si>
  <si>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</si>
  <si>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</si>
  <si>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</si>
  <si>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</si>
  <si>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</si>
  <si>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</si>
  <si>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</si>
  <si>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</si>
  <si>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</si>
  <si>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</si>
  <si>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</si>
  <si>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</si>
  <si>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</si>
  <si>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</si>
  <si>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</si>
  <si>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</si>
  <si>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</si>
  <si>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</si>
  <si>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</si>
  <si>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</si>
  <si>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</si>
  <si>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</si>
  <si>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</si>
  <si>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</si>
  <si>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</si>
  <si>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</si>
  <si>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</si>
  <si>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</si>
  <si>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</si>
  <si>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</si>
  <si>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</si>
  <si>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</si>
  <si>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</si>
  <si>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</si>
  <si>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</si>
  <si>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</si>
  <si>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</si>
  <si>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</si>
  <si>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</si>
  <si>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</si>
  <si>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</si>
  <si>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</si>
  <si>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</si>
  <si>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</si>
  <si>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</si>
  <si>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</si>
  <si>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</si>
  <si>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</si>
  <si>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</si>
  <si>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</si>
  <si>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</si>
  <si>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</si>
  <si>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</si>
  <si>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</si>
  <si>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</si>
  <si>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AA-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</si>
  <si>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</si>
  <si>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</si>
  <si>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</si>
  <si>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</si>
  <si>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</si>
  <si>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</si>
  <si>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</si>
  <si>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</si>
  <si>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</si>
  <si>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</si>
  <si>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</si>
  <si>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</si>
  <si>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Earnings Per Share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</si>
  <si>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</si>
  <si>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</si>
  <si>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</si>
  <si>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</si>
  <si>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</si>
  <si>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</si>
  <si>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</si>
  <si>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</si>
  <si>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</si>
  <si>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</si>
  <si>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</si>
  <si>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</si>
  <si>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</si>
  <si>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</si>
  <si>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</si>
  <si>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</si>
  <si>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</si>
  <si>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</si>
  <si>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</si>
  <si>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</si>
  <si>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</si>
  <si>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</si>
  <si>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</si>
  <si>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</si>
  <si>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</si>
  <si>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</si>
  <si>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</si>
  <si>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</si>
  <si>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</si>
  <si>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</si>
  <si>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</si>
  <si>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</si>
  <si>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</si>
  <si>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</si>
  <si>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</si>
  <si>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</si>
  <si>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</si>
  <si>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</si>
  <si>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</si>
  <si>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</si>
  <si>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</si>
  <si>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</si>
  <si>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</si>
  <si>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</si>
  <si>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</si>
  <si>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</si>
  <si>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</si>
  <si>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</si>
  <si>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</si>
  <si>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</si>
  <si>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</si>
  <si>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</si>
  <si>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</si>
  <si>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</si>
  <si>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</si>
  <si>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</si>
  <si>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</si>
  <si>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</si>
  <si>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</si>
  <si>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</si>
  <si>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10K Income Statement</t>
  </si>
  <si>
    <t>10K Balance Sheet</t>
  </si>
  <si>
    <t>Indicated Rate of Equity Selected &gt;</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</si>
  <si>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</si>
  <si>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</si>
  <si>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</si>
  <si>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</si>
  <si>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</si>
  <si>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</si>
  <si>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</si>
  <si>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</si>
  <si>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</si>
  <si>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</si>
  <si>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</si>
  <si>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</si>
  <si>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</si>
  <si>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</si>
  <si>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</si>
  <si>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</si>
  <si>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</si>
  <si>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</si>
  <si>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*Cornell, B. &amp; Gerger, R. (2017) Estimating Terminal Values with Inflation : The Inputs Matter - It is Not a Formulaic Exercise.  Business Valuation Review, Vol.36, Number 4, 117-123.</t>
  </si>
  <si>
    <t>C1  C2  C3</t>
  </si>
  <si>
    <t>MEDIAN GROWTH RATES</t>
  </si>
  <si>
    <t>SOURCE &gt;</t>
  </si>
  <si>
    <t>SOURCES &gt;</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</si>
  <si>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</si>
  <si>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</si>
  <si>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</si>
  <si>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</si>
  <si>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</si>
  <si>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</si>
  <si>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</si>
  <si>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</si>
  <si>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</si>
  <si>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</si>
  <si>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</si>
  <si>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</si>
  <si>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</si>
  <si>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</si>
  <si>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</si>
  <si>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</si>
  <si>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</si>
  <si>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</si>
  <si>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</si>
  <si>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</si>
  <si>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</si>
  <si>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</si>
  <si>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Board of Governors of the Federal Reserve System, H.15, Selected Interest Rates, Market Yield on U.S. Treasury Securities 30-year constant maturity quoted on investment bases, daily observations, January 3, 2022.</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</si>
  <si>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</si>
  <si>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</si>
  <si>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</si>
  <si>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</si>
  <si>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</si>
  <si>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</si>
  <si>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</si>
  <si>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</si>
  <si>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</si>
  <si>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</si>
  <si>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</si>
  <si>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</si>
  <si>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</si>
  <si>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</si>
  <si>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</si>
  <si>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</si>
  <si>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</si>
  <si>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</si>
  <si>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</si>
  <si>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</si>
  <si>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r>
      <t>K</t>
    </r>
    <r>
      <rPr>
        <b/>
        <sz val="10"/>
        <color theme="1"/>
        <rFont val="Microsoft GothicNeo"/>
        <family val="2"/>
        <charset val="129"/>
      </rPr>
      <t>E</t>
    </r>
    <r>
      <rPr>
        <b/>
        <sz val="16"/>
        <color theme="1"/>
        <rFont val="Microsoft GothicNeo"/>
        <family val="2"/>
        <charset val="129"/>
      </rPr>
      <t xml:space="preserve"> = (DY  X  (1+ .5(G)))  + .67(G1)  +  .33(g)</t>
    </r>
  </si>
  <si>
    <t>DY = Dividend Yield     See ValueLine</t>
  </si>
  <si>
    <t>G   = Average growth rate</t>
  </si>
  <si>
    <t>G1 = Short term growth estimate</t>
  </si>
  <si>
    <t>g   = Stable Growth - Nominal growth rate</t>
  </si>
  <si>
    <t>AAA</t>
  </si>
  <si>
    <t>AA+</t>
  </si>
  <si>
    <t>AA</t>
  </si>
  <si>
    <t>Obligations rated Aa are judged to be of high quality, with minimal risk.</t>
  </si>
  <si>
    <t>BB+</t>
  </si>
  <si>
    <t>BB</t>
  </si>
  <si>
    <t>BB-</t>
  </si>
  <si>
    <t>B-</t>
  </si>
  <si>
    <t>CCC+</t>
  </si>
  <si>
    <t>CCC</t>
  </si>
  <si>
    <t>CCC-</t>
  </si>
  <si>
    <t>CC</t>
  </si>
  <si>
    <t>Scale</t>
  </si>
  <si>
    <t>Retained to</t>
  </si>
  <si>
    <t>Shareholders Equity</t>
  </si>
  <si>
    <t>Return on Shareholders Equity -- Annual net profit divided by year-end shareholders equity, expressed as a percentage.</t>
  </si>
  <si>
    <t>Retained to Common Equity -- Net profit less all common and preferred dividends divided by common equity including intangible assets, expressed as a percentage.  Also known as the plowback ratio.</t>
  </si>
  <si>
    <t>Aaa1</t>
  </si>
  <si>
    <t>AAA+</t>
  </si>
  <si>
    <t>Aaa2</t>
  </si>
  <si>
    <t>Aaa3</t>
  </si>
  <si>
    <t>AAA-</t>
  </si>
  <si>
    <t>Ca1</t>
  </si>
  <si>
    <t>CC+</t>
  </si>
  <si>
    <t>Ca2</t>
  </si>
  <si>
    <t>Ca3</t>
  </si>
  <si>
    <t>CC-</t>
  </si>
  <si>
    <t>GROSS REVENUE &amp; GROSS BOOK (EQUITY) MULTIPLES</t>
  </si>
  <si>
    <t>Gross Revenues</t>
  </si>
  <si>
    <t>Gross Book Value Equity</t>
  </si>
  <si>
    <t>Multiple *</t>
  </si>
  <si>
    <t>* This multiple is applicable to service type companies, or those with few assets.  These companies sell at prices related to their revenues.</t>
  </si>
  <si>
    <t>The higher the return on revenue the higher the price to revenue will be.</t>
  </si>
  <si>
    <t>** The book value, or common equity, per share is total owners' equity minus preferred stock divided by the number of common shares outstanding.</t>
  </si>
  <si>
    <t>The purpose of this ratio is to test whether the market price is worth more (or less) than the cost of the assets.</t>
  </si>
  <si>
    <t>If the result is greater than one(1), it indicates the market value exceeds book value and can often be used as a sign of competent management.</t>
  </si>
  <si>
    <t>Share</t>
  </si>
  <si>
    <t>NOPAT Earnings</t>
  </si>
  <si>
    <t>P/E Ratio - Long Term Projection NOPAT</t>
  </si>
  <si>
    <t>Dividend Growth = DY + DG</t>
  </si>
  <si>
    <t>Earnings Growth = DY + EG</t>
  </si>
  <si>
    <t>DY = Dividend Yield</t>
  </si>
  <si>
    <t>DG = Dividend Growth</t>
  </si>
  <si>
    <t>EG = Earnings Growth</t>
  </si>
  <si>
    <t>G = Projected Growth (Div. 5 Yr Growth Rate)</t>
  </si>
  <si>
    <t>G = Projected Growth (Earnings Per Share 5 Yr Growth Rate)</t>
  </si>
  <si>
    <t>Per Share **</t>
  </si>
  <si>
    <t>Projected</t>
  </si>
  <si>
    <t>Estimated 19-21 to 26-28</t>
  </si>
  <si>
    <t>Common Total Equity excludes 'noncontrolling interests' equity value.</t>
  </si>
  <si>
    <t xml:space="preserve">Property, Plant &amp; Equipment includes CWIP, but should exclude intangibles and the associated amortization.  </t>
  </si>
  <si>
    <t xml:space="preserve">http://www.federalreserve.gov/Releases/H15/Current/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</si>
  <si>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</si>
  <si>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</si>
  <si>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</si>
  <si>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</si>
  <si>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AES CORPORATION</t>
  </si>
  <si>
    <t>AES</t>
  </si>
  <si>
    <t>DOMINION ENERGY INC</t>
  </si>
  <si>
    <t>NRG ENERGY</t>
  </si>
  <si>
    <t>NRG</t>
  </si>
  <si>
    <t>SOUTHERN COMPANY</t>
  </si>
  <si>
    <t>VISTRA ENERGY CORPORATION</t>
  </si>
  <si>
    <t>VST</t>
  </si>
  <si>
    <t>Finance Leases ****</t>
  </si>
  <si>
    <t>&amp; Leases</t>
  </si>
  <si>
    <t>**** Market value of operating leases and finance leases for all companies @ FMV</t>
  </si>
  <si>
    <t xml:space="preserve">** Debt includes  LT Debt  and Current portion of LT Debt.  It may include finance leases (if combined) from 10K.  If not combined, enter separately. </t>
  </si>
  <si>
    <t>NEE</t>
  </si>
  <si>
    <t>NEXTERA ENERGY INC</t>
  </si>
  <si>
    <t xml:space="preserve">Risk Free Rate (Rf) </t>
  </si>
  <si>
    <t>Yield Equity Rate - DGM (Dividend Growth) &amp; DGM (Earnings Growth)  -- Gordon Growth</t>
  </si>
  <si>
    <t>NextEra Energy (NEE) - Is a holding company and it owns NextEra Energy Resources (NER) which is the nonregulated power generator entity.</t>
  </si>
  <si>
    <t>Three Stage Ex Ante  Version 1  (1) (2)</t>
  </si>
  <si>
    <t>Three Stage Ex Ante  Version 2   (1) (2)</t>
  </si>
  <si>
    <t>CAPM - Ex Ante, Three Stage - V1</t>
  </si>
  <si>
    <t>CAPM - Ex Ante, Three Stage - V2</t>
  </si>
  <si>
    <t>Empirical CAPM - Ex Ante, Three Stage - V1</t>
  </si>
  <si>
    <t>Empirical CAPM - Ex Ante, Three Stage - V2</t>
  </si>
  <si>
    <t>Mean</t>
  </si>
  <si>
    <t>Harmonic Mean</t>
  </si>
  <si>
    <t>A market to book ratio over one would be an indication of no obsolescence</t>
  </si>
  <si>
    <t>Mergent Rating</t>
  </si>
  <si>
    <t xml:space="preserve">S&amp;P Rating </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</si>
  <si>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</si>
  <si>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</si>
  <si>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</si>
  <si>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</si>
  <si>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</si>
  <si>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</si>
  <si>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Electric Wholesale (non-regulated) Power Generator</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</si>
  <si>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</si>
  <si>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</si>
  <si>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</si>
  <si>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</si>
  <si>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</si>
  <si>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</si>
  <si>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</si>
  <si>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</si>
  <si>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</si>
  <si>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</si>
  <si>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</si>
  <si>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</si>
  <si>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</si>
  <si>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</si>
  <si>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</si>
  <si>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</si>
  <si>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</si>
  <si>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</si>
  <si>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P. Fernandez, T. Garcia de Santos &amp; J.F.Acin  (5)</t>
  </si>
  <si>
    <t>Damodaran Implied ERP Ex Ante   Avg CF Yield Last 10 Yrs (3)</t>
  </si>
  <si>
    <t>CAPM - Ex Ante  Damodaran Avg CF Yield Last 10 Yrs</t>
  </si>
  <si>
    <t>Empirical CAPM - Ex Ante  Damodaran Avg CF Yield Last 10 Yrs</t>
  </si>
  <si>
    <t>Removed Nextera Energy from calculation</t>
  </si>
  <si>
    <t xml:space="preserve">Board of Governors of the Federal Reserve System, Economic projections of Federal Reserve Board members and Federal Reserve Bank presidents under their individual assessments of projected appropriate monetary policy. December 2022  </t>
  </si>
  <si>
    <t>https://www.federalreserve.gov/monetarypolicy/files/fomcprojtabl20221214.pdf</t>
  </si>
  <si>
    <t>World Bank Group Flagship Report, Global Economic Prospects. January 2023. Page 4.</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</si>
  <si>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</si>
  <si>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</si>
  <si>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</si>
  <si>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Federal Reserve Bank of Philadelphia  /Survey of Professional Forecasters  Mean (3)</t>
  </si>
  <si>
    <t xml:space="preserve">Congressional Budget Office Real Economic Projections (4)  </t>
  </si>
  <si>
    <t>https://www.cbo.gov/system/files/2021-02/56970-Outlook.p</t>
  </si>
  <si>
    <t>2024 CAPITALIZATION RATE STUDY</t>
  </si>
  <si>
    <t>2024 Tax Year</t>
  </si>
  <si>
    <t>YEAR END 12/31/2023</t>
  </si>
  <si>
    <t>Vl Projected 2024</t>
  </si>
  <si>
    <t>Dec. 31, 2023</t>
  </si>
  <si>
    <t>The market yield on 20 yerar US Treasury  Jan 2, 2024</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</si>
  <si>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</si>
  <si>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</si>
  <si>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The Congressional Budget Office projects the U.S. GDP annual growth rates</t>
  </si>
  <si>
    <t>https://www.cbo.gov/publication/59933</t>
  </si>
  <si>
    <t>5 Yr  Jan 2 2024</t>
  </si>
  <si>
    <t>3.93 - 1.76 = 2.17</t>
  </si>
  <si>
    <t>10 Yr  Jan 2 2024</t>
  </si>
  <si>
    <t>3.95 - 1.74 = 2.21</t>
  </si>
  <si>
    <t>20 Yr  Jan 2 2024</t>
  </si>
  <si>
    <t>4.25 - 1.84 = 2.41</t>
  </si>
  <si>
    <t>30 Yr  Jan 2 2024</t>
  </si>
  <si>
    <t>4.08 - 1.91 = 2.17</t>
  </si>
  <si>
    <t>Congressional Budget Office  Average % change Yr to Yr  2024-2033  (4)</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</si>
  <si>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</si>
  <si>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</si>
  <si>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</si>
  <si>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</si>
  <si>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</si>
  <si>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</si>
  <si>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</si>
  <si>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</si>
  <si>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</si>
  <si>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</si>
  <si>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https://www.federalreserve.gov/monetarypolicy/files/fomcprojtabl20231213.pdf</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</si>
  <si>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</si>
  <si>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</si>
  <si>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</si>
  <si>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</si>
  <si>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</si>
  <si>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</si>
  <si>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</si>
  <si>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Daily Tresury Par Real Yield Curve Rates  Jan 2 (1)</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</si>
  <si>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</si>
  <si>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Companies considered in the study &gt;</t>
  </si>
  <si>
    <t>AES Corp (AES) - Regulated power producer using renewables wholesale spot market</t>
  </si>
  <si>
    <t>Bloom Energy Corp -  Manufacturer of fuel cells</t>
  </si>
  <si>
    <t>Enersys - Battery producer and power equipment sales.</t>
  </si>
  <si>
    <t>Generac Holdings -  Manufacturer of generators.</t>
  </si>
  <si>
    <t>Green Plains Inc (GPRE) - Biofuel producer</t>
  </si>
  <si>
    <t xml:space="preserve">Northland Power - Electric generating projects 26 total facilities.  Utilizing (60%) wind &amp; solar, gas, hydro, thermal in Canada, Europe, USA.  </t>
  </si>
  <si>
    <t>Ormat Technologies (ORA) - Geothermal power producer</t>
  </si>
  <si>
    <t>Sunpower Corp (SPWR) - Solar power equipment manuf.   Spun off production facilities to Maxeon Solar Technologies in 2020</t>
  </si>
  <si>
    <t>TPI Composites -  Supplier of wind blades</t>
  </si>
  <si>
    <t>Electric - East</t>
  </si>
  <si>
    <t>Power Electric</t>
  </si>
  <si>
    <t xml:space="preserve">Avangrid Inc (AGR) - Regulated power producer.  Has 17% in renewables </t>
  </si>
  <si>
    <t>BMX Technologies - Nuclear energy tech. supplier.  Spun off power generating systems to Babcock&amp; Wilson Enterprises (BWE)</t>
  </si>
  <si>
    <t>Emera Inc (TSE-EMA.TO) - Electric generation, transmission, distribution, gas transmission, &amp; utility services.</t>
  </si>
  <si>
    <t>Enphase Energy (ENPH) - Solar energy product &amp; control equip. supplier</t>
  </si>
  <si>
    <t>First Solar Inc -  Manufacturer of solar modules and equip. for everday use.</t>
  </si>
  <si>
    <t>Fluence Energy (FLNC) -  Manufacturer of energy storage products</t>
  </si>
  <si>
    <t>Power Plug Inc (PLUG) -  Manufacturer of hydrogen fuel cells</t>
  </si>
  <si>
    <t xml:space="preserve">Sunrun Inc (RUN) -  residential solar power equipment manuf.  </t>
  </si>
  <si>
    <t>Vistra Corp (VST) - holding company, with power generation, retail, wholesale, marketing, with nuclear, storage, renewables, traditional energy</t>
  </si>
  <si>
    <t>Exelon Corp (   ) - Traditional gas &amp; coal energy producer  Spun off nonregulated generating systems to Constellation Energy</t>
  </si>
  <si>
    <t>CEG</t>
  </si>
  <si>
    <t>NRG Energy (NRG) - Largest Independent wholesale power producer in the US with a large % in Renewables</t>
  </si>
  <si>
    <t>Companies selected in the study &gt;</t>
  </si>
  <si>
    <t>CONSTELLATION ENERGY GENERATION LLC</t>
  </si>
  <si>
    <t>Constellation Energy Generating (CEG) -  Independent power production operations.  Nuclear energy.  This company was severed from Exelon Corp.</t>
  </si>
  <si>
    <t>Baa2 /Baa3</t>
  </si>
  <si>
    <t>Southern Company (SO) - Regulated electric producer.  Markets some power to wholesalers.  26% electric generation from nuclear and renewables</t>
  </si>
  <si>
    <t>Dominion Energy  (D) -  Regulated electric power producer.  Some independent power production operations</t>
  </si>
  <si>
    <t>CS+PS+OL+FL+LTD</t>
  </si>
  <si>
    <t>Finance Leases</t>
  </si>
  <si>
    <t>nmf</t>
  </si>
  <si>
    <t>NOPAT CASH FLOW MULTIPLE &amp; EQUITY RATE (LT 27-29 Yr Projected VL</t>
  </si>
  <si>
    <t>na</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</si>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</sst>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0.000"/>
    <numFmt numFmtId="168" formatCode="_(* #,##0.000_);_(* \(#,##0.000\);_(* &quot;-&quot;??_);_(@_)"/>
    <numFmt numFmtId="169" formatCode="0.000%"/>
    <numFmt numFmtId="170" formatCode="_(&quot;$&quot;* #,##0.0_);_(&quot;$&quot;* \(#,##0.0\);_(&quot;$&quot;* &quot;-&quot;??_);_(@_)"/>
  </numFmts>
  <fonts count="77">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11"/>
      <name val="Calibri"/>
      <family val="2"/>
      <scheme val="minor"/>
    </font>
    <font>
      <sz val="9"/>
      <color indexed="81"/>
      <name val="Tahoma"/>
      <family val="2"/>
    </font>
    <font>
      <b/>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6"/>
      <name val="Microsoft GothicNeo"/>
      <family val="2"/>
      <charset val="129"/>
    </font>
    <font>
      <b/>
      <sz val="16"/>
      <color rgb="FFFF0000"/>
      <name val="Microsoft GothicNeo"/>
      <family val="2"/>
      <charset val="129"/>
    </font>
    <font>
      <i/>
      <sz val="11"/>
      <color theme="1"/>
      <name val="Microsoft GothicNeo"/>
      <family val="2"/>
      <charset val="129"/>
    </font>
    <font>
      <sz val="12"/>
      <color rgb="FFFF0000"/>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sz val="12"/>
      <color rgb="FF000000"/>
      <name val="Microsoft GothicNeo"/>
      <family val="2"/>
      <charset val="129"/>
    </font>
    <font>
      <b/>
      <i/>
      <sz val="14"/>
      <color theme="1"/>
      <name val="Calibri"/>
      <family val="2"/>
      <scheme val="minor"/>
    </font>
    <font>
      <u/>
      <sz val="11"/>
      <color rgb="FF0000CC"/>
      <name val="Calibri"/>
      <family val="2"/>
      <scheme val="minor"/>
    </font>
    <font>
      <b/>
      <sz val="11"/>
      <color theme="9" tint="-0.499984740745262"/>
      <name val="Microsoft GothicNeo"/>
      <family val="2"/>
      <charset val="129"/>
    </font>
    <font>
      <b/>
      <sz val="9"/>
      <name val="Microsoft GothicNeo"/>
      <family val="2"/>
      <charset val="129"/>
    </font>
    <font>
      <sz val="11"/>
      <name val="Calibri"/>
      <family val="2"/>
      <scheme val="minor"/>
    </font>
    <font>
      <b/>
      <sz val="20"/>
      <color theme="1"/>
      <name val="Calibri"/>
      <family val="2"/>
      <scheme val="minor"/>
    </font>
    <font>
      <sz val="20"/>
      <color theme="1"/>
      <name val="Calibri"/>
      <family val="2"/>
      <scheme val="minor"/>
    </font>
    <font>
      <b/>
      <sz val="14"/>
      <color theme="9" tint="-0.499984740745262"/>
      <name val="Microsoft GothicNeo"/>
      <family val="2"/>
      <charset val="129"/>
    </font>
    <font>
      <b/>
      <sz val="18"/>
      <name val="Microsoft GothicNeo"/>
      <family val="2"/>
      <charset val="129"/>
    </font>
    <font>
      <sz val="11"/>
      <name val="Microsoft GothicNeo Light"/>
      <family val="2"/>
      <charset val="129"/>
    </font>
    <font>
      <sz val="11"/>
      <color rgb="FF0000CC"/>
      <name val="Microsoft GothicNeo"/>
      <family val="2"/>
      <charset val="129"/>
    </font>
    <font>
      <b/>
      <sz val="12"/>
      <color rgb="FF0000CC"/>
      <name val="Microsoft GothicNeo"/>
      <family val="2"/>
      <charset val="129"/>
    </font>
    <font>
      <b/>
      <i/>
      <sz val="18"/>
      <color rgb="FFC00000"/>
      <name val="Microsoft GothicNeo"/>
      <family val="2"/>
      <charset val="129"/>
    </font>
    <font>
      <b/>
      <sz val="11"/>
      <color rgb="FF0000CC"/>
      <name val="Microsoft GothicNeo"/>
      <family val="2"/>
      <charset val="129"/>
    </font>
    <font>
      <sz val="11"/>
      <color rgb="FFFF0000"/>
      <name val="Calibri"/>
      <family val="2"/>
      <scheme val="minor"/>
    </font>
    <font>
      <sz val="12"/>
      <name val="Calibri"/>
      <family val="2"/>
      <scheme val="minor"/>
    </font>
    <font>
      <b/>
      <i/>
      <sz val="18"/>
      <name val="Microsoft GothicNeo"/>
      <family val="2"/>
      <charset val="129"/>
    </font>
    <font>
      <u/>
      <sz val="11"/>
      <color rgb="FF0000CC"/>
      <name val="Microsoft GothicNeo"/>
      <family val="2"/>
      <charset val="129"/>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42">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6" fillId="0" borderId="0"/>
    <xf numFmtId="0" fontId="16" fillId="0" borderId="0"/>
    <xf numFmtId="0" fontId="17" fillId="0" borderId="0" applyNumberFormat="0" applyFill="0" applyBorder="0" applyAlignment="0" applyProtection="0"/>
  </cellStyleXfs>
  <cellXfs count="471">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3" fontId="2" fillId="0" borderId="0" xfId="0" applyNumberFormat="1" applyFont="1"/>
    <xf numFmtId="167" fontId="13" fillId="2" borderId="0" xfId="0" applyNumberFormat="1" applyFont="1" applyFill="1" applyAlignment="1">
      <alignment horizontal="center"/>
    </xf>
    <xf numFmtId="0" fontId="18" fillId="0" borderId="0" xfId="0" applyFont="1"/>
    <xf numFmtId="0" fontId="18" fillId="0" borderId="0" xfId="0" applyFont="1" applyAlignment="1">
      <alignment horizontal="center"/>
    </xf>
    <xf numFmtId="0" fontId="20" fillId="0" borderId="0" xfId="0" applyFont="1" applyAlignment="1">
      <alignment horizontal="right"/>
    </xf>
    <xf numFmtId="43" fontId="21" fillId="0" borderId="0" xfId="1" applyFont="1" applyAlignment="1">
      <alignment horizontal="right" vertical="center"/>
    </xf>
    <xf numFmtId="43" fontId="21" fillId="0" borderId="0" xfId="1" applyFont="1" applyFill="1" applyAlignment="1">
      <alignment horizontal="right" vertical="center"/>
    </xf>
    <xf numFmtId="43" fontId="20" fillId="0" borderId="0" xfId="1" applyFont="1" applyFill="1" applyAlignment="1">
      <alignment horizontal="right"/>
    </xf>
    <xf numFmtId="43" fontId="20" fillId="0" borderId="0" xfId="1" applyFont="1" applyFill="1" applyAlignment="1">
      <alignment horizontal="center"/>
    </xf>
    <xf numFmtId="43" fontId="20" fillId="0" borderId="0" xfId="1" applyFont="1" applyFill="1" applyAlignment="1">
      <alignment horizontal="center" vertical="center"/>
    </xf>
    <xf numFmtId="43" fontId="20" fillId="0" borderId="0" xfId="1" applyFont="1" applyFill="1" applyBorder="1" applyAlignment="1">
      <alignment horizontal="center" vertical="center"/>
    </xf>
    <xf numFmtId="43" fontId="20" fillId="0" borderId="0" xfId="1" applyFont="1" applyFill="1"/>
    <xf numFmtId="164" fontId="20" fillId="0" borderId="0" xfId="1" applyNumberFormat="1" applyFont="1" applyFill="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16" xfId="0" applyFont="1" applyBorder="1"/>
    <xf numFmtId="0" fontId="18" fillId="0" borderId="2" xfId="0" applyFont="1" applyBorder="1"/>
    <xf numFmtId="0" fontId="26" fillId="0" borderId="2" xfId="0" applyFont="1" applyBorder="1"/>
    <xf numFmtId="0" fontId="27" fillId="0" borderId="0" xfId="0" applyFont="1"/>
    <xf numFmtId="0" fontId="23" fillId="0" borderId="0" xfId="0" applyFont="1" applyAlignment="1">
      <alignment horizontal="center"/>
    </xf>
    <xf numFmtId="0" fontId="28" fillId="0" borderId="2" xfId="0" applyFont="1" applyBorder="1" applyAlignment="1">
      <alignment horizontal="center"/>
    </xf>
    <xf numFmtId="0" fontId="29" fillId="0" borderId="2" xfId="0" applyFont="1" applyBorder="1" applyAlignment="1">
      <alignment horizontal="center"/>
    </xf>
    <xf numFmtId="0" fontId="20" fillId="0" borderId="0" xfId="0" applyFont="1" applyAlignment="1">
      <alignment horizontal="center"/>
    </xf>
    <xf numFmtId="0" fontId="28" fillId="0" borderId="0" xfId="0" applyFont="1" applyAlignment="1">
      <alignment horizontal="center"/>
    </xf>
    <xf numFmtId="0" fontId="20" fillId="0" borderId="2" xfId="0" applyFont="1" applyBorder="1" applyAlignment="1">
      <alignment horizontal="center"/>
    </xf>
    <xf numFmtId="0" fontId="30" fillId="0" borderId="2" xfId="0" applyFont="1" applyBorder="1" applyAlignment="1">
      <alignment horizontal="center"/>
    </xf>
    <xf numFmtId="0" fontId="29" fillId="0" borderId="1" xfId="0" applyFont="1" applyBorder="1" applyAlignment="1">
      <alignment horizontal="center"/>
    </xf>
    <xf numFmtId="0" fontId="31" fillId="0" borderId="1" xfId="0" applyFont="1" applyBorder="1" applyAlignment="1">
      <alignment horizontal="center"/>
    </xf>
    <xf numFmtId="0" fontId="29" fillId="0" borderId="0" xfId="0" applyFont="1" applyAlignment="1">
      <alignment horizontal="center"/>
    </xf>
    <xf numFmtId="0" fontId="32" fillId="0" borderId="2" xfId="0" applyFont="1" applyBorder="1" applyAlignment="1">
      <alignment horizontal="center"/>
    </xf>
    <xf numFmtId="0" fontId="34" fillId="0" borderId="1" xfId="0" applyFont="1" applyBorder="1" applyAlignment="1">
      <alignment horizontal="center"/>
    </xf>
    <xf numFmtId="0" fontId="20" fillId="0" borderId="0" xfId="0" applyFont="1"/>
    <xf numFmtId="166" fontId="21" fillId="0" borderId="0" xfId="1" applyNumberFormat="1" applyFont="1" applyFill="1" applyAlignment="1">
      <alignment horizontal="center"/>
    </xf>
    <xf numFmtId="166" fontId="21" fillId="0" borderId="0" xfId="1" applyNumberFormat="1" applyFont="1" applyFill="1"/>
    <xf numFmtId="0" fontId="20" fillId="0" borderId="4" xfId="0" applyFont="1" applyBorder="1"/>
    <xf numFmtId="0" fontId="21" fillId="0" borderId="0" xfId="0" applyFont="1" applyAlignment="1">
      <alignment horizontal="center" vertical="center"/>
    </xf>
    <xf numFmtId="166" fontId="20" fillId="0" borderId="0" xfId="1" applyNumberFormat="1" applyFont="1" applyFill="1" applyAlignment="1">
      <alignment horizontal="center"/>
    </xf>
    <xf numFmtId="0" fontId="23" fillId="0" borderId="0" xfId="0" applyFont="1" applyAlignment="1">
      <alignment horizontal="right"/>
    </xf>
    <xf numFmtId="10" fontId="20" fillId="0" borderId="0" xfId="2" applyNumberFormat="1" applyFont="1" applyFill="1" applyAlignment="1">
      <alignment horizontal="center" vertical="center"/>
    </xf>
    <xf numFmtId="10" fontId="20" fillId="0" borderId="0" xfId="2" applyNumberFormat="1" applyFont="1" applyFill="1" applyBorder="1" applyAlignment="1">
      <alignment horizontal="center" vertical="center"/>
    </xf>
    <xf numFmtId="10" fontId="21" fillId="0" borderId="0" xfId="2" applyNumberFormat="1" applyFont="1" applyAlignment="1">
      <alignment horizontal="right" vertical="center"/>
    </xf>
    <xf numFmtId="10" fontId="21" fillId="0" borderId="0" xfId="2" applyNumberFormat="1" applyFont="1" applyFill="1" applyAlignment="1">
      <alignment horizontal="center" vertical="center"/>
    </xf>
    <xf numFmtId="10" fontId="21" fillId="0" borderId="0" xfId="2" applyNumberFormat="1" applyFont="1" applyFill="1" applyAlignment="1">
      <alignment horizontal="right"/>
    </xf>
    <xf numFmtId="10" fontId="20" fillId="0" borderId="0" xfId="2" applyNumberFormat="1" applyFont="1" applyFill="1" applyAlignment="1">
      <alignment horizontal="right"/>
    </xf>
    <xf numFmtId="10" fontId="20" fillId="0" borderId="0" xfId="2" applyNumberFormat="1" applyFont="1" applyFill="1" applyAlignment="1">
      <alignment horizontal="center"/>
    </xf>
    <xf numFmtId="10" fontId="20" fillId="0" borderId="0" xfId="2" applyNumberFormat="1" applyFont="1" applyFill="1"/>
    <xf numFmtId="0" fontId="18" fillId="3" borderId="20" xfId="0" applyFont="1" applyFill="1" applyBorder="1" applyAlignment="1">
      <alignment horizontal="center"/>
    </xf>
    <xf numFmtId="0" fontId="18" fillId="3" borderId="22" xfId="0" applyFont="1" applyFill="1" applyBorder="1" applyAlignment="1">
      <alignment horizontal="center"/>
    </xf>
    <xf numFmtId="2" fontId="37" fillId="0" borderId="0" xfId="0" applyNumberFormat="1" applyFont="1" applyAlignment="1">
      <alignment horizontal="center"/>
    </xf>
    <xf numFmtId="164" fontId="37" fillId="0" borderId="0" xfId="1" applyNumberFormat="1" applyFont="1" applyAlignment="1"/>
    <xf numFmtId="2" fontId="21" fillId="0" borderId="0" xfId="0" applyNumberFormat="1" applyFont="1" applyAlignment="1">
      <alignment horizontal="center"/>
    </xf>
    <xf numFmtId="0" fontId="33" fillId="0" borderId="0" xfId="0" applyFont="1"/>
    <xf numFmtId="43" fontId="23" fillId="0" borderId="0" xfId="1" applyFont="1" applyFill="1"/>
    <xf numFmtId="2" fontId="37" fillId="0" borderId="4" xfId="0" applyNumberFormat="1" applyFont="1" applyBorder="1" applyAlignment="1">
      <alignment horizontal="center"/>
    </xf>
    <xf numFmtId="10" fontId="21" fillId="0" borderId="0" xfId="2" applyNumberFormat="1" applyFont="1" applyFill="1" applyAlignment="1">
      <alignment horizontal="center"/>
    </xf>
    <xf numFmtId="0" fontId="18" fillId="0" borderId="2" xfId="0" applyFont="1" applyBorder="1" applyAlignment="1">
      <alignment horizontal="center"/>
    </xf>
    <xf numFmtId="0" fontId="30" fillId="0" borderId="17" xfId="0" applyFont="1" applyBorder="1" applyAlignment="1">
      <alignment horizontal="center"/>
    </xf>
    <xf numFmtId="0" fontId="23" fillId="0" borderId="0" xfId="0" applyFont="1" applyAlignment="1">
      <alignment horizontal="center" vertical="center"/>
    </xf>
    <xf numFmtId="2" fontId="20" fillId="0" borderId="0" xfId="0" applyNumberFormat="1" applyFont="1" applyAlignment="1">
      <alignment horizontal="center"/>
    </xf>
    <xf numFmtId="0" fontId="18" fillId="0" borderId="4" xfId="0" applyFont="1" applyBorder="1"/>
    <xf numFmtId="2" fontId="20" fillId="0" borderId="0" xfId="0" applyNumberFormat="1" applyFont="1" applyAlignment="1">
      <alignment horizontal="right"/>
    </xf>
    <xf numFmtId="10" fontId="20" fillId="0" borderId="0" xfId="0" applyNumberFormat="1" applyFont="1"/>
    <xf numFmtId="0" fontId="38" fillId="0" borderId="0" xfId="0" applyFont="1" applyAlignment="1">
      <alignment horizontal="center"/>
    </xf>
    <xf numFmtId="0" fontId="39" fillId="0" borderId="0" xfId="0" applyFont="1"/>
    <xf numFmtId="0" fontId="40" fillId="0" borderId="17" xfId="0" applyFont="1" applyBorder="1" applyAlignment="1">
      <alignment horizontal="center"/>
    </xf>
    <xf numFmtId="0" fontId="35" fillId="0" borderId="0" xfId="0" applyFont="1" applyAlignment="1">
      <alignment horizontal="right"/>
    </xf>
    <xf numFmtId="0" fontId="27" fillId="0" borderId="0" xfId="0" applyFont="1" applyAlignment="1">
      <alignment horizontal="center"/>
    </xf>
    <xf numFmtId="0" fontId="20" fillId="0" borderId="24" xfId="0" applyFont="1" applyBorder="1" applyAlignment="1">
      <alignment horizontal="center"/>
    </xf>
    <xf numFmtId="0" fontId="20" fillId="0" borderId="10" xfId="0" applyFont="1" applyBorder="1" applyAlignment="1">
      <alignment horizontal="center"/>
    </xf>
    <xf numFmtId="0" fontId="20" fillId="0" borderId="3" xfId="0" applyFont="1" applyBorder="1" applyAlignment="1">
      <alignment horizontal="center"/>
    </xf>
    <xf numFmtId="10" fontId="20" fillId="0" borderId="0" xfId="2" applyNumberFormat="1" applyFont="1"/>
    <xf numFmtId="10" fontId="20" fillId="0" borderId="0" xfId="1" applyNumberFormat="1" applyFont="1" applyFill="1"/>
    <xf numFmtId="10" fontId="42" fillId="0" borderId="0" xfId="2" applyNumberFormat="1" applyFont="1" applyFill="1" applyAlignment="1">
      <alignment horizontal="center"/>
    </xf>
    <xf numFmtId="164" fontId="20" fillId="0" borderId="0" xfId="1" applyNumberFormat="1" applyFont="1"/>
    <xf numFmtId="0" fontId="18" fillId="0" borderId="0" xfId="0" applyFont="1" applyAlignment="1">
      <alignment horizontal="left"/>
    </xf>
    <xf numFmtId="0" fontId="20" fillId="0" borderId="2" xfId="0" applyFont="1" applyBorder="1"/>
    <xf numFmtId="0" fontId="33" fillId="0" borderId="7" xfId="0" applyFont="1" applyBorder="1" applyAlignment="1">
      <alignment horizontal="center"/>
    </xf>
    <xf numFmtId="0" fontId="33" fillId="0" borderId="10" xfId="0" applyFont="1" applyBorder="1" applyAlignment="1">
      <alignment horizontal="center"/>
    </xf>
    <xf numFmtId="0" fontId="33" fillId="0" borderId="0" xfId="0" applyFont="1" applyAlignment="1">
      <alignment horizontal="center"/>
    </xf>
    <xf numFmtId="15" fontId="33" fillId="0" borderId="10" xfId="0" applyNumberFormat="1" applyFont="1" applyBorder="1" applyAlignment="1">
      <alignment horizontal="center"/>
    </xf>
    <xf numFmtId="15" fontId="33" fillId="0" borderId="0" xfId="0" applyNumberFormat="1" applyFont="1" applyAlignment="1">
      <alignment horizontal="center"/>
    </xf>
    <xf numFmtId="15" fontId="33" fillId="0" borderId="0" xfId="0" quotePrefix="1" applyNumberFormat="1" applyFont="1" applyAlignment="1">
      <alignment horizontal="center"/>
    </xf>
    <xf numFmtId="0" fontId="21" fillId="0" borderId="10" xfId="0" applyFont="1" applyBorder="1" applyAlignment="1">
      <alignment horizontal="center"/>
    </xf>
    <xf numFmtId="0" fontId="37" fillId="0" borderId="10" xfId="0" applyFont="1" applyBorder="1" applyAlignment="1">
      <alignment horizontal="center"/>
    </xf>
    <xf numFmtId="0" fontId="33" fillId="0" borderId="8" xfId="0" applyFont="1" applyBorder="1" applyAlignment="1">
      <alignment horizontal="center"/>
    </xf>
    <xf numFmtId="0" fontId="33" fillId="0" borderId="3" xfId="0" applyFont="1" applyBorder="1" applyAlignment="1">
      <alignment horizontal="center"/>
    </xf>
    <xf numFmtId="0" fontId="33" fillId="0" borderId="2" xfId="0" applyFont="1" applyBorder="1" applyAlignment="1">
      <alignment horizontal="center"/>
    </xf>
    <xf numFmtId="0" fontId="34" fillId="0" borderId="3" xfId="0" applyFont="1" applyBorder="1" applyAlignment="1">
      <alignment horizontal="center"/>
    </xf>
    <xf numFmtId="0" fontId="34" fillId="0" borderId="9" xfId="0" applyFont="1" applyBorder="1" applyAlignment="1">
      <alignment horizontal="center"/>
    </xf>
    <xf numFmtId="0" fontId="34" fillId="0" borderId="11" xfId="0" applyFont="1" applyBorder="1" applyAlignment="1">
      <alignment horizontal="center"/>
    </xf>
    <xf numFmtId="0" fontId="33" fillId="0" borderId="10" xfId="0" applyFont="1" applyBorder="1"/>
    <xf numFmtId="0" fontId="33" fillId="0" borderId="7" xfId="0" applyFont="1" applyBorder="1"/>
    <xf numFmtId="0" fontId="37" fillId="0" borderId="0" xfId="0" applyFont="1" applyAlignment="1">
      <alignment horizontal="center"/>
    </xf>
    <xf numFmtId="2" fontId="37" fillId="0" borderId="10" xfId="0" applyNumberFormat="1" applyFont="1" applyBorder="1" applyAlignment="1">
      <alignment horizontal="center"/>
    </xf>
    <xf numFmtId="0" fontId="37" fillId="0" borderId="7" xfId="0" applyFont="1" applyBorder="1"/>
    <xf numFmtId="0" fontId="33" fillId="0" borderId="8" xfId="0" applyFont="1" applyBorder="1"/>
    <xf numFmtId="3" fontId="37" fillId="0" borderId="2" xfId="0" applyNumberFormat="1" applyFont="1" applyBorder="1"/>
    <xf numFmtId="0" fontId="36" fillId="0" borderId="0" xfId="0" applyFont="1"/>
    <xf numFmtId="0" fontId="44" fillId="0" borderId="2" xfId="0" applyFont="1" applyBorder="1"/>
    <xf numFmtId="0" fontId="36" fillId="0" borderId="2" xfId="0" applyFont="1" applyBorder="1"/>
    <xf numFmtId="0" fontId="36" fillId="0" borderId="5" xfId="0" applyFont="1" applyBorder="1"/>
    <xf numFmtId="0" fontId="36" fillId="0" borderId="6" xfId="0" applyFont="1" applyBorder="1"/>
    <xf numFmtId="0" fontId="18" fillId="0" borderId="6" xfId="0" applyFont="1" applyBorder="1"/>
    <xf numFmtId="0" fontId="33" fillId="0" borderId="14" xfId="0" applyFont="1" applyBorder="1" applyAlignment="1">
      <alignment horizontal="center"/>
    </xf>
    <xf numFmtId="0" fontId="34" fillId="0" borderId="15" xfId="0" applyFont="1" applyBorder="1" applyAlignment="1">
      <alignment horizontal="center"/>
    </xf>
    <xf numFmtId="164" fontId="37" fillId="0" borderId="0" xfId="1" applyNumberFormat="1" applyFont="1" applyFill="1" applyBorder="1"/>
    <xf numFmtId="0" fontId="33" fillId="0" borderId="0" xfId="0" applyFont="1" applyAlignment="1">
      <alignment horizontal="right"/>
    </xf>
    <xf numFmtId="164" fontId="20" fillId="0" borderId="0" xfId="0" applyNumberFormat="1" applyFont="1"/>
    <xf numFmtId="10" fontId="33" fillId="0" borderId="0" xfId="0" applyNumberFormat="1" applyFont="1" applyAlignment="1">
      <alignment horizontal="right"/>
    </xf>
    <xf numFmtId="10" fontId="33" fillId="0" borderId="0" xfId="2" applyNumberFormat="1" applyFont="1" applyFill="1"/>
    <xf numFmtId="10" fontId="33" fillId="0" borderId="0" xfId="2" applyNumberFormat="1" applyFont="1"/>
    <xf numFmtId="2" fontId="18" fillId="0" borderId="0" xfId="0" applyNumberFormat="1" applyFont="1"/>
    <xf numFmtId="0" fontId="20" fillId="0" borderId="1" xfId="0" applyFont="1" applyBorder="1" applyAlignment="1">
      <alignment horizontal="center"/>
    </xf>
    <xf numFmtId="0" fontId="27" fillId="0" borderId="0" xfId="0" applyFont="1" applyAlignment="1">
      <alignment horizontal="right"/>
    </xf>
    <xf numFmtId="0" fontId="21" fillId="0" borderId="0" xfId="0" applyFont="1"/>
    <xf numFmtId="0" fontId="19" fillId="0" borderId="0" xfId="0" applyFont="1"/>
    <xf numFmtId="0" fontId="19" fillId="0" borderId="0" xfId="0" applyFont="1" applyAlignment="1">
      <alignment horizontal="left"/>
    </xf>
    <xf numFmtId="0" fontId="46" fillId="0" borderId="0" xfId="6" applyFont="1" applyFill="1" applyAlignment="1" applyProtection="1">
      <alignment horizontal="left" vertical="top"/>
    </xf>
    <xf numFmtId="0" fontId="19" fillId="0" borderId="0" xfId="0" applyFont="1" applyAlignment="1">
      <alignment horizontal="left" vertical="top"/>
    </xf>
    <xf numFmtId="0" fontId="19" fillId="0" borderId="0" xfId="0" applyFont="1" applyAlignment="1">
      <alignment vertical="top"/>
    </xf>
    <xf numFmtId="0" fontId="47" fillId="0" borderId="0" xfId="0" applyFont="1" applyAlignment="1">
      <alignment horizontal="left" vertical="top"/>
    </xf>
    <xf numFmtId="0" fontId="47" fillId="0" borderId="0" xfId="0" applyFont="1"/>
    <xf numFmtId="165" fontId="20" fillId="0" borderId="0" xfId="3" applyNumberFormat="1" applyFont="1" applyFill="1" applyAlignment="1">
      <alignment horizontal="center"/>
    </xf>
    <xf numFmtId="164" fontId="21" fillId="0" borderId="0" xfId="1" applyNumberFormat="1" applyFont="1" applyFill="1"/>
    <xf numFmtId="10" fontId="21" fillId="0" borderId="0" xfId="2" applyNumberFormat="1" applyFont="1" applyFill="1"/>
    <xf numFmtId="0" fontId="27" fillId="0" borderId="2" xfId="0" applyFont="1" applyBorder="1" applyAlignment="1">
      <alignment horizontal="center"/>
    </xf>
    <xf numFmtId="10" fontId="37" fillId="0" borderId="0" xfId="2" applyNumberFormat="1" applyFont="1" applyFill="1" applyAlignment="1">
      <alignment horizontal="center"/>
    </xf>
    <xf numFmtId="10" fontId="37" fillId="0" borderId="0" xfId="2" applyNumberFormat="1" applyFont="1" applyFill="1"/>
    <xf numFmtId="2" fontId="48" fillId="0" borderId="0" xfId="0" applyNumberFormat="1" applyFont="1" applyAlignment="1">
      <alignment horizontal="center"/>
    </xf>
    <xf numFmtId="2" fontId="33" fillId="0" borderId="2" xfId="0" applyNumberFormat="1" applyFont="1" applyBorder="1" applyAlignment="1">
      <alignment horizontal="center"/>
    </xf>
    <xf numFmtId="10" fontId="33" fillId="0" borderId="2" xfId="2" applyNumberFormat="1" applyFont="1" applyBorder="1"/>
    <xf numFmtId="10" fontId="33" fillId="0" borderId="0" xfId="0" applyNumberFormat="1" applyFont="1" applyAlignment="1">
      <alignment horizontal="center"/>
    </xf>
    <xf numFmtId="2" fontId="33" fillId="0" borderId="0" xfId="0" applyNumberFormat="1" applyFont="1" applyAlignment="1">
      <alignment horizontal="center"/>
    </xf>
    <xf numFmtId="0" fontId="37" fillId="0" borderId="0" xfId="0" applyFont="1"/>
    <xf numFmtId="0" fontId="33" fillId="0" borderId="0" xfId="0" applyFont="1" applyAlignment="1">
      <alignment horizontal="left"/>
    </xf>
    <xf numFmtId="10" fontId="18" fillId="0" borderId="0" xfId="0" applyNumberFormat="1" applyFont="1"/>
    <xf numFmtId="0" fontId="17" fillId="0" borderId="0" xfId="6"/>
    <xf numFmtId="0" fontId="20" fillId="0" borderId="0" xfId="0" applyFont="1" applyAlignment="1">
      <alignment horizontal="left"/>
    </xf>
    <xf numFmtId="0" fontId="49" fillId="0" borderId="2" xfId="0" applyFont="1" applyBorder="1"/>
    <xf numFmtId="0" fontId="0" fillId="0" borderId="2" xfId="0" applyBorder="1"/>
    <xf numFmtId="0" fontId="27" fillId="0" borderId="2" xfId="0" applyFont="1" applyBorder="1"/>
    <xf numFmtId="0" fontId="18" fillId="0" borderId="5" xfId="0" applyFont="1" applyBorder="1"/>
    <xf numFmtId="0" fontId="18" fillId="0" borderId="12" xfId="0" applyFont="1" applyBorder="1"/>
    <xf numFmtId="0" fontId="20" fillId="0" borderId="8" xfId="0" applyFont="1" applyBorder="1" applyAlignment="1">
      <alignment horizontal="center" vertical="center"/>
    </xf>
    <xf numFmtId="0" fontId="27" fillId="0" borderId="34" xfId="0" applyFont="1" applyBorder="1" applyAlignment="1">
      <alignment horizontal="center" vertical="center" wrapText="1"/>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27" fillId="0" borderId="32" xfId="0" applyFont="1" applyBorder="1" applyAlignment="1">
      <alignment horizontal="center" vertical="center"/>
    </xf>
    <xf numFmtId="0" fontId="33" fillId="0" borderId="16" xfId="0" applyFont="1" applyBorder="1" applyAlignment="1">
      <alignment horizontal="center" vertical="center"/>
    </xf>
    <xf numFmtId="0" fontId="27" fillId="0" borderId="7" xfId="0" applyFont="1" applyBorder="1" applyAlignment="1">
      <alignment horizontal="center" vertical="center"/>
    </xf>
    <xf numFmtId="10" fontId="27" fillId="0" borderId="2" xfId="2" applyNumberFormat="1" applyFont="1" applyBorder="1" applyAlignment="1">
      <alignment horizontal="center" vertical="center"/>
    </xf>
    <xf numFmtId="0" fontId="33" fillId="0" borderId="2" xfId="0" applyFont="1" applyBorder="1" applyAlignment="1">
      <alignment horizontal="center" vertical="center"/>
    </xf>
    <xf numFmtId="0" fontId="49" fillId="0" borderId="33" xfId="0" applyFont="1" applyBorder="1"/>
    <xf numFmtId="0" fontId="18" fillId="0" borderId="27" xfId="0" applyFont="1" applyBorder="1"/>
    <xf numFmtId="0" fontId="18" fillId="0" borderId="26" xfId="0" applyFont="1" applyBorder="1"/>
    <xf numFmtId="0" fontId="33" fillId="0" borderId="29" xfId="0" applyFont="1" applyBorder="1"/>
    <xf numFmtId="0" fontId="33" fillId="0" borderId="31" xfId="0" applyFont="1" applyBorder="1"/>
    <xf numFmtId="10" fontId="37" fillId="0" borderId="25" xfId="2" applyNumberFormat="1" applyFont="1" applyFill="1" applyBorder="1" applyAlignment="1">
      <alignment horizontal="center"/>
    </xf>
    <xf numFmtId="0" fontId="33" fillId="0" borderId="20" xfId="0" applyFont="1" applyBorder="1"/>
    <xf numFmtId="10" fontId="37" fillId="0" borderId="26" xfId="2" applyNumberFormat="1" applyFont="1" applyFill="1" applyBorder="1" applyAlignment="1">
      <alignment horizontal="center"/>
    </xf>
    <xf numFmtId="0" fontId="33" fillId="0" borderId="22" xfId="0" applyFont="1" applyBorder="1"/>
    <xf numFmtId="0" fontId="33" fillId="0" borderId="1" xfId="0" applyFont="1" applyBorder="1"/>
    <xf numFmtId="10" fontId="37" fillId="0" borderId="27" xfId="2" applyNumberFormat="1" applyFont="1" applyFill="1" applyBorder="1" applyAlignment="1">
      <alignment horizontal="center"/>
    </xf>
    <xf numFmtId="10" fontId="37" fillId="0" borderId="26" xfId="2" applyNumberFormat="1" applyFont="1" applyBorder="1" applyAlignment="1">
      <alignment horizontal="center" vertical="center"/>
    </xf>
    <xf numFmtId="10" fontId="33" fillId="0" borderId="25" xfId="2" applyNumberFormat="1" applyFont="1" applyFill="1" applyBorder="1" applyAlignment="1">
      <alignment horizontal="center"/>
    </xf>
    <xf numFmtId="10" fontId="33" fillId="0" borderId="27" xfId="2" applyNumberFormat="1" applyFont="1" applyFill="1" applyBorder="1" applyAlignment="1">
      <alignment horizontal="center"/>
    </xf>
    <xf numFmtId="10" fontId="37" fillId="0" borderId="0" xfId="2" applyNumberFormat="1" applyFont="1" applyAlignment="1">
      <alignment horizontal="right" vertical="center"/>
    </xf>
    <xf numFmtId="10" fontId="33" fillId="0" borderId="0" xfId="2" applyNumberFormat="1" applyFont="1" applyFill="1" applyAlignment="1">
      <alignment horizontal="right"/>
    </xf>
    <xf numFmtId="43" fontId="33" fillId="0" borderId="0" xfId="1" applyFont="1" applyFill="1" applyAlignment="1">
      <alignment horizontal="right"/>
    </xf>
    <xf numFmtId="43" fontId="33" fillId="0" borderId="0" xfId="1" applyFont="1" applyFill="1"/>
    <xf numFmtId="0" fontId="33" fillId="0" borderId="0" xfId="0" applyFont="1" applyAlignment="1">
      <alignment horizontal="center" vertical="center"/>
    </xf>
    <xf numFmtId="0" fontId="21" fillId="0" borderId="25" xfId="0" applyFont="1" applyBorder="1" applyAlignment="1">
      <alignment horizontal="center"/>
    </xf>
    <xf numFmtId="0" fontId="21" fillId="0" borderId="27" xfId="0" applyFont="1" applyBorder="1" applyAlignment="1">
      <alignment horizontal="center"/>
    </xf>
    <xf numFmtId="44" fontId="37" fillId="0" borderId="0" xfId="3" applyFont="1" applyAlignment="1">
      <alignment horizontal="center"/>
    </xf>
    <xf numFmtId="165" fontId="20" fillId="0" borderId="0" xfId="0" applyNumberFormat="1" applyFont="1" applyAlignment="1">
      <alignment horizontal="center"/>
    </xf>
    <xf numFmtId="0" fontId="28" fillId="0" borderId="0" xfId="0" applyFont="1"/>
    <xf numFmtId="0" fontId="20" fillId="0" borderId="0" xfId="0" applyFont="1" applyAlignment="1">
      <alignment horizontal="right" vertical="center"/>
    </xf>
    <xf numFmtId="0" fontId="43" fillId="0" borderId="0" xfId="0" applyFont="1"/>
    <xf numFmtId="10" fontId="37" fillId="0" borderId="16" xfId="2" applyNumberFormat="1" applyFont="1" applyFill="1" applyBorder="1"/>
    <xf numFmtId="0" fontId="18" fillId="0" borderId="32" xfId="0" applyFont="1" applyBorder="1"/>
    <xf numFmtId="0" fontId="23" fillId="0" borderId="34" xfId="0" applyFont="1" applyBorder="1" applyAlignment="1">
      <alignment horizontal="right"/>
    </xf>
    <xf numFmtId="0" fontId="22" fillId="0" borderId="32" xfId="0" applyFont="1" applyBorder="1"/>
    <xf numFmtId="0" fontId="22" fillId="0" borderId="34" xfId="0" applyFont="1" applyBorder="1" applyAlignment="1">
      <alignment horizontal="right"/>
    </xf>
    <xf numFmtId="0" fontId="22" fillId="0" borderId="34" xfId="0" applyFont="1" applyBorder="1"/>
    <xf numFmtId="0" fontId="18" fillId="0" borderId="34" xfId="0" applyFont="1" applyBorder="1"/>
    <xf numFmtId="0" fontId="33" fillId="0" borderId="7" xfId="0" applyFont="1" applyBorder="1" applyAlignment="1">
      <alignment horizontal="center" vertical="center"/>
    </xf>
    <xf numFmtId="10" fontId="33" fillId="0" borderId="0" xfId="2" applyNumberFormat="1" applyFont="1" applyBorder="1" applyAlignment="1">
      <alignment horizontal="center" vertical="center"/>
    </xf>
    <xf numFmtId="10" fontId="33" fillId="0" borderId="13" xfId="2" applyNumberFormat="1" applyFont="1" applyBorder="1" applyAlignment="1">
      <alignment horizontal="center" vertical="center"/>
    </xf>
    <xf numFmtId="0" fontId="36" fillId="0" borderId="7" xfId="0" applyFont="1" applyBorder="1"/>
    <xf numFmtId="0" fontId="36" fillId="0" borderId="13" xfId="0" applyFont="1" applyBorder="1"/>
    <xf numFmtId="0" fontId="23" fillId="0" borderId="16" xfId="0" applyFont="1" applyBorder="1" applyAlignment="1">
      <alignment horizontal="center" vertical="center"/>
    </xf>
    <xf numFmtId="0" fontId="52" fillId="0" borderId="0" xfId="0" applyFont="1"/>
    <xf numFmtId="0" fontId="23" fillId="0" borderId="16" xfId="0" applyFont="1" applyBorder="1" applyAlignment="1">
      <alignment horizontal="right"/>
    </xf>
    <xf numFmtId="2" fontId="33" fillId="0" borderId="16" xfId="0" applyNumberFormat="1" applyFont="1" applyBorder="1" applyAlignment="1">
      <alignment horizontal="center"/>
    </xf>
    <xf numFmtId="43" fontId="33" fillId="0" borderId="0" xfId="1" applyFont="1" applyBorder="1" applyAlignment="1">
      <alignment horizontal="center" vertical="center"/>
    </xf>
    <xf numFmtId="43" fontId="33" fillId="0" borderId="0" xfId="1" applyFont="1" applyBorder="1" applyAlignment="1">
      <alignment vertical="center"/>
    </xf>
    <xf numFmtId="10" fontId="33" fillId="0" borderId="0" xfId="2" applyNumberFormat="1" applyFont="1" applyBorder="1" applyAlignment="1">
      <alignment vertical="center"/>
    </xf>
    <xf numFmtId="10" fontId="0" fillId="0" borderId="0" xfId="2" applyNumberFormat="1" applyFont="1"/>
    <xf numFmtId="10" fontId="33" fillId="0" borderId="0" xfId="2" applyNumberFormat="1" applyFont="1" applyFill="1" applyBorder="1" applyAlignment="1">
      <alignment horizontal="center" vertical="center"/>
    </xf>
    <xf numFmtId="0" fontId="33" fillId="0" borderId="30" xfId="0" applyFont="1" applyBorder="1"/>
    <xf numFmtId="0" fontId="33" fillId="0" borderId="21" xfId="0" applyFont="1" applyBorder="1"/>
    <xf numFmtId="0" fontId="33" fillId="0" borderId="23" xfId="0" applyFont="1" applyBorder="1"/>
    <xf numFmtId="10" fontId="37" fillId="3" borderId="26" xfId="2" applyNumberFormat="1" applyFont="1" applyFill="1" applyBorder="1" applyAlignment="1">
      <alignment horizontal="center"/>
    </xf>
    <xf numFmtId="0" fontId="18" fillId="0" borderId="24" xfId="0" applyFont="1" applyBorder="1"/>
    <xf numFmtId="10" fontId="27" fillId="0" borderId="3" xfId="2" applyNumberFormat="1" applyFont="1" applyBorder="1" applyAlignment="1">
      <alignment horizontal="center" vertical="center"/>
    </xf>
    <xf numFmtId="10" fontId="22" fillId="0" borderId="0" xfId="2" applyNumberFormat="1" applyFont="1" applyAlignment="1">
      <alignment horizontal="center"/>
    </xf>
    <xf numFmtId="0" fontId="53" fillId="0" borderId="0" xfId="0" applyFont="1"/>
    <xf numFmtId="0" fontId="30" fillId="0" borderId="0" xfId="0" applyFont="1"/>
    <xf numFmtId="164" fontId="20" fillId="0" borderId="0" xfId="1" applyNumberFormat="1" applyFont="1" applyFill="1" applyAlignment="1">
      <alignment horizontal="center"/>
    </xf>
    <xf numFmtId="164" fontId="20" fillId="0" borderId="0" xfId="1" applyNumberFormat="1" applyFont="1" applyFill="1" applyAlignment="1"/>
    <xf numFmtId="2" fontId="23" fillId="0" borderId="16" xfId="0" applyNumberFormat="1" applyFont="1" applyBorder="1" applyAlignment="1">
      <alignment horizontal="center" vertical="center"/>
    </xf>
    <xf numFmtId="10" fontId="23" fillId="0" borderId="16" xfId="2" applyNumberFormat="1" applyFont="1" applyBorder="1" applyAlignment="1">
      <alignment horizontal="center" vertical="center"/>
    </xf>
    <xf numFmtId="10" fontId="37" fillId="0" borderId="27" xfId="2" applyNumberFormat="1" applyFont="1" applyBorder="1" applyAlignment="1">
      <alignment horizontal="center" vertical="center"/>
    </xf>
    <xf numFmtId="0" fontId="20" fillId="0" borderId="0" xfId="0" applyFont="1" applyAlignment="1">
      <alignment horizontal="center" vertical="center"/>
    </xf>
    <xf numFmtId="10" fontId="27" fillId="0" borderId="0" xfId="2" applyNumberFormat="1" applyFont="1" applyBorder="1" applyAlignment="1">
      <alignment horizontal="center" vertical="center"/>
    </xf>
    <xf numFmtId="0" fontId="27" fillId="0" borderId="8" xfId="0" applyFont="1" applyBorder="1" applyAlignment="1">
      <alignment horizontal="right" vertical="center"/>
    </xf>
    <xf numFmtId="0" fontId="29" fillId="0" borderId="17" xfId="0" applyFont="1" applyBorder="1" applyAlignment="1">
      <alignment horizontal="center"/>
    </xf>
    <xf numFmtId="10" fontId="20" fillId="0" borderId="0" xfId="0" applyNumberFormat="1" applyFont="1" applyAlignment="1">
      <alignment horizontal="center"/>
    </xf>
    <xf numFmtId="0" fontId="20" fillId="0" borderId="2" xfId="0" quotePrefix="1" applyFont="1" applyBorder="1" applyAlignment="1">
      <alignment horizontal="center"/>
    </xf>
    <xf numFmtId="0" fontId="6" fillId="0" borderId="0" xfId="0" applyFont="1"/>
    <xf numFmtId="0" fontId="54" fillId="0" borderId="0" xfId="0" applyFont="1" applyAlignment="1">
      <alignment horizontal="center"/>
    </xf>
    <xf numFmtId="0" fontId="36" fillId="0" borderId="0" xfId="0" applyFont="1" applyAlignment="1">
      <alignment horizontal="left"/>
    </xf>
    <xf numFmtId="0" fontId="51" fillId="0" borderId="0" xfId="0" applyFont="1" applyAlignment="1">
      <alignment horizontal="left"/>
    </xf>
    <xf numFmtId="0" fontId="55" fillId="0" borderId="0" xfId="0" applyFont="1"/>
    <xf numFmtId="0" fontId="36" fillId="0" borderId="0" xfId="0" applyFont="1" applyAlignment="1">
      <alignment horizontal="right"/>
    </xf>
    <xf numFmtId="0" fontId="36" fillId="0" borderId="2" xfId="0" applyFont="1" applyBorder="1" applyAlignment="1">
      <alignment horizontal="center"/>
    </xf>
    <xf numFmtId="0" fontId="51" fillId="0" borderId="0" xfId="0" applyFont="1"/>
    <xf numFmtId="10" fontId="27" fillId="0" borderId="10" xfId="2" applyNumberFormat="1" applyFont="1" applyFill="1" applyBorder="1" applyAlignment="1">
      <alignment horizontal="center" vertical="center"/>
    </xf>
    <xf numFmtId="168" fontId="37" fillId="0" borderId="16" xfId="1" applyNumberFormat="1" applyFont="1" applyFill="1" applyBorder="1"/>
    <xf numFmtId="15" fontId="33" fillId="0" borderId="24" xfId="0" applyNumberFormat="1" applyFont="1" applyBorder="1" applyAlignment="1">
      <alignment horizontal="center"/>
    </xf>
    <xf numFmtId="15" fontId="33" fillId="0" borderId="12" xfId="0" applyNumberFormat="1" applyFont="1" applyBorder="1" applyAlignment="1">
      <alignment horizontal="center"/>
    </xf>
    <xf numFmtId="15" fontId="33" fillId="0" borderId="13" xfId="0" applyNumberFormat="1" applyFont="1" applyBorder="1" applyAlignment="1">
      <alignment horizontal="center"/>
    </xf>
    <xf numFmtId="0" fontId="33" fillId="0" borderId="13" xfId="0" applyFont="1" applyBorder="1" applyAlignment="1">
      <alignment horizont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0" fillId="0" borderId="1" xfId="0" applyBorder="1"/>
    <xf numFmtId="0" fontId="33" fillId="0" borderId="1" xfId="0" applyFont="1" applyBorder="1" applyAlignment="1">
      <alignment horizontal="center"/>
    </xf>
    <xf numFmtId="10" fontId="37" fillId="0" borderId="1" xfId="2" applyNumberFormat="1" applyFont="1" applyFill="1" applyBorder="1" applyAlignment="1">
      <alignment horizontal="center"/>
    </xf>
    <xf numFmtId="43" fontId="37" fillId="0" borderId="1" xfId="1" applyFont="1" applyFill="1" applyBorder="1" applyAlignment="1">
      <alignment horizontal="center"/>
    </xf>
    <xf numFmtId="43" fontId="37" fillId="0" borderId="0" xfId="1" applyFont="1" applyAlignment="1">
      <alignment horizontal="center"/>
    </xf>
    <xf numFmtId="43" fontId="37" fillId="0" borderId="0" xfId="1" applyFont="1" applyFill="1" applyAlignment="1">
      <alignment horizontal="center"/>
    </xf>
    <xf numFmtId="0" fontId="50" fillId="0" borderId="0" xfId="0" applyFont="1" applyAlignment="1">
      <alignment horizontal="right"/>
    </xf>
    <xf numFmtId="2" fontId="50" fillId="0" borderId="0" xfId="0" applyNumberFormat="1" applyFont="1"/>
    <xf numFmtId="0" fontId="33" fillId="0" borderId="5" xfId="0" applyFont="1" applyBorder="1" applyAlignment="1">
      <alignment horizontal="center"/>
    </xf>
    <xf numFmtId="0" fontId="33" fillId="0" borderId="24" xfId="0" applyFont="1" applyBorder="1" applyAlignment="1">
      <alignment horizontal="center"/>
    </xf>
    <xf numFmtId="0" fontId="33" fillId="0" borderId="6" xfId="0" applyFont="1" applyBorder="1" applyAlignment="1">
      <alignment horizontal="center"/>
    </xf>
    <xf numFmtId="164" fontId="37" fillId="0" borderId="10" xfId="1" applyNumberFormat="1" applyFont="1" applyFill="1" applyBorder="1" applyAlignment="1">
      <alignment horizontal="center"/>
    </xf>
    <xf numFmtId="164" fontId="37" fillId="0" borderId="3" xfId="1" applyNumberFormat="1" applyFont="1" applyFill="1" applyBorder="1" applyAlignment="1">
      <alignment horizontal="center"/>
    </xf>
    <xf numFmtId="164" fontId="37" fillId="0" borderId="13" xfId="1" applyNumberFormat="1" applyFont="1" applyFill="1" applyBorder="1" applyAlignment="1">
      <alignment horizontal="center"/>
    </xf>
    <xf numFmtId="0" fontId="21" fillId="0" borderId="0" xfId="0" applyFont="1" applyAlignment="1">
      <alignment horizontal="center"/>
    </xf>
    <xf numFmtId="10" fontId="37" fillId="0" borderId="0" xfId="2" applyNumberFormat="1" applyFont="1" applyFill="1" applyBorder="1" applyAlignment="1">
      <alignment horizontal="center"/>
    </xf>
    <xf numFmtId="10" fontId="37" fillId="0" borderId="0" xfId="2" applyNumberFormat="1" applyFont="1" applyBorder="1" applyAlignment="1">
      <alignment horizontal="center" vertical="center"/>
    </xf>
    <xf numFmtId="10" fontId="27" fillId="0" borderId="3" xfId="2" applyNumberFormat="1" applyFont="1" applyFill="1" applyBorder="1" applyAlignment="1">
      <alignment horizontal="center" vertical="center"/>
    </xf>
    <xf numFmtId="0" fontId="23" fillId="0" borderId="19" xfId="0" applyFont="1" applyBorder="1" applyAlignment="1">
      <alignment horizontal="center" vertical="center"/>
    </xf>
    <xf numFmtId="0" fontId="27" fillId="0" borderId="32" xfId="0" applyFont="1" applyBorder="1"/>
    <xf numFmtId="0" fontId="18" fillId="0" borderId="33" xfId="0" applyFont="1" applyBorder="1"/>
    <xf numFmtId="0" fontId="33" fillId="0" borderId="32" xfId="0" applyFont="1" applyBorder="1"/>
    <xf numFmtId="0" fontId="33" fillId="4" borderId="20" xfId="0" applyFont="1" applyFill="1" applyBorder="1"/>
    <xf numFmtId="0" fontId="37" fillId="3" borderId="20" xfId="0" applyFont="1" applyFill="1" applyBorder="1"/>
    <xf numFmtId="0" fontId="33" fillId="0" borderId="32" xfId="0" applyFont="1" applyBorder="1" applyAlignment="1">
      <alignment horizontal="right"/>
    </xf>
    <xf numFmtId="43" fontId="33" fillId="0" borderId="0" xfId="0" applyNumberFormat="1" applyFont="1"/>
    <xf numFmtId="0" fontId="34" fillId="0" borderId="35" xfId="0" applyFont="1" applyBorder="1" applyAlignment="1">
      <alignment horizontal="center"/>
    </xf>
    <xf numFmtId="0" fontId="34" fillId="0" borderId="36" xfId="0" applyFont="1" applyBorder="1" applyAlignment="1">
      <alignment horizontal="center"/>
    </xf>
    <xf numFmtId="0" fontId="34" fillId="0" borderId="37" xfId="0" applyFont="1" applyBorder="1" applyAlignment="1">
      <alignment horizontal="center"/>
    </xf>
    <xf numFmtId="0" fontId="58" fillId="0" borderId="0" xfId="0" applyFont="1" applyAlignment="1">
      <alignment horizontal="left" vertical="top" wrapText="1"/>
    </xf>
    <xf numFmtId="0" fontId="27" fillId="0" borderId="28" xfId="0" applyFont="1" applyBorder="1" applyAlignment="1">
      <alignment horizontal="center"/>
    </xf>
    <xf numFmtId="0" fontId="36" fillId="3" borderId="26" xfId="0" applyFont="1" applyFill="1" applyBorder="1" applyAlignment="1">
      <alignment horizontal="center"/>
    </xf>
    <xf numFmtId="0" fontId="18" fillId="3" borderId="26" xfId="0" applyFont="1" applyFill="1" applyBorder="1" applyAlignment="1">
      <alignment horizontal="center"/>
    </xf>
    <xf numFmtId="0" fontId="36" fillId="3" borderId="27" xfId="0" applyFont="1" applyFill="1" applyBorder="1" applyAlignment="1">
      <alignment horizontal="center"/>
    </xf>
    <xf numFmtId="0" fontId="18" fillId="3" borderId="27" xfId="0" applyFont="1" applyFill="1" applyBorder="1" applyAlignment="1">
      <alignment horizontal="center"/>
    </xf>
    <xf numFmtId="0" fontId="18" fillId="3" borderId="29" xfId="0" applyFont="1" applyFill="1" applyBorder="1" applyAlignment="1">
      <alignment horizontal="center"/>
    </xf>
    <xf numFmtId="0" fontId="36" fillId="3" borderId="25" xfId="0" applyFont="1" applyFill="1" applyBorder="1" applyAlignment="1">
      <alignment horizontal="center"/>
    </xf>
    <xf numFmtId="0" fontId="18" fillId="3" borderId="30" xfId="0" applyFont="1" applyFill="1" applyBorder="1" applyAlignment="1">
      <alignment horizontal="center"/>
    </xf>
    <xf numFmtId="0" fontId="18" fillId="3" borderId="21" xfId="0" applyFont="1" applyFill="1" applyBorder="1" applyAlignment="1">
      <alignment horizontal="center"/>
    </xf>
    <xf numFmtId="0" fontId="18" fillId="3" borderId="23" xfId="0" applyFont="1" applyFill="1" applyBorder="1" applyAlignment="1">
      <alignment horizontal="center"/>
    </xf>
    <xf numFmtId="164" fontId="21" fillId="0" borderId="0" xfId="1" applyNumberFormat="1" applyFont="1" applyFill="1" applyAlignment="1">
      <alignment horizontal="center"/>
    </xf>
    <xf numFmtId="0" fontId="0" fillId="0" borderId="4" xfId="0" applyBorder="1"/>
    <xf numFmtId="0" fontId="0" fillId="0" borderId="33" xfId="0" applyBorder="1"/>
    <xf numFmtId="0" fontId="20" fillId="0" borderId="1" xfId="0" applyFont="1" applyBorder="1" applyAlignment="1">
      <alignment horizontal="right"/>
    </xf>
    <xf numFmtId="164" fontId="21" fillId="0" borderId="1" xfId="1" applyNumberFormat="1" applyFont="1" applyFill="1" applyBorder="1" applyAlignment="1">
      <alignment horizontal="center"/>
    </xf>
    <xf numFmtId="10" fontId="21" fillId="0" borderId="1" xfId="2" applyNumberFormat="1" applyFont="1" applyFill="1" applyBorder="1" applyAlignment="1">
      <alignment horizontal="center" vertical="center"/>
    </xf>
    <xf numFmtId="1" fontId="21" fillId="0" borderId="0" xfId="0" applyNumberFormat="1" applyFont="1" applyAlignment="1">
      <alignment horizontal="center"/>
    </xf>
    <xf numFmtId="43" fontId="37" fillId="0" borderId="0" xfId="1" applyFont="1" applyFill="1" applyAlignment="1">
      <alignment horizontal="right" vertical="center"/>
    </xf>
    <xf numFmtId="44" fontId="21" fillId="0" borderId="0" xfId="3" applyFont="1" applyFill="1" applyAlignment="1">
      <alignment horizontal="center"/>
    </xf>
    <xf numFmtId="10" fontId="21" fillId="0" borderId="0" xfId="2" applyNumberFormat="1" applyFont="1" applyFill="1" applyAlignment="1">
      <alignment horizontal="right" vertical="center"/>
    </xf>
    <xf numFmtId="10" fontId="21" fillId="0" borderId="1" xfId="2" applyNumberFormat="1" applyFont="1" applyFill="1" applyBorder="1" applyAlignment="1">
      <alignment horizontal="right" vertical="center"/>
    </xf>
    <xf numFmtId="43" fontId="21" fillId="0" borderId="0" xfId="1" applyFont="1" applyFill="1" applyAlignment="1">
      <alignment horizontal="center" vertical="center"/>
    </xf>
    <xf numFmtId="43" fontId="23" fillId="0" borderId="16" xfId="1" applyFont="1" applyFill="1" applyBorder="1" applyAlignment="1">
      <alignment horizontal="center" vertical="center"/>
    </xf>
    <xf numFmtId="165" fontId="21" fillId="0" borderId="0" xfId="3" applyNumberFormat="1" applyFont="1" applyFill="1" applyAlignment="1">
      <alignment horizontal="right"/>
    </xf>
    <xf numFmtId="170" fontId="18" fillId="0" borderId="0" xfId="0" applyNumberFormat="1" applyFont="1"/>
    <xf numFmtId="2" fontId="21" fillId="0" borderId="0" xfId="0" applyNumberFormat="1" applyFont="1" applyAlignment="1">
      <alignment horizontal="right" vertical="center"/>
    </xf>
    <xf numFmtId="0" fontId="33" fillId="0" borderId="1" xfId="0" applyFont="1" applyBorder="1" applyAlignment="1">
      <alignment horizontal="right"/>
    </xf>
    <xf numFmtId="10" fontId="33" fillId="0" borderId="1" xfId="2" applyNumberFormat="1" applyFont="1" applyBorder="1"/>
    <xf numFmtId="2" fontId="21" fillId="0" borderId="1" xfId="0" applyNumberFormat="1" applyFont="1" applyBorder="1" applyAlignment="1">
      <alignment horizontal="right" vertical="center"/>
    </xf>
    <xf numFmtId="166" fontId="21" fillId="0" borderId="0" xfId="1" applyNumberFormat="1" applyFont="1" applyFill="1" applyAlignment="1">
      <alignment horizontal="center" vertical="center"/>
    </xf>
    <xf numFmtId="0" fontId="18" fillId="0" borderId="0" xfId="0" applyFont="1" applyAlignment="1">
      <alignment horizontal="right"/>
    </xf>
    <xf numFmtId="0" fontId="18" fillId="0" borderId="21" xfId="0" applyFont="1" applyBorder="1"/>
    <xf numFmtId="0" fontId="18" fillId="0" borderId="23" xfId="0" applyFont="1" applyBorder="1"/>
    <xf numFmtId="10" fontId="27" fillId="0" borderId="0" xfId="2" applyNumberFormat="1" applyFont="1" applyAlignment="1">
      <alignment horizontal="left"/>
    </xf>
    <xf numFmtId="10" fontId="22" fillId="0" borderId="0" xfId="2" applyNumberFormat="1" applyFont="1" applyFill="1" applyAlignment="1">
      <alignment horizontal="center"/>
    </xf>
    <xf numFmtId="0" fontId="59" fillId="0" borderId="0" xfId="0" applyFont="1"/>
    <xf numFmtId="10" fontId="33" fillId="0" borderId="26" xfId="2" applyNumberFormat="1" applyFont="1" applyFill="1" applyBorder="1" applyAlignment="1">
      <alignment horizontal="center"/>
    </xf>
    <xf numFmtId="169" fontId="33" fillId="0" borderId="27" xfId="2" applyNumberFormat="1" applyFont="1" applyFill="1" applyBorder="1" applyAlignment="1">
      <alignment horizontal="center"/>
    </xf>
    <xf numFmtId="169" fontId="27" fillId="0" borderId="16" xfId="2" applyNumberFormat="1" applyFont="1" applyFill="1" applyBorder="1" applyAlignment="1">
      <alignment horizontal="center"/>
    </xf>
    <xf numFmtId="0" fontId="60" fillId="0" borderId="0" xfId="6" applyFont="1" applyFill="1" applyAlignment="1" applyProtection="1"/>
    <xf numFmtId="10" fontId="45" fillId="0" borderId="16" xfId="2" applyNumberFormat="1" applyFont="1" applyFill="1" applyBorder="1" applyAlignment="1">
      <alignment horizontal="center"/>
    </xf>
    <xf numFmtId="0" fontId="34" fillId="0" borderId="17" xfId="0" applyFont="1" applyBorder="1" applyAlignment="1">
      <alignment horizontal="center"/>
    </xf>
    <xf numFmtId="3" fontId="37" fillId="0" borderId="0" xfId="0" applyNumberFormat="1" applyFont="1"/>
    <xf numFmtId="43" fontId="37" fillId="0" borderId="1" xfId="1" applyFont="1" applyFill="1" applyBorder="1" applyAlignment="1">
      <alignment horizontal="right" vertical="center"/>
    </xf>
    <xf numFmtId="10" fontId="26" fillId="0" borderId="0" xfId="2" applyNumberFormat="1" applyFont="1" applyFill="1" applyAlignment="1">
      <alignment horizontal="right"/>
    </xf>
    <xf numFmtId="0" fontId="35" fillId="0" borderId="16" xfId="0" applyFont="1" applyBorder="1" applyAlignment="1">
      <alignment horizontal="center"/>
    </xf>
    <xf numFmtId="3" fontId="37" fillId="0" borderId="10" xfId="0" applyNumberFormat="1" applyFont="1" applyBorder="1"/>
    <xf numFmtId="2" fontId="37" fillId="0" borderId="3" xfId="0" applyNumberFormat="1" applyFont="1" applyBorder="1" applyAlignment="1">
      <alignment horizontal="center"/>
    </xf>
    <xf numFmtId="2" fontId="37" fillId="0" borderId="2" xfId="0" applyNumberFormat="1" applyFont="1" applyBorder="1" applyAlignment="1">
      <alignment horizontal="center"/>
    </xf>
    <xf numFmtId="165" fontId="21" fillId="0" borderId="0" xfId="3" applyNumberFormat="1" applyFont="1" applyFill="1" applyAlignment="1">
      <alignment horizontal="center"/>
    </xf>
    <xf numFmtId="3" fontId="37" fillId="0" borderId="3" xfId="0" applyNumberFormat="1" applyFont="1" applyBorder="1"/>
    <xf numFmtId="0" fontId="37" fillId="0" borderId="7" xfId="0" applyFont="1" applyBorder="1" applyAlignment="1">
      <alignment horizontal="center"/>
    </xf>
    <xf numFmtId="10" fontId="37" fillId="0" borderId="7" xfId="2" applyNumberFormat="1" applyFont="1" applyFill="1" applyBorder="1"/>
    <xf numFmtId="166" fontId="21" fillId="0" borderId="1" xfId="1" applyNumberFormat="1" applyFont="1" applyFill="1" applyBorder="1" applyAlignment="1">
      <alignment horizontal="center" vertical="center"/>
    </xf>
    <xf numFmtId="0" fontId="35" fillId="0" borderId="18" xfId="0" applyFont="1" applyBorder="1"/>
    <xf numFmtId="10" fontId="35" fillId="0" borderId="28" xfId="2" applyNumberFormat="1" applyFont="1" applyFill="1" applyBorder="1"/>
    <xf numFmtId="43" fontId="35" fillId="0" borderId="28" xfId="1" applyFont="1" applyFill="1" applyBorder="1"/>
    <xf numFmtId="43" fontId="21" fillId="0" borderId="1" xfId="1" applyFont="1" applyFill="1" applyBorder="1" applyAlignment="1">
      <alignment horizontal="right" vertical="center"/>
    </xf>
    <xf numFmtId="43" fontId="21" fillId="0" borderId="1" xfId="1" applyFont="1" applyFill="1" applyBorder="1" applyAlignment="1">
      <alignment horizontal="center" vertical="center"/>
    </xf>
    <xf numFmtId="2" fontId="61" fillId="0" borderId="0" xfId="0" applyNumberFormat="1" applyFont="1" applyAlignment="1">
      <alignment horizontal="center"/>
    </xf>
    <xf numFmtId="10" fontId="22" fillId="0" borderId="16" xfId="2" applyNumberFormat="1" applyFont="1" applyFill="1" applyBorder="1" applyAlignment="1">
      <alignment horizontal="center"/>
    </xf>
    <xf numFmtId="43" fontId="0" fillId="0" borderId="0" xfId="1" applyFont="1"/>
    <xf numFmtId="0" fontId="37" fillId="0" borderId="18" xfId="0" applyFont="1" applyBorder="1"/>
    <xf numFmtId="10" fontId="37" fillId="0" borderId="28" xfId="2" applyNumberFormat="1" applyFont="1" applyFill="1" applyBorder="1" applyAlignment="1">
      <alignment horizontal="center"/>
    </xf>
    <xf numFmtId="164" fontId="36" fillId="0" borderId="0" xfId="1" applyNumberFormat="1" applyFont="1"/>
    <xf numFmtId="2" fontId="37" fillId="0" borderId="0" xfId="0" applyNumberFormat="1" applyFont="1" applyAlignment="1">
      <alignment horizontal="right"/>
    </xf>
    <xf numFmtId="2" fontId="21" fillId="0" borderId="0" xfId="0" applyNumberFormat="1" applyFont="1" applyAlignment="1">
      <alignment horizontal="right"/>
    </xf>
    <xf numFmtId="10" fontId="20" fillId="0" borderId="0" xfId="0" applyNumberFormat="1" applyFont="1" applyAlignment="1">
      <alignment horizontal="right"/>
    </xf>
    <xf numFmtId="2" fontId="37" fillId="0" borderId="4" xfId="0" applyNumberFormat="1" applyFont="1" applyBorder="1" applyAlignment="1">
      <alignment horizontal="right"/>
    </xf>
    <xf numFmtId="10" fontId="21" fillId="0" borderId="1" xfId="2" applyNumberFormat="1" applyFont="1" applyBorder="1" applyAlignment="1">
      <alignment horizontal="right" vertical="center"/>
    </xf>
    <xf numFmtId="0" fontId="27" fillId="0" borderId="3" xfId="0" applyFont="1" applyBorder="1" applyAlignment="1">
      <alignment horizontal="center"/>
    </xf>
    <xf numFmtId="0" fontId="33" fillId="4" borderId="38" xfId="0" applyFont="1" applyFill="1" applyBorder="1"/>
    <xf numFmtId="10" fontId="37" fillId="4" borderId="38" xfId="2" applyNumberFormat="1" applyFont="1" applyFill="1" applyBorder="1" applyAlignment="1">
      <alignment horizontal="center"/>
    </xf>
    <xf numFmtId="0" fontId="18" fillId="0" borderId="20" xfId="0" applyFont="1" applyBorder="1"/>
    <xf numFmtId="10" fontId="18" fillId="0" borderId="20" xfId="2" applyNumberFormat="1" applyFont="1" applyFill="1" applyBorder="1"/>
    <xf numFmtId="10" fontId="18" fillId="0" borderId="20" xfId="0" applyNumberFormat="1" applyFont="1" applyBorder="1"/>
    <xf numFmtId="0" fontId="37" fillId="3" borderId="22" xfId="0" applyFont="1" applyFill="1" applyBorder="1"/>
    <xf numFmtId="10" fontId="37" fillId="3" borderId="27" xfId="2" applyNumberFormat="1" applyFont="1" applyFill="1" applyBorder="1" applyAlignment="1">
      <alignment horizontal="center"/>
    </xf>
    <xf numFmtId="10" fontId="37" fillId="0" borderId="8" xfId="2" applyNumberFormat="1" applyFont="1" applyFill="1" applyBorder="1"/>
    <xf numFmtId="0" fontId="26" fillId="0" borderId="0" xfId="0" applyFont="1" applyAlignment="1">
      <alignment horizontal="right" vertical="center"/>
    </xf>
    <xf numFmtId="0" fontId="18" fillId="0" borderId="8" xfId="0" applyFont="1" applyBorder="1"/>
    <xf numFmtId="0" fontId="18" fillId="0" borderId="14" xfId="0" applyFont="1" applyBorder="1"/>
    <xf numFmtId="0" fontId="0" fillId="0" borderId="8" xfId="0" applyBorder="1"/>
    <xf numFmtId="0" fontId="0" fillId="0" borderId="14" xfId="0" applyBorder="1"/>
    <xf numFmtId="10" fontId="37" fillId="4" borderId="26" xfId="2" applyNumberFormat="1" applyFont="1" applyFill="1" applyBorder="1" applyAlignment="1">
      <alignment horizontal="center"/>
    </xf>
    <xf numFmtId="0" fontId="33" fillId="4" borderId="26" xfId="0" applyFont="1" applyFill="1" applyBorder="1"/>
    <xf numFmtId="0" fontId="37" fillId="4" borderId="26" xfId="0" applyFont="1" applyFill="1" applyBorder="1"/>
    <xf numFmtId="0" fontId="37" fillId="3" borderId="26" xfId="0" applyFont="1" applyFill="1" applyBorder="1"/>
    <xf numFmtId="0" fontId="33" fillId="0" borderId="33" xfId="0" applyFont="1" applyBorder="1"/>
    <xf numFmtId="10" fontId="21" fillId="0" borderId="0" xfId="2" applyNumberFormat="1" applyFont="1" applyAlignment="1">
      <alignment horizontal="right"/>
    </xf>
    <xf numFmtId="10" fontId="21" fillId="0" borderId="4" xfId="2" applyNumberFormat="1" applyFont="1" applyFill="1" applyBorder="1" applyAlignment="1">
      <alignment horizontal="right"/>
    </xf>
    <xf numFmtId="10" fontId="26" fillId="0" borderId="4" xfId="2" applyNumberFormat="1" applyFont="1" applyFill="1" applyBorder="1" applyAlignment="1">
      <alignment horizontal="right"/>
    </xf>
    <xf numFmtId="10" fontId="21" fillId="0" borderId="4" xfId="2" applyNumberFormat="1" applyFont="1" applyBorder="1" applyAlignment="1">
      <alignment horizontal="right"/>
    </xf>
    <xf numFmtId="2" fontId="33" fillId="0" borderId="34" xfId="0" applyNumberFormat="1" applyFont="1" applyBorder="1" applyAlignment="1">
      <alignment horizontal="center"/>
    </xf>
    <xf numFmtId="10" fontId="23" fillId="0" borderId="16" xfId="2" applyNumberFormat="1" applyFont="1" applyFill="1" applyBorder="1" applyAlignment="1">
      <alignment horizontal="center" vertical="center"/>
    </xf>
    <xf numFmtId="10" fontId="23" fillId="0" borderId="16" xfId="2" applyNumberFormat="1" applyFont="1" applyFill="1" applyBorder="1" applyAlignment="1">
      <alignment horizontal="center"/>
    </xf>
    <xf numFmtId="0" fontId="36" fillId="3" borderId="0" xfId="0" applyFont="1" applyFill="1" applyAlignment="1">
      <alignment horizontal="center"/>
    </xf>
    <xf numFmtId="0" fontId="18" fillId="3" borderId="39" xfId="0" applyFont="1" applyFill="1" applyBorder="1" applyAlignment="1">
      <alignment horizontal="center"/>
    </xf>
    <xf numFmtId="0" fontId="36" fillId="3" borderId="1" xfId="0" applyFont="1" applyFill="1" applyBorder="1" applyAlignment="1">
      <alignment horizontal="center"/>
    </xf>
    <xf numFmtId="0" fontId="18" fillId="3" borderId="40" xfId="0" applyFont="1" applyFill="1" applyBorder="1" applyAlignment="1">
      <alignment horizontal="center"/>
    </xf>
    <xf numFmtId="0" fontId="18" fillId="3" borderId="41" xfId="0" applyFont="1" applyFill="1" applyBorder="1" applyAlignment="1">
      <alignment horizontal="center"/>
    </xf>
    <xf numFmtId="2" fontId="23" fillId="0" borderId="16" xfId="0" applyNumberFormat="1" applyFont="1" applyBorder="1" applyAlignment="1">
      <alignment horizontal="center"/>
    </xf>
    <xf numFmtId="2" fontId="35" fillId="0" borderId="28" xfId="0" applyNumberFormat="1" applyFont="1" applyBorder="1"/>
    <xf numFmtId="0" fontId="35" fillId="0" borderId="28" xfId="0" applyFont="1" applyBorder="1"/>
    <xf numFmtId="10" fontId="66" fillId="0" borderId="10" xfId="2" applyNumberFormat="1" applyFont="1" applyFill="1" applyBorder="1" applyAlignment="1">
      <alignment horizontal="center" vertical="center"/>
    </xf>
    <xf numFmtId="10" fontId="66" fillId="0" borderId="0" xfId="2" applyNumberFormat="1" applyFont="1" applyFill="1" applyBorder="1" applyAlignment="1">
      <alignment horizontal="center" vertical="center"/>
    </xf>
    <xf numFmtId="169" fontId="61" fillId="0" borderId="21" xfId="0" applyNumberFormat="1" applyFont="1" applyBorder="1" applyAlignment="1">
      <alignment horizontal="center" vertical="center"/>
    </xf>
    <xf numFmtId="169" fontId="61" fillId="0" borderId="26" xfId="0" applyNumberFormat="1" applyFont="1" applyBorder="1" applyAlignment="1">
      <alignment horizontal="center" vertical="center"/>
    </xf>
    <xf numFmtId="10" fontId="41" fillId="0" borderId="16" xfId="2" applyNumberFormat="1" applyFont="1" applyFill="1" applyBorder="1" applyAlignment="1">
      <alignment horizontal="center"/>
    </xf>
    <xf numFmtId="10" fontId="22" fillId="0" borderId="16" xfId="2" applyNumberFormat="1" applyFont="1" applyFill="1" applyBorder="1"/>
    <xf numFmtId="43" fontId="23" fillId="0" borderId="16" xfId="1" applyFont="1" applyFill="1" applyBorder="1" applyAlignment="1">
      <alignment horizontal="center"/>
    </xf>
    <xf numFmtId="166" fontId="23" fillId="0" borderId="16" xfId="1" applyNumberFormat="1" applyFont="1" applyFill="1" applyBorder="1" applyAlignment="1">
      <alignment horizontal="center"/>
    </xf>
    <xf numFmtId="0" fontId="29" fillId="0" borderId="0" xfId="0" applyFont="1"/>
    <xf numFmtId="10" fontId="67" fillId="0" borderId="0" xfId="2" applyNumberFormat="1" applyFont="1" applyFill="1" applyAlignment="1">
      <alignment horizontal="center"/>
    </xf>
    <xf numFmtId="169" fontId="33" fillId="0" borderId="25" xfId="2" applyNumberFormat="1" applyFont="1" applyFill="1" applyBorder="1" applyAlignment="1">
      <alignment horizontal="center"/>
    </xf>
    <xf numFmtId="10" fontId="23" fillId="0" borderId="32" xfId="2" applyNumberFormat="1" applyFont="1" applyFill="1" applyBorder="1" applyAlignment="1">
      <alignment horizontal="right"/>
    </xf>
    <xf numFmtId="10" fontId="23" fillId="0" borderId="34" xfId="0" applyNumberFormat="1" applyFont="1" applyBorder="1"/>
    <xf numFmtId="10" fontId="67" fillId="0" borderId="0" xfId="2" applyNumberFormat="1" applyFont="1" applyAlignment="1">
      <alignment horizontal="center"/>
    </xf>
    <xf numFmtId="0" fontId="45" fillId="0" borderId="0" xfId="0" applyFont="1"/>
    <xf numFmtId="0" fontId="21" fillId="0" borderId="29" xfId="0" applyFont="1" applyBorder="1" applyAlignment="1">
      <alignment horizontal="right"/>
    </xf>
    <xf numFmtId="0" fontId="21" fillId="0" borderId="30" xfId="0" applyFont="1" applyBorder="1" applyAlignment="1">
      <alignment horizontal="left"/>
    </xf>
    <xf numFmtId="0" fontId="21" fillId="0" borderId="20" xfId="0" applyFont="1" applyBorder="1" applyAlignment="1">
      <alignment horizontal="right"/>
    </xf>
    <xf numFmtId="0" fontId="21" fillId="0" borderId="21" xfId="0" applyFont="1" applyBorder="1" applyAlignment="1">
      <alignment horizontal="left"/>
    </xf>
    <xf numFmtId="0" fontId="21" fillId="0" borderId="22" xfId="0" applyFont="1" applyBorder="1" applyAlignment="1">
      <alignment horizontal="right"/>
    </xf>
    <xf numFmtId="0" fontId="21" fillId="0" borderId="23" xfId="0" applyFont="1" applyBorder="1" applyAlignment="1">
      <alignment horizontal="left"/>
    </xf>
    <xf numFmtId="0" fontId="68" fillId="0" borderId="30" xfId="0" applyFont="1" applyBorder="1" applyAlignment="1">
      <alignment horizontal="left"/>
    </xf>
    <xf numFmtId="0" fontId="68" fillId="0" borderId="21" xfId="0" applyFont="1" applyBorder="1" applyAlignment="1">
      <alignment horizontal="left"/>
    </xf>
    <xf numFmtId="0" fontId="68" fillId="0" borderId="23" xfId="0" applyFont="1" applyBorder="1" applyAlignment="1">
      <alignment horizontal="left"/>
    </xf>
    <xf numFmtId="0" fontId="46" fillId="0" borderId="0" xfId="6" applyFont="1"/>
    <xf numFmtId="0" fontId="46" fillId="0" borderId="0" xfId="6" applyFont="1" applyFill="1" applyAlignment="1" applyProtection="1"/>
    <xf numFmtId="0" fontId="70" fillId="0" borderId="7" xfId="0" applyFont="1" applyBorder="1" applyAlignment="1">
      <alignment horizontal="center" vertical="center"/>
    </xf>
    <xf numFmtId="10" fontId="70" fillId="0" borderId="0" xfId="2" applyNumberFormat="1" applyFont="1" applyFill="1" applyBorder="1" applyAlignment="1">
      <alignment horizontal="center" vertical="center"/>
    </xf>
    <xf numFmtId="0" fontId="69" fillId="0" borderId="0" xfId="0" applyFont="1" applyAlignment="1">
      <alignment horizontal="left"/>
    </xf>
    <xf numFmtId="0" fontId="21" fillId="0" borderId="7" xfId="0" applyFont="1" applyBorder="1"/>
    <xf numFmtId="0" fontId="71" fillId="0" borderId="0" xfId="0" applyFont="1"/>
    <xf numFmtId="0" fontId="72" fillId="0" borderId="7" xfId="0" applyFont="1" applyBorder="1"/>
    <xf numFmtId="0" fontId="70" fillId="0" borderId="0" xfId="0" applyFont="1"/>
    <xf numFmtId="0" fontId="72" fillId="0" borderId="0" xfId="0" applyFont="1"/>
    <xf numFmtId="15" fontId="33" fillId="0" borderId="7" xfId="0" quotePrefix="1" applyNumberFormat="1" applyFont="1" applyBorder="1" applyAlignment="1">
      <alignment horizontal="center"/>
    </xf>
    <xf numFmtId="2" fontId="37" fillId="0" borderId="7" xfId="0" applyNumberFormat="1" applyFont="1" applyBorder="1" applyAlignment="1">
      <alignment horizontal="center"/>
    </xf>
    <xf numFmtId="2" fontId="37" fillId="0" borderId="8" xfId="0" applyNumberFormat="1" applyFont="1" applyBorder="1" applyAlignment="1">
      <alignment horizontal="center"/>
    </xf>
    <xf numFmtId="15" fontId="33" fillId="0" borderId="24" xfId="0" quotePrefix="1" applyNumberFormat="1" applyFont="1" applyBorder="1" applyAlignment="1">
      <alignment horizontal="center"/>
    </xf>
    <xf numFmtId="0" fontId="26" fillId="0" borderId="10" xfId="0" applyFont="1" applyBorder="1" applyAlignment="1">
      <alignment horizontal="center"/>
    </xf>
    <xf numFmtId="3" fontId="37" fillId="5" borderId="10" xfId="0" applyNumberFormat="1" applyFont="1" applyFill="1" applyBorder="1"/>
    <xf numFmtId="10" fontId="21" fillId="0" borderId="4" xfId="2" applyNumberFormat="1" applyFont="1" applyFill="1" applyBorder="1" applyAlignment="1">
      <alignment horizontal="center"/>
    </xf>
    <xf numFmtId="0" fontId="37" fillId="4" borderId="27" xfId="0" applyFont="1" applyFill="1" applyBorder="1"/>
    <xf numFmtId="10" fontId="37" fillId="4" borderId="27" xfId="2" applyNumberFormat="1" applyFont="1" applyFill="1" applyBorder="1" applyAlignment="1">
      <alignment horizontal="center"/>
    </xf>
    <xf numFmtId="3" fontId="74" fillId="0" borderId="0" xfId="0" applyNumberFormat="1" applyFont="1"/>
    <xf numFmtId="0" fontId="75" fillId="0" borderId="0" xfId="0" applyFont="1"/>
    <xf numFmtId="0" fontId="37" fillId="0" borderId="10" xfId="0" applyFont="1" applyBorder="1"/>
    <xf numFmtId="0" fontId="73" fillId="0" borderId="0" xfId="0" applyFont="1"/>
    <xf numFmtId="3" fontId="37" fillId="5" borderId="3" xfId="0" applyNumberFormat="1" applyFont="1" applyFill="1" applyBorder="1"/>
    <xf numFmtId="0" fontId="76" fillId="0" borderId="0" xfId="6" applyFont="1" applyFill="1" applyAlignment="1" applyProtection="1"/>
    <xf numFmtId="0" fontId="36" fillId="0" borderId="24" xfId="0" applyFont="1" applyBorder="1"/>
    <xf numFmtId="15" fontId="33" fillId="0" borderId="10" xfId="0" quotePrefix="1" applyNumberFormat="1" applyFont="1" applyBorder="1" applyAlignment="1">
      <alignment horizontal="center"/>
    </xf>
    <xf numFmtId="10" fontId="37" fillId="0" borderId="10" xfId="2" applyNumberFormat="1" applyFont="1" applyFill="1" applyBorder="1"/>
    <xf numFmtId="10" fontId="37" fillId="0" borderId="3" xfId="2" applyNumberFormat="1" applyFont="1" applyFill="1" applyBorder="1"/>
    <xf numFmtId="0" fontId="36" fillId="0" borderId="10" xfId="0" applyFont="1" applyBorder="1"/>
    <xf numFmtId="164" fontId="37" fillId="0" borderId="10" xfId="1" applyNumberFormat="1" applyFont="1" applyFill="1" applyBorder="1"/>
    <xf numFmtId="164" fontId="37" fillId="5" borderId="10" xfId="1" applyNumberFormat="1" applyFont="1" applyFill="1" applyBorder="1"/>
    <xf numFmtId="0" fontId="0" fillId="0" borderId="24" xfId="0" applyBorder="1"/>
    <xf numFmtId="164" fontId="37" fillId="0" borderId="3" xfId="1" applyNumberFormat="1" applyFont="1" applyFill="1" applyBorder="1"/>
    <xf numFmtId="0" fontId="27" fillId="3" borderId="25" xfId="0" applyFont="1" applyFill="1" applyBorder="1" applyAlignment="1">
      <alignment horizontal="center"/>
    </xf>
    <xf numFmtId="10" fontId="21" fillId="3" borderId="24" xfId="2" applyNumberFormat="1" applyFont="1" applyFill="1" applyBorder="1" applyAlignment="1">
      <alignment horizontal="center"/>
    </xf>
    <xf numFmtId="10" fontId="21" fillId="3" borderId="10" xfId="2" applyNumberFormat="1" applyFont="1" applyFill="1" applyBorder="1" applyAlignment="1">
      <alignment horizontal="center"/>
    </xf>
    <xf numFmtId="10" fontId="21" fillId="3" borderId="3" xfId="2" applyNumberFormat="1" applyFont="1" applyFill="1" applyBorder="1" applyAlignment="1">
      <alignment horizontal="center"/>
    </xf>
    <xf numFmtId="10" fontId="21" fillId="3" borderId="3" xfId="1" applyNumberFormat="1" applyFont="1" applyFill="1" applyBorder="1" applyAlignment="1">
      <alignment horizontal="center"/>
    </xf>
    <xf numFmtId="10" fontId="21" fillId="3" borderId="24" xfId="1" applyNumberFormat="1" applyFont="1" applyFill="1" applyBorder="1" applyAlignment="1">
      <alignment horizontal="center"/>
    </xf>
    <xf numFmtId="10" fontId="21" fillId="3" borderId="10" xfId="1" applyNumberFormat="1" applyFont="1" applyFill="1" applyBorder="1" applyAlignment="1">
      <alignment horizontal="center"/>
    </xf>
    <xf numFmtId="0" fontId="36" fillId="3" borderId="29" xfId="0" applyFont="1" applyFill="1" applyBorder="1" applyAlignment="1">
      <alignment horizontal="center"/>
    </xf>
    <xf numFmtId="0" fontId="63" fillId="3" borderId="24" xfId="0" applyFont="1" applyFill="1" applyBorder="1"/>
    <xf numFmtId="0" fontId="36" fillId="3" borderId="20" xfId="0" applyFont="1" applyFill="1" applyBorder="1" applyAlignment="1">
      <alignment horizontal="center"/>
    </xf>
    <xf numFmtId="0" fontId="63" fillId="3" borderId="10" xfId="0" applyFont="1" applyFill="1" applyBorder="1"/>
    <xf numFmtId="0" fontId="36" fillId="3" borderId="22" xfId="0" applyFont="1" applyFill="1" applyBorder="1" applyAlignment="1">
      <alignment horizontal="center"/>
    </xf>
    <xf numFmtId="0" fontId="63" fillId="3" borderId="3" xfId="0" applyFont="1" applyFill="1" applyBorder="1"/>
    <xf numFmtId="0" fontId="63" fillId="3" borderId="16" xfId="0" applyFont="1" applyFill="1" applyBorder="1"/>
    <xf numFmtId="10" fontId="48" fillId="0" borderId="0" xfId="2" applyNumberFormat="1" applyFont="1" applyFill="1" applyAlignment="1">
      <alignment horizontal="center"/>
    </xf>
    <xf numFmtId="10" fontId="37" fillId="0" borderId="0" xfId="2" applyNumberFormat="1" applyFont="1" applyFill="1" applyAlignment="1">
      <alignment horizontal="right"/>
    </xf>
    <xf numFmtId="10" fontId="21" fillId="0" borderId="0" xfId="1" applyNumberFormat="1" applyFont="1" applyFill="1" applyAlignment="1">
      <alignment horizontal="right" vertical="center"/>
    </xf>
    <xf numFmtId="10" fontId="21" fillId="0" borderId="1" xfId="1" applyNumberFormat="1" applyFont="1" applyFill="1" applyBorder="1" applyAlignment="1">
      <alignment horizontal="right" vertical="center"/>
    </xf>
    <xf numFmtId="0" fontId="64" fillId="0" borderId="0" xfId="0" applyFont="1" applyAlignment="1">
      <alignment horizontal="center"/>
    </xf>
    <xf numFmtId="0" fontId="65"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9" fillId="0" borderId="0" xfId="0" applyFont="1" applyAlignment="1">
      <alignment horizontal="left" vertical="top" wrapText="1"/>
    </xf>
    <xf numFmtId="0" fontId="62" fillId="3" borderId="24" xfId="0" applyFont="1" applyFill="1" applyBorder="1" applyAlignment="1">
      <alignment horizontal="center" vertical="center"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400049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199314</xdr:colOff>
      <xdr:row>39</xdr:row>
      <xdr:rowOff>170524</xdr:rowOff>
    </xdr:to>
    <xdr:pic>
      <xdr:nvPicPr>
        <xdr:cNvPr id="3" name="Picture 2">
          <a:extLst>
            <a:ext uri="{FF2B5EF4-FFF2-40B4-BE49-F238E27FC236}">
              <a16:creationId xmlns:a16="http://schemas.microsoft.com/office/drawing/2014/main" id="{9B322872-F7F9-EA15-6D70-2F4FC2808118}"/>
            </a:ext>
          </a:extLst>
        </xdr:cNvPr>
        <xdr:cNvPicPr>
          <a:picLocks noChangeAspect="1"/>
        </xdr:cNvPicPr>
      </xdr:nvPicPr>
      <xdr:blipFill>
        <a:blip xmlns:r="http://schemas.openxmlformats.org/officeDocument/2006/relationships" r:embed="rId1"/>
        <a:stretch>
          <a:fillRect/>
        </a:stretch>
      </xdr:blipFill>
      <xdr:spPr>
        <a:xfrm>
          <a:off x="609600" y="190500"/>
          <a:ext cx="5685714" cy="7409524"/>
        </a:xfrm>
        <a:prstGeom prst="rect">
          <a:avLst/>
        </a:prstGeom>
      </xdr:spPr>
    </xdr:pic>
    <xdr:clientData/>
  </xdr:twoCellAnchor>
  <xdr:twoCellAnchor editAs="oneCell">
    <xdr:from>
      <xdr:col>12</xdr:col>
      <xdr:colOff>0</xdr:colOff>
      <xdr:row>2</xdr:row>
      <xdr:rowOff>0</xdr:rowOff>
    </xdr:from>
    <xdr:to>
      <xdr:col>21</xdr:col>
      <xdr:colOff>132648</xdr:colOff>
      <xdr:row>40</xdr:row>
      <xdr:rowOff>161000</xdr:rowOff>
    </xdr:to>
    <xdr:pic>
      <xdr:nvPicPr>
        <xdr:cNvPr id="6" name="Picture 5">
          <a:extLst>
            <a:ext uri="{FF2B5EF4-FFF2-40B4-BE49-F238E27FC236}">
              <a16:creationId xmlns:a16="http://schemas.microsoft.com/office/drawing/2014/main" id="{00BE0196-8D84-3591-DBE9-F41510A8019A}"/>
            </a:ext>
          </a:extLst>
        </xdr:cNvPr>
        <xdr:cNvPicPr>
          <a:picLocks noChangeAspect="1"/>
        </xdr:cNvPicPr>
      </xdr:nvPicPr>
      <xdr:blipFill>
        <a:blip xmlns:r="http://schemas.openxmlformats.org/officeDocument/2006/relationships" r:embed="rId2"/>
        <a:stretch>
          <a:fillRect/>
        </a:stretch>
      </xdr:blipFill>
      <xdr:spPr>
        <a:xfrm>
          <a:off x="7315200" y="381000"/>
          <a:ext cx="5619048" cy="74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cbo.gov/about/products/budget-economic-data" TargetMode="External"/><Relationship Id="rId13" Type="http://schemas.openxmlformats.org/officeDocument/2006/relationships/hyperlink" Target="https://www.cbo.gov/system/files/2021-02/56970-Outlook.p" TargetMode="External"/><Relationship Id="rId18" Type="http://schemas.openxmlformats.org/officeDocument/2006/relationships/printerSettings" Target="../printerSettings/printerSettings14.bin"/><Relationship Id="rId3" Type="http://schemas.openxmlformats.org/officeDocument/2006/relationships/hyperlink" Target="https://www.federalreserve.gov/monetarypolicy/files/fomcprojtabl20221214.pdf" TargetMode="External"/><Relationship Id="rId7" Type="http://schemas.openxmlformats.org/officeDocument/2006/relationships/hyperlink" Target="https://www.philadelphiafed.org/research-and-data/real-time-center/livingston-survey" TargetMode="External"/><Relationship Id="rId12" Type="http://schemas.openxmlformats.org/officeDocument/2006/relationships/hyperlink" Target="https://www.federalreserve.gov/datadownload/Preview.aspx?pi=400&amp;rel=H15&amp;preview=%20H15/H15/RIFLGFCY05_N.WF" TargetMode="External"/><Relationship Id="rId17" Type="http://schemas.openxmlformats.org/officeDocument/2006/relationships/hyperlink" Target="https://www.cbo.gov/publication/59933" TargetMode="External"/><Relationship Id="rId2" Type="http://schemas.openxmlformats.org/officeDocument/2006/relationships/hyperlink" Target="http://www.federalreserve.gov/" TargetMode="External"/><Relationship Id="rId16" Type="http://schemas.openxmlformats.org/officeDocument/2006/relationships/hyperlink" Target="https://www.philadelphiafed.org/-/media/frbp/assets/surveys-and-data/survey-of-professional-forecasters/2024/spfq124.pdf" TargetMode="External"/><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publication/59933" TargetMode="External"/><Relationship Id="rId11" Type="http://schemas.openxmlformats.org/officeDocument/2006/relationships/hyperlink" Target="http://www.federalreserve.gov/Releases/H15/Current/" TargetMode="External"/><Relationship Id="rId5" Type="http://schemas.openxmlformats.org/officeDocument/2006/relationships/hyperlink" Target="http://www.worldbank.org/en/publication/global-economic-prospects" TargetMode="External"/><Relationship Id="rId15" Type="http://schemas.openxmlformats.org/officeDocument/2006/relationships/hyperlink" Target="https://www.federalreserve.gov/monetarypolicy/files/fomcprojtabl20231213.pdf" TargetMode="External"/><Relationship Id="rId10" Type="http://schemas.openxmlformats.org/officeDocument/2006/relationships/hyperlink" Target="https://www.philadelphiafed.org/research-and-data/real-time-center/livingston-survey" TargetMode="External"/><Relationship Id="rId4" Type="http://schemas.openxmlformats.org/officeDocument/2006/relationships/hyperlink" Target="https://tradingeconomics.com/united-states/gdp-growth" TargetMode="External"/><Relationship Id="rId9" Type="http://schemas.openxmlformats.org/officeDocument/2006/relationships/hyperlink" Target="https://www.philadelphiafed.org/surveys-and-data/real-time-data-research/survey-of-professional-forecasters" TargetMode="External"/><Relationship Id="rId14" Type="http://schemas.openxmlformats.org/officeDocument/2006/relationships/hyperlink" Target="https://www.federalreserve.gov/monetarypolicy/files/fomcprojtabl20231213.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80" zoomScaleNormal="100" zoomScaleSheetLayoutView="80" workbookViewId="0">
      <selection activeCell="A10" sqref="A10"/>
    </sheetView>
  </sheetViews>
  <sheetFormatPr defaultRowHeight="14.5"/>
  <cols>
    <col min="9" max="9" width="16.453125" customWidth="1"/>
  </cols>
  <sheetData>
    <row r="1" spans="1:13" ht="18.5">
      <c r="A1" s="463" t="s">
        <v>0</v>
      </c>
      <c r="B1" s="464"/>
      <c r="C1" s="464"/>
      <c r="D1" s="464"/>
      <c r="E1" s="464"/>
      <c r="F1" s="464"/>
      <c r="G1" s="464"/>
      <c r="H1" s="464"/>
      <c r="I1" s="464"/>
    </row>
    <row r="5" spans="1:13" ht="27.5">
      <c r="E5" s="465" t="s">
        <v>0</v>
      </c>
      <c r="F5" s="466"/>
      <c r="G5" s="466"/>
      <c r="H5" s="466"/>
      <c r="I5" s="466"/>
      <c r="J5" s="466"/>
      <c r="K5" s="466"/>
      <c r="L5" s="466"/>
      <c r="M5" s="466"/>
    </row>
    <row r="7" spans="1:13" ht="27.5">
      <c r="A7" s="467" t="s">
        <v>31</v>
      </c>
      <c r="B7" s="468"/>
      <c r="C7" s="468"/>
      <c r="D7" s="468"/>
      <c r="E7" s="468"/>
      <c r="F7" s="468"/>
      <c r="G7" s="468"/>
      <c r="H7" s="468"/>
      <c r="I7" s="468"/>
    </row>
    <row r="8" spans="1:13" ht="27.5">
      <c r="A8" s="6"/>
      <c r="B8" s="7"/>
      <c r="C8" s="7"/>
      <c r="D8" s="7"/>
      <c r="E8" s="465" t="s">
        <v>0</v>
      </c>
      <c r="F8" s="466"/>
      <c r="G8" s="466"/>
      <c r="H8" s="466"/>
      <c r="I8" s="466"/>
      <c r="J8" s="466"/>
      <c r="K8" s="466"/>
      <c r="L8" s="466"/>
      <c r="M8" s="466"/>
    </row>
    <row r="9" spans="1:13" ht="27.5">
      <c r="A9" s="465" t="s">
        <v>456</v>
      </c>
      <c r="B9" s="466"/>
      <c r="C9" s="466"/>
      <c r="D9" s="466"/>
      <c r="E9" s="466"/>
      <c r="F9" s="466"/>
      <c r="G9" s="466"/>
      <c r="H9" s="466"/>
      <c r="I9" s="466"/>
    </row>
    <row r="15" spans="1:13">
      <c r="A15" s="460" t="s">
        <v>0</v>
      </c>
      <c r="B15" s="461"/>
      <c r="C15" s="461"/>
      <c r="D15" s="461"/>
      <c r="E15" s="461"/>
      <c r="F15" s="461"/>
      <c r="G15" s="461"/>
      <c r="H15" s="461"/>
      <c r="I15" s="461"/>
    </row>
    <row r="16" spans="1:13" ht="26">
      <c r="A16" s="458" t="str">
        <f>+'S&amp;D'!A12</f>
        <v>Electric Wholesale (non-regulated) Power Generator</v>
      </c>
      <c r="B16" s="459"/>
      <c r="C16" s="459"/>
      <c r="D16" s="459"/>
      <c r="E16" s="459"/>
      <c r="F16" s="459"/>
      <c r="G16" s="459"/>
      <c r="H16" s="459"/>
      <c r="I16" s="459"/>
    </row>
    <row r="17" spans="1:9">
      <c r="A17" s="460" t="s">
        <v>0</v>
      </c>
      <c r="B17" s="461"/>
      <c r="C17" s="461"/>
      <c r="D17" s="461"/>
      <c r="E17" s="461"/>
      <c r="F17" s="461"/>
      <c r="G17" s="461"/>
      <c r="H17" s="461"/>
      <c r="I17" s="461"/>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60" t="s">
        <v>0</v>
      </c>
      <c r="B29" s="461"/>
      <c r="C29" s="461"/>
      <c r="D29" s="461"/>
      <c r="E29" s="461"/>
      <c r="F29" s="461"/>
      <c r="G29" s="461"/>
      <c r="H29" s="461"/>
      <c r="I29" s="461"/>
    </row>
    <row r="34" spans="1:9">
      <c r="A34" s="462"/>
      <c r="B34" s="462"/>
      <c r="C34" s="462"/>
      <c r="D34" s="462"/>
      <c r="E34" s="462"/>
      <c r="F34" s="462"/>
      <c r="G34" s="462"/>
      <c r="H34" s="462"/>
      <c r="I34" s="462"/>
    </row>
    <row r="35" spans="1:9">
      <c r="A35" s="462"/>
      <c r="B35" s="462"/>
      <c r="C35" s="462"/>
      <c r="D35" s="462"/>
      <c r="E35" s="462"/>
      <c r="F35" s="462"/>
      <c r="G35" s="462"/>
      <c r="H35" s="462"/>
      <c r="I35" s="462"/>
    </row>
    <row r="36" spans="1:9">
      <c r="A36" s="462"/>
      <c r="B36" s="462"/>
      <c r="C36" s="462"/>
      <c r="D36" s="462"/>
      <c r="E36" s="462"/>
      <c r="F36" s="462"/>
      <c r="G36" s="462"/>
      <c r="H36" s="462"/>
      <c r="I36" s="462"/>
    </row>
    <row r="37" spans="1:9">
      <c r="A37" s="462"/>
      <c r="B37" s="462"/>
      <c r="C37" s="462"/>
      <c r="D37" s="462"/>
      <c r="E37" s="462"/>
      <c r="F37" s="462"/>
      <c r="G37" s="462"/>
      <c r="H37" s="462"/>
      <c r="I37" s="462"/>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P34"/>
  <sheetViews>
    <sheetView view="pageBreakPreview" zoomScale="70" zoomScaleNormal="80" zoomScaleSheetLayoutView="70" workbookViewId="0">
      <selection activeCell="H23" sqref="H23"/>
    </sheetView>
  </sheetViews>
  <sheetFormatPr defaultRowHeight="14.5"/>
  <cols>
    <col min="1" max="1" width="54.1796875" customWidth="1"/>
    <col min="2" max="2" width="13.1796875" customWidth="1"/>
    <col min="3" max="3" width="20.54296875" customWidth="1"/>
    <col min="4" max="4" width="21.7265625" customWidth="1"/>
    <col min="5" max="5" width="24.1796875" customWidth="1"/>
    <col min="6" max="6" width="22.26953125" customWidth="1"/>
    <col min="7" max="7" width="23.81640625" customWidth="1"/>
    <col min="8" max="8" width="22.7265625" customWidth="1"/>
    <col min="9" max="9" width="15" customWidth="1"/>
    <col min="10" max="10" width="14.1796875" bestFit="1" customWidth="1"/>
  </cols>
  <sheetData>
    <row r="1" spans="1:11" ht="25.5">
      <c r="A1" s="24" t="s">
        <v>1</v>
      </c>
      <c r="B1" s="12"/>
      <c r="C1" s="12"/>
      <c r="D1" s="12"/>
      <c r="E1" s="12"/>
      <c r="F1" s="12"/>
      <c r="G1" s="12"/>
      <c r="H1" s="12"/>
      <c r="I1" s="12"/>
      <c r="J1" s="12"/>
      <c r="K1" s="12"/>
    </row>
    <row r="2" spans="1:11" ht="17.5">
      <c r="A2" s="25" t="s">
        <v>9</v>
      </c>
      <c r="B2" s="12"/>
      <c r="C2" s="12"/>
      <c r="D2" s="12"/>
      <c r="E2" s="12"/>
      <c r="F2" s="12"/>
      <c r="G2" s="12"/>
      <c r="H2" s="12"/>
      <c r="I2" s="12"/>
      <c r="J2" s="12"/>
      <c r="K2" s="12"/>
    </row>
    <row r="3" spans="1:11" ht="17">
      <c r="A3" s="26" t="s">
        <v>457</v>
      </c>
      <c r="B3" s="12"/>
      <c r="C3" s="12"/>
      <c r="D3" s="12"/>
      <c r="E3" s="12"/>
      <c r="F3" s="12"/>
      <c r="G3" s="12"/>
      <c r="H3" s="12"/>
      <c r="I3" s="12"/>
      <c r="J3" s="12"/>
      <c r="K3" s="12"/>
    </row>
    <row r="4" spans="1:11" ht="17">
      <c r="A4" s="26"/>
      <c r="B4" s="12"/>
      <c r="C4" s="12"/>
      <c r="D4" s="12"/>
      <c r="E4" s="12"/>
      <c r="F4" s="12"/>
      <c r="G4" s="12"/>
      <c r="H4" s="12"/>
      <c r="I4" s="12"/>
      <c r="J4" s="12"/>
      <c r="K4" s="12"/>
    </row>
    <row r="5" spans="1:11" ht="17.5" thickBot="1">
      <c r="A5" s="12"/>
      <c r="B5" s="12"/>
      <c r="C5" s="12"/>
      <c r="D5" s="12"/>
      <c r="E5" s="12"/>
      <c r="F5" s="27" t="s">
        <v>0</v>
      </c>
      <c r="G5" s="27"/>
      <c r="H5" s="12"/>
      <c r="I5" s="12"/>
      <c r="J5" s="12"/>
      <c r="K5" s="12"/>
    </row>
    <row r="6" spans="1:11" ht="21.5" thickBot="1">
      <c r="A6" s="267" t="str">
        <f>+'S&amp;D'!A12</f>
        <v>Electric Wholesale (non-regulated) Power Generator</v>
      </c>
      <c r="B6" s="197"/>
      <c r="C6" s="12"/>
      <c r="D6" s="29"/>
      <c r="E6" s="29"/>
      <c r="F6" s="29"/>
      <c r="G6" s="12"/>
      <c r="H6" s="12"/>
      <c r="I6" s="12"/>
      <c r="J6" s="12"/>
      <c r="K6" s="12"/>
    </row>
    <row r="7" spans="1:11" ht="25.5">
      <c r="A7" s="31"/>
      <c r="B7" s="12"/>
      <c r="C7" s="12"/>
      <c r="D7" s="12"/>
      <c r="E7" s="32" t="s">
        <v>206</v>
      </c>
      <c r="F7" s="12"/>
      <c r="G7" s="12"/>
      <c r="H7" s="12"/>
      <c r="I7" s="12"/>
      <c r="J7" s="12"/>
      <c r="K7" s="12"/>
    </row>
    <row r="8" spans="1:11" ht="17.5" thickBot="1">
      <c r="A8" s="41" t="s">
        <v>0</v>
      </c>
      <c r="B8" s="41" t="s">
        <v>0</v>
      </c>
      <c r="C8" s="41" t="s">
        <v>0</v>
      </c>
      <c r="D8" s="34" t="s">
        <v>0</v>
      </c>
      <c r="E8" s="37" t="s">
        <v>458</v>
      </c>
      <c r="F8" s="34" t="s">
        <v>0</v>
      </c>
      <c r="G8" s="41"/>
      <c r="H8" s="41" t="s">
        <v>0</v>
      </c>
      <c r="I8" s="41" t="s">
        <v>0</v>
      </c>
      <c r="J8" s="12"/>
      <c r="K8" s="12"/>
    </row>
    <row r="9" spans="1:11" ht="17">
      <c r="A9" s="41"/>
      <c r="B9" s="41"/>
      <c r="H9" s="41"/>
      <c r="I9" s="41"/>
      <c r="J9" s="12"/>
      <c r="K9" s="12"/>
    </row>
    <row r="10" spans="1:11" ht="17">
      <c r="A10" s="41"/>
      <c r="B10" s="41"/>
      <c r="H10" s="41"/>
      <c r="I10" s="41"/>
      <c r="J10" s="12"/>
      <c r="K10" s="12"/>
    </row>
    <row r="11" spans="1:11" ht="17">
      <c r="A11" s="41"/>
      <c r="B11" s="41"/>
      <c r="E11" t="s">
        <v>0</v>
      </c>
      <c r="H11" s="41"/>
      <c r="I11" s="41"/>
      <c r="J11" s="12"/>
      <c r="K11" s="12"/>
    </row>
    <row r="12" spans="1:11" ht="17.5" thickBot="1">
      <c r="A12" s="34"/>
      <c r="B12" s="34"/>
      <c r="C12" s="152"/>
      <c r="D12" s="152"/>
      <c r="E12" s="152"/>
      <c r="F12" s="152"/>
      <c r="G12" s="152"/>
      <c r="H12" s="34"/>
      <c r="I12" s="34"/>
      <c r="J12" s="29"/>
      <c r="K12" s="12"/>
    </row>
    <row r="13" spans="1:11" ht="11.25" customHeight="1" thickBot="1">
      <c r="A13" s="34" t="s">
        <v>24</v>
      </c>
      <c r="B13" s="34" t="s">
        <v>102</v>
      </c>
      <c r="C13" s="34" t="s">
        <v>103</v>
      </c>
      <c r="D13" s="42" t="s">
        <v>104</v>
      </c>
      <c r="E13" s="34" t="s">
        <v>105</v>
      </c>
      <c r="F13" s="34" t="s">
        <v>106</v>
      </c>
      <c r="G13" s="34" t="s">
        <v>107</v>
      </c>
      <c r="H13" s="34" t="s">
        <v>108</v>
      </c>
      <c r="I13" s="34" t="s">
        <v>109</v>
      </c>
      <c r="J13" s="34" t="s">
        <v>110</v>
      </c>
      <c r="K13" s="12"/>
    </row>
    <row r="14" spans="1:11" ht="17">
      <c r="A14" s="35" t="s">
        <v>0</v>
      </c>
      <c r="B14" s="35" t="s">
        <v>3</v>
      </c>
      <c r="C14" s="35" t="s">
        <v>97</v>
      </c>
      <c r="D14" s="35" t="s">
        <v>130</v>
      </c>
      <c r="E14" s="35" t="s">
        <v>131</v>
      </c>
      <c r="F14" s="35" t="s">
        <v>130</v>
      </c>
      <c r="G14" s="35" t="s">
        <v>131</v>
      </c>
      <c r="H14" s="35" t="s">
        <v>19</v>
      </c>
      <c r="I14" s="35" t="s">
        <v>132</v>
      </c>
      <c r="J14" s="35" t="s">
        <v>144</v>
      </c>
      <c r="K14" s="12"/>
    </row>
    <row r="15" spans="1:11" ht="17.5" thickBot="1">
      <c r="A15" s="37" t="s">
        <v>2</v>
      </c>
      <c r="B15" s="37" t="s">
        <v>4</v>
      </c>
      <c r="C15" s="37" t="s">
        <v>129</v>
      </c>
      <c r="D15" s="37" t="s">
        <v>96</v>
      </c>
      <c r="E15" s="37" t="s">
        <v>96</v>
      </c>
      <c r="F15" s="37" t="s">
        <v>97</v>
      </c>
      <c r="G15" s="37" t="s">
        <v>97</v>
      </c>
      <c r="H15" s="37" t="s">
        <v>130</v>
      </c>
      <c r="I15" s="37" t="s">
        <v>133</v>
      </c>
      <c r="J15" s="37" t="s">
        <v>143</v>
      </c>
      <c r="K15" s="12"/>
    </row>
    <row r="16" spans="1:11" ht="17">
      <c r="A16" s="43" t="s">
        <v>7</v>
      </c>
      <c r="B16" s="43" t="s">
        <v>7</v>
      </c>
      <c r="C16" s="43" t="s">
        <v>146</v>
      </c>
      <c r="D16" s="43" t="s">
        <v>146</v>
      </c>
      <c r="E16" s="43" t="s">
        <v>146</v>
      </c>
      <c r="F16" s="43" t="s">
        <v>146</v>
      </c>
      <c r="G16" s="43" t="s">
        <v>146</v>
      </c>
      <c r="H16" s="43" t="s">
        <v>135</v>
      </c>
      <c r="I16" s="43" t="s">
        <v>134</v>
      </c>
      <c r="J16" s="43" t="s">
        <v>112</v>
      </c>
      <c r="K16" s="12"/>
    </row>
    <row r="17" spans="1:16" ht="17">
      <c r="A17" s="35"/>
      <c r="B17" s="35"/>
      <c r="C17" s="35"/>
      <c r="D17" s="35"/>
      <c r="E17" s="35"/>
      <c r="F17" s="35"/>
      <c r="G17" s="35"/>
      <c r="H17" s="35"/>
      <c r="I17" s="35"/>
      <c r="J17" s="35"/>
      <c r="K17" s="12"/>
    </row>
    <row r="18" spans="1:16" ht="17">
      <c r="A18" s="12"/>
      <c r="B18" s="12"/>
      <c r="C18" s="12"/>
      <c r="D18" s="12"/>
      <c r="E18" s="12"/>
      <c r="F18" s="12"/>
      <c r="G18" s="12"/>
      <c r="H18" s="12"/>
      <c r="I18" s="12"/>
      <c r="J18" s="12"/>
      <c r="K18" s="12"/>
    </row>
    <row r="19" spans="1:16" ht="17.5">
      <c r="A19" s="64" t="str">
        <f>+'S&amp;D'!A22</f>
        <v>AES CORPORATION</v>
      </c>
      <c r="B19" s="91" t="str">
        <f>+'S&amp;D'!B22</f>
        <v>AES</v>
      </c>
      <c r="C19" s="327">
        <v>1319000000</v>
      </c>
      <c r="D19" s="301">
        <v>22032000000</v>
      </c>
      <c r="E19" s="135">
        <v>23323000000</v>
      </c>
      <c r="F19" s="135">
        <f>+'S&amp;D'!H38</f>
        <v>26651726999.398678</v>
      </c>
      <c r="G19" s="135">
        <f>+'S&amp;D'!J22</f>
        <v>26878000000</v>
      </c>
      <c r="H19" s="187">
        <f>(D19+F19)/2</f>
        <v>24341863499.699341</v>
      </c>
      <c r="I19" s="67">
        <f>C19/H19</f>
        <v>5.4186484120917519E-2</v>
      </c>
      <c r="J19" s="46">
        <f>F19/G19</f>
        <v>0.99158147925435958</v>
      </c>
      <c r="K19" s="12"/>
      <c r="P19" t="s">
        <v>0</v>
      </c>
    </row>
    <row r="20" spans="1:16" ht="17.5">
      <c r="A20" s="64" t="str">
        <f>+'S&amp;D'!A23</f>
        <v>DOMINION ENERGY INC</v>
      </c>
      <c r="B20" s="91" t="str">
        <f>+'S&amp;D'!B23</f>
        <v>D</v>
      </c>
      <c r="C20" s="327">
        <v>1674000000</v>
      </c>
      <c r="D20" s="301">
        <v>38789834425.403221</v>
      </c>
      <c r="E20" s="135">
        <v>42255000000</v>
      </c>
      <c r="F20" s="135">
        <f>+'S&amp;D'!H39</f>
        <v>42175774279.26445</v>
      </c>
      <c r="G20" s="135">
        <f>+'S&amp;D'!J23</f>
        <v>44243000000</v>
      </c>
      <c r="H20" s="187">
        <f t="shared" ref="H20:H25" si="0">(D20+F20)/2</f>
        <v>40482804352.333832</v>
      </c>
      <c r="I20" s="67">
        <f t="shared" ref="I20:I25" si="1">C20/H20</f>
        <v>4.1350890255296605E-2</v>
      </c>
      <c r="J20" s="46">
        <f t="shared" ref="J20:J25" si="2">F20/G20</f>
        <v>0.95327564313596391</v>
      </c>
      <c r="K20" s="12"/>
    </row>
    <row r="21" spans="1:16" ht="17.5">
      <c r="A21" s="64" t="str">
        <f>+'S&amp;D'!A24</f>
        <v>CONSTELLATION ENERGY GENERATION LLC</v>
      </c>
      <c r="B21" s="91" t="str">
        <f>+'S&amp;D'!B24</f>
        <v>CEG</v>
      </c>
      <c r="C21" s="327">
        <v>431000000</v>
      </c>
      <c r="D21" s="301">
        <v>32568033015.05098</v>
      </c>
      <c r="E21" s="135">
        <v>37464000000</v>
      </c>
      <c r="F21" s="135">
        <f>+'S&amp;D'!H40</f>
        <v>7914000000</v>
      </c>
      <c r="G21" s="135">
        <f>+'S&amp;D'!J24</f>
        <v>7617000000</v>
      </c>
      <c r="H21" s="187">
        <f t="shared" si="0"/>
        <v>20241016507.52549</v>
      </c>
      <c r="I21" s="67">
        <f>C21/H21</f>
        <v>2.1293396991191461E-2</v>
      </c>
      <c r="J21" s="46">
        <f t="shared" si="2"/>
        <v>1.038991729027176</v>
      </c>
      <c r="K21" s="12"/>
    </row>
    <row r="22" spans="1:16" ht="17.5">
      <c r="A22" s="64" t="str">
        <f>+'S&amp;D'!A25</f>
        <v>NEXTERA ENERGY INC</v>
      </c>
      <c r="B22" s="91" t="str">
        <f>+'S&amp;D'!B25</f>
        <v>NEE</v>
      </c>
      <c r="C22" s="327">
        <v>3324000000</v>
      </c>
      <c r="D22" s="301">
        <v>57892000000</v>
      </c>
      <c r="E22" s="135">
        <v>61889000000</v>
      </c>
      <c r="F22" s="135">
        <f>+'S&amp;D'!H41</f>
        <v>64103000000</v>
      </c>
      <c r="G22" s="135">
        <f>+'S&amp;D'!J25</f>
        <v>68306000000</v>
      </c>
      <c r="H22" s="187">
        <f t="shared" ref="H22" si="3">(D22+F22)/2</f>
        <v>60997500000</v>
      </c>
      <c r="I22" s="67">
        <f>C22/H22</f>
        <v>5.4494036640845935E-2</v>
      </c>
      <c r="J22" s="46">
        <f t="shared" si="2"/>
        <v>0.9384680701548912</v>
      </c>
      <c r="K22" s="12"/>
    </row>
    <row r="23" spans="1:16" ht="17.5">
      <c r="A23" s="64" t="str">
        <f>+'S&amp;D'!A26</f>
        <v>NRG ENERGY</v>
      </c>
      <c r="B23" s="91" t="str">
        <f>+'S&amp;D'!B26</f>
        <v>NRG</v>
      </c>
      <c r="C23" s="327">
        <v>667000000</v>
      </c>
      <c r="D23" s="301">
        <v>6956941467.0288963</v>
      </c>
      <c r="E23" s="135">
        <v>8039000000</v>
      </c>
      <c r="F23" s="135">
        <f>+'S&amp;D'!H42</f>
        <v>10533835649.434872</v>
      </c>
      <c r="G23" s="135">
        <f>+'S&amp;D'!J26</f>
        <v>10753000000</v>
      </c>
      <c r="H23" s="187">
        <f t="shared" si="0"/>
        <v>8745388558.231884</v>
      </c>
      <c r="I23" s="67">
        <f t="shared" si="1"/>
        <v>7.6268766740176949E-2</v>
      </c>
      <c r="J23" s="46">
        <f t="shared" si="2"/>
        <v>0.97961830646655557</v>
      </c>
      <c r="K23" s="12"/>
    </row>
    <row r="24" spans="1:16" ht="17.5">
      <c r="A24" s="64" t="str">
        <f>+'S&amp;D'!A27</f>
        <v>SOUTHERN COMPANY</v>
      </c>
      <c r="B24" s="91" t="str">
        <f>+'S&amp;D'!B27</f>
        <v>SO</v>
      </c>
      <c r="C24" s="327">
        <v>2446000000</v>
      </c>
      <c r="D24" s="301">
        <v>48903527472.527473</v>
      </c>
      <c r="E24" s="135">
        <v>54941000000</v>
      </c>
      <c r="F24" s="135">
        <f>+'S&amp;D'!H43</f>
        <v>55264814814.814812</v>
      </c>
      <c r="G24" s="135">
        <f>+'S&amp;D'!J27</f>
        <v>59686000000</v>
      </c>
      <c r="H24" s="187">
        <f t="shared" si="0"/>
        <v>52084171143.671143</v>
      </c>
      <c r="I24" s="67">
        <f t="shared" si="1"/>
        <v>4.6962444564066341E-2</v>
      </c>
      <c r="J24" s="46">
        <f t="shared" si="2"/>
        <v>0.92592592592592582</v>
      </c>
      <c r="K24" s="12"/>
    </row>
    <row r="25" spans="1:16" ht="17.5">
      <c r="A25" s="64" t="str">
        <f>+'S&amp;D'!A28</f>
        <v>VISTRA ENERGY CORPORATION</v>
      </c>
      <c r="B25" s="91" t="str">
        <f>+'S&amp;D'!B28</f>
        <v>VST</v>
      </c>
      <c r="C25" s="327">
        <v>740000000</v>
      </c>
      <c r="D25" s="301">
        <v>11388000000</v>
      </c>
      <c r="E25" s="135">
        <v>11971000000</v>
      </c>
      <c r="F25" s="135">
        <f>+'S&amp;D'!H44</f>
        <v>14314000000</v>
      </c>
      <c r="G25" s="135">
        <f>+'S&amp;D'!J28</f>
        <v>14402000000</v>
      </c>
      <c r="H25" s="187">
        <f t="shared" si="0"/>
        <v>12851000000</v>
      </c>
      <c r="I25" s="67">
        <f t="shared" si="1"/>
        <v>5.7583067465566885E-2</v>
      </c>
      <c r="J25" s="46">
        <f t="shared" si="2"/>
        <v>0.99388973753645327</v>
      </c>
      <c r="K25" s="12"/>
    </row>
    <row r="26" spans="1:16" ht="17.5" thickBot="1">
      <c r="A26" s="12"/>
      <c r="B26" s="12"/>
      <c r="C26" s="47"/>
      <c r="D26" s="47"/>
      <c r="E26" s="47"/>
      <c r="F26" s="47"/>
      <c r="G26" s="47" t="s">
        <v>52</v>
      </c>
      <c r="H26" s="47"/>
      <c r="I26" s="47" t="s">
        <v>52</v>
      </c>
      <c r="J26" s="47"/>
      <c r="K26" s="12"/>
    </row>
    <row r="27" spans="1:16" ht="17.5" thickTop="1">
      <c r="A27" s="12"/>
      <c r="B27" s="12"/>
      <c r="C27" s="48" t="s">
        <v>0</v>
      </c>
      <c r="D27" s="48" t="s">
        <v>0</v>
      </c>
      <c r="E27" s="35" t="s">
        <v>0</v>
      </c>
      <c r="F27" s="35"/>
      <c r="G27" s="48" t="s">
        <v>0</v>
      </c>
      <c r="H27" s="14" t="s">
        <v>53</v>
      </c>
      <c r="I27" s="54">
        <f>MAX(I19:I25)</f>
        <v>7.6268766740176949E-2</v>
      </c>
      <c r="J27" s="307">
        <f>MAX(J19:J25)</f>
        <v>1.038991729027176</v>
      </c>
      <c r="K27" s="12"/>
    </row>
    <row r="28" spans="1:16" ht="17">
      <c r="A28" s="188" t="s">
        <v>85</v>
      </c>
      <c r="B28" s="12"/>
      <c r="C28" s="48"/>
      <c r="D28" s="48"/>
      <c r="E28" s="35"/>
      <c r="F28" s="35"/>
      <c r="G28" s="48"/>
      <c r="H28" s="14" t="s">
        <v>54</v>
      </c>
      <c r="I28" s="293">
        <f>MIN(I19:I25)</f>
        <v>2.1293396991191461E-2</v>
      </c>
      <c r="J28" s="331">
        <f>MIN(J19:J25)</f>
        <v>0.92592592592592582</v>
      </c>
      <c r="K28" s="12"/>
    </row>
    <row r="29" spans="1:16" ht="17">
      <c r="A29" s="390" t="s">
        <v>280</v>
      </c>
      <c r="B29" s="12"/>
      <c r="C29" s="12"/>
      <c r="D29" s="12"/>
      <c r="E29" s="12"/>
      <c r="F29" s="12"/>
      <c r="G29" s="12"/>
      <c r="H29" s="14" t="s">
        <v>18</v>
      </c>
      <c r="I29" s="57">
        <f>MEDIAN(I19:I25)</f>
        <v>5.4186484120917519E-2</v>
      </c>
      <c r="J29" s="49">
        <f>MEDIAN(J19:J25)</f>
        <v>0.97961830646655557</v>
      </c>
      <c r="K29" s="12"/>
    </row>
    <row r="30" spans="1:16" ht="17">
      <c r="A30" s="390" t="s">
        <v>251</v>
      </c>
      <c r="B30" s="12"/>
      <c r="C30" s="12"/>
      <c r="D30" s="12"/>
      <c r="E30" s="12"/>
      <c r="F30" s="12"/>
      <c r="G30" s="12"/>
      <c r="H30" s="14" t="s">
        <v>412</v>
      </c>
      <c r="I30" s="57">
        <f>AVERAGE(I19:I25)</f>
        <v>5.0305583825437386E-2</v>
      </c>
      <c r="J30" s="49">
        <f>AVERAGE(J19:J25)</f>
        <v>0.97453584164304641</v>
      </c>
      <c r="K30" s="12"/>
    </row>
    <row r="31" spans="1:16" ht="17.5" thickBot="1">
      <c r="A31" s="390" t="s">
        <v>446</v>
      </c>
      <c r="B31" s="12"/>
      <c r="C31" s="12"/>
      <c r="D31" s="12" t="s">
        <v>0</v>
      </c>
      <c r="E31" s="12"/>
      <c r="F31" s="12"/>
      <c r="G31" s="12"/>
      <c r="H31" s="12"/>
      <c r="I31" s="12"/>
      <c r="J31" s="13"/>
      <c r="K31" s="12"/>
    </row>
    <row r="32" spans="1:16" ht="26" thickBot="1">
      <c r="A32" s="12"/>
      <c r="B32" s="12"/>
      <c r="C32" s="12" t="s">
        <v>0</v>
      </c>
      <c r="D32" s="12" t="s">
        <v>0</v>
      </c>
      <c r="E32" s="12"/>
      <c r="F32" s="12"/>
      <c r="G32" s="192"/>
      <c r="H32" s="193" t="s">
        <v>257</v>
      </c>
      <c r="I32" s="373">
        <v>5.0299999999999997E-2</v>
      </c>
      <c r="J32" s="389">
        <f>+J30</f>
        <v>0.97453584164304641</v>
      </c>
      <c r="K32" s="12"/>
    </row>
    <row r="33" spans="1:11" ht="17">
      <c r="A33" s="12"/>
      <c r="B33" s="12"/>
      <c r="C33" s="12"/>
      <c r="D33" s="12"/>
      <c r="E33" s="12"/>
      <c r="F33" s="12"/>
      <c r="G33" s="12"/>
      <c r="H33" s="12"/>
      <c r="I33" s="12"/>
      <c r="J33" s="12"/>
      <c r="K33" s="12"/>
    </row>
    <row r="34" spans="1:11" ht="17">
      <c r="A34" s="12"/>
      <c r="B34" s="12"/>
      <c r="C34" s="12"/>
      <c r="D34" s="12"/>
      <c r="E34" s="12"/>
      <c r="F34" s="12"/>
      <c r="G34" s="12"/>
      <c r="H34" s="12"/>
      <c r="I34" s="12"/>
      <c r="J34" s="12"/>
      <c r="K34" s="12"/>
    </row>
  </sheetData>
  <pageMargins left="0.25" right="0.25" top="0.75" bottom="0.75" header="0.3" footer="0.3"/>
  <pageSetup scale="55"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59"/>
  <sheetViews>
    <sheetView tabSelected="1" view="pageBreakPreview" topLeftCell="A15" zoomScale="60" zoomScaleNormal="80" workbookViewId="0">
      <selection activeCell="J33" sqref="J33"/>
    </sheetView>
  </sheetViews>
  <sheetFormatPr defaultRowHeight="14.5"/>
  <cols>
    <col min="1" max="1" width="52" customWidth="1"/>
    <col min="2" max="2" width="14.81640625" customWidth="1"/>
    <col min="3" max="3" width="23.81640625" customWidth="1"/>
    <col min="4" max="4" width="20.7265625" customWidth="1"/>
    <col min="5" max="5" width="21.81640625" customWidth="1"/>
    <col min="6" max="6" width="18" customWidth="1"/>
    <col min="7" max="7" width="12.26953125" customWidth="1"/>
    <col min="8" max="8" width="20.54296875" customWidth="1"/>
    <col min="9" max="9" width="12.453125" customWidth="1"/>
    <col min="10" max="11" width="20.54296875" customWidth="1"/>
    <col min="12" max="12" width="26.54296875" customWidth="1"/>
    <col min="13" max="13" width="15.453125" customWidth="1"/>
  </cols>
  <sheetData>
    <row r="1" spans="1:13" ht="25.5">
      <c r="A1" s="24" t="s">
        <v>1</v>
      </c>
      <c r="B1" s="12"/>
      <c r="C1" s="12"/>
      <c r="D1" s="12"/>
      <c r="E1" s="12"/>
      <c r="F1" s="12"/>
      <c r="G1" s="12"/>
      <c r="H1" s="12"/>
      <c r="I1" s="12"/>
      <c r="J1" s="12"/>
      <c r="K1" s="12"/>
      <c r="L1" s="12"/>
      <c r="M1" s="12"/>
    </row>
    <row r="2" spans="1:13" ht="17.5">
      <c r="A2" s="25" t="s">
        <v>9</v>
      </c>
      <c r="B2" s="12"/>
      <c r="C2" s="12"/>
      <c r="D2" s="12"/>
      <c r="E2" s="12"/>
      <c r="F2" s="12"/>
      <c r="G2" s="12"/>
      <c r="H2" s="12"/>
      <c r="I2" s="12"/>
      <c r="J2" s="12"/>
      <c r="K2" s="12"/>
      <c r="L2" s="12"/>
      <c r="M2" s="12"/>
    </row>
    <row r="3" spans="1:13" ht="17">
      <c r="A3" s="26" t="s">
        <v>457</v>
      </c>
      <c r="B3" s="12"/>
      <c r="C3" s="12"/>
      <c r="D3" s="12"/>
      <c r="E3" s="12"/>
      <c r="F3" s="12"/>
      <c r="G3" s="12"/>
      <c r="H3" s="12"/>
      <c r="I3" s="12"/>
      <c r="J3" s="12"/>
      <c r="K3" s="12"/>
      <c r="L3" s="12"/>
      <c r="M3" s="12"/>
    </row>
    <row r="4" spans="1:13" ht="17">
      <c r="A4" s="26"/>
      <c r="B4" s="12"/>
      <c r="C4" s="12"/>
      <c r="D4" s="12"/>
      <c r="E4" s="12"/>
      <c r="F4" s="12"/>
      <c r="G4" s="12"/>
      <c r="H4" s="12"/>
      <c r="I4" s="12"/>
      <c r="J4" s="12"/>
      <c r="K4" s="12"/>
      <c r="L4" s="12"/>
      <c r="M4" s="12"/>
    </row>
    <row r="5" spans="1:13" ht="17.5" thickBot="1">
      <c r="A5" s="12"/>
      <c r="B5" s="12"/>
      <c r="C5" s="12"/>
      <c r="D5" s="12"/>
      <c r="E5" s="12"/>
      <c r="F5" s="12"/>
      <c r="G5" s="27"/>
      <c r="H5" s="27"/>
      <c r="I5" s="12"/>
      <c r="J5" s="12"/>
      <c r="K5" s="12"/>
      <c r="L5" s="12"/>
      <c r="M5" s="12"/>
    </row>
    <row r="6" spans="1:13" ht="21.5" thickBot="1">
      <c r="A6" s="267" t="str">
        <f>+'S&amp;D'!A12</f>
        <v>Electric Wholesale (non-regulated) Power Generator</v>
      </c>
      <c r="B6" s="197"/>
      <c r="C6" s="12"/>
      <c r="D6" s="29"/>
      <c r="E6" s="29"/>
      <c r="F6" s="30" t="s">
        <v>0</v>
      </c>
      <c r="G6" s="12"/>
      <c r="H6" s="12"/>
      <c r="I6" s="12"/>
      <c r="J6" s="12"/>
      <c r="K6" s="12"/>
      <c r="L6" s="12"/>
      <c r="M6" s="12"/>
    </row>
    <row r="7" spans="1:13" ht="25.5">
      <c r="A7" s="31"/>
      <c r="B7" s="12"/>
      <c r="C7" s="12"/>
      <c r="D7" s="12"/>
      <c r="E7" s="32" t="s">
        <v>142</v>
      </c>
      <c r="F7" s="12"/>
      <c r="G7" s="12"/>
      <c r="H7" s="12"/>
      <c r="I7" s="12"/>
      <c r="J7" s="12"/>
      <c r="K7" s="12"/>
      <c r="L7" s="12"/>
      <c r="M7" s="12"/>
    </row>
    <row r="8" spans="1:13" ht="21.5" thickBot="1">
      <c r="A8" s="31"/>
      <c r="B8" s="12"/>
      <c r="C8" s="12"/>
      <c r="D8" s="29"/>
      <c r="E8" s="37" t="s">
        <v>458</v>
      </c>
      <c r="F8" s="29"/>
      <c r="G8" s="12"/>
      <c r="H8" s="12"/>
      <c r="I8" s="12"/>
      <c r="J8" s="12"/>
      <c r="K8" s="12"/>
      <c r="L8" s="12"/>
      <c r="M8" s="12"/>
    </row>
    <row r="9" spans="1:13" ht="17.5" thickBot="1">
      <c r="A9" s="34" t="s">
        <v>0</v>
      </c>
      <c r="B9" s="34" t="s">
        <v>0</v>
      </c>
      <c r="C9" s="34" t="s">
        <v>0</v>
      </c>
      <c r="D9" s="34" t="s">
        <v>0</v>
      </c>
      <c r="E9" s="34" t="s">
        <v>0</v>
      </c>
      <c r="F9" s="34" t="s">
        <v>0</v>
      </c>
      <c r="G9" s="34"/>
      <c r="H9" s="34"/>
      <c r="I9" s="34" t="s">
        <v>0</v>
      </c>
      <c r="J9" s="29"/>
      <c r="K9" s="12"/>
      <c r="L9" s="12"/>
      <c r="M9" s="12"/>
    </row>
    <row r="10" spans="1:13" ht="17">
      <c r="A10" s="35" t="s">
        <v>0</v>
      </c>
      <c r="B10" s="35" t="s">
        <v>3</v>
      </c>
      <c r="C10" s="35" t="s">
        <v>5</v>
      </c>
      <c r="D10" s="35" t="s">
        <v>21</v>
      </c>
      <c r="E10" s="35" t="s">
        <v>20</v>
      </c>
      <c r="F10" s="35" t="s">
        <v>60</v>
      </c>
      <c r="G10" s="35" t="s">
        <v>145</v>
      </c>
      <c r="H10" s="35" t="s">
        <v>56</v>
      </c>
      <c r="I10" s="35" t="s">
        <v>145</v>
      </c>
      <c r="J10" s="35" t="s">
        <v>56</v>
      </c>
      <c r="K10" s="12"/>
      <c r="L10" s="12"/>
      <c r="M10" s="12"/>
    </row>
    <row r="11" spans="1:13" ht="17.5" thickBot="1">
      <c r="A11" s="37" t="s">
        <v>2</v>
      </c>
      <c r="B11" s="37" t="s">
        <v>4</v>
      </c>
      <c r="C11" s="37" t="s">
        <v>6</v>
      </c>
      <c r="D11" s="37" t="s">
        <v>23</v>
      </c>
      <c r="E11" s="37" t="s">
        <v>22</v>
      </c>
      <c r="F11" s="37" t="s">
        <v>57</v>
      </c>
      <c r="G11" s="37" t="s">
        <v>57</v>
      </c>
      <c r="H11" s="37" t="s">
        <v>57</v>
      </c>
      <c r="I11" s="37" t="s">
        <v>57</v>
      </c>
      <c r="J11" s="37" t="s">
        <v>58</v>
      </c>
      <c r="K11" s="12"/>
      <c r="L11" s="12"/>
      <c r="M11" s="12"/>
    </row>
    <row r="12" spans="1:13" ht="17">
      <c r="A12" s="39" t="s">
        <v>7</v>
      </c>
      <c r="B12" s="39" t="s">
        <v>7</v>
      </c>
      <c r="C12" s="39" t="s">
        <v>7</v>
      </c>
      <c r="D12" s="39" t="s">
        <v>7</v>
      </c>
      <c r="E12" s="39" t="s">
        <v>7</v>
      </c>
      <c r="F12" s="39" t="s">
        <v>59</v>
      </c>
      <c r="G12" s="39"/>
      <c r="H12" s="39" t="s">
        <v>56</v>
      </c>
      <c r="I12" s="39"/>
      <c r="J12" s="39" t="s">
        <v>56</v>
      </c>
      <c r="K12" s="12"/>
      <c r="L12" s="12"/>
      <c r="M12" s="12"/>
    </row>
    <row r="13" spans="1:13" ht="17">
      <c r="A13" s="35"/>
      <c r="B13" s="35"/>
      <c r="C13" s="35"/>
      <c r="D13" s="35"/>
      <c r="E13" s="35"/>
      <c r="F13" s="35"/>
      <c r="G13" s="35"/>
      <c r="H13" s="35"/>
      <c r="I13" s="35"/>
      <c r="J13" s="35"/>
      <c r="K13" s="12"/>
      <c r="L13" s="12"/>
      <c r="M13" s="12"/>
    </row>
    <row r="14" spans="1:13" ht="17">
      <c r="A14" s="12"/>
      <c r="B14" s="12"/>
      <c r="C14" s="12"/>
      <c r="D14" s="12"/>
      <c r="E14" s="12"/>
      <c r="F14" s="12"/>
      <c r="G14" s="12"/>
      <c r="H14" s="12"/>
      <c r="I14" s="12"/>
      <c r="J14" s="12"/>
      <c r="K14" s="12"/>
      <c r="L14" s="12"/>
      <c r="M14" s="12"/>
    </row>
    <row r="15" spans="1:13" ht="17.5">
      <c r="A15" s="64" t="str">
        <f>+'S&amp;D'!A22</f>
        <v>AES CORPORATION</v>
      </c>
      <c r="B15" s="91" t="str">
        <f>+'S&amp;D'!B22</f>
        <v>AES</v>
      </c>
      <c r="C15" s="91" t="str">
        <f>+'S&amp;D'!C22</f>
        <v>Power Electric</v>
      </c>
      <c r="D15" s="55">
        <f>+'Beta for CAPM'!D18</f>
        <v>0.38</v>
      </c>
      <c r="E15" s="35" t="str">
        <f>+'Beta for CAPM'!G18</f>
        <v>B</v>
      </c>
      <c r="F15" s="35" t="s">
        <v>73</v>
      </c>
      <c r="G15" s="294">
        <v>12</v>
      </c>
      <c r="H15" s="63" t="s">
        <v>71</v>
      </c>
      <c r="I15" s="294">
        <v>12</v>
      </c>
      <c r="J15" s="67">
        <v>5.6800000000000003E-2</v>
      </c>
      <c r="K15" s="12" t="s">
        <v>0</v>
      </c>
      <c r="L15" s="12"/>
      <c r="M15" s="12"/>
    </row>
    <row r="16" spans="1:13" ht="17.5">
      <c r="A16" s="64" t="str">
        <f>+'S&amp;D'!A23</f>
        <v>DOMINION ENERGY INC</v>
      </c>
      <c r="B16" s="91" t="str">
        <f>+'S&amp;D'!B23</f>
        <v>D</v>
      </c>
      <c r="C16" s="91" t="str">
        <f>+'S&amp;D'!C23</f>
        <v>Electric - East</v>
      </c>
      <c r="D16" s="55">
        <f>+'Beta for CAPM'!D19</f>
        <v>0.16500000000000001</v>
      </c>
      <c r="E16" s="35" t="str">
        <f>+'Beta for CAPM'!G19</f>
        <v>B++</v>
      </c>
      <c r="F16" s="35" t="s">
        <v>64</v>
      </c>
      <c r="G16" s="294">
        <v>11</v>
      </c>
      <c r="H16" s="63" t="s">
        <v>522</v>
      </c>
      <c r="I16" s="294">
        <v>11</v>
      </c>
      <c r="J16" s="67">
        <v>5.6800000000000003E-2</v>
      </c>
      <c r="K16" s="12" t="s">
        <v>0</v>
      </c>
      <c r="L16" s="12"/>
      <c r="M16" s="12"/>
    </row>
    <row r="17" spans="1:13" ht="17.5">
      <c r="A17" s="64" t="str">
        <f>+'S&amp;D'!A24</f>
        <v>CONSTELLATION ENERGY GENERATION LLC</v>
      </c>
      <c r="B17" s="91" t="str">
        <f>+'S&amp;D'!B24</f>
        <v>CEG</v>
      </c>
      <c r="C17" s="91" t="str">
        <f>+'S&amp;D'!C24</f>
        <v>Power Electric</v>
      </c>
      <c r="D17" s="55">
        <f>+'Beta for CAPM'!D20</f>
        <v>0.15</v>
      </c>
      <c r="E17" s="35" t="str">
        <f>+'Beta for CAPM'!G20</f>
        <v>B++</v>
      </c>
      <c r="F17" s="35" t="s">
        <v>64</v>
      </c>
      <c r="G17" s="294">
        <v>11</v>
      </c>
      <c r="H17" s="63" t="s">
        <v>63</v>
      </c>
      <c r="I17" s="294">
        <v>11</v>
      </c>
      <c r="J17" s="67">
        <v>5.6800000000000003E-2</v>
      </c>
      <c r="K17" s="12" t="s">
        <v>0</v>
      </c>
      <c r="L17" s="12"/>
      <c r="M17" s="12"/>
    </row>
    <row r="18" spans="1:13" ht="17.5">
      <c r="A18" s="64" t="str">
        <f>+'S&amp;D'!A25</f>
        <v>NEXTERA ENERGY INC</v>
      </c>
      <c r="B18" s="91" t="str">
        <f>+'S&amp;D'!B25</f>
        <v>NEE</v>
      </c>
      <c r="C18" s="91" t="str">
        <f>+'S&amp;D'!C25</f>
        <v>Electric - East</v>
      </c>
      <c r="D18" s="55">
        <f>+'Beta for CAPM'!D21</f>
        <v>0.18</v>
      </c>
      <c r="E18" s="35" t="str">
        <f>+'Beta for CAPM'!G21</f>
        <v>A</v>
      </c>
      <c r="F18" s="35" t="s">
        <v>72</v>
      </c>
      <c r="G18" s="294">
        <v>9</v>
      </c>
      <c r="H18" s="63" t="s">
        <v>62</v>
      </c>
      <c r="I18" s="294">
        <v>10</v>
      </c>
      <c r="J18" s="67">
        <v>5.6800000000000003E-2</v>
      </c>
      <c r="K18" s="12" t="s">
        <v>0</v>
      </c>
      <c r="L18" s="12"/>
      <c r="M18" s="12"/>
    </row>
    <row r="19" spans="1:13" ht="17.5">
      <c r="A19" s="64" t="str">
        <f>+'S&amp;D'!A26</f>
        <v>NRG ENERGY</v>
      </c>
      <c r="B19" s="91" t="str">
        <f>+'S&amp;D'!B26</f>
        <v>NRG</v>
      </c>
      <c r="C19" s="91" t="str">
        <f>+'S&amp;D'!C26</f>
        <v>Power Electric</v>
      </c>
      <c r="D19" s="55">
        <f>+'Beta for CAPM'!D22</f>
        <v>0.27</v>
      </c>
      <c r="E19" s="35" t="str">
        <f>+'Beta for CAPM'!G22</f>
        <v>B+</v>
      </c>
      <c r="F19" s="35" t="s">
        <v>338</v>
      </c>
      <c r="G19" s="294">
        <v>14</v>
      </c>
      <c r="H19" s="63" t="s">
        <v>69</v>
      </c>
      <c r="I19" s="294">
        <v>13</v>
      </c>
      <c r="J19" s="67">
        <v>6.9000000000000006E-2</v>
      </c>
      <c r="K19" s="12" t="s">
        <v>0</v>
      </c>
      <c r="L19" s="12"/>
      <c r="M19" s="12"/>
    </row>
    <row r="20" spans="1:13" ht="17.5">
      <c r="A20" s="64" t="str">
        <f>+'S&amp;D'!A27</f>
        <v>SOUTHERN COMPANY</v>
      </c>
      <c r="B20" s="91" t="str">
        <f>+'S&amp;D'!B27</f>
        <v>SO</v>
      </c>
      <c r="C20" s="91" t="str">
        <f>+'S&amp;D'!C27</f>
        <v>Electric - East</v>
      </c>
      <c r="D20" s="55">
        <f>+'Beta for CAPM'!D23</f>
        <v>0.15</v>
      </c>
      <c r="E20" s="35" t="str">
        <f>+'Beta for CAPM'!G23</f>
        <v>A</v>
      </c>
      <c r="F20" s="35" t="s">
        <v>64</v>
      </c>
      <c r="G20" s="294">
        <v>10</v>
      </c>
      <c r="H20" s="63" t="s">
        <v>63</v>
      </c>
      <c r="I20" s="294">
        <v>11</v>
      </c>
      <c r="J20" s="67">
        <v>5.6800000000000003E-2</v>
      </c>
      <c r="K20" s="12" t="s">
        <v>0</v>
      </c>
      <c r="L20" s="12"/>
      <c r="M20" s="12"/>
    </row>
    <row r="21" spans="1:13" ht="17.5">
      <c r="A21" s="64" t="str">
        <f>+'S&amp;D'!A28</f>
        <v>VISTRA ENERGY CORPORATION</v>
      </c>
      <c r="B21" s="91" t="str">
        <f>+'S&amp;D'!B28</f>
        <v>VST</v>
      </c>
      <c r="C21" s="91" t="str">
        <f>+'S&amp;D'!C28</f>
        <v>Power Electric</v>
      </c>
      <c r="D21" s="55">
        <f>+'Beta for CAPM'!D24</f>
        <v>0.23</v>
      </c>
      <c r="E21" s="35" t="str">
        <f>+'Beta for CAPM'!G24</f>
        <v>B+</v>
      </c>
      <c r="F21" s="35" t="s">
        <v>338</v>
      </c>
      <c r="G21" s="294">
        <v>14</v>
      </c>
      <c r="H21" s="63" t="s">
        <v>69</v>
      </c>
      <c r="I21" s="294">
        <v>13</v>
      </c>
      <c r="J21" s="67">
        <v>6.9000000000000006E-2</v>
      </c>
      <c r="K21" s="12" t="s">
        <v>0</v>
      </c>
      <c r="L21" s="12"/>
      <c r="M21" s="12"/>
    </row>
    <row r="22" spans="1:13" ht="17.5" thickBot="1">
      <c r="A22" s="12"/>
      <c r="B22" s="12"/>
      <c r="C22" s="44"/>
      <c r="D22" s="47"/>
      <c r="E22" s="47"/>
      <c r="F22" s="47"/>
      <c r="G22" s="289"/>
      <c r="H22" s="47" t="s">
        <v>52</v>
      </c>
      <c r="I22" s="47"/>
      <c r="J22" s="47"/>
      <c r="K22" s="12"/>
      <c r="L22" s="12"/>
      <c r="M22" s="12"/>
    </row>
    <row r="23" spans="1:13" ht="17.5" thickTop="1">
      <c r="A23" s="12"/>
      <c r="B23" s="12"/>
      <c r="E23" s="14" t="s">
        <v>53</v>
      </c>
      <c r="F23" s="35"/>
      <c r="G23" s="288">
        <v>14</v>
      </c>
      <c r="I23" s="288">
        <v>13</v>
      </c>
      <c r="J23" s="54">
        <f>+MAX(J15:J21)</f>
        <v>6.9000000000000006E-2</v>
      </c>
      <c r="K23" s="12"/>
      <c r="L23" s="12"/>
      <c r="M23" s="12"/>
    </row>
    <row r="24" spans="1:13" ht="17">
      <c r="A24" s="12"/>
      <c r="B24" s="12"/>
      <c r="E24" s="291" t="s">
        <v>54</v>
      </c>
      <c r="F24" s="125"/>
      <c r="G24" s="292">
        <v>10</v>
      </c>
      <c r="H24" s="248"/>
      <c r="I24" s="292">
        <v>11</v>
      </c>
      <c r="J24" s="293">
        <f>MIN(J15:J21)</f>
        <v>5.6800000000000003E-2</v>
      </c>
      <c r="K24" s="12"/>
      <c r="L24" s="12"/>
      <c r="M24" s="12"/>
    </row>
    <row r="25" spans="1:13" ht="17">
      <c r="A25" s="12"/>
      <c r="B25" s="12"/>
      <c r="E25" s="14" t="s">
        <v>18</v>
      </c>
      <c r="F25" s="57" t="s">
        <v>0</v>
      </c>
      <c r="G25" s="221">
        <f>MEDIAN(G15:G21)</f>
        <v>11</v>
      </c>
      <c r="I25" s="221">
        <f>MEDIAN(I15:I21)</f>
        <v>11</v>
      </c>
      <c r="J25" s="57">
        <f>MEDIAN(J15:J21)</f>
        <v>5.6800000000000003E-2</v>
      </c>
      <c r="K25" s="12"/>
      <c r="L25" s="12"/>
      <c r="M25" s="12"/>
    </row>
    <row r="26" spans="1:13" ht="17">
      <c r="A26" s="12"/>
      <c r="B26" s="12"/>
      <c r="D26" s="14" t="s">
        <v>0</v>
      </c>
      <c r="E26" s="14" t="s">
        <v>412</v>
      </c>
      <c r="F26" s="14"/>
      <c r="G26" s="222">
        <f>AVERAGE(G15:G21)</f>
        <v>11.571428571428571</v>
      </c>
      <c r="I26" s="222">
        <f>AVERAGE(I15:I21)</f>
        <v>11.571428571428571</v>
      </c>
      <c r="J26" s="57">
        <f>AVERAGE(J15:J21)</f>
        <v>6.028571428571429E-2</v>
      </c>
      <c r="K26" s="12"/>
      <c r="L26" s="12"/>
      <c r="M26" s="12"/>
    </row>
    <row r="27" spans="1:13" ht="17">
      <c r="A27" s="12"/>
      <c r="B27" s="12"/>
      <c r="D27" s="58" t="s">
        <v>0</v>
      </c>
      <c r="E27" s="14" t="s">
        <v>413</v>
      </c>
      <c r="F27" s="14"/>
      <c r="G27" s="222">
        <f>HARMEAN(G15:G21)</f>
        <v>11.306374548420932</v>
      </c>
      <c r="I27" s="222">
        <f>HARMEAN(I15:I21)</f>
        <v>11.477164150582842</v>
      </c>
      <c r="J27" s="57">
        <f>HARMEAN(J15:J21)</f>
        <v>5.9822067160924558E-2</v>
      </c>
      <c r="K27" s="12"/>
      <c r="L27" s="12"/>
      <c r="M27" s="12"/>
    </row>
    <row r="28" spans="1:13" ht="17.5" thickBot="1">
      <c r="A28" s="12"/>
      <c r="B28" s="12"/>
      <c r="C28" s="12"/>
      <c r="D28" s="12"/>
      <c r="E28" s="14"/>
      <c r="F28" s="58"/>
      <c r="G28" s="12"/>
      <c r="H28" s="12"/>
      <c r="I28" s="12"/>
      <c r="J28" s="12"/>
      <c r="K28" s="12"/>
      <c r="L28" s="12"/>
      <c r="M28" s="12"/>
    </row>
    <row r="29" spans="1:13" ht="26" thickBot="1">
      <c r="A29" s="12"/>
      <c r="B29" s="12"/>
      <c r="C29" s="12"/>
      <c r="D29" s="12"/>
      <c r="E29" s="12"/>
      <c r="F29" s="192"/>
      <c r="G29" s="290"/>
      <c r="H29" s="193" t="s">
        <v>257</v>
      </c>
      <c r="I29" s="323">
        <v>12</v>
      </c>
      <c r="J29" s="373">
        <v>6.0299999999999999E-2</v>
      </c>
      <c r="K29" s="12"/>
      <c r="L29" s="12"/>
      <c r="M29" s="12"/>
    </row>
    <row r="30" spans="1:13" ht="17">
      <c r="A30" s="12"/>
      <c r="B30" s="12"/>
      <c r="C30" s="12"/>
      <c r="D30" s="12"/>
      <c r="E30" s="12"/>
      <c r="F30" s="12"/>
      <c r="G30" s="12"/>
      <c r="H30" s="12"/>
      <c r="I30" s="12"/>
      <c r="J30" s="12"/>
      <c r="K30" s="12"/>
      <c r="L30" s="12"/>
      <c r="M30" s="12"/>
    </row>
    <row r="31" spans="1:13" ht="17">
      <c r="A31" s="12"/>
      <c r="B31" s="12"/>
      <c r="C31" s="12"/>
      <c r="D31" s="12"/>
      <c r="E31" s="12"/>
      <c r="F31" s="12"/>
      <c r="G31" s="12"/>
      <c r="H31" s="12"/>
      <c r="I31" s="12"/>
      <c r="J31" s="12"/>
      <c r="K31" s="12"/>
      <c r="L31" s="12"/>
      <c r="M31" s="12"/>
    </row>
    <row r="32" spans="1:13" ht="17">
      <c r="A32" s="12"/>
      <c r="B32" s="12"/>
      <c r="C32" s="12"/>
      <c r="D32" s="12"/>
      <c r="E32" s="12"/>
      <c r="F32" s="12"/>
      <c r="G32" s="12"/>
      <c r="H32" s="12"/>
      <c r="I32" s="12"/>
      <c r="J32" s="12"/>
      <c r="K32" s="12"/>
      <c r="L32" s="12"/>
      <c r="M32" s="12"/>
    </row>
    <row r="33" spans="1:13" ht="21.5" thickBot="1">
      <c r="A33" s="278" t="s">
        <v>159</v>
      </c>
      <c r="B33" s="12"/>
      <c r="G33" s="12"/>
      <c r="H33" s="12"/>
      <c r="I33" s="12"/>
      <c r="J33" s="12"/>
      <c r="K33" s="12" t="s">
        <v>0</v>
      </c>
      <c r="L33" s="12"/>
      <c r="M33" s="12"/>
    </row>
    <row r="34" spans="1:13" ht="29.5" thickBot="1">
      <c r="A34" s="440" t="s">
        <v>415</v>
      </c>
      <c r="B34" s="440" t="s">
        <v>345</v>
      </c>
      <c r="C34" s="440" t="s">
        <v>416</v>
      </c>
      <c r="D34" s="470" t="s">
        <v>530</v>
      </c>
      <c r="E34" s="470" t="s">
        <v>531</v>
      </c>
      <c r="F34" s="12"/>
      <c r="G34" s="12"/>
      <c r="H34" s="12"/>
      <c r="I34" s="12"/>
      <c r="M34" s="12"/>
    </row>
    <row r="35" spans="1:13" ht="17.5">
      <c r="A35" s="283" t="s">
        <v>350</v>
      </c>
      <c r="B35" s="284">
        <v>1</v>
      </c>
      <c r="C35" s="285" t="s">
        <v>351</v>
      </c>
      <c r="D35" s="441" t="s">
        <v>0</v>
      </c>
      <c r="E35" s="441" t="s">
        <v>0</v>
      </c>
      <c r="F35" s="12"/>
      <c r="G35" s="12"/>
      <c r="H35" s="12"/>
      <c r="I35" s="12"/>
      <c r="M35" s="12"/>
    </row>
    <row r="36" spans="1:13" ht="17.5">
      <c r="A36" s="59" t="s">
        <v>352</v>
      </c>
      <c r="B36" s="279">
        <v>2</v>
      </c>
      <c r="C36" s="286" t="s">
        <v>333</v>
      </c>
      <c r="D36" s="442">
        <v>4.7399999999999998E-2</v>
      </c>
      <c r="E36" s="442">
        <v>4.7399999999999998E-2</v>
      </c>
      <c r="F36" s="12" t="s">
        <v>212</v>
      </c>
      <c r="H36" s="12"/>
      <c r="I36" s="12"/>
      <c r="M36" s="12"/>
    </row>
    <row r="37" spans="1:13" ht="18" thickBot="1">
      <c r="A37" s="60" t="s">
        <v>353</v>
      </c>
      <c r="B37" s="281">
        <v>3</v>
      </c>
      <c r="C37" s="287" t="s">
        <v>354</v>
      </c>
      <c r="D37" s="443"/>
      <c r="E37" s="443"/>
      <c r="F37" s="12"/>
      <c r="H37" s="12"/>
      <c r="I37" s="12"/>
      <c r="M37" s="12"/>
    </row>
    <row r="38" spans="1:13" ht="17.5">
      <c r="A38" s="59" t="s">
        <v>158</v>
      </c>
      <c r="B38" s="279">
        <v>4</v>
      </c>
      <c r="C38" s="280" t="s">
        <v>334</v>
      </c>
      <c r="D38" s="442"/>
      <c r="E38" s="442"/>
      <c r="F38" s="12"/>
      <c r="H38" s="12"/>
      <c r="I38" s="12"/>
      <c r="M38" s="12"/>
    </row>
    <row r="39" spans="1:13" ht="17.5">
      <c r="A39" s="59" t="s">
        <v>157</v>
      </c>
      <c r="B39" s="279">
        <v>5</v>
      </c>
      <c r="C39" s="280" t="s">
        <v>335</v>
      </c>
      <c r="D39" s="442">
        <v>5.0500000000000003E-2</v>
      </c>
      <c r="E39" s="442">
        <v>5.2699999999999997E-2</v>
      </c>
      <c r="F39" s="12" t="s">
        <v>336</v>
      </c>
      <c r="H39" s="12"/>
      <c r="I39" s="12"/>
      <c r="M39" s="12"/>
    </row>
    <row r="40" spans="1:13" ht="18" thickBot="1">
      <c r="A40" s="60" t="s">
        <v>156</v>
      </c>
      <c r="B40" s="281">
        <v>6</v>
      </c>
      <c r="C40" s="282" t="s">
        <v>185</v>
      </c>
      <c r="D40" s="444" t="s">
        <v>0</v>
      </c>
      <c r="E40" s="444" t="s">
        <v>0</v>
      </c>
      <c r="F40" s="12"/>
      <c r="H40" s="12"/>
      <c r="I40" s="12"/>
      <c r="M40" s="12"/>
    </row>
    <row r="41" spans="1:13" ht="17.5">
      <c r="A41" s="59" t="s">
        <v>68</v>
      </c>
      <c r="B41" s="279">
        <v>7</v>
      </c>
      <c r="C41" s="280" t="s">
        <v>51</v>
      </c>
      <c r="D41" s="445" t="s">
        <v>0</v>
      </c>
      <c r="E41" s="445" t="s">
        <v>0</v>
      </c>
      <c r="H41" s="12"/>
      <c r="I41" s="12"/>
      <c r="M41" s="12"/>
    </row>
    <row r="42" spans="1:13" ht="17.5">
      <c r="A42" s="59" t="s">
        <v>155</v>
      </c>
      <c r="B42" s="279">
        <v>8</v>
      </c>
      <c r="C42" s="280" t="s">
        <v>24</v>
      </c>
      <c r="D42" s="446">
        <v>5.2499999999999998E-2</v>
      </c>
      <c r="E42" s="446">
        <v>5.4199999999999998E-2</v>
      </c>
      <c r="F42" s="12" t="s">
        <v>213</v>
      </c>
      <c r="H42" s="12"/>
      <c r="I42" s="12"/>
      <c r="J42" s="12"/>
      <c r="K42" s="12"/>
      <c r="L42" s="12"/>
      <c r="M42" s="12"/>
    </row>
    <row r="43" spans="1:13" ht="18" thickBot="1">
      <c r="A43" s="60" t="s">
        <v>70</v>
      </c>
      <c r="B43" s="281">
        <v>9</v>
      </c>
      <c r="C43" s="282" t="s">
        <v>72</v>
      </c>
      <c r="D43" s="444"/>
      <c r="E43" s="444"/>
      <c r="F43" s="12"/>
      <c r="H43" s="12"/>
      <c r="I43" s="12"/>
      <c r="J43" s="12"/>
      <c r="K43" s="12"/>
      <c r="L43" s="12"/>
      <c r="M43" s="12"/>
    </row>
    <row r="44" spans="1:13" ht="17.5">
      <c r="A44" s="59" t="s">
        <v>62</v>
      </c>
      <c r="B44" s="279">
        <v>10</v>
      </c>
      <c r="C44" s="280" t="s">
        <v>64</v>
      </c>
      <c r="D44" s="446"/>
      <c r="E44" s="446"/>
      <c r="H44" s="12"/>
      <c r="I44" s="12"/>
      <c r="J44" s="12"/>
      <c r="K44" s="12"/>
      <c r="L44" s="12"/>
      <c r="M44" s="12"/>
    </row>
    <row r="45" spans="1:13" ht="17.5">
      <c r="A45" s="59" t="s">
        <v>63</v>
      </c>
      <c r="B45" s="279">
        <v>11</v>
      </c>
      <c r="C45" s="280" t="s">
        <v>65</v>
      </c>
      <c r="D45" s="446">
        <v>5.6399999999999999E-2</v>
      </c>
      <c r="E45" s="446">
        <v>5.6800000000000003E-2</v>
      </c>
      <c r="F45" s="12" t="s">
        <v>216</v>
      </c>
      <c r="H45" s="12"/>
      <c r="I45" s="12"/>
      <c r="J45" s="12"/>
      <c r="K45" s="12"/>
      <c r="L45" s="12"/>
      <c r="M45" s="12"/>
    </row>
    <row r="46" spans="1:13" ht="18" thickBot="1">
      <c r="A46" s="60" t="s">
        <v>71</v>
      </c>
      <c r="B46" s="281">
        <v>12</v>
      </c>
      <c r="C46" s="282" t="s">
        <v>73</v>
      </c>
      <c r="D46" s="446" t="s">
        <v>0</v>
      </c>
      <c r="E46" s="446" t="s">
        <v>0</v>
      </c>
      <c r="F46" s="12"/>
      <c r="H46" s="12"/>
      <c r="I46" s="12"/>
      <c r="J46" s="12"/>
      <c r="K46" s="12"/>
      <c r="L46" s="12"/>
      <c r="M46" s="12"/>
    </row>
    <row r="47" spans="1:13" ht="17.5">
      <c r="A47" s="59" t="s">
        <v>69</v>
      </c>
      <c r="B47" s="279">
        <v>13</v>
      </c>
      <c r="C47" s="280" t="s">
        <v>337</v>
      </c>
      <c r="D47" s="445" t="s">
        <v>0</v>
      </c>
      <c r="E47" s="445" t="s">
        <v>0</v>
      </c>
      <c r="H47" s="12"/>
      <c r="I47" s="12"/>
      <c r="J47" s="12"/>
      <c r="K47" s="12"/>
      <c r="L47" s="12"/>
      <c r="M47" s="12"/>
    </row>
    <row r="48" spans="1:13" ht="17.5">
      <c r="A48" s="59" t="s">
        <v>154</v>
      </c>
      <c r="B48" s="279">
        <v>14</v>
      </c>
      <c r="C48" s="280" t="s">
        <v>338</v>
      </c>
      <c r="D48" s="442">
        <v>6.8500000000000005E-2</v>
      </c>
      <c r="E48" s="442">
        <v>6.9000000000000006E-2</v>
      </c>
      <c r="F48" s="12" t="s">
        <v>215</v>
      </c>
      <c r="H48" s="12"/>
      <c r="I48" s="12"/>
      <c r="J48" s="12"/>
      <c r="K48" s="12"/>
      <c r="L48" s="12"/>
      <c r="M48" s="12"/>
    </row>
    <row r="49" spans="1:13" ht="18" thickBot="1">
      <c r="A49" s="60" t="s">
        <v>153</v>
      </c>
      <c r="B49" s="281">
        <v>15</v>
      </c>
      <c r="C49" s="282" t="s">
        <v>339</v>
      </c>
      <c r="D49" s="443" t="s">
        <v>0</v>
      </c>
      <c r="E49" s="443" t="s">
        <v>0</v>
      </c>
      <c r="F49" s="12"/>
      <c r="H49" s="12"/>
      <c r="I49" s="12"/>
      <c r="J49" s="12"/>
      <c r="K49" s="12"/>
      <c r="L49" s="12"/>
      <c r="M49" s="12"/>
    </row>
    <row r="50" spans="1:13" ht="17.5">
      <c r="A50" s="59" t="s">
        <v>152</v>
      </c>
      <c r="B50" s="279">
        <v>16</v>
      </c>
      <c r="C50" s="280" t="s">
        <v>25</v>
      </c>
      <c r="D50" s="445"/>
      <c r="E50" s="445"/>
      <c r="H50" s="12"/>
      <c r="I50" s="12"/>
      <c r="J50" s="12"/>
      <c r="K50" s="12"/>
      <c r="L50" s="12"/>
      <c r="M50" s="12"/>
    </row>
    <row r="51" spans="1:13" ht="17.5">
      <c r="A51" s="59" t="s">
        <v>151</v>
      </c>
      <c r="B51" s="279">
        <v>17</v>
      </c>
      <c r="C51" s="280" t="s">
        <v>102</v>
      </c>
      <c r="D51" s="446">
        <v>7.46E-2</v>
      </c>
      <c r="E51" s="446">
        <v>7.6499999999999999E-2</v>
      </c>
      <c r="F51" s="12" t="s">
        <v>214</v>
      </c>
      <c r="H51" s="12"/>
      <c r="I51" s="12"/>
      <c r="J51" s="12"/>
      <c r="K51" s="12"/>
      <c r="L51" s="12"/>
      <c r="M51" s="12"/>
    </row>
    <row r="52" spans="1:13" ht="18" thickBot="1">
      <c r="A52" s="60" t="s">
        <v>150</v>
      </c>
      <c r="B52" s="281">
        <v>18</v>
      </c>
      <c r="C52" s="282" t="s">
        <v>340</v>
      </c>
      <c r="D52" s="443"/>
      <c r="E52" s="443"/>
      <c r="F52" s="12"/>
      <c r="H52" s="12"/>
      <c r="I52" s="12"/>
      <c r="J52" s="12"/>
      <c r="K52" s="12"/>
      <c r="L52" s="12"/>
      <c r="M52" s="12"/>
    </row>
    <row r="53" spans="1:13" ht="17.5">
      <c r="A53" s="59" t="s">
        <v>149</v>
      </c>
      <c r="B53" s="279">
        <v>19</v>
      </c>
      <c r="C53" s="280" t="s">
        <v>341</v>
      </c>
      <c r="D53" s="446"/>
      <c r="E53" s="446"/>
      <c r="H53" s="12"/>
      <c r="I53" s="12"/>
      <c r="J53" s="12"/>
      <c r="K53" s="12"/>
      <c r="L53" s="12"/>
      <c r="M53" s="12"/>
    </row>
    <row r="54" spans="1:13" ht="17.5">
      <c r="A54" s="59" t="s">
        <v>148</v>
      </c>
      <c r="B54" s="279">
        <v>20</v>
      </c>
      <c r="C54" s="280" t="s">
        <v>342</v>
      </c>
      <c r="D54" s="446">
        <v>8.0699999999999994E-2</v>
      </c>
      <c r="E54" s="446">
        <v>8.2799999999999999E-2</v>
      </c>
      <c r="F54" s="12" t="s">
        <v>211</v>
      </c>
      <c r="H54" s="12"/>
      <c r="I54" s="12"/>
      <c r="J54" s="12"/>
      <c r="K54" s="12"/>
      <c r="L54" s="12"/>
      <c r="M54" s="12"/>
    </row>
    <row r="55" spans="1:13" ht="18" thickBot="1">
      <c r="A55" s="60" t="s">
        <v>147</v>
      </c>
      <c r="B55" s="281">
        <v>21</v>
      </c>
      <c r="C55" s="375" t="s">
        <v>343</v>
      </c>
      <c r="D55" s="444"/>
      <c r="E55" s="444"/>
      <c r="F55" s="12"/>
      <c r="H55" s="12"/>
      <c r="I55" s="12"/>
      <c r="J55" s="12"/>
      <c r="K55" s="12"/>
      <c r="L55" s="12"/>
    </row>
    <row r="56" spans="1:13" ht="17.5">
      <c r="A56" s="374" t="s">
        <v>355</v>
      </c>
      <c r="B56" s="447">
        <v>22</v>
      </c>
      <c r="C56" s="377" t="s">
        <v>356</v>
      </c>
      <c r="D56" s="448"/>
      <c r="E56" s="448"/>
      <c r="H56" s="12"/>
    </row>
    <row r="57" spans="1:13" ht="17.5">
      <c r="A57" s="374" t="s">
        <v>357</v>
      </c>
      <c r="B57" s="449">
        <v>23</v>
      </c>
      <c r="C57" s="378" t="s">
        <v>344</v>
      </c>
      <c r="D57" s="450"/>
      <c r="E57" s="450"/>
      <c r="F57" s="12" t="s">
        <v>209</v>
      </c>
      <c r="H57" s="12"/>
    </row>
    <row r="58" spans="1:13" ht="18" thickBot="1">
      <c r="A58" s="376" t="s">
        <v>358</v>
      </c>
      <c r="B58" s="451">
        <v>24</v>
      </c>
      <c r="C58" s="375" t="s">
        <v>359</v>
      </c>
      <c r="D58" s="452"/>
      <c r="E58" s="452"/>
      <c r="F58" s="12"/>
      <c r="H58" s="12"/>
    </row>
    <row r="59" spans="1:13" ht="18" thickBot="1">
      <c r="A59" s="60" t="s">
        <v>281</v>
      </c>
      <c r="B59" s="281">
        <v>25</v>
      </c>
      <c r="C59" s="60" t="s">
        <v>103</v>
      </c>
      <c r="D59" s="453"/>
      <c r="E59" s="453"/>
      <c r="F59" s="12" t="s">
        <v>210</v>
      </c>
      <c r="H59" s="12"/>
    </row>
  </sheetData>
  <pageMargins left="0.25" right="0.25" top="0.75" bottom="0.75" header="0.3" footer="0.3"/>
  <pageSetup scale="4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5"/>
  <sheetViews>
    <sheetView view="pageBreakPreview" zoomScale="60" zoomScaleNormal="80" workbookViewId="0">
      <selection activeCell="M32" sqref="M32"/>
    </sheetView>
  </sheetViews>
  <sheetFormatPr defaultRowHeight="14.5"/>
  <cols>
    <col min="1" max="1" width="48.81640625" customWidth="1"/>
    <col min="2" max="2" width="11.54296875" customWidth="1"/>
    <col min="3" max="3" width="19.81640625" customWidth="1"/>
    <col min="4" max="4" width="24.7265625" customWidth="1"/>
    <col min="5" max="5" width="22.7265625" customWidth="1"/>
    <col min="6" max="7" width="21.26953125" customWidth="1"/>
    <col min="8" max="8" width="12" customWidth="1"/>
    <col min="9" max="9" width="18.453125" customWidth="1"/>
    <col min="10" max="10" width="21.26953125" customWidth="1"/>
    <col min="11" max="11" width="2.26953125" customWidth="1"/>
    <col min="12" max="12" width="22.7265625" customWidth="1"/>
    <col min="13" max="13" width="17.26953125" customWidth="1"/>
  </cols>
  <sheetData>
    <row r="1" spans="1:14" ht="25.5">
      <c r="A1" s="24" t="s">
        <v>1</v>
      </c>
      <c r="B1" s="12"/>
      <c r="C1" s="12"/>
      <c r="D1" s="12"/>
      <c r="E1" s="12"/>
      <c r="F1" s="12"/>
      <c r="G1" s="12"/>
      <c r="H1" s="12"/>
      <c r="I1" s="12"/>
      <c r="J1" s="12"/>
      <c r="K1" s="12"/>
      <c r="L1" s="12"/>
      <c r="M1" s="12"/>
      <c r="N1" s="12"/>
    </row>
    <row r="2" spans="1:14" ht="17.5">
      <c r="A2" s="64" t="s">
        <v>9</v>
      </c>
      <c r="B2" s="12"/>
      <c r="C2" s="12"/>
      <c r="D2" s="12"/>
      <c r="E2" s="12"/>
      <c r="F2" s="12"/>
      <c r="G2" s="12"/>
      <c r="H2" s="12"/>
      <c r="I2" s="12"/>
      <c r="J2" s="12"/>
      <c r="K2" s="12"/>
      <c r="L2" s="12"/>
      <c r="M2" s="12"/>
      <c r="N2" s="12"/>
    </row>
    <row r="3" spans="1:14" ht="17">
      <c r="A3" s="26" t="s">
        <v>457</v>
      </c>
      <c r="B3" s="12"/>
      <c r="C3" s="12"/>
      <c r="D3" s="12"/>
      <c r="E3" s="12"/>
      <c r="F3" s="12"/>
      <c r="G3" s="12"/>
      <c r="H3" s="12"/>
      <c r="I3" s="12"/>
      <c r="J3" s="12"/>
      <c r="K3" s="12"/>
      <c r="L3" s="12"/>
      <c r="M3" s="12"/>
      <c r="N3" s="12"/>
    </row>
    <row r="4" spans="1:14" ht="17">
      <c r="A4" s="12"/>
      <c r="B4" s="12"/>
      <c r="C4" s="12"/>
      <c r="D4" s="27" t="s">
        <v>0</v>
      </c>
      <c r="E4" s="12"/>
      <c r="F4" s="12"/>
      <c r="G4" s="12"/>
      <c r="H4" s="12"/>
      <c r="I4" s="12"/>
      <c r="J4" s="12"/>
      <c r="K4" s="12"/>
      <c r="L4" s="12"/>
      <c r="M4" s="12"/>
      <c r="N4" s="12"/>
    </row>
    <row r="5" spans="1:14" ht="18" thickBot="1">
      <c r="A5" s="64"/>
      <c r="B5" s="12"/>
      <c r="C5" s="12"/>
      <c r="D5" s="12"/>
      <c r="E5" s="12"/>
      <c r="F5" s="12"/>
      <c r="G5" s="12"/>
      <c r="H5" s="12"/>
      <c r="I5" s="12"/>
      <c r="J5" s="12"/>
      <c r="K5" s="12"/>
      <c r="L5" s="12"/>
      <c r="M5" s="12"/>
      <c r="N5" s="12"/>
    </row>
    <row r="6" spans="1:14" ht="18" thickBot="1">
      <c r="A6" s="269" t="str">
        <f>+'S&amp;D'!A12</f>
        <v>Electric Wholesale (non-regulated) Power Generator</v>
      </c>
      <c r="B6" s="197"/>
      <c r="C6" s="12"/>
      <c r="D6" s="12"/>
      <c r="E6" s="12"/>
      <c r="F6" s="12"/>
      <c r="G6" s="12"/>
      <c r="H6" s="12"/>
      <c r="I6" s="12"/>
      <c r="J6" s="12"/>
      <c r="K6" s="12"/>
      <c r="L6" s="12"/>
      <c r="M6" s="12"/>
      <c r="N6" s="12"/>
    </row>
    <row r="7" spans="1:14" ht="17.5">
      <c r="A7" s="64"/>
      <c r="B7" s="12"/>
      <c r="C7" s="12"/>
      <c r="D7" s="12"/>
      <c r="E7" s="12"/>
      <c r="F7" s="12"/>
      <c r="G7" s="12"/>
      <c r="H7" s="12"/>
      <c r="I7" s="12"/>
      <c r="J7" s="12"/>
      <c r="K7" s="12"/>
      <c r="L7" s="12"/>
      <c r="M7" s="12"/>
      <c r="N7" s="12"/>
    </row>
    <row r="8" spans="1:14" ht="18" thickBot="1">
      <c r="A8" s="64"/>
      <c r="B8" s="29"/>
      <c r="C8" s="29"/>
      <c r="D8" s="29"/>
      <c r="E8" s="29"/>
      <c r="F8" s="12"/>
      <c r="G8" s="12"/>
      <c r="H8" s="29"/>
      <c r="I8" s="29"/>
      <c r="J8" s="29"/>
      <c r="K8" s="29"/>
      <c r="L8" s="29"/>
      <c r="M8" s="29"/>
      <c r="N8" s="12"/>
    </row>
    <row r="9" spans="1:14" ht="25.5">
      <c r="B9" s="12"/>
      <c r="C9" s="12"/>
      <c r="D9" s="32" t="s">
        <v>322</v>
      </c>
      <c r="E9" s="12"/>
      <c r="F9" s="12"/>
      <c r="G9" s="12"/>
      <c r="H9" s="12"/>
      <c r="I9" s="12"/>
      <c r="J9" s="12"/>
      <c r="K9" s="70" t="s">
        <v>323</v>
      </c>
      <c r="L9" s="12"/>
      <c r="M9" s="12"/>
      <c r="N9" s="12"/>
    </row>
    <row r="10" spans="1:14" ht="21.5" thickBot="1">
      <c r="A10" s="31"/>
      <c r="B10" s="29"/>
      <c r="C10" s="29"/>
      <c r="D10" s="37" t="s">
        <v>458</v>
      </c>
      <c r="E10" s="29"/>
      <c r="F10" s="12"/>
      <c r="G10" s="12"/>
      <c r="H10" s="29"/>
      <c r="I10" s="29"/>
      <c r="J10" s="29"/>
      <c r="K10" s="37" t="s">
        <v>458</v>
      </c>
      <c r="L10" s="29"/>
      <c r="M10" s="29"/>
      <c r="N10" s="12"/>
    </row>
    <row r="11" spans="1:14" ht="17.5" thickBot="1">
      <c r="A11" s="34" t="s">
        <v>0</v>
      </c>
      <c r="B11" s="34" t="s">
        <v>0</v>
      </c>
      <c r="C11" s="34" t="s">
        <v>0</v>
      </c>
      <c r="D11" s="34" t="s">
        <v>0</v>
      </c>
      <c r="E11" s="34" t="s">
        <v>0</v>
      </c>
      <c r="F11" s="34" t="s">
        <v>0</v>
      </c>
      <c r="G11" s="41"/>
      <c r="H11" s="268"/>
      <c r="I11" s="34" t="s">
        <v>0</v>
      </c>
      <c r="J11" s="29"/>
      <c r="K11" s="29"/>
      <c r="L11" s="29"/>
      <c r="M11" s="29"/>
      <c r="N11" s="12"/>
    </row>
    <row r="12" spans="1:14" ht="17">
      <c r="A12" s="35" t="s">
        <v>0</v>
      </c>
      <c r="B12" s="35" t="s">
        <v>3</v>
      </c>
      <c r="C12" s="35" t="s">
        <v>0</v>
      </c>
      <c r="D12" s="35" t="s">
        <v>123</v>
      </c>
      <c r="E12" s="35" t="s">
        <v>123</v>
      </c>
      <c r="F12" s="35" t="s">
        <v>27</v>
      </c>
      <c r="G12" s="35"/>
      <c r="H12" s="35" t="s">
        <v>3</v>
      </c>
      <c r="I12" s="35" t="s">
        <v>0</v>
      </c>
      <c r="J12" s="35" t="s">
        <v>123</v>
      </c>
      <c r="K12" s="35"/>
      <c r="L12" s="35" t="s">
        <v>123</v>
      </c>
      <c r="M12" s="35" t="s">
        <v>27</v>
      </c>
      <c r="N12" s="12"/>
    </row>
    <row r="13" spans="1:14" ht="17.5" thickBot="1">
      <c r="A13" s="37" t="s">
        <v>2</v>
      </c>
      <c r="B13" s="37" t="s">
        <v>4</v>
      </c>
      <c r="C13" s="37" t="s">
        <v>28</v>
      </c>
      <c r="D13" s="37" t="s">
        <v>0</v>
      </c>
      <c r="E13" s="37" t="s">
        <v>29</v>
      </c>
      <c r="F13" s="37" t="s">
        <v>30</v>
      </c>
      <c r="G13" s="35"/>
      <c r="H13" s="37" t="s">
        <v>4</v>
      </c>
      <c r="I13" s="37" t="s">
        <v>28</v>
      </c>
      <c r="J13" s="37" t="s">
        <v>0</v>
      </c>
      <c r="K13" s="37"/>
      <c r="L13" s="37" t="s">
        <v>29</v>
      </c>
      <c r="M13" s="37" t="s">
        <v>30</v>
      </c>
      <c r="N13" s="12"/>
    </row>
    <row r="14" spans="1:14" ht="17">
      <c r="A14" s="39" t="s">
        <v>0</v>
      </c>
      <c r="B14" s="39" t="s">
        <v>0</v>
      </c>
      <c r="C14" s="40" t="s">
        <v>126</v>
      </c>
      <c r="D14" s="39" t="s">
        <v>127</v>
      </c>
      <c r="E14" s="39" t="s">
        <v>0</v>
      </c>
      <c r="F14" s="39" t="s">
        <v>0</v>
      </c>
      <c r="G14" s="41"/>
      <c r="H14" s="39" t="s">
        <v>0</v>
      </c>
      <c r="I14" s="40" t="s">
        <v>126</v>
      </c>
      <c r="J14" s="39" t="s">
        <v>128</v>
      </c>
      <c r="K14" s="39"/>
      <c r="L14" s="39" t="s">
        <v>0</v>
      </c>
      <c r="M14" s="39" t="s">
        <v>0</v>
      </c>
      <c r="N14" s="12"/>
    </row>
    <row r="15" spans="1:14" ht="17">
      <c r="A15" s="35"/>
      <c r="B15" s="35"/>
      <c r="C15" s="35"/>
      <c r="D15" s="35"/>
      <c r="E15" s="35"/>
      <c r="F15" s="35"/>
      <c r="G15" s="35"/>
      <c r="H15" s="35"/>
      <c r="I15" s="35"/>
      <c r="J15" s="35"/>
      <c r="K15" s="35"/>
      <c r="L15" s="35"/>
      <c r="M15" s="35"/>
      <c r="N15" s="12"/>
    </row>
    <row r="16" spans="1:14" ht="17">
      <c r="A16" s="12"/>
      <c r="B16" s="12"/>
      <c r="C16" s="12"/>
      <c r="D16" s="12"/>
      <c r="E16" s="12"/>
      <c r="F16" s="12"/>
      <c r="G16" s="12"/>
      <c r="H16" s="12"/>
      <c r="I16" s="12"/>
      <c r="J16" s="12"/>
      <c r="K16" s="12"/>
      <c r="L16" s="12"/>
      <c r="M16" s="12"/>
      <c r="N16" s="12"/>
    </row>
    <row r="17" spans="1:14" ht="17.5">
      <c r="A17" s="44" t="str">
        <f>+'S&amp;D'!A22</f>
        <v>AES CORPORATION</v>
      </c>
      <c r="B17" s="35" t="str">
        <f>+'S&amp;D'!B22</f>
        <v>AES</v>
      </c>
      <c r="C17" s="61">
        <f>+'S&amp;D'!G22</f>
        <v>19.25</v>
      </c>
      <c r="D17" s="344">
        <v>2.0499999999999998</v>
      </c>
      <c r="E17" s="73">
        <f>C17/D17</f>
        <v>9.3902439024390247</v>
      </c>
      <c r="F17" s="58">
        <f t="shared" ref="F17:F23" si="0">1/E17</f>
        <v>0.10649350649350649</v>
      </c>
      <c r="G17" s="58"/>
      <c r="H17" s="35" t="str">
        <f>+B17</f>
        <v>AES</v>
      </c>
      <c r="I17" s="61">
        <f>+C17</f>
        <v>19.25</v>
      </c>
      <c r="J17" s="344">
        <v>2.2999999999999998</v>
      </c>
      <c r="K17" s="344"/>
      <c r="L17" s="73">
        <f>I17/J17</f>
        <v>8.3695652173913047</v>
      </c>
      <c r="M17" s="58">
        <f t="shared" ref="M17:M23" si="1">1/L17</f>
        <v>0.11948051948051948</v>
      </c>
      <c r="N17" s="12"/>
    </row>
    <row r="18" spans="1:14" ht="17.5">
      <c r="A18" s="44" t="str">
        <f>+'S&amp;D'!A23</f>
        <v>DOMINION ENERGY INC</v>
      </c>
      <c r="B18" s="35" t="str">
        <f>+'S&amp;D'!B23</f>
        <v>D</v>
      </c>
      <c r="C18" s="61">
        <f>+'S&amp;D'!G23</f>
        <v>47</v>
      </c>
      <c r="D18" s="344">
        <v>6.7</v>
      </c>
      <c r="E18" s="73">
        <f t="shared" ref="E18:E23" si="2">C18/D18</f>
        <v>7.0149253731343277</v>
      </c>
      <c r="F18" s="58">
        <f t="shared" si="0"/>
        <v>0.14255319148936171</v>
      </c>
      <c r="G18" s="58"/>
      <c r="H18" s="35" t="str">
        <f t="shared" ref="H18:H23" si="3">+B18</f>
        <v>D</v>
      </c>
      <c r="I18" s="61">
        <f t="shared" ref="I18:I23" si="4">+C18</f>
        <v>47</v>
      </c>
      <c r="J18" s="344">
        <v>7.1</v>
      </c>
      <c r="K18" s="344"/>
      <c r="L18" s="73">
        <f t="shared" ref="L18:L23" si="5">I18/J18</f>
        <v>6.619718309859155</v>
      </c>
      <c r="M18" s="58">
        <f t="shared" si="1"/>
        <v>0.15106382978723404</v>
      </c>
      <c r="N18" s="12"/>
    </row>
    <row r="19" spans="1:14" ht="17.5">
      <c r="A19" s="44" t="str">
        <f>+'S&amp;D'!A24</f>
        <v>CONSTELLATION ENERGY GENERATION LLC</v>
      </c>
      <c r="B19" s="35" t="str">
        <f>+'S&amp;D'!B24</f>
        <v>CEG</v>
      </c>
      <c r="C19" s="61">
        <f>+'S&amp;D'!G24</f>
        <v>116.89</v>
      </c>
      <c r="D19" s="344">
        <v>15.85</v>
      </c>
      <c r="E19" s="73">
        <f t="shared" si="2"/>
        <v>7.3747634069400636</v>
      </c>
      <c r="F19" s="58">
        <f t="shared" si="0"/>
        <v>0.13559757036530071</v>
      </c>
      <c r="G19" s="58"/>
      <c r="H19" s="35" t="str">
        <f t="shared" si="3"/>
        <v>CEG</v>
      </c>
      <c r="I19" s="61">
        <f t="shared" si="4"/>
        <v>116.89</v>
      </c>
      <c r="J19" s="344">
        <v>16.8</v>
      </c>
      <c r="K19" s="344"/>
      <c r="L19" s="73">
        <f t="shared" si="5"/>
        <v>6.9577380952380947</v>
      </c>
      <c r="M19" s="58">
        <f t="shared" si="1"/>
        <v>0.14372486953546071</v>
      </c>
      <c r="N19" s="12"/>
    </row>
    <row r="20" spans="1:14" ht="17.5">
      <c r="A20" s="44" t="str">
        <f>+'S&amp;D'!A25</f>
        <v>NEXTERA ENERGY INC</v>
      </c>
      <c r="B20" s="35" t="str">
        <f>+'S&amp;D'!B25</f>
        <v>NEE</v>
      </c>
      <c r="C20" s="61">
        <f>+'S&amp;D'!G25</f>
        <v>60.74</v>
      </c>
      <c r="D20" s="344">
        <v>6.45</v>
      </c>
      <c r="E20" s="73">
        <f t="shared" ref="E20" si="6">C20/D20</f>
        <v>9.4170542635658911</v>
      </c>
      <c r="F20" s="58">
        <f t="shared" ref="F20" si="7">1/E20</f>
        <v>0.10619031939413896</v>
      </c>
      <c r="G20" s="58"/>
      <c r="H20" s="35" t="str">
        <f t="shared" ref="H20" si="8">+B20</f>
        <v>NEE</v>
      </c>
      <c r="I20" s="61">
        <f t="shared" ref="I20" si="9">+C20</f>
        <v>60.74</v>
      </c>
      <c r="J20" s="344">
        <v>6.75</v>
      </c>
      <c r="K20" s="344"/>
      <c r="L20" s="73">
        <f t="shared" ref="L20" si="10">I20/J20</f>
        <v>8.9985185185185195</v>
      </c>
      <c r="M20" s="58">
        <f t="shared" ref="M20" si="11">1/L20</f>
        <v>0.11112940401712215</v>
      </c>
      <c r="N20" s="12"/>
    </row>
    <row r="21" spans="1:14" ht="17.5">
      <c r="A21" s="44" t="str">
        <f>+'S&amp;D'!A26</f>
        <v>NRG ENERGY</v>
      </c>
      <c r="B21" s="35" t="str">
        <f>+'S&amp;D'!B26</f>
        <v>NRG</v>
      </c>
      <c r="C21" s="61">
        <f>+'S&amp;D'!G26</f>
        <v>51.7</v>
      </c>
      <c r="D21" s="344">
        <v>7.9</v>
      </c>
      <c r="E21" s="73">
        <f>C21/D21</f>
        <v>6.5443037974683547</v>
      </c>
      <c r="F21" s="58">
        <f t="shared" si="0"/>
        <v>0.15280464216634429</v>
      </c>
      <c r="G21" s="58"/>
      <c r="H21" s="35" t="str">
        <f t="shared" si="3"/>
        <v>NRG</v>
      </c>
      <c r="I21" s="61">
        <f t="shared" si="4"/>
        <v>51.7</v>
      </c>
      <c r="J21" s="344">
        <v>7.45</v>
      </c>
      <c r="K21" s="344"/>
      <c r="L21" s="73">
        <f t="shared" si="5"/>
        <v>6.9395973154362416</v>
      </c>
      <c r="M21" s="58">
        <f t="shared" si="1"/>
        <v>0.14410058027079303</v>
      </c>
      <c r="N21" s="12"/>
    </row>
    <row r="22" spans="1:14" ht="17.5">
      <c r="A22" s="44" t="str">
        <f>+'S&amp;D'!A27</f>
        <v>SOUTHERN COMPANY</v>
      </c>
      <c r="B22" s="35" t="str">
        <f>+'S&amp;D'!B27</f>
        <v>SO</v>
      </c>
      <c r="C22" s="61">
        <f>+'S&amp;D'!G27</f>
        <v>70.12</v>
      </c>
      <c r="D22" s="344">
        <v>8</v>
      </c>
      <c r="E22" s="73">
        <f t="shared" si="2"/>
        <v>8.7650000000000006</v>
      </c>
      <c r="F22" s="58">
        <f t="shared" si="0"/>
        <v>0.11409013120365087</v>
      </c>
      <c r="G22" s="58"/>
      <c r="H22" s="35" t="str">
        <f t="shared" si="3"/>
        <v>SO</v>
      </c>
      <c r="I22" s="61">
        <f t="shared" si="4"/>
        <v>70.12</v>
      </c>
      <c r="J22" s="344">
        <v>8.3000000000000007</v>
      </c>
      <c r="K22" s="344"/>
      <c r="L22" s="73">
        <f t="shared" si="5"/>
        <v>8.4481927710843365</v>
      </c>
      <c r="M22" s="58">
        <f t="shared" si="1"/>
        <v>0.11836851112378781</v>
      </c>
      <c r="N22" s="12"/>
    </row>
    <row r="23" spans="1:14" ht="17.5">
      <c r="A23" s="44" t="str">
        <f>+'S&amp;D'!A28</f>
        <v>VISTRA ENERGY CORPORATION</v>
      </c>
      <c r="B23" s="35" t="str">
        <f>+'S&amp;D'!B28</f>
        <v>VST</v>
      </c>
      <c r="C23" s="61">
        <f>+'S&amp;D'!G28</f>
        <v>38.520000000000003</v>
      </c>
      <c r="D23" s="344">
        <v>1.9</v>
      </c>
      <c r="E23" s="73">
        <f t="shared" si="2"/>
        <v>20.273684210526319</v>
      </c>
      <c r="F23" s="58">
        <f t="shared" si="0"/>
        <v>4.9325025960539969E-2</v>
      </c>
      <c r="G23" s="58"/>
      <c r="H23" s="35" t="str">
        <f t="shared" si="3"/>
        <v>VST</v>
      </c>
      <c r="I23" s="61">
        <f t="shared" si="4"/>
        <v>38.520000000000003</v>
      </c>
      <c r="J23" s="344">
        <v>11.9</v>
      </c>
      <c r="K23" s="344"/>
      <c r="L23" s="73">
        <f t="shared" si="5"/>
        <v>3.2369747899159664</v>
      </c>
      <c r="M23" s="58">
        <f t="shared" si="1"/>
        <v>0.30893042575285568</v>
      </c>
      <c r="N23" s="12"/>
    </row>
    <row r="24" spans="1:14" ht="17.5" thickBot="1">
      <c r="A24" s="12"/>
      <c r="B24" s="72"/>
      <c r="C24" s="72"/>
      <c r="D24" s="72"/>
      <c r="E24" s="72"/>
      <c r="F24" s="72"/>
      <c r="G24" s="12"/>
      <c r="H24" s="72"/>
      <c r="I24" s="72"/>
      <c r="J24" s="72"/>
      <c r="K24" s="72"/>
      <c r="L24" s="72"/>
      <c r="M24" s="72"/>
      <c r="N24" s="12"/>
    </row>
    <row r="25" spans="1:14" ht="17.5" thickTop="1">
      <c r="A25" s="12"/>
      <c r="C25" s="14" t="s">
        <v>53</v>
      </c>
      <c r="D25" s="303">
        <f>MAX(D17:D23)</f>
        <v>15.85</v>
      </c>
      <c r="E25" s="303">
        <f t="shared" ref="E25:F25" si="12">MAX(E17:E23)</f>
        <v>20.273684210526319</v>
      </c>
      <c r="F25" s="297">
        <f t="shared" si="12"/>
        <v>0.15280464216634429</v>
      </c>
      <c r="I25" s="14" t="s">
        <v>53</v>
      </c>
      <c r="J25" s="303">
        <f t="shared" ref="J25:M25" si="13">MAX(J17:J23)</f>
        <v>16.8</v>
      </c>
      <c r="K25" s="303"/>
      <c r="L25" s="303">
        <f t="shared" si="13"/>
        <v>8.9985185185185195</v>
      </c>
      <c r="M25" s="297">
        <f t="shared" si="13"/>
        <v>0.30893042575285568</v>
      </c>
      <c r="N25" s="12"/>
    </row>
    <row r="26" spans="1:14" ht="17">
      <c r="A26" s="12"/>
      <c r="C26" s="14" t="s">
        <v>54</v>
      </c>
      <c r="D26" s="306">
        <f>MIN(D17:D23)</f>
        <v>1.9</v>
      </c>
      <c r="E26" s="306">
        <f t="shared" ref="E26:F26" si="14">MIN(E17:E23)</f>
        <v>6.5443037974683547</v>
      </c>
      <c r="F26" s="298">
        <f t="shared" si="14"/>
        <v>4.9325025960539969E-2</v>
      </c>
      <c r="I26" s="14" t="s">
        <v>54</v>
      </c>
      <c r="J26" s="306">
        <f t="shared" ref="J26:M26" si="15">MIN(J17:J23)</f>
        <v>2.2999999999999998</v>
      </c>
      <c r="K26" s="306"/>
      <c r="L26" s="306">
        <f t="shared" si="15"/>
        <v>3.2369747899159664</v>
      </c>
      <c r="M26" s="298">
        <f t="shared" si="15"/>
        <v>0.11112940401712215</v>
      </c>
      <c r="N26" s="12"/>
    </row>
    <row r="27" spans="1:14" ht="17">
      <c r="A27" s="12"/>
      <c r="C27" s="14" t="s">
        <v>18</v>
      </c>
      <c r="D27" s="73">
        <f>MEDIAN(D17:D23)</f>
        <v>6.7</v>
      </c>
      <c r="E27" s="21">
        <f>MEDIAN(E17:E23)</f>
        <v>8.7650000000000006</v>
      </c>
      <c r="F27" s="58">
        <f>MEDIAN(F17:F23)</f>
        <v>0.11409013120365087</v>
      </c>
      <c r="I27" s="14" t="s">
        <v>18</v>
      </c>
      <c r="J27" s="73">
        <f>MEDIAN(J17:J23)</f>
        <v>7.45</v>
      </c>
      <c r="K27" s="73"/>
      <c r="L27" s="21">
        <f>MEDIAN(L17:L23)</f>
        <v>6.9577380952380947</v>
      </c>
      <c r="M27" s="58">
        <f>MEDIAN(M17:M23)</f>
        <v>0.14372486953546071</v>
      </c>
      <c r="N27" s="12"/>
    </row>
    <row r="28" spans="1:14" ht="17">
      <c r="A28" s="12"/>
      <c r="C28" s="14" t="s">
        <v>412</v>
      </c>
      <c r="D28" s="17">
        <f>AVERAGE(D17:D23)</f>
        <v>6.9785714285714286</v>
      </c>
      <c r="E28" s="21">
        <f>AVERAGE(E17:E23)</f>
        <v>9.8257107077248538</v>
      </c>
      <c r="F28" s="74">
        <f>AVERAGE(F17:F23)</f>
        <v>0.11529348386754901</v>
      </c>
      <c r="I28" s="14" t="s">
        <v>412</v>
      </c>
      <c r="J28" s="17">
        <f>AVERAGE(J17:J23)</f>
        <v>8.6571428571428566</v>
      </c>
      <c r="K28" s="17"/>
      <c r="L28" s="21">
        <f>AVERAGE(L17:L23)</f>
        <v>7.081472145349089</v>
      </c>
      <c r="M28" s="74">
        <f>AVERAGE(M17:M23)</f>
        <v>0.15668544856682468</v>
      </c>
      <c r="N28" s="12"/>
    </row>
    <row r="29" spans="1:14" ht="17">
      <c r="A29" s="12"/>
      <c r="B29" s="12"/>
      <c r="C29" s="12"/>
      <c r="D29" s="12"/>
      <c r="E29" s="12"/>
      <c r="F29" s="12"/>
      <c r="H29" s="12"/>
      <c r="I29" s="12"/>
      <c r="J29" s="12"/>
      <c r="K29" s="12"/>
      <c r="L29" s="12"/>
      <c r="M29" s="12"/>
      <c r="N29" s="12"/>
    </row>
    <row r="30" spans="1:14" ht="25.5">
      <c r="A30" s="12"/>
      <c r="B30" s="12"/>
      <c r="C30" s="12"/>
      <c r="D30" s="78" t="s">
        <v>87</v>
      </c>
      <c r="E30" s="332">
        <v>9.83</v>
      </c>
      <c r="F30" s="333">
        <v>0.1153</v>
      </c>
      <c r="H30" s="12"/>
      <c r="I30" s="12"/>
      <c r="J30" s="78" t="s">
        <v>87</v>
      </c>
      <c r="K30" s="50"/>
      <c r="L30" s="334">
        <v>7.08</v>
      </c>
      <c r="M30" s="333">
        <v>0.15670000000000001</v>
      </c>
      <c r="N30" s="12"/>
    </row>
    <row r="31" spans="1:14" ht="17.5" thickBot="1">
      <c r="A31" s="12"/>
      <c r="B31" s="12"/>
      <c r="C31" s="12"/>
      <c r="D31" s="12"/>
      <c r="E31" s="12"/>
      <c r="F31" s="75" t="s">
        <v>0</v>
      </c>
      <c r="G31" s="75"/>
      <c r="H31" s="12"/>
      <c r="I31" s="12"/>
      <c r="J31" s="12"/>
      <c r="K31" s="12"/>
      <c r="L31" s="12"/>
      <c r="M31" s="12"/>
      <c r="N31" s="12"/>
    </row>
    <row r="32" spans="1:14" ht="26" thickBot="1">
      <c r="A32" s="76" t="s">
        <v>0</v>
      </c>
      <c r="B32" s="12"/>
      <c r="C32" s="12"/>
      <c r="D32" s="12"/>
      <c r="E32" s="12"/>
      <c r="F32" s="12"/>
      <c r="G32" s="12"/>
      <c r="H32" s="24" t="s">
        <v>137</v>
      </c>
      <c r="I32" s="24"/>
      <c r="J32" s="12"/>
      <c r="K32" s="12"/>
      <c r="L32" s="379">
        <f>(E30+L30)/2</f>
        <v>8.4550000000000001</v>
      </c>
      <c r="M32" s="373">
        <f>(F30+M30)/2</f>
        <v>0.13600000000000001</v>
      </c>
      <c r="N32" s="12"/>
    </row>
    <row r="33" spans="1:14" ht="17">
      <c r="A33" s="76" t="s">
        <v>66</v>
      </c>
      <c r="B33" s="12"/>
      <c r="C33" s="12"/>
      <c r="D33" s="12"/>
      <c r="E33" s="12"/>
      <c r="F33" s="12"/>
      <c r="G33" s="12"/>
      <c r="H33" s="12"/>
      <c r="I33" s="12"/>
      <c r="J33" s="12"/>
      <c r="K33" s="12"/>
      <c r="L33" s="12"/>
      <c r="M33" s="12"/>
      <c r="N33" s="12"/>
    </row>
    <row r="34" spans="1:14" ht="17">
      <c r="A34" s="12"/>
      <c r="B34" s="12"/>
      <c r="C34" s="12"/>
      <c r="D34" s="12"/>
      <c r="E34" s="12"/>
      <c r="F34" s="12"/>
      <c r="G34" s="12"/>
      <c r="H34" s="12"/>
      <c r="I34" s="12"/>
      <c r="J34" s="12"/>
      <c r="K34" s="12"/>
      <c r="L34" s="12"/>
      <c r="M34" s="12"/>
      <c r="N34" s="12"/>
    </row>
    <row r="35" spans="1:14" ht="17">
      <c r="A35" s="12"/>
      <c r="B35" s="12"/>
      <c r="C35" s="12"/>
      <c r="D35" s="12"/>
      <c r="E35" s="12"/>
      <c r="F35" s="12"/>
      <c r="G35" s="12"/>
      <c r="H35" s="12"/>
      <c r="I35" s="12"/>
      <c r="J35" s="12"/>
      <c r="K35" s="12"/>
      <c r="L35" s="12"/>
      <c r="M35" s="12"/>
      <c r="N35" s="12"/>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59"/>
  <sheetViews>
    <sheetView view="pageBreakPreview" topLeftCell="A9" zoomScale="60" zoomScaleNormal="80" workbookViewId="0">
      <selection activeCell="F60" sqref="F60"/>
    </sheetView>
  </sheetViews>
  <sheetFormatPr defaultRowHeight="14.5"/>
  <cols>
    <col min="1" max="1" width="44.1796875" customWidth="1"/>
    <col min="2" max="2" width="14.453125" customWidth="1"/>
    <col min="3" max="3" width="12.26953125" bestFit="1" customWidth="1"/>
    <col min="4" max="4" width="23.7265625" customWidth="1"/>
    <col min="5" max="5" width="21.26953125" customWidth="1"/>
    <col min="6" max="6" width="19" customWidth="1"/>
    <col min="7" max="7" width="16.453125" customWidth="1"/>
    <col min="8" max="10" width="19.26953125" customWidth="1"/>
    <col min="11" max="12" width="21.54296875" customWidth="1"/>
    <col min="13" max="13" width="18.26953125" customWidth="1"/>
  </cols>
  <sheetData>
    <row r="1" spans="1:15" ht="25.5">
      <c r="A1" s="24" t="s">
        <v>1</v>
      </c>
      <c r="B1" s="24"/>
      <c r="C1" s="12"/>
      <c r="D1" s="12"/>
      <c r="E1" s="12"/>
      <c r="F1" s="12"/>
      <c r="G1" s="12"/>
      <c r="H1" s="12"/>
      <c r="I1" s="12"/>
      <c r="J1" s="12"/>
      <c r="K1" s="12"/>
      <c r="L1" s="12"/>
      <c r="M1" s="12"/>
      <c r="N1" s="12"/>
      <c r="O1" s="12"/>
    </row>
    <row r="2" spans="1:15" ht="17.5">
      <c r="A2" s="64" t="s">
        <v>9</v>
      </c>
      <c r="B2" s="64"/>
      <c r="C2" s="12"/>
      <c r="D2" s="12"/>
      <c r="E2" s="12"/>
      <c r="F2" s="12"/>
      <c r="G2" s="12"/>
      <c r="H2" s="12"/>
      <c r="I2" s="12"/>
      <c r="J2" s="12"/>
      <c r="K2" s="12"/>
      <c r="L2" s="12"/>
      <c r="M2" s="12"/>
      <c r="N2" s="12"/>
      <c r="O2" s="12"/>
    </row>
    <row r="3" spans="1:15" ht="17">
      <c r="A3" s="26" t="s">
        <v>457</v>
      </c>
      <c r="B3" s="44"/>
      <c r="C3" s="12"/>
      <c r="D3" s="12"/>
      <c r="E3" s="12"/>
      <c r="F3" s="12"/>
      <c r="G3" s="12"/>
      <c r="H3" s="12"/>
      <c r="I3" s="12"/>
      <c r="J3" s="12"/>
      <c r="K3" s="12"/>
      <c r="L3" s="12"/>
      <c r="M3" s="12"/>
      <c r="N3" s="12"/>
      <c r="O3" s="12"/>
    </row>
    <row r="4" spans="1:15" ht="17">
      <c r="A4" s="12"/>
      <c r="B4" s="12"/>
      <c r="C4" s="12"/>
      <c r="D4" s="12"/>
      <c r="E4" s="27" t="s">
        <v>0</v>
      </c>
      <c r="F4" s="12"/>
      <c r="G4" s="12"/>
      <c r="H4" s="12"/>
      <c r="I4" s="12"/>
      <c r="J4" s="12"/>
      <c r="K4" s="12"/>
      <c r="L4" s="12"/>
      <c r="M4" s="12"/>
      <c r="N4" s="12"/>
      <c r="O4" s="12"/>
    </row>
    <row r="5" spans="1:15" ht="18" thickBot="1">
      <c r="A5" s="64"/>
      <c r="B5" s="64"/>
      <c r="C5" s="12"/>
      <c r="D5" s="12"/>
      <c r="E5" s="12"/>
      <c r="F5" s="12"/>
      <c r="G5" s="12"/>
      <c r="H5" s="12"/>
      <c r="I5" s="12"/>
      <c r="J5" s="12"/>
      <c r="K5" s="12"/>
      <c r="L5" s="12"/>
      <c r="M5" s="12"/>
      <c r="N5" s="12"/>
      <c r="O5" s="12"/>
    </row>
    <row r="6" spans="1:15" ht="21.5" thickBot="1">
      <c r="A6" s="267" t="str">
        <f>+'S&amp;D'!A12</f>
        <v>Electric Wholesale (non-regulated) Power Generator</v>
      </c>
      <c r="B6" s="366"/>
      <c r="C6" s="197"/>
      <c r="D6" s="12"/>
      <c r="E6" s="12"/>
      <c r="F6" s="12"/>
      <c r="G6" s="12"/>
      <c r="H6" s="12"/>
      <c r="I6" s="12"/>
      <c r="J6" s="12"/>
      <c r="K6" s="12"/>
      <c r="L6" s="12"/>
      <c r="M6" s="12"/>
      <c r="N6" s="12"/>
      <c r="O6" s="12"/>
    </row>
    <row r="7" spans="1:15" ht="18" thickBot="1">
      <c r="A7" s="64"/>
      <c r="B7" s="64"/>
      <c r="C7" s="29"/>
      <c r="D7" s="29"/>
      <c r="E7" s="29"/>
      <c r="F7" s="29"/>
      <c r="G7" s="29"/>
      <c r="H7" s="12"/>
      <c r="I7" s="29"/>
      <c r="J7" s="29"/>
      <c r="K7" s="29"/>
      <c r="L7" s="29"/>
      <c r="M7" s="29"/>
      <c r="N7" s="12"/>
      <c r="O7" s="12"/>
    </row>
    <row r="8" spans="1:15" ht="25.5">
      <c r="B8" s="31"/>
      <c r="C8" s="12"/>
      <c r="D8" s="12"/>
      <c r="E8" s="32" t="s">
        <v>249</v>
      </c>
      <c r="F8" s="12"/>
      <c r="G8" s="12"/>
      <c r="H8" s="12"/>
      <c r="I8" s="12"/>
      <c r="J8" s="12"/>
      <c r="K8" s="32" t="s">
        <v>250</v>
      </c>
      <c r="L8" s="12"/>
      <c r="M8" s="12"/>
      <c r="N8" s="12"/>
      <c r="O8" s="12"/>
    </row>
    <row r="9" spans="1:15" ht="21.5" thickBot="1">
      <c r="A9" s="31"/>
      <c r="B9" s="31"/>
      <c r="C9" s="29"/>
      <c r="D9" s="29"/>
      <c r="E9" s="37" t="s">
        <v>458</v>
      </c>
      <c r="F9" s="29"/>
      <c r="G9" s="29"/>
      <c r="H9" s="12"/>
      <c r="I9" s="29"/>
      <c r="J9" s="29"/>
      <c r="K9" s="37" t="s">
        <v>458</v>
      </c>
      <c r="L9" s="29"/>
      <c r="M9" s="29"/>
      <c r="N9" s="12"/>
      <c r="O9" s="12"/>
    </row>
    <row r="10" spans="1:15" ht="17.5" thickBot="1">
      <c r="A10" s="34" t="s">
        <v>0</v>
      </c>
      <c r="B10" s="34"/>
      <c r="C10" s="34" t="s">
        <v>0</v>
      </c>
      <c r="D10" s="34" t="s">
        <v>0</v>
      </c>
      <c r="E10" s="34" t="s">
        <v>0</v>
      </c>
      <c r="F10" s="34" t="s">
        <v>0</v>
      </c>
      <c r="G10" s="34" t="s">
        <v>0</v>
      </c>
      <c r="H10" s="12"/>
      <c r="I10" s="29"/>
      <c r="J10" s="29"/>
      <c r="K10" s="29"/>
      <c r="L10" s="29"/>
      <c r="M10" s="29"/>
      <c r="N10" s="12"/>
      <c r="O10" s="12"/>
    </row>
    <row r="11" spans="1:15" ht="17">
      <c r="A11" s="35" t="s">
        <v>0</v>
      </c>
      <c r="B11" s="35"/>
      <c r="C11" s="35" t="s">
        <v>3</v>
      </c>
      <c r="D11" s="35" t="s">
        <v>0</v>
      </c>
      <c r="E11" s="35" t="s">
        <v>124</v>
      </c>
      <c r="F11" s="35" t="s">
        <v>124</v>
      </c>
      <c r="G11" s="35" t="s">
        <v>27</v>
      </c>
      <c r="H11" s="12"/>
      <c r="I11" s="35" t="s">
        <v>3</v>
      </c>
      <c r="J11" s="35" t="s">
        <v>0</v>
      </c>
      <c r="K11" s="35" t="s">
        <v>124</v>
      </c>
      <c r="L11" s="35" t="s">
        <v>124</v>
      </c>
      <c r="M11" s="35" t="s">
        <v>27</v>
      </c>
      <c r="N11" s="12"/>
      <c r="O11" s="12"/>
    </row>
    <row r="12" spans="1:15" ht="17.5" thickBot="1">
      <c r="A12" s="37" t="s">
        <v>2</v>
      </c>
      <c r="B12" s="37"/>
      <c r="C12" s="37" t="s">
        <v>4</v>
      </c>
      <c r="D12" s="37" t="s">
        <v>28</v>
      </c>
      <c r="E12" s="37" t="s">
        <v>186</v>
      </c>
      <c r="F12" s="37" t="s">
        <v>29</v>
      </c>
      <c r="G12" s="37" t="s">
        <v>30</v>
      </c>
      <c r="H12" s="12"/>
      <c r="I12" s="37" t="s">
        <v>4</v>
      </c>
      <c r="J12" s="37" t="s">
        <v>28</v>
      </c>
      <c r="K12" s="37" t="s">
        <v>186</v>
      </c>
      <c r="L12" s="37" t="s">
        <v>29</v>
      </c>
      <c r="M12" s="37" t="s">
        <v>30</v>
      </c>
      <c r="N12" s="12"/>
      <c r="O12" s="12"/>
    </row>
    <row r="13" spans="1:15" ht="17">
      <c r="A13" s="39" t="s">
        <v>0</v>
      </c>
      <c r="B13" s="39"/>
      <c r="C13" s="39" t="s">
        <v>0</v>
      </c>
      <c r="D13" s="40" t="s">
        <v>126</v>
      </c>
      <c r="E13" s="77" t="s">
        <v>127</v>
      </c>
      <c r="F13" s="39" t="s">
        <v>0</v>
      </c>
      <c r="G13" s="39" t="s">
        <v>0</v>
      </c>
      <c r="H13" s="12"/>
      <c r="I13" s="39" t="s">
        <v>0</v>
      </c>
      <c r="J13" s="40" t="s">
        <v>126</v>
      </c>
      <c r="K13" s="77" t="s">
        <v>125</v>
      </c>
      <c r="L13" s="39" t="s">
        <v>0</v>
      </c>
      <c r="M13" s="39" t="s">
        <v>0</v>
      </c>
      <c r="N13" s="12"/>
      <c r="O13" s="12"/>
    </row>
    <row r="14" spans="1:15" ht="17">
      <c r="A14" s="35"/>
      <c r="B14" s="35"/>
      <c r="C14" s="35"/>
      <c r="D14" s="35"/>
      <c r="E14" s="35"/>
      <c r="F14" s="35"/>
      <c r="G14" s="35"/>
      <c r="H14" s="12"/>
      <c r="I14" s="35"/>
      <c r="J14" s="35"/>
      <c r="K14" s="35"/>
      <c r="L14" s="35"/>
      <c r="M14" s="35"/>
      <c r="N14" s="12"/>
      <c r="O14" s="12"/>
    </row>
    <row r="15" spans="1:15" ht="17">
      <c r="A15" s="12"/>
      <c r="B15" s="12"/>
      <c r="C15" s="12"/>
      <c r="D15" s="12"/>
      <c r="E15" s="12"/>
      <c r="F15" s="12"/>
      <c r="G15" s="12"/>
      <c r="H15" s="12"/>
      <c r="I15" s="12"/>
      <c r="J15" s="12"/>
      <c r="K15" s="12"/>
      <c r="L15" s="12"/>
      <c r="M15" s="12"/>
      <c r="N15" s="12"/>
      <c r="O15" s="12"/>
    </row>
    <row r="16" spans="1:15" ht="17.5">
      <c r="A16" s="44" t="str">
        <f>+'S&amp;D'!A22</f>
        <v>AES CORPORATION</v>
      </c>
      <c r="B16" s="44"/>
      <c r="C16" s="35" t="str">
        <f>+'S&amp;D'!B22</f>
        <v>AES</v>
      </c>
      <c r="D16" s="61">
        <f>'S&amp;D'!G22</f>
        <v>19.25</v>
      </c>
      <c r="E16" s="337">
        <v>0.5</v>
      </c>
      <c r="F16" s="71">
        <f>D16/E16</f>
        <v>38.5</v>
      </c>
      <c r="G16" s="58">
        <f t="shared" ref="G16:G22" si="0">1/F16</f>
        <v>2.5974025974025976E-2</v>
      </c>
      <c r="H16" s="12"/>
      <c r="I16" s="35" t="s">
        <v>45</v>
      </c>
      <c r="J16" s="61">
        <f>+D16</f>
        <v>19.25</v>
      </c>
      <c r="K16" s="63">
        <v>0.7</v>
      </c>
      <c r="L16" s="71">
        <f>J16/K16</f>
        <v>27.5</v>
      </c>
      <c r="M16" s="58">
        <f t="shared" ref="M16:M22" si="1">1/L16</f>
        <v>3.6363636363636362E-2</v>
      </c>
      <c r="N16" s="12"/>
      <c r="O16" s="12"/>
    </row>
    <row r="17" spans="1:15" ht="17.5">
      <c r="A17" s="44" t="str">
        <f>+'S&amp;D'!A23</f>
        <v>DOMINION ENERGY INC</v>
      </c>
      <c r="B17" s="44"/>
      <c r="C17" s="35" t="str">
        <f>+'S&amp;D'!B23</f>
        <v>D</v>
      </c>
      <c r="D17" s="61">
        <f>'S&amp;D'!G23</f>
        <v>47</v>
      </c>
      <c r="E17" s="63">
        <v>3</v>
      </c>
      <c r="F17" s="71">
        <f t="shared" ref="F17:F22" si="2">D17/E17</f>
        <v>15.666666666666666</v>
      </c>
      <c r="G17" s="58">
        <f t="shared" si="0"/>
        <v>6.3829787234042562E-2</v>
      </c>
      <c r="H17" s="12"/>
      <c r="I17" s="35" t="s">
        <v>46</v>
      </c>
      <c r="J17" s="61">
        <f t="shared" ref="J17:J22" si="3">+D17</f>
        <v>47</v>
      </c>
      <c r="K17" s="63">
        <v>3.25</v>
      </c>
      <c r="L17" s="71">
        <f t="shared" ref="L17:L22" si="4">J17/K17</f>
        <v>14.461538461538462</v>
      </c>
      <c r="M17" s="58">
        <f t="shared" si="1"/>
        <v>6.9148936170212769E-2</v>
      </c>
      <c r="N17" s="12"/>
      <c r="O17" s="12"/>
    </row>
    <row r="18" spans="1:15" ht="17.5">
      <c r="A18" s="44" t="str">
        <f>+'S&amp;D'!A24</f>
        <v>CONSTELLATION ENERGY GENERATION LLC</v>
      </c>
      <c r="B18" s="44"/>
      <c r="C18" s="35" t="str">
        <f>+'S&amp;D'!B24</f>
        <v>CEG</v>
      </c>
      <c r="D18" s="61">
        <f>'S&amp;D'!G24</f>
        <v>116.89</v>
      </c>
      <c r="E18" s="63">
        <v>7.6</v>
      </c>
      <c r="F18" s="71">
        <f t="shared" si="2"/>
        <v>15.380263157894738</v>
      </c>
      <c r="G18" s="58">
        <f t="shared" si="0"/>
        <v>6.5018393361279833E-2</v>
      </c>
      <c r="H18" s="12"/>
      <c r="I18" s="35" t="s">
        <v>48</v>
      </c>
      <c r="J18" s="61">
        <f t="shared" si="3"/>
        <v>116.89</v>
      </c>
      <c r="K18" s="63">
        <v>8.35</v>
      </c>
      <c r="L18" s="71">
        <f t="shared" si="4"/>
        <v>13.998802395209582</v>
      </c>
      <c r="M18" s="58">
        <f t="shared" si="1"/>
        <v>7.143468217982718E-2</v>
      </c>
      <c r="N18" s="12"/>
      <c r="O18" s="12"/>
    </row>
    <row r="19" spans="1:15" ht="17.5">
      <c r="A19" s="44" t="str">
        <f>+'S&amp;D'!A25</f>
        <v>NEXTERA ENERGY INC</v>
      </c>
      <c r="B19" s="44"/>
      <c r="C19" s="35" t="str">
        <f>+'S&amp;D'!B25</f>
        <v>NEE</v>
      </c>
      <c r="D19" s="61">
        <f>'S&amp;D'!G25</f>
        <v>60.74</v>
      </c>
      <c r="E19" s="63">
        <v>3.4</v>
      </c>
      <c r="F19" s="71">
        <f t="shared" ref="F19" si="5">D19/E19</f>
        <v>17.864705882352943</v>
      </c>
      <c r="G19" s="58">
        <f t="shared" ref="G19" si="6">1/F19</f>
        <v>5.5976292393809676E-2</v>
      </c>
      <c r="H19" s="12"/>
      <c r="I19" s="35" t="s">
        <v>48</v>
      </c>
      <c r="J19" s="61">
        <f t="shared" ref="J19" si="7">+D19</f>
        <v>60.74</v>
      </c>
      <c r="K19" s="63">
        <v>3.65</v>
      </c>
      <c r="L19" s="71">
        <f t="shared" ref="L19" si="8">J19/K19</f>
        <v>16.641095890410959</v>
      </c>
      <c r="M19" s="58">
        <f t="shared" ref="M19" si="9">1/L19</f>
        <v>6.0092196246295686E-2</v>
      </c>
      <c r="N19" s="12"/>
      <c r="O19" s="12"/>
    </row>
    <row r="20" spans="1:15" ht="17.5">
      <c r="A20" s="44" t="str">
        <f>+'S&amp;D'!A26</f>
        <v>NRG ENERGY</v>
      </c>
      <c r="B20" s="44"/>
      <c r="C20" s="35" t="str">
        <f>+'S&amp;D'!B26</f>
        <v>NRG</v>
      </c>
      <c r="D20" s="61">
        <f>'S&amp;D'!G26</f>
        <v>51.7</v>
      </c>
      <c r="E20" s="63">
        <v>3.5</v>
      </c>
      <c r="F20" s="71">
        <f>D20/E20</f>
        <v>14.771428571428572</v>
      </c>
      <c r="G20" s="58">
        <f t="shared" si="0"/>
        <v>6.7698259187620888E-2</v>
      </c>
      <c r="H20" s="12"/>
      <c r="I20" s="35" t="s">
        <v>49</v>
      </c>
      <c r="J20" s="61">
        <f t="shared" si="3"/>
        <v>51.7</v>
      </c>
      <c r="K20" s="63">
        <v>4</v>
      </c>
      <c r="L20" s="71">
        <f t="shared" si="4"/>
        <v>12.925000000000001</v>
      </c>
      <c r="M20" s="58">
        <f t="shared" si="1"/>
        <v>7.7369439071566723E-2</v>
      </c>
      <c r="N20" s="12"/>
      <c r="O20" s="12"/>
    </row>
    <row r="21" spans="1:15" ht="17.5">
      <c r="A21" s="44" t="str">
        <f>+'S&amp;D'!A27</f>
        <v>SOUTHERN COMPANY</v>
      </c>
      <c r="B21" s="44"/>
      <c r="C21" s="35" t="str">
        <f>+'S&amp;D'!B27</f>
        <v>SO</v>
      </c>
      <c r="D21" s="61">
        <f>'S&amp;D'!G27</f>
        <v>70.12</v>
      </c>
      <c r="E21" s="63">
        <v>4</v>
      </c>
      <c r="F21" s="71">
        <f t="shared" si="2"/>
        <v>17.53</v>
      </c>
      <c r="G21" s="58">
        <f t="shared" si="0"/>
        <v>5.7045065601825436E-2</v>
      </c>
      <c r="H21" s="12"/>
      <c r="I21" s="35" t="s">
        <v>50</v>
      </c>
      <c r="J21" s="61">
        <f t="shared" si="3"/>
        <v>70.12</v>
      </c>
      <c r="K21" s="63">
        <v>4.3</v>
      </c>
      <c r="L21" s="71">
        <f t="shared" si="4"/>
        <v>16.306976744186048</v>
      </c>
      <c r="M21" s="58">
        <f t="shared" si="1"/>
        <v>6.1323445521962346E-2</v>
      </c>
      <c r="N21" s="12"/>
      <c r="O21" s="12"/>
    </row>
    <row r="22" spans="1:15" ht="17.5">
      <c r="A22" s="44" t="str">
        <f>+'S&amp;D'!A28</f>
        <v>VISTRA ENERGY CORPORATION</v>
      </c>
      <c r="B22" s="44"/>
      <c r="C22" s="35" t="str">
        <f>+'S&amp;D'!B28</f>
        <v>VST</v>
      </c>
      <c r="D22" s="61">
        <f>'S&amp;D'!G28</f>
        <v>38.520000000000003</v>
      </c>
      <c r="E22" s="337">
        <v>4.2</v>
      </c>
      <c r="F22" s="71">
        <f t="shared" si="2"/>
        <v>9.1714285714285726</v>
      </c>
      <c r="G22" s="58">
        <f t="shared" si="0"/>
        <v>0.10903426791277257</v>
      </c>
      <c r="H22" s="12"/>
      <c r="I22" s="35" t="s">
        <v>47</v>
      </c>
      <c r="J22" s="61">
        <f t="shared" si="3"/>
        <v>38.520000000000003</v>
      </c>
      <c r="K22" s="63">
        <v>4.5</v>
      </c>
      <c r="L22" s="71">
        <f t="shared" si="4"/>
        <v>8.56</v>
      </c>
      <c r="M22" s="58">
        <f t="shared" si="1"/>
        <v>0.11682242990654206</v>
      </c>
      <c r="N22" s="12"/>
      <c r="O22" s="12"/>
    </row>
    <row r="23" spans="1:15" ht="18" thickBot="1">
      <c r="A23" s="12"/>
      <c r="B23" s="12"/>
      <c r="C23" s="72"/>
      <c r="D23" s="72"/>
      <c r="E23" s="72"/>
      <c r="F23" s="72"/>
      <c r="G23" s="72"/>
      <c r="H23" s="12"/>
      <c r="I23" s="72"/>
      <c r="J23" s="66" t="s">
        <v>0</v>
      </c>
      <c r="K23" s="72"/>
      <c r="L23" s="72"/>
      <c r="M23" s="72"/>
      <c r="N23" s="12"/>
      <c r="O23" s="12"/>
    </row>
    <row r="24" spans="1:15" ht="17.5" thickTop="1">
      <c r="A24" s="12"/>
      <c r="B24" s="12"/>
      <c r="D24" s="14" t="s">
        <v>53</v>
      </c>
      <c r="E24" s="303">
        <f>MAX(E16:E22)</f>
        <v>7.6</v>
      </c>
      <c r="F24" s="303">
        <f t="shared" ref="F24:G24" si="10">MAX(F16:F22)</f>
        <v>38.5</v>
      </c>
      <c r="G24" s="297">
        <f t="shared" si="10"/>
        <v>0.10903426791277257</v>
      </c>
      <c r="H24" s="12"/>
      <c r="J24" s="14" t="s">
        <v>53</v>
      </c>
      <c r="K24" s="303">
        <f>MAX(K16:K22)</f>
        <v>8.35</v>
      </c>
      <c r="L24" s="303">
        <f t="shared" ref="L24:M24" si="11">MAX(L16:L22)</f>
        <v>27.5</v>
      </c>
      <c r="M24" s="297">
        <f t="shared" si="11"/>
        <v>0.11682242990654206</v>
      </c>
      <c r="N24" s="12"/>
      <c r="O24" s="12"/>
    </row>
    <row r="25" spans="1:15" ht="17">
      <c r="A25" s="12"/>
      <c r="B25" s="12"/>
      <c r="D25" s="291" t="s">
        <v>54</v>
      </c>
      <c r="E25" s="306">
        <f>MIN(E16:E22)</f>
        <v>0.5</v>
      </c>
      <c r="F25" s="306">
        <f t="shared" ref="F25:G25" si="12">MIN(F16:F22)</f>
        <v>9.1714285714285726</v>
      </c>
      <c r="G25" s="298">
        <f t="shared" si="12"/>
        <v>2.5974025974025976E-2</v>
      </c>
      <c r="H25" s="12"/>
      <c r="J25" s="291" t="s">
        <v>54</v>
      </c>
      <c r="K25" s="306">
        <f>MIN(K16:K22)</f>
        <v>0.7</v>
      </c>
      <c r="L25" s="306">
        <f t="shared" ref="L25:M25" si="13">MIN(L16:L22)</f>
        <v>8.56</v>
      </c>
      <c r="M25" s="298">
        <f t="shared" si="13"/>
        <v>3.6363636363636362E-2</v>
      </c>
      <c r="N25" s="12"/>
      <c r="O25" s="12"/>
    </row>
    <row r="26" spans="1:15" ht="17">
      <c r="A26" s="12"/>
      <c r="B26" s="12"/>
      <c r="D26" s="14" t="s">
        <v>18</v>
      </c>
      <c r="E26" s="73">
        <f>MEDIAN(E16:E22)</f>
        <v>3.5</v>
      </c>
      <c r="F26" s="21">
        <f>MEDIAN(F16:F22)</f>
        <v>15.666666666666666</v>
      </c>
      <c r="G26" s="58">
        <f>MEDIAN(G16:G22)</f>
        <v>6.3829787234042562E-2</v>
      </c>
      <c r="H26" s="12"/>
      <c r="J26" s="14" t="s">
        <v>18</v>
      </c>
      <c r="K26" s="73">
        <f>MEDIAN(K16:K22)</f>
        <v>4</v>
      </c>
      <c r="L26" s="21">
        <f>MEDIAN(L16:L22)</f>
        <v>14.461538461538462</v>
      </c>
      <c r="M26" s="58">
        <f>MEDIAN(M16:M22)</f>
        <v>6.9148936170212769E-2</v>
      </c>
      <c r="N26" s="12"/>
      <c r="O26" s="12"/>
    </row>
    <row r="27" spans="1:15" ht="17">
      <c r="A27" s="12"/>
      <c r="B27" s="12"/>
      <c r="D27" s="14" t="s">
        <v>412</v>
      </c>
      <c r="E27" s="17">
        <f>AVERAGE(E16:E22)</f>
        <v>3.7428571428571429</v>
      </c>
      <c r="F27" s="21">
        <f>AVERAGE(F16:F22)</f>
        <v>18.412070407110214</v>
      </c>
      <c r="G27" s="74">
        <f>AVERAGE(G16:G22)</f>
        <v>6.3510870237910994E-2</v>
      </c>
      <c r="H27" s="12"/>
      <c r="J27" s="14" t="s">
        <v>412</v>
      </c>
      <c r="K27" s="17">
        <f>AVERAGE(K16:K22)</f>
        <v>4.1071428571428577</v>
      </c>
      <c r="L27" s="21">
        <f>AVERAGE(L16:L22)</f>
        <v>15.77048764162072</v>
      </c>
      <c r="M27" s="74">
        <f>AVERAGE(M16:M22)</f>
        <v>7.0364966494291872E-2</v>
      </c>
      <c r="N27" s="12"/>
      <c r="O27" s="12"/>
    </row>
    <row r="28" spans="1:15" ht="17">
      <c r="A28" s="12"/>
      <c r="B28" s="12"/>
      <c r="C28" s="12"/>
      <c r="D28" s="12"/>
      <c r="E28" s="12"/>
      <c r="F28" s="12"/>
      <c r="G28" s="12"/>
      <c r="H28" s="12"/>
      <c r="I28" s="12"/>
      <c r="J28" s="12"/>
      <c r="K28" s="12"/>
      <c r="L28" s="12"/>
      <c r="M28" s="12"/>
      <c r="N28" s="12"/>
      <c r="O28" s="12"/>
    </row>
    <row r="29" spans="1:15" ht="25.5">
      <c r="A29" s="12"/>
      <c r="B29" s="12"/>
      <c r="C29" s="12"/>
      <c r="D29" s="12"/>
      <c r="E29" s="78" t="s">
        <v>87</v>
      </c>
      <c r="F29" s="381">
        <v>18.41</v>
      </c>
      <c r="G29" s="333">
        <v>6.3500000000000001E-2</v>
      </c>
      <c r="H29" s="12"/>
      <c r="I29" s="12"/>
      <c r="J29" s="12"/>
      <c r="K29" s="78" t="s">
        <v>87</v>
      </c>
      <c r="L29" s="380">
        <v>15.77</v>
      </c>
      <c r="M29" s="333">
        <v>7.0400000000000004E-2</v>
      </c>
      <c r="N29" s="12"/>
      <c r="O29" s="12"/>
    </row>
    <row r="30" spans="1:15" ht="17">
      <c r="A30" s="12"/>
      <c r="B30" s="12"/>
      <c r="C30" s="12"/>
      <c r="D30" s="12"/>
      <c r="E30" s="12"/>
      <c r="F30" s="12"/>
      <c r="K30" s="12"/>
      <c r="L30" s="12"/>
      <c r="M30" s="12"/>
      <c r="N30" s="12"/>
      <c r="O30" s="12"/>
    </row>
    <row r="31" spans="1:15" ht="17">
      <c r="A31" s="12"/>
      <c r="B31" s="12"/>
      <c r="C31" s="12"/>
      <c r="D31" s="12"/>
      <c r="E31" s="12"/>
      <c r="F31" s="12"/>
      <c r="K31" s="12"/>
      <c r="L31" s="12"/>
      <c r="M31" s="12"/>
      <c r="N31" s="12"/>
      <c r="O31" s="12"/>
    </row>
    <row r="32" spans="1:15" ht="17.5" thickBot="1">
      <c r="A32" s="12"/>
      <c r="B32" s="12"/>
      <c r="C32" s="12"/>
      <c r="D32" s="12"/>
      <c r="E32" s="12"/>
      <c r="F32" s="12"/>
      <c r="K32" s="12"/>
      <c r="L32" s="12"/>
      <c r="M32" s="12"/>
      <c r="N32" s="12"/>
      <c r="O32" s="12"/>
    </row>
    <row r="33" spans="1:15" ht="30.75" customHeight="1" thickBot="1">
      <c r="A33" s="76" t="s">
        <v>0</v>
      </c>
      <c r="B33" s="76"/>
      <c r="C33" s="12"/>
      <c r="D33" s="12"/>
      <c r="E33" s="12"/>
      <c r="F33" s="12"/>
      <c r="G33" s="24" t="s">
        <v>137</v>
      </c>
      <c r="H33" s="12"/>
      <c r="I33" s="223">
        <f>(+F29+L29)/2</f>
        <v>17.09</v>
      </c>
      <c r="J33" s="224">
        <f>(+G29+M29)/2</f>
        <v>6.695000000000001E-2</v>
      </c>
      <c r="N33" s="12"/>
      <c r="O33" s="12"/>
    </row>
    <row r="34" spans="1:15" ht="17">
      <c r="A34" s="76" t="s">
        <v>0</v>
      </c>
      <c r="B34" s="76"/>
      <c r="C34" s="12"/>
      <c r="D34" s="12"/>
      <c r="E34" s="12"/>
      <c r="F34" s="12"/>
      <c r="G34" s="12"/>
      <c r="H34" s="12"/>
      <c r="I34" s="12"/>
      <c r="J34" s="12"/>
      <c r="K34" s="12"/>
      <c r="L34" s="12"/>
      <c r="M34" s="12"/>
      <c r="N34" s="12"/>
      <c r="O34" s="12"/>
    </row>
    <row r="35" spans="1:15" ht="17">
      <c r="A35" s="12"/>
      <c r="B35" s="12"/>
      <c r="C35" s="12"/>
      <c r="D35" s="12"/>
      <c r="E35" s="12"/>
      <c r="F35" s="12"/>
      <c r="G35" s="12"/>
      <c r="H35" s="12"/>
      <c r="I35" s="12"/>
      <c r="J35" s="12"/>
      <c r="K35" s="12"/>
      <c r="L35" s="12"/>
      <c r="M35" s="12"/>
      <c r="N35" s="12"/>
      <c r="O35" s="12"/>
    </row>
    <row r="36" spans="1:15" ht="17">
      <c r="A36" s="12"/>
      <c r="B36" s="12"/>
      <c r="C36" s="12"/>
      <c r="D36" s="12"/>
      <c r="E36" s="12"/>
      <c r="F36" s="12"/>
      <c r="G36" s="12"/>
      <c r="H36" s="12"/>
      <c r="I36" s="12"/>
      <c r="J36" s="12"/>
      <c r="K36" s="12"/>
      <c r="L36" s="12"/>
      <c r="M36" s="12"/>
      <c r="N36" s="12"/>
      <c r="O36" s="12"/>
    </row>
    <row r="37" spans="1:15" ht="15" thickBot="1">
      <c r="B37" s="152"/>
      <c r="C37" s="152"/>
      <c r="D37" s="152"/>
      <c r="E37" s="152"/>
      <c r="F37" s="152"/>
      <c r="G37" s="152"/>
      <c r="H37" s="152"/>
    </row>
    <row r="38" spans="1:15" ht="25.5">
      <c r="B38" s="31"/>
      <c r="C38" s="12"/>
      <c r="D38" s="12"/>
      <c r="E38" s="32" t="s">
        <v>528</v>
      </c>
      <c r="F38" s="12"/>
      <c r="G38" s="12"/>
    </row>
    <row r="39" spans="1:15" ht="21.5" thickBot="1">
      <c r="A39" s="31"/>
      <c r="B39" s="153"/>
      <c r="C39" s="29"/>
      <c r="D39" s="29"/>
      <c r="E39" s="37" t="s">
        <v>458</v>
      </c>
      <c r="F39" s="29"/>
      <c r="G39" s="29"/>
      <c r="H39" s="152"/>
    </row>
    <row r="40" spans="1:15" ht="15.5" thickBot="1">
      <c r="A40" s="34" t="s">
        <v>0</v>
      </c>
      <c r="B40" s="34"/>
      <c r="C40" s="34" t="s">
        <v>0</v>
      </c>
      <c r="D40" s="34" t="s">
        <v>0</v>
      </c>
      <c r="E40" s="34" t="s">
        <v>0</v>
      </c>
      <c r="F40" s="34" t="s">
        <v>0</v>
      </c>
      <c r="G40" s="34" t="s">
        <v>0</v>
      </c>
    </row>
    <row r="41" spans="1:15" ht="17">
      <c r="A41" s="35" t="s">
        <v>0</v>
      </c>
      <c r="B41" s="35"/>
      <c r="C41" s="35" t="s">
        <v>3</v>
      </c>
      <c r="D41" s="35" t="s">
        <v>369</v>
      </c>
      <c r="E41" s="35" t="s">
        <v>370</v>
      </c>
      <c r="F41" s="35" t="s">
        <v>124</v>
      </c>
      <c r="G41" s="35" t="s">
        <v>27</v>
      </c>
    </row>
    <row r="42" spans="1:15" ht="17.5" thickBot="1">
      <c r="A42" s="37" t="s">
        <v>2</v>
      </c>
      <c r="B42" s="37"/>
      <c r="C42" s="37" t="s">
        <v>4</v>
      </c>
      <c r="D42" s="37" t="s">
        <v>28</v>
      </c>
      <c r="E42" s="37" t="s">
        <v>181</v>
      </c>
      <c r="F42" s="37" t="s">
        <v>29</v>
      </c>
      <c r="G42" s="37" t="s">
        <v>30</v>
      </c>
    </row>
    <row r="43" spans="1:15" ht="16">
      <c r="A43" s="39" t="s">
        <v>0</v>
      </c>
      <c r="B43" s="39"/>
      <c r="C43" s="39" t="s">
        <v>0</v>
      </c>
      <c r="D43" s="40" t="s">
        <v>126</v>
      </c>
      <c r="E43" s="77" t="s">
        <v>256</v>
      </c>
      <c r="F43" s="39" t="s">
        <v>0</v>
      </c>
      <c r="G43" s="39" t="s">
        <v>0</v>
      </c>
    </row>
    <row r="44" spans="1:15" ht="17">
      <c r="A44" s="35"/>
      <c r="B44" s="35"/>
      <c r="C44" s="35"/>
      <c r="D44" s="35"/>
      <c r="E44" s="35"/>
      <c r="F44" s="35"/>
      <c r="G44" s="35"/>
    </row>
    <row r="45" spans="1:15" ht="17">
      <c r="A45" s="12"/>
      <c r="B45" s="12"/>
      <c r="C45" s="12"/>
      <c r="D45" s="12"/>
      <c r="E45" s="12"/>
      <c r="F45" s="12"/>
      <c r="G45" s="12"/>
    </row>
    <row r="46" spans="1:15" ht="17.5">
      <c r="A46" s="44" t="str">
        <f>+'S&amp;D'!A22</f>
        <v>AES CORPORATION</v>
      </c>
      <c r="B46" s="44"/>
      <c r="C46" s="35" t="str">
        <f>+'S&amp;D'!B22</f>
        <v>AES</v>
      </c>
      <c r="D46" s="61">
        <f>'S&amp;D'!G22</f>
        <v>19.25</v>
      </c>
      <c r="E46" s="63">
        <v>1</v>
      </c>
      <c r="F46" s="71">
        <f>D46/E46</f>
        <v>19.25</v>
      </c>
      <c r="G46" s="58">
        <f t="shared" ref="G46:G52" si="14">1/F46</f>
        <v>5.1948051948051951E-2</v>
      </c>
    </row>
    <row r="47" spans="1:15" ht="17.5">
      <c r="A47" s="44" t="str">
        <f>+'S&amp;D'!A23</f>
        <v>DOMINION ENERGY INC</v>
      </c>
      <c r="B47" s="44"/>
      <c r="C47" s="35" t="str">
        <f>+'S&amp;D'!B23</f>
        <v>D</v>
      </c>
      <c r="D47" s="61">
        <f>'S&amp;D'!G23</f>
        <v>47</v>
      </c>
      <c r="E47" s="63">
        <v>4</v>
      </c>
      <c r="F47" s="71">
        <f t="shared" ref="F47:F48" si="15">D47/E47</f>
        <v>11.75</v>
      </c>
      <c r="G47" s="58">
        <f t="shared" si="14"/>
        <v>8.5106382978723402E-2</v>
      </c>
    </row>
    <row r="48" spans="1:15" ht="17.5">
      <c r="A48" s="44" t="str">
        <f>+'S&amp;D'!A24</f>
        <v>CONSTELLATION ENERGY GENERATION LLC</v>
      </c>
      <c r="B48" s="44"/>
      <c r="C48" s="35" t="str">
        <f>+'S&amp;D'!B24</f>
        <v>CEG</v>
      </c>
      <c r="D48" s="61">
        <f>'S&amp;D'!G24</f>
        <v>116.89</v>
      </c>
      <c r="E48" s="63">
        <v>11.1</v>
      </c>
      <c r="F48" s="71">
        <f t="shared" si="15"/>
        <v>10.530630630630631</v>
      </c>
      <c r="G48" s="58">
        <f t="shared" si="14"/>
        <v>9.4961074514500809E-2</v>
      </c>
    </row>
    <row r="49" spans="1:7" ht="17.5">
      <c r="A49" s="44" t="str">
        <f>+'S&amp;D'!A25</f>
        <v>NEXTERA ENERGY INC</v>
      </c>
      <c r="B49" s="44"/>
      <c r="C49" s="35" t="str">
        <f>+'S&amp;D'!B25</f>
        <v>NEE</v>
      </c>
      <c r="D49" s="61">
        <f>'S&amp;D'!G25</f>
        <v>60.74</v>
      </c>
      <c r="E49" s="63">
        <v>4.55</v>
      </c>
      <c r="F49" s="71">
        <f t="shared" ref="F49" si="16">D49/E49</f>
        <v>13.34945054945055</v>
      </c>
      <c r="G49" s="58">
        <f t="shared" ref="G49" si="17">1/F49</f>
        <v>7.4909450115245302E-2</v>
      </c>
    </row>
    <row r="50" spans="1:7" ht="17.5">
      <c r="A50" s="44" t="str">
        <f>+'S&amp;D'!A26</f>
        <v>NRG ENERGY</v>
      </c>
      <c r="B50" s="44"/>
      <c r="C50" s="35" t="str">
        <f>+'S&amp;D'!B26</f>
        <v>NRG</v>
      </c>
      <c r="D50" s="61">
        <f>'S&amp;D'!G26</f>
        <v>51.7</v>
      </c>
      <c r="E50" s="63">
        <v>4.5999999999999996</v>
      </c>
      <c r="F50" s="71">
        <f>D50/E50</f>
        <v>11.239130434782609</v>
      </c>
      <c r="G50" s="58">
        <f t="shared" si="14"/>
        <v>8.8974854932301742E-2</v>
      </c>
    </row>
    <row r="51" spans="1:7" ht="17.5">
      <c r="A51" s="44" t="str">
        <f>+'S&amp;D'!A27</f>
        <v>SOUTHERN COMPANY</v>
      </c>
      <c r="B51" s="44"/>
      <c r="C51" s="35" t="str">
        <f>+'S&amp;D'!B27</f>
        <v>SO</v>
      </c>
      <c r="D51" s="61">
        <f>'S&amp;D'!G27</f>
        <v>70.12</v>
      </c>
      <c r="E51" s="63">
        <v>5.15</v>
      </c>
      <c r="F51" s="71">
        <f t="shared" ref="F51:F52" si="18">D51/E51</f>
        <v>13.615533980582525</v>
      </c>
      <c r="G51" s="58">
        <f t="shared" si="14"/>
        <v>7.3445521962350255E-2</v>
      </c>
    </row>
    <row r="52" spans="1:7" ht="17.5">
      <c r="A52" s="44" t="str">
        <f>+'S&amp;D'!A28</f>
        <v>VISTRA ENERGY CORPORATION</v>
      </c>
      <c r="B52" s="44"/>
      <c r="C52" s="35" t="str">
        <f>+'S&amp;D'!B28</f>
        <v>VST</v>
      </c>
      <c r="D52" s="61">
        <f>'S&amp;D'!G28</f>
        <v>38.520000000000003</v>
      </c>
      <c r="E52" s="63">
        <v>7.1</v>
      </c>
      <c r="F52" s="71">
        <f t="shared" si="18"/>
        <v>5.4253521126760571</v>
      </c>
      <c r="G52" s="58">
        <f t="shared" si="14"/>
        <v>0.18431983385254411</v>
      </c>
    </row>
    <row r="53" spans="1:7" ht="17.5" thickBot="1">
      <c r="A53" s="12"/>
      <c r="B53" s="12"/>
      <c r="C53" s="72"/>
      <c r="D53" s="72"/>
      <c r="E53" s="72"/>
      <c r="F53" s="72"/>
      <c r="G53" s="72"/>
    </row>
    <row r="54" spans="1:7" ht="17.5" thickTop="1">
      <c r="A54" s="12"/>
      <c r="B54" s="12"/>
      <c r="D54" s="14" t="s">
        <v>53</v>
      </c>
      <c r="E54" s="303">
        <f t="shared" ref="E54:G54" si="19">MAX(E46:E52)</f>
        <v>11.1</v>
      </c>
      <c r="F54" s="303">
        <f t="shared" si="19"/>
        <v>19.25</v>
      </c>
      <c r="G54" s="297">
        <f t="shared" si="19"/>
        <v>0.18431983385254411</v>
      </c>
    </row>
    <row r="55" spans="1:7" ht="17">
      <c r="A55" s="12"/>
      <c r="B55" s="12"/>
      <c r="D55" s="14" t="s">
        <v>54</v>
      </c>
      <c r="E55" s="303">
        <f t="shared" ref="E55:G55" si="20">MIN(E46:E52)</f>
        <v>1</v>
      </c>
      <c r="F55" s="303">
        <f>MIN(F46:F52)</f>
        <v>5.4253521126760571</v>
      </c>
      <c r="G55" s="297">
        <f t="shared" si="20"/>
        <v>5.1948051948051951E-2</v>
      </c>
    </row>
    <row r="56" spans="1:7" ht="17">
      <c r="A56" s="12"/>
      <c r="B56" s="12"/>
      <c r="D56" s="14" t="s">
        <v>18</v>
      </c>
      <c r="E56" s="73">
        <f>MEDIAN(E46:E52)</f>
        <v>4.5999999999999996</v>
      </c>
      <c r="F56" s="21">
        <f>MEDIAN(F46:F52)</f>
        <v>11.75</v>
      </c>
      <c r="G56" s="58">
        <f>MEDIAN(G46:G52)</f>
        <v>8.5106382978723402E-2</v>
      </c>
    </row>
    <row r="57" spans="1:7" ht="17">
      <c r="A57" s="12"/>
      <c r="B57" s="12"/>
      <c r="D57" s="14" t="s">
        <v>412</v>
      </c>
      <c r="E57" s="17">
        <f>AVERAGE(E46:E52)</f>
        <v>5.3571428571428568</v>
      </c>
      <c r="F57" s="21">
        <f>AVERAGE(F46:F52)</f>
        <v>12.165728244017481</v>
      </c>
      <c r="G57" s="74">
        <f>AVERAGE(G46:G52)</f>
        <v>9.3380738614816786E-2</v>
      </c>
    </row>
    <row r="58" spans="1:7" ht="17">
      <c r="A58" s="12"/>
      <c r="B58" s="12"/>
      <c r="C58" s="12"/>
      <c r="D58" s="12"/>
      <c r="E58" s="12"/>
      <c r="F58" s="12"/>
      <c r="G58" s="12"/>
    </row>
    <row r="59" spans="1:7" ht="25.5">
      <c r="A59" s="12"/>
      <c r="B59" s="12"/>
      <c r="C59" s="12"/>
      <c r="D59" s="12"/>
      <c r="E59" s="78" t="s">
        <v>87</v>
      </c>
      <c r="F59" s="381">
        <v>12.17</v>
      </c>
      <c r="G59" s="333">
        <v>9.3399999999999997E-2</v>
      </c>
    </row>
  </sheetData>
  <pageMargins left="0.25" right="0.25" top="0.75" bottom="0.75" header="0.3" footer="0.3"/>
  <pageSetup scale="36"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71"/>
  <sheetViews>
    <sheetView view="pageBreakPreview" topLeftCell="A83" zoomScale="60" zoomScaleNormal="80" workbookViewId="0">
      <selection activeCell="G42" sqref="G42"/>
    </sheetView>
  </sheetViews>
  <sheetFormatPr defaultRowHeight="14.5"/>
  <cols>
    <col min="1" max="1" width="66.7265625" customWidth="1"/>
    <col min="2" max="2" width="25.7265625" customWidth="1"/>
    <col min="3" max="3" width="30.26953125" customWidth="1"/>
    <col min="4" max="5" width="30.54296875" customWidth="1"/>
    <col min="6" max="6" width="28.1796875" customWidth="1"/>
    <col min="7" max="7" width="32.7265625" customWidth="1"/>
    <col min="8" max="8" width="37.7265625" customWidth="1"/>
    <col min="9" max="9" width="54.54296875" customWidth="1"/>
    <col min="10" max="10" width="13.81640625" customWidth="1"/>
    <col min="11" max="12" width="14.1796875" bestFit="1" customWidth="1"/>
  </cols>
  <sheetData>
    <row r="1" spans="1:11" ht="25.5">
      <c r="A1" s="24" t="s">
        <v>1</v>
      </c>
      <c r="C1" s="24"/>
      <c r="D1" s="24"/>
      <c r="E1" s="12"/>
      <c r="F1" s="12"/>
      <c r="G1" s="12"/>
      <c r="H1" s="12"/>
      <c r="I1" s="12"/>
      <c r="J1" s="12"/>
      <c r="K1" s="12"/>
    </row>
    <row r="2" spans="1:11" ht="17.5">
      <c r="A2" s="25" t="s">
        <v>9</v>
      </c>
      <c r="C2" s="25"/>
      <c r="D2" s="25"/>
      <c r="E2" s="12"/>
      <c r="F2" s="12"/>
      <c r="G2" s="12"/>
      <c r="H2" s="12"/>
      <c r="I2" s="12"/>
      <c r="J2" s="12"/>
      <c r="K2" s="12"/>
    </row>
    <row r="3" spans="1:11" ht="17">
      <c r="A3" s="26" t="s">
        <v>457</v>
      </c>
      <c r="C3" s="26"/>
      <c r="D3" s="26"/>
      <c r="E3" s="12"/>
      <c r="F3" s="12"/>
      <c r="G3" s="12"/>
      <c r="H3" s="12"/>
      <c r="I3" s="12"/>
      <c r="J3" s="12"/>
      <c r="K3" s="12"/>
    </row>
    <row r="4" spans="1:11" ht="17">
      <c r="B4" s="26"/>
      <c r="C4" s="26"/>
      <c r="D4" s="26"/>
      <c r="E4" s="12"/>
      <c r="F4" s="12"/>
      <c r="G4" s="12"/>
      <c r="H4" s="12"/>
      <c r="I4" s="12"/>
      <c r="J4" s="12"/>
      <c r="K4" s="12"/>
    </row>
    <row r="5" spans="1:11" ht="17">
      <c r="B5" s="12"/>
      <c r="C5" s="12"/>
      <c r="D5" s="12"/>
      <c r="E5" s="12"/>
      <c r="F5" s="12"/>
      <c r="G5" s="12"/>
      <c r="H5" s="12"/>
      <c r="I5" s="27" t="s">
        <v>0</v>
      </c>
      <c r="J5" s="27"/>
      <c r="K5" s="12"/>
    </row>
    <row r="6" spans="1:11" ht="17.5" thickBot="1">
      <c r="B6" s="12"/>
      <c r="C6" s="12"/>
      <c r="D6" s="29"/>
      <c r="E6" s="29"/>
      <c r="F6" s="152"/>
      <c r="H6" s="12"/>
      <c r="I6" s="12"/>
      <c r="J6" s="12"/>
      <c r="K6" s="12"/>
    </row>
    <row r="7" spans="1:11" ht="26" thickBot="1">
      <c r="A7" s="28" t="str">
        <f>+'S&amp;D'!A12</f>
        <v>Electric Wholesale (non-regulated) Power Generator</v>
      </c>
      <c r="C7" s="31"/>
      <c r="D7" s="31"/>
      <c r="E7" s="32" t="s">
        <v>267</v>
      </c>
      <c r="H7" s="12"/>
      <c r="I7" s="12"/>
      <c r="J7" s="12"/>
      <c r="K7" s="12"/>
    </row>
    <row r="8" spans="1:11" ht="21.5" thickBot="1">
      <c r="B8" s="31"/>
      <c r="C8" s="31"/>
      <c r="D8" s="153"/>
      <c r="E8" s="33" t="s">
        <v>458</v>
      </c>
      <c r="F8" s="152"/>
      <c r="H8" s="12"/>
      <c r="I8" s="12"/>
      <c r="J8" s="12"/>
      <c r="K8" s="12"/>
    </row>
    <row r="9" spans="1:11" ht="21">
      <c r="B9" s="31"/>
      <c r="C9" s="31"/>
      <c r="D9" s="31"/>
      <c r="E9" s="35"/>
      <c r="H9" s="12"/>
      <c r="I9" s="12"/>
      <c r="J9" s="12"/>
      <c r="K9" s="12"/>
    </row>
    <row r="10" spans="1:11" ht="21.5" thickBot="1">
      <c r="A10" s="153"/>
      <c r="B10" s="31"/>
      <c r="I10" s="12"/>
      <c r="J10" s="12"/>
      <c r="K10" s="12"/>
    </row>
    <row r="11" spans="1:11" ht="22.5" customHeight="1" thickBot="1">
      <c r="A11" s="165" t="s">
        <v>262</v>
      </c>
      <c r="B11" s="31"/>
      <c r="I11" s="12"/>
      <c r="J11" s="12"/>
      <c r="K11" s="12"/>
    </row>
    <row r="12" spans="1:11" ht="26.25" customHeight="1" thickBot="1">
      <c r="A12" s="164" t="s">
        <v>0</v>
      </c>
      <c r="B12" s="12"/>
      <c r="C12" s="12"/>
      <c r="D12" s="12"/>
      <c r="E12" s="12"/>
      <c r="F12" s="12"/>
      <c r="G12" s="12"/>
      <c r="H12" s="12"/>
      <c r="I12" s="12"/>
      <c r="J12" s="12"/>
      <c r="K12" s="12"/>
    </row>
    <row r="13" spans="1:11" ht="66.75" customHeight="1" thickBot="1">
      <c r="A13" s="228" t="s">
        <v>283</v>
      </c>
      <c r="B13" s="159" t="s">
        <v>327</v>
      </c>
      <c r="C13" s="159" t="s">
        <v>292</v>
      </c>
      <c r="D13" s="159" t="s">
        <v>291</v>
      </c>
      <c r="I13" s="12"/>
      <c r="J13" s="12"/>
      <c r="K13" s="12"/>
    </row>
    <row r="14" spans="1:11" ht="17">
      <c r="A14" s="154"/>
      <c r="B14" s="216"/>
      <c r="C14" s="216"/>
      <c r="D14" s="216"/>
      <c r="I14" s="12"/>
      <c r="J14" s="12"/>
      <c r="K14" s="12"/>
    </row>
    <row r="15" spans="1:11" ht="21">
      <c r="A15" s="162" t="str">
        <f>+A7</f>
        <v>Electric Wholesale (non-regulated) Power Generator</v>
      </c>
      <c r="B15" s="382">
        <v>0</v>
      </c>
      <c r="C15" s="240">
        <f>+'Dividends '!K26</f>
        <v>2.4399807259134158E-2</v>
      </c>
      <c r="D15" s="240">
        <f>+Earnings!K26</f>
        <v>7.6232685102546355E-2</v>
      </c>
      <c r="I15" s="12"/>
      <c r="J15" s="12"/>
      <c r="K15" s="12"/>
    </row>
    <row r="16" spans="1:11" ht="21.5" thickBot="1">
      <c r="A16" s="156" t="s">
        <v>0</v>
      </c>
      <c r="B16" s="217" t="s">
        <v>0</v>
      </c>
      <c r="C16" s="265">
        <f>+'Dividends '!K27</f>
        <v>4.8659371775913854E-2</v>
      </c>
      <c r="D16" s="265">
        <f>+Earnings!K27</f>
        <v>9.2502315433256252E-2</v>
      </c>
      <c r="I16" s="12"/>
      <c r="J16" s="12"/>
      <c r="K16" s="12"/>
    </row>
    <row r="17" spans="1:11" ht="21">
      <c r="A17" s="226"/>
      <c r="B17" s="227"/>
      <c r="I17" s="12"/>
      <c r="J17" s="12"/>
      <c r="K17" s="12"/>
    </row>
    <row r="18" spans="1:11" ht="17">
      <c r="A18" s="12"/>
      <c r="B18" s="12"/>
      <c r="C18" s="12"/>
      <c r="D18" s="12"/>
      <c r="E18" s="12"/>
      <c r="F18" s="12"/>
      <c r="G18" s="12"/>
      <c r="H18" s="12"/>
      <c r="I18" s="12"/>
      <c r="J18" s="12"/>
      <c r="K18" s="12"/>
    </row>
    <row r="19" spans="1:11" ht="17.5" thickBot="1">
      <c r="A19" s="12"/>
      <c r="B19" s="12"/>
      <c r="C19" s="12"/>
      <c r="D19" s="12"/>
      <c r="E19" s="12"/>
      <c r="F19" s="12"/>
      <c r="G19" s="12"/>
      <c r="H19" s="12"/>
      <c r="I19" s="12"/>
      <c r="J19" s="12"/>
      <c r="K19" s="12"/>
    </row>
    <row r="20" spans="1:11" ht="21.5" thickBot="1">
      <c r="A20" s="165" t="s">
        <v>282</v>
      </c>
      <c r="B20" s="31"/>
      <c r="I20" s="12"/>
      <c r="J20" s="12"/>
      <c r="K20" s="12"/>
    </row>
    <row r="21" spans="1:11" ht="18" thickBot="1">
      <c r="A21" s="164" t="s">
        <v>0</v>
      </c>
      <c r="B21" s="12"/>
      <c r="C21" s="12"/>
      <c r="D21" s="12"/>
      <c r="E21" s="12"/>
      <c r="F21" s="12"/>
      <c r="G21" s="12"/>
      <c r="H21" s="12"/>
      <c r="I21" s="12"/>
      <c r="J21" s="12"/>
      <c r="K21" s="12"/>
    </row>
    <row r="22" spans="1:11" ht="64.5" customHeight="1" thickBot="1">
      <c r="A22" s="228" t="s">
        <v>284</v>
      </c>
      <c r="B22" s="159" t="s">
        <v>326</v>
      </c>
      <c r="C22" s="158" t="s">
        <v>243</v>
      </c>
      <c r="D22" s="159" t="s">
        <v>244</v>
      </c>
      <c r="E22" s="159" t="s">
        <v>245</v>
      </c>
      <c r="F22" s="159" t="s">
        <v>327</v>
      </c>
      <c r="G22" s="266" t="s">
        <v>18</v>
      </c>
      <c r="H22" s="266" t="s">
        <v>19</v>
      </c>
      <c r="I22" s="12"/>
      <c r="J22" s="12"/>
      <c r="K22" s="12"/>
    </row>
    <row r="23" spans="1:11" ht="17">
      <c r="A23" s="154"/>
      <c r="B23" s="216"/>
      <c r="C23" s="115"/>
      <c r="D23" s="216"/>
      <c r="E23" s="115"/>
      <c r="F23" s="216"/>
      <c r="G23" s="309"/>
      <c r="H23" s="167"/>
      <c r="I23" s="12"/>
      <c r="J23" s="12"/>
      <c r="K23" s="12"/>
    </row>
    <row r="24" spans="1:11" ht="21">
      <c r="A24" s="162" t="str">
        <f>+A7</f>
        <v>Electric Wholesale (non-regulated) Power Generator</v>
      </c>
      <c r="B24" s="382">
        <v>0</v>
      </c>
      <c r="C24" s="383">
        <v>0</v>
      </c>
      <c r="D24" s="382">
        <v>0</v>
      </c>
      <c r="E24" s="383">
        <v>0</v>
      </c>
      <c r="F24" s="382">
        <v>0</v>
      </c>
      <c r="G24" s="384">
        <f>MEDIAN(B24:F24)</f>
        <v>0</v>
      </c>
      <c r="H24" s="385">
        <f t="shared" ref="H24" si="0">AVERAGE(B24:F24)</f>
        <v>0</v>
      </c>
      <c r="I24" s="12"/>
      <c r="J24" s="12"/>
      <c r="K24" s="12"/>
    </row>
    <row r="25" spans="1:11" ht="21.5" thickBot="1">
      <c r="A25" s="156" t="s">
        <v>0</v>
      </c>
      <c r="B25" s="217" t="s">
        <v>0</v>
      </c>
      <c r="C25" s="163" t="s">
        <v>0</v>
      </c>
      <c r="D25" s="217" t="s">
        <v>0</v>
      </c>
      <c r="E25" s="163" t="s">
        <v>0</v>
      </c>
      <c r="F25" s="217" t="s">
        <v>0</v>
      </c>
      <c r="G25" s="310"/>
      <c r="H25" s="166"/>
      <c r="I25" s="12"/>
      <c r="J25" s="12"/>
      <c r="K25" s="12"/>
    </row>
    <row r="26" spans="1:11" ht="17">
      <c r="A26" s="12"/>
      <c r="B26" s="12"/>
      <c r="C26" s="12"/>
      <c r="D26" s="12"/>
      <c r="E26" s="12"/>
      <c r="F26" s="12"/>
      <c r="G26" s="12"/>
      <c r="H26" s="12"/>
      <c r="I26" s="12"/>
      <c r="J26" s="12"/>
      <c r="K26" s="12"/>
    </row>
    <row r="27" spans="1:11" ht="17">
      <c r="A27" s="12"/>
      <c r="B27" s="12"/>
      <c r="C27" s="12"/>
      <c r="D27" s="12"/>
      <c r="E27" s="12"/>
      <c r="F27" s="12"/>
      <c r="G27" s="12"/>
      <c r="H27" s="12"/>
      <c r="I27" s="12"/>
      <c r="J27" s="12"/>
      <c r="K27" s="12"/>
    </row>
    <row r="28" spans="1:11" ht="17">
      <c r="A28" s="12"/>
      <c r="B28" s="12" t="s">
        <v>0</v>
      </c>
      <c r="C28" s="12"/>
      <c r="D28" s="12"/>
      <c r="E28" s="12"/>
      <c r="F28" s="12"/>
      <c r="G28" s="12"/>
      <c r="H28" s="12"/>
      <c r="I28" s="12"/>
      <c r="J28" s="12"/>
      <c r="K28" s="12"/>
    </row>
    <row r="29" spans="1:11" ht="17.5" thickBot="1">
      <c r="A29" s="12"/>
      <c r="B29" s="12"/>
      <c r="C29" s="12"/>
      <c r="D29" s="12"/>
      <c r="E29" s="12"/>
      <c r="F29" s="12"/>
      <c r="G29" s="12"/>
      <c r="H29" s="12"/>
      <c r="I29" s="12"/>
      <c r="J29" s="12"/>
      <c r="K29" s="12"/>
    </row>
    <row r="30" spans="1:11" ht="21.5" thickBot="1">
      <c r="A30" s="165" t="s">
        <v>264</v>
      </c>
      <c r="B30" s="12"/>
      <c r="C30" s="12"/>
      <c r="D30" s="12"/>
      <c r="E30" s="12"/>
      <c r="F30" s="12"/>
      <c r="G30" s="12"/>
      <c r="H30" s="12"/>
      <c r="I30" s="12"/>
      <c r="J30" s="12"/>
      <c r="K30" s="12"/>
    </row>
    <row r="31" spans="1:11" ht="17">
      <c r="A31" s="12"/>
      <c r="B31" s="12"/>
      <c r="C31" s="12"/>
      <c r="D31" s="12"/>
      <c r="E31" s="12"/>
      <c r="F31" s="12"/>
      <c r="G31" s="12"/>
      <c r="H31" s="12"/>
      <c r="I31" s="12"/>
      <c r="J31" s="12"/>
      <c r="K31" s="12"/>
    </row>
    <row r="32" spans="1:11" ht="17">
      <c r="A32" s="12"/>
      <c r="B32" s="12"/>
      <c r="C32" s="12"/>
      <c r="D32" s="12"/>
      <c r="E32" s="12"/>
      <c r="F32" s="12"/>
      <c r="G32" s="12"/>
      <c r="H32" s="12"/>
      <c r="I32" s="12"/>
      <c r="J32" s="12"/>
      <c r="K32" s="12"/>
    </row>
    <row r="33" spans="1:11" ht="26">
      <c r="A33" s="312">
        <v>1.84E-2</v>
      </c>
      <c r="B33" s="31" t="s">
        <v>461</v>
      </c>
      <c r="C33" s="12"/>
      <c r="E33" s="204" t="s">
        <v>0</v>
      </c>
      <c r="F33" s="12"/>
      <c r="G33" s="12"/>
      <c r="H33" s="12"/>
      <c r="I33" s="12"/>
      <c r="J33" s="12"/>
      <c r="K33" s="12"/>
    </row>
    <row r="34" spans="1:11" ht="26">
      <c r="A34" s="219"/>
      <c r="B34" s="12" t="s">
        <v>307</v>
      </c>
      <c r="C34" s="12"/>
      <c r="D34" s="12"/>
      <c r="E34" s="12"/>
      <c r="F34" s="12"/>
      <c r="G34" s="12"/>
      <c r="H34" s="12"/>
      <c r="I34" s="12"/>
      <c r="J34" s="12"/>
      <c r="K34" s="12"/>
    </row>
    <row r="35" spans="1:11" ht="26">
      <c r="A35" s="219"/>
      <c r="B35" s="406" t="s">
        <v>306</v>
      </c>
      <c r="C35" s="12"/>
      <c r="D35" s="12"/>
      <c r="E35" s="12"/>
      <c r="F35" s="12"/>
      <c r="G35" s="12"/>
      <c r="H35" s="12"/>
      <c r="I35" s="12"/>
      <c r="J35" s="12"/>
      <c r="K35" s="12"/>
    </row>
    <row r="36" spans="1:11" ht="26">
      <c r="A36" s="312">
        <v>1.7999999999999999E-2</v>
      </c>
      <c r="B36" s="31" t="s">
        <v>265</v>
      </c>
      <c r="C36" s="12"/>
      <c r="D36" s="12"/>
      <c r="E36" s="12"/>
      <c r="F36" s="12"/>
      <c r="G36" s="12"/>
      <c r="H36" s="12"/>
      <c r="I36" s="12"/>
      <c r="J36" s="12"/>
      <c r="K36" s="12"/>
    </row>
    <row r="37" spans="1:11" ht="26">
      <c r="A37" s="218"/>
      <c r="B37" s="220" t="s">
        <v>447</v>
      </c>
      <c r="C37" s="12"/>
      <c r="D37" s="12"/>
      <c r="E37" s="12"/>
      <c r="F37" s="12"/>
      <c r="G37" s="12"/>
      <c r="H37" s="12"/>
      <c r="I37" s="12"/>
      <c r="J37" s="12"/>
      <c r="K37" s="12"/>
    </row>
    <row r="38" spans="1:11" ht="26">
      <c r="A38" s="218"/>
      <c r="B38" s="406" t="s">
        <v>448</v>
      </c>
      <c r="C38" s="12"/>
      <c r="D38" s="12"/>
      <c r="E38" s="12"/>
      <c r="F38" s="12"/>
      <c r="G38" s="12"/>
      <c r="H38" s="12"/>
      <c r="I38" s="12"/>
      <c r="J38" s="12"/>
      <c r="K38" s="12"/>
    </row>
    <row r="39" spans="1:11" ht="26">
      <c r="A39" s="312" t="s">
        <v>494</v>
      </c>
      <c r="B39" s="31" t="s">
        <v>266</v>
      </c>
      <c r="C39" s="12"/>
      <c r="D39" s="12"/>
      <c r="E39" s="12"/>
      <c r="F39" s="12"/>
      <c r="G39" s="12"/>
      <c r="H39" s="12"/>
      <c r="I39" s="12"/>
      <c r="J39" s="12"/>
      <c r="K39" s="12"/>
    </row>
    <row r="40" spans="1:11" ht="26">
      <c r="A40" s="218"/>
      <c r="B40" s="12" t="s">
        <v>449</v>
      </c>
      <c r="C40" s="12"/>
      <c r="D40" s="12"/>
      <c r="E40" s="12"/>
      <c r="F40" s="12"/>
      <c r="G40" s="12"/>
      <c r="H40" s="12"/>
      <c r="I40" s="12"/>
      <c r="J40" s="12"/>
      <c r="K40" s="12"/>
    </row>
    <row r="41" spans="1:11" ht="26">
      <c r="A41" s="218"/>
      <c r="B41" s="406" t="s">
        <v>325</v>
      </c>
      <c r="C41" s="12"/>
      <c r="D41" s="12"/>
      <c r="E41" s="12"/>
      <c r="F41" s="12"/>
      <c r="G41" s="12"/>
      <c r="H41" s="12"/>
      <c r="I41" s="12"/>
      <c r="J41" s="12"/>
      <c r="K41" s="12"/>
    </row>
    <row r="42" spans="1:11" ht="26">
      <c r="A42" s="391">
        <v>1.9E-2</v>
      </c>
      <c r="B42" s="31" t="s">
        <v>450</v>
      </c>
      <c r="C42" s="12"/>
      <c r="D42" s="12"/>
      <c r="E42" s="12"/>
      <c r="F42" s="12"/>
      <c r="G42" s="12"/>
      <c r="H42" s="12"/>
      <c r="I42" s="12"/>
      <c r="J42" s="12"/>
      <c r="K42" s="12"/>
    </row>
    <row r="43" spans="1:11" ht="26">
      <c r="A43" s="218"/>
      <c r="B43" s="12" t="s">
        <v>451</v>
      </c>
      <c r="C43" s="12"/>
      <c r="D43" s="12"/>
      <c r="E43" s="12"/>
      <c r="F43" s="12"/>
      <c r="G43" s="12"/>
      <c r="H43" s="12"/>
      <c r="I43" s="12"/>
      <c r="J43" s="12"/>
      <c r="K43" s="12"/>
    </row>
    <row r="44" spans="1:11" ht="26">
      <c r="A44" s="218"/>
      <c r="B44" s="406" t="s">
        <v>324</v>
      </c>
      <c r="C44" s="12"/>
      <c r="D44" s="12"/>
      <c r="E44" s="12"/>
      <c r="F44" s="12"/>
      <c r="G44" s="12"/>
      <c r="H44" s="12"/>
      <c r="I44" s="12"/>
      <c r="J44" s="12"/>
      <c r="K44" s="12"/>
    </row>
    <row r="45" spans="1:11" ht="26">
      <c r="A45" s="395" t="s">
        <v>462</v>
      </c>
      <c r="B45" s="396" t="s">
        <v>464</v>
      </c>
      <c r="C45" s="12"/>
      <c r="D45" s="12"/>
      <c r="E45" s="12"/>
      <c r="F45" s="12"/>
      <c r="G45" s="12"/>
      <c r="H45" s="12"/>
      <c r="I45" s="12"/>
      <c r="J45" s="12"/>
      <c r="K45" s="12"/>
    </row>
    <row r="46" spans="1:11" ht="26">
      <c r="A46" s="395" t="s">
        <v>463</v>
      </c>
      <c r="B46" s="406" t="s">
        <v>465</v>
      </c>
      <c r="C46" s="12"/>
      <c r="D46" s="12"/>
      <c r="E46" s="12"/>
      <c r="F46" s="12"/>
      <c r="G46" s="12"/>
      <c r="H46" s="12"/>
      <c r="I46" s="12"/>
      <c r="J46" s="12"/>
      <c r="K46" s="12"/>
    </row>
    <row r="47" spans="1:11" ht="26">
      <c r="A47" s="218"/>
      <c r="B47" s="149"/>
      <c r="C47" s="12"/>
      <c r="D47" s="12"/>
      <c r="E47" s="12"/>
      <c r="F47" s="12"/>
      <c r="G47" s="12"/>
      <c r="H47" s="12"/>
      <c r="I47" s="12"/>
      <c r="J47" s="12"/>
      <c r="K47" s="12"/>
    </row>
    <row r="48" spans="1:11" ht="26">
      <c r="A48" s="218" t="s">
        <v>0</v>
      </c>
      <c r="C48" s="12"/>
      <c r="D48" s="12"/>
      <c r="E48" s="12"/>
      <c r="F48" s="12"/>
      <c r="G48" s="12"/>
      <c r="H48" s="12"/>
      <c r="I48" s="12"/>
      <c r="J48" s="12"/>
      <c r="K48" s="12"/>
    </row>
    <row r="49" spans="1:11" ht="21">
      <c r="A49" s="311" t="s">
        <v>277</v>
      </c>
      <c r="C49" s="12"/>
      <c r="D49" s="12"/>
      <c r="E49" s="12"/>
      <c r="F49" s="12"/>
      <c r="G49" s="12"/>
      <c r="H49" s="12"/>
      <c r="I49" s="12"/>
      <c r="J49" s="12"/>
      <c r="K49" s="12"/>
    </row>
    <row r="50" spans="1:11" ht="21">
      <c r="A50" s="31" t="s">
        <v>278</v>
      </c>
      <c r="B50" s="12"/>
      <c r="C50" s="12"/>
      <c r="D50" s="12"/>
      <c r="E50" s="12"/>
      <c r="H50" s="12"/>
      <c r="I50" s="12"/>
      <c r="J50" s="12"/>
      <c r="K50" s="12"/>
    </row>
    <row r="51" spans="1:11" ht="17">
      <c r="A51" s="406" t="s">
        <v>279</v>
      </c>
      <c r="B51" s="12"/>
      <c r="C51" s="12"/>
      <c r="D51" s="12"/>
      <c r="E51" s="12"/>
      <c r="F51" s="12"/>
      <c r="G51" s="12"/>
      <c r="H51" s="12"/>
      <c r="I51" s="12"/>
      <c r="J51" s="12"/>
      <c r="K51" s="12"/>
    </row>
    <row r="52" spans="1:11" ht="17">
      <c r="A52" s="149"/>
      <c r="B52" s="12"/>
      <c r="C52" s="12"/>
      <c r="D52" s="12"/>
      <c r="E52" s="12"/>
      <c r="F52" s="12"/>
      <c r="G52" s="12" t="s">
        <v>0</v>
      </c>
      <c r="H52" s="12" t="s">
        <v>0</v>
      </c>
      <c r="I52" s="12"/>
      <c r="J52" s="12"/>
      <c r="K52" s="12"/>
    </row>
    <row r="53" spans="1:11" ht="17">
      <c r="A53" s="12"/>
      <c r="B53" s="12"/>
      <c r="C53" s="12"/>
      <c r="D53" s="12"/>
      <c r="E53" s="12"/>
      <c r="F53" s="12"/>
      <c r="G53" s="12" t="s">
        <v>0</v>
      </c>
      <c r="H53" s="12"/>
      <c r="I53" s="12"/>
      <c r="J53" s="12"/>
      <c r="K53" s="12"/>
    </row>
    <row r="54" spans="1:11" ht="17.5" thickBot="1">
      <c r="A54" s="12"/>
      <c r="B54" s="12"/>
      <c r="C54" s="12"/>
      <c r="D54" s="12"/>
      <c r="E54" s="12"/>
      <c r="F54" s="12"/>
      <c r="G54" s="12" t="s">
        <v>0</v>
      </c>
      <c r="H54" s="12"/>
      <c r="I54" s="12"/>
      <c r="J54" s="12"/>
      <c r="K54" s="12"/>
    </row>
    <row r="55" spans="1:11" ht="18.75" customHeight="1" thickBot="1">
      <c r="A55" s="165" t="s">
        <v>263</v>
      </c>
      <c r="B55" s="44" t="s">
        <v>385</v>
      </c>
      <c r="C55" s="12"/>
      <c r="D55" s="12"/>
      <c r="E55" s="12"/>
      <c r="F55" s="12"/>
      <c r="G55" s="12"/>
      <c r="H55" s="12"/>
      <c r="I55" s="403" t="s">
        <v>493</v>
      </c>
      <c r="J55" s="12"/>
      <c r="K55" s="12"/>
    </row>
    <row r="56" spans="1:11" ht="15" customHeight="1">
      <c r="A56" s="12"/>
      <c r="B56" s="12"/>
      <c r="C56" s="12"/>
      <c r="D56" s="12"/>
      <c r="E56" s="12"/>
      <c r="F56" s="12"/>
      <c r="G56" s="397" t="s">
        <v>466</v>
      </c>
      <c r="H56" s="398" t="s">
        <v>467</v>
      </c>
      <c r="I56" s="404">
        <v>1.76</v>
      </c>
      <c r="J56" s="12"/>
      <c r="K56" s="12"/>
    </row>
    <row r="57" spans="1:11" ht="23.25" customHeight="1">
      <c r="A57" s="312">
        <v>2.2100000000000002E-2</v>
      </c>
      <c r="B57" s="31" t="s">
        <v>386</v>
      </c>
      <c r="C57" s="12"/>
      <c r="E57" s="12"/>
      <c r="G57" s="399" t="s">
        <v>468</v>
      </c>
      <c r="H57" s="400" t="s">
        <v>469</v>
      </c>
      <c r="I57" s="404">
        <v>1.74</v>
      </c>
      <c r="J57" s="12"/>
      <c r="K57" s="12"/>
    </row>
    <row r="58" spans="1:11" ht="23.25" customHeight="1">
      <c r="A58" s="312">
        <v>2.41E-2</v>
      </c>
      <c r="B58" s="31" t="s">
        <v>387</v>
      </c>
      <c r="C58" s="12"/>
      <c r="E58" s="12"/>
      <c r="G58" s="399" t="s">
        <v>470</v>
      </c>
      <c r="H58" s="400" t="s">
        <v>471</v>
      </c>
      <c r="I58" s="404">
        <v>1.84</v>
      </c>
      <c r="J58" s="12"/>
      <c r="K58" s="12"/>
    </row>
    <row r="59" spans="1:11" ht="23.25" customHeight="1">
      <c r="A59" s="312">
        <v>2.1700000000000001E-2</v>
      </c>
      <c r="B59" s="31" t="s">
        <v>388</v>
      </c>
      <c r="C59" s="12"/>
      <c r="D59" s="12"/>
      <c r="E59" s="12"/>
      <c r="G59" s="401" t="s">
        <v>472</v>
      </c>
      <c r="H59" s="402" t="s">
        <v>473</v>
      </c>
      <c r="I59" s="405">
        <v>1.91</v>
      </c>
      <c r="J59" s="12"/>
      <c r="K59" s="12"/>
    </row>
    <row r="60" spans="1:11" ht="23.25" customHeight="1">
      <c r="A60" s="312"/>
      <c r="B60" s="31"/>
      <c r="C60" s="12"/>
      <c r="D60" s="12"/>
      <c r="E60" s="12"/>
      <c r="G60" s="14"/>
      <c r="H60" s="150"/>
      <c r="I60" s="12"/>
      <c r="J60" s="12"/>
      <c r="K60" s="12"/>
    </row>
    <row r="61" spans="1:11" ht="23.25" customHeight="1">
      <c r="A61" s="313" t="s">
        <v>452</v>
      </c>
      <c r="B61" s="31"/>
      <c r="C61" s="12"/>
      <c r="D61" s="12"/>
      <c r="E61" s="12"/>
      <c r="F61" s="308"/>
      <c r="G61" s="87"/>
      <c r="H61" s="12"/>
      <c r="I61" s="12"/>
      <c r="J61" s="12"/>
      <c r="K61" s="12"/>
    </row>
    <row r="62" spans="1:11" ht="23.25" customHeight="1">
      <c r="A62" s="312"/>
      <c r="B62" s="31"/>
      <c r="C62" s="12"/>
      <c r="D62" s="12"/>
      <c r="E62" s="12"/>
      <c r="F62" s="308"/>
      <c r="G62" s="87"/>
      <c r="H62" s="12"/>
      <c r="I62" s="12"/>
      <c r="J62" s="12"/>
      <c r="K62" s="12"/>
    </row>
    <row r="63" spans="1:11" ht="23.25" customHeight="1">
      <c r="A63" s="312">
        <v>2.3E-2</v>
      </c>
      <c r="B63" s="31" t="s">
        <v>475</v>
      </c>
      <c r="C63" s="12"/>
      <c r="D63" s="12"/>
      <c r="E63" s="12"/>
      <c r="F63" s="12"/>
      <c r="G63" s="12"/>
      <c r="H63" s="12"/>
      <c r="I63" s="12"/>
      <c r="J63" s="12"/>
      <c r="K63" s="12"/>
    </row>
    <row r="64" spans="1:11" ht="23.25" customHeight="1">
      <c r="A64" s="312">
        <v>2.2599999999999999E-2</v>
      </c>
      <c r="B64" s="31" t="s">
        <v>476</v>
      </c>
      <c r="C64" s="12"/>
      <c r="D64" s="12"/>
      <c r="E64" s="12"/>
      <c r="F64" s="12"/>
      <c r="G64" s="12"/>
      <c r="H64" s="12"/>
      <c r="I64" s="12"/>
      <c r="J64" s="12"/>
      <c r="K64" s="12"/>
    </row>
    <row r="65" spans="1:11" ht="23.25" customHeight="1">
      <c r="A65" s="312">
        <v>2.24E-2</v>
      </c>
      <c r="B65" s="31" t="s">
        <v>271</v>
      </c>
      <c r="C65" s="12"/>
      <c r="D65" s="12"/>
      <c r="E65" s="12"/>
      <c r="F65" s="12"/>
      <c r="G65" s="12"/>
      <c r="H65" s="12"/>
      <c r="I65" s="12"/>
      <c r="J65" s="12"/>
      <c r="K65" s="12"/>
    </row>
    <row r="66" spans="1:11" ht="26">
      <c r="A66" s="312">
        <v>2.1999999999999999E-2</v>
      </c>
      <c r="B66" s="31" t="s">
        <v>474</v>
      </c>
      <c r="C66" s="12"/>
      <c r="D66" s="12"/>
      <c r="E66" s="12"/>
      <c r="F66" s="12"/>
      <c r="G66" s="12"/>
      <c r="H66" s="12"/>
      <c r="I66" s="12"/>
      <c r="J66" s="12"/>
      <c r="K66" s="12"/>
    </row>
    <row r="67" spans="1:11" ht="26">
      <c r="A67" s="312">
        <v>0.02</v>
      </c>
      <c r="B67" s="31" t="s">
        <v>269</v>
      </c>
      <c r="C67" s="12"/>
      <c r="D67" s="12"/>
      <c r="E67" s="12"/>
      <c r="F67" s="12"/>
      <c r="G67" s="12"/>
      <c r="H67" s="12"/>
      <c r="I67" s="12"/>
      <c r="J67" s="12"/>
      <c r="K67" s="12"/>
    </row>
    <row r="68" spans="1:11" ht="27" customHeight="1">
      <c r="B68" s="12" t="s">
        <v>0</v>
      </c>
      <c r="C68" s="12"/>
      <c r="D68" s="12"/>
      <c r="E68" s="12"/>
      <c r="F68" s="12"/>
      <c r="G68" s="12"/>
      <c r="H68" s="12"/>
      <c r="I68" s="12"/>
      <c r="J68" s="12"/>
      <c r="K68" s="12"/>
    </row>
    <row r="69" spans="1:11" ht="20.25" customHeight="1">
      <c r="A69" s="12"/>
      <c r="B69" s="12"/>
      <c r="C69" s="12"/>
      <c r="D69" s="12"/>
      <c r="E69" s="12"/>
      <c r="F69" s="12"/>
      <c r="G69" s="12"/>
      <c r="H69" s="12"/>
      <c r="I69" s="12"/>
      <c r="J69" s="12"/>
      <c r="K69" s="12"/>
    </row>
    <row r="70" spans="1:11" ht="18.75" customHeight="1" thickBot="1">
      <c r="B70" s="12"/>
      <c r="C70" s="12"/>
      <c r="D70" s="29"/>
      <c r="E70" s="29"/>
      <c r="F70" s="29"/>
      <c r="G70" s="12"/>
      <c r="H70" s="12"/>
      <c r="I70" s="12"/>
      <c r="J70" s="12"/>
      <c r="K70" s="12"/>
    </row>
    <row r="71" spans="1:11" ht="18.75" customHeight="1">
      <c r="B71" s="31"/>
      <c r="C71" s="31"/>
      <c r="D71" s="12"/>
      <c r="E71" s="32" t="s">
        <v>227</v>
      </c>
      <c r="F71" s="12"/>
      <c r="G71" s="12"/>
      <c r="H71" s="12"/>
      <c r="I71" s="12"/>
      <c r="J71" s="12"/>
      <c r="K71" s="12"/>
    </row>
    <row r="72" spans="1:11" ht="15" customHeight="1" thickBot="1">
      <c r="A72" s="152"/>
      <c r="B72" s="31"/>
      <c r="C72" s="31"/>
      <c r="D72" s="29"/>
      <c r="E72" s="33" t="s">
        <v>458</v>
      </c>
      <c r="F72" s="29"/>
      <c r="G72" s="12"/>
      <c r="H72" s="12"/>
      <c r="I72" s="12"/>
      <c r="J72" s="12"/>
      <c r="K72" s="12"/>
    </row>
    <row r="73" spans="1:11" ht="21" customHeight="1" thickBot="1">
      <c r="A73" s="151" t="s">
        <v>228</v>
      </c>
      <c r="B73" s="31"/>
      <c r="C73" s="31"/>
      <c r="D73" s="35"/>
      <c r="E73" s="148"/>
      <c r="F73" s="12"/>
      <c r="G73" s="12"/>
      <c r="H73" s="12"/>
      <c r="I73" s="12"/>
      <c r="J73" s="12"/>
      <c r="K73" s="12"/>
    </row>
    <row r="74" spans="1:11" ht="15" customHeight="1">
      <c r="A74" s="39" t="s">
        <v>0</v>
      </c>
      <c r="B74" s="39"/>
      <c r="C74" s="39"/>
      <c r="D74" s="41" t="s">
        <v>0</v>
      </c>
      <c r="E74" s="41" t="s">
        <v>0</v>
      </c>
      <c r="F74" s="41" t="s">
        <v>0</v>
      </c>
      <c r="G74" s="41"/>
      <c r="H74" s="12"/>
      <c r="I74" s="12"/>
    </row>
    <row r="75" spans="1:11" ht="17">
      <c r="A75" s="35" t="s">
        <v>0</v>
      </c>
      <c r="B75" s="35"/>
      <c r="C75" s="35"/>
      <c r="D75" s="184" t="s">
        <v>91</v>
      </c>
      <c r="E75" s="184" t="s">
        <v>268</v>
      </c>
      <c r="F75" s="184" t="s">
        <v>140</v>
      </c>
      <c r="G75" s="262"/>
      <c r="H75" s="12"/>
      <c r="I75" s="12"/>
    </row>
    <row r="76" spans="1:11" ht="17">
      <c r="A76" s="125" t="s">
        <v>138</v>
      </c>
      <c r="B76" s="125"/>
      <c r="C76" s="125"/>
      <c r="D76" s="185" t="s">
        <v>93</v>
      </c>
      <c r="E76" s="185" t="s">
        <v>139</v>
      </c>
      <c r="F76" s="185" t="s">
        <v>141</v>
      </c>
      <c r="G76" s="262"/>
      <c r="H76" s="12"/>
      <c r="I76" s="12"/>
    </row>
    <row r="77" spans="1:11" ht="15.75" customHeight="1"/>
    <row r="78" spans="1:11" ht="15.75" customHeight="1"/>
    <row r="79" spans="1:11" ht="15.75" customHeight="1">
      <c r="A79" s="168" t="s">
        <v>272</v>
      </c>
      <c r="B79" s="169"/>
      <c r="C79" s="212"/>
      <c r="D79" s="177">
        <f>+A57</f>
        <v>2.2100000000000002E-2</v>
      </c>
      <c r="E79" s="177">
        <v>1.7399999999999999E-2</v>
      </c>
      <c r="F79" s="170">
        <f t="shared" ref="F79:F86" si="1">+D79+E79</f>
        <v>3.95E-2</v>
      </c>
      <c r="G79" s="263"/>
      <c r="H79" s="12"/>
      <c r="I79" s="12"/>
    </row>
    <row r="80" spans="1:11" ht="15.75" customHeight="1">
      <c r="A80" s="171" t="s">
        <v>273</v>
      </c>
      <c r="B80" s="64"/>
      <c r="C80" s="213"/>
      <c r="D80" s="314">
        <f>+A58</f>
        <v>2.41E-2</v>
      </c>
      <c r="E80" s="314">
        <v>1.84E-2</v>
      </c>
      <c r="F80" s="172">
        <f t="shared" si="1"/>
        <v>4.2499999999999996E-2</v>
      </c>
      <c r="G80" s="263"/>
      <c r="H80" s="12"/>
      <c r="I80" s="12"/>
    </row>
    <row r="81" spans="1:9" ht="15.75" customHeight="1">
      <c r="A81" s="173" t="s">
        <v>274</v>
      </c>
      <c r="B81" s="174"/>
      <c r="C81" s="214"/>
      <c r="D81" s="178">
        <f>+A59</f>
        <v>2.1700000000000001E-2</v>
      </c>
      <c r="E81" s="178">
        <v>1.9099999999999999E-2</v>
      </c>
      <c r="F81" s="175">
        <f t="shared" si="1"/>
        <v>4.0800000000000003E-2</v>
      </c>
      <c r="G81" s="263"/>
      <c r="H81" s="12"/>
      <c r="I81" s="12"/>
    </row>
    <row r="82" spans="1:9" ht="15.75" customHeight="1">
      <c r="A82" s="171" t="s">
        <v>275</v>
      </c>
      <c r="B82" s="64"/>
      <c r="C82" s="213"/>
      <c r="D82" s="314">
        <f t="shared" ref="D82:D84" si="2">+A63</f>
        <v>2.3E-2</v>
      </c>
      <c r="E82" s="314">
        <v>0.02</v>
      </c>
      <c r="F82" s="172">
        <f t="shared" si="1"/>
        <v>4.2999999999999997E-2</v>
      </c>
      <c r="G82" s="263"/>
      <c r="H82" s="12"/>
      <c r="I82" s="12"/>
    </row>
    <row r="83" spans="1:9" ht="15.75" customHeight="1">
      <c r="A83" s="171" t="s">
        <v>276</v>
      </c>
      <c r="B83" s="64"/>
      <c r="C83" s="213"/>
      <c r="D83" s="314">
        <f t="shared" si="2"/>
        <v>2.2599999999999999E-2</v>
      </c>
      <c r="E83" s="314">
        <v>1.9E-2</v>
      </c>
      <c r="F83" s="172">
        <f t="shared" si="1"/>
        <v>4.1599999999999998E-2</v>
      </c>
      <c r="G83" s="263"/>
      <c r="H83" s="12"/>
      <c r="I83" s="12"/>
    </row>
    <row r="84" spans="1:9" ht="15.75" customHeight="1">
      <c r="A84" s="171" t="s">
        <v>453</v>
      </c>
      <c r="B84" s="64"/>
      <c r="C84" s="213"/>
      <c r="D84" s="314">
        <f t="shared" si="2"/>
        <v>2.24E-2</v>
      </c>
      <c r="E84" s="314">
        <v>0.02</v>
      </c>
      <c r="F84" s="172">
        <f t="shared" si="1"/>
        <v>4.24E-2</v>
      </c>
      <c r="G84" s="263"/>
      <c r="H84" s="12"/>
      <c r="I84" s="12"/>
    </row>
    <row r="85" spans="1:9" ht="15.75" customHeight="1">
      <c r="A85" s="171" t="s">
        <v>454</v>
      </c>
      <c r="B85" s="64"/>
      <c r="C85" s="213"/>
      <c r="D85" s="314">
        <f>+A66</f>
        <v>2.1999999999999999E-2</v>
      </c>
      <c r="E85" s="314">
        <v>1.9E-2</v>
      </c>
      <c r="F85" s="172">
        <f t="shared" si="1"/>
        <v>4.0999999999999995E-2</v>
      </c>
      <c r="G85" s="263"/>
      <c r="H85" s="12"/>
      <c r="I85" s="12"/>
    </row>
    <row r="86" spans="1:9" ht="15.75" customHeight="1">
      <c r="A86" s="173" t="s">
        <v>270</v>
      </c>
      <c r="B86" s="174"/>
      <c r="C86" s="214"/>
      <c r="D86" s="178">
        <f>+A67</f>
        <v>0.02</v>
      </c>
      <c r="E86" s="178">
        <v>1.7999999999999999E-2</v>
      </c>
      <c r="F86" s="175">
        <f t="shared" si="1"/>
        <v>3.7999999999999999E-2</v>
      </c>
      <c r="G86" s="263"/>
      <c r="H86" s="12"/>
      <c r="I86" s="12"/>
    </row>
    <row r="87" spans="1:9" ht="15.75" customHeight="1">
      <c r="A87" s="110"/>
      <c r="B87" s="119"/>
      <c r="C87" s="119" t="s">
        <v>53</v>
      </c>
      <c r="D87" s="176">
        <v>2.5499999999999998E-2</v>
      </c>
      <c r="E87" s="176">
        <v>0.02</v>
      </c>
      <c r="F87" s="176">
        <v>4.5199999999999997E-2</v>
      </c>
      <c r="G87" s="264"/>
      <c r="H87" s="12"/>
      <c r="I87" s="12"/>
    </row>
    <row r="88" spans="1:9" ht="15.75" customHeight="1">
      <c r="A88" s="110"/>
      <c r="B88" s="119"/>
      <c r="C88" s="119" t="s">
        <v>54</v>
      </c>
      <c r="D88" s="176">
        <v>0.02</v>
      </c>
      <c r="E88" s="176">
        <v>1.7399999999999999E-2</v>
      </c>
      <c r="F88" s="225">
        <v>3.6999999999999998E-2</v>
      </c>
      <c r="G88" s="264"/>
      <c r="H88" s="12"/>
      <c r="I88" s="12"/>
    </row>
    <row r="89" spans="1:9" ht="17.25" customHeight="1">
      <c r="A89" s="110"/>
      <c r="B89" s="119"/>
      <c r="C89" s="119" t="s">
        <v>18</v>
      </c>
      <c r="D89" s="392">
        <f>MEDIAN(D79:D86)</f>
        <v>2.2249999999999999E-2</v>
      </c>
      <c r="E89" s="392">
        <f>MEDIAN(E79:E86)</f>
        <v>1.9E-2</v>
      </c>
      <c r="F89" s="172">
        <f t="shared" ref="F89:F90" si="3">+D89+E89</f>
        <v>4.1249999999999995E-2</v>
      </c>
      <c r="G89" s="263"/>
      <c r="H89" s="12"/>
      <c r="I89" s="12"/>
    </row>
    <row r="90" spans="1:9" ht="21" customHeight="1">
      <c r="A90" s="110"/>
      <c r="B90" s="119"/>
      <c r="C90" s="119" t="s">
        <v>19</v>
      </c>
      <c r="D90" s="315">
        <f>AVERAGE(D79:D86)</f>
        <v>2.2237499999999997E-2</v>
      </c>
      <c r="E90" s="315">
        <f>AVERAGE(E79:E86)</f>
        <v>1.8862499999999997E-2</v>
      </c>
      <c r="F90" s="175">
        <f t="shared" si="3"/>
        <v>4.1099999999999998E-2</v>
      </c>
      <c r="G90" s="263"/>
      <c r="H90" s="12"/>
      <c r="I90" s="12"/>
    </row>
    <row r="91" spans="1:9" ht="21" customHeight="1">
      <c r="A91" s="12"/>
      <c r="B91" s="14"/>
    </row>
    <row r="92" spans="1:9" ht="21" customHeight="1" thickBot="1">
      <c r="A92" s="12"/>
      <c r="B92" s="14"/>
    </row>
    <row r="93" spans="1:9" ht="24" customHeight="1" thickBot="1">
      <c r="A93" s="12"/>
      <c r="B93" s="126"/>
      <c r="C93" s="50" t="s">
        <v>229</v>
      </c>
      <c r="D93" s="316">
        <v>2.2200000000000001E-2</v>
      </c>
      <c r="E93" s="316">
        <v>1.89E-2</v>
      </c>
      <c r="F93" s="318">
        <f>+D93+E93</f>
        <v>4.1099999999999998E-2</v>
      </c>
    </row>
    <row r="94" spans="1:9" ht="22.5" customHeight="1">
      <c r="A94" s="12"/>
      <c r="B94" s="12"/>
      <c r="C94" s="12"/>
      <c r="D94" s="12"/>
      <c r="E94" s="12"/>
      <c r="F94" s="12"/>
      <c r="G94" s="12"/>
      <c r="I94" s="12"/>
    </row>
    <row r="95" spans="1:9" ht="15" customHeight="1">
      <c r="A95" s="12"/>
      <c r="B95" s="12"/>
      <c r="C95" s="12"/>
      <c r="D95" s="12"/>
      <c r="E95" s="12"/>
      <c r="F95" s="12"/>
      <c r="G95" s="12"/>
      <c r="I95" s="12" t="s">
        <v>0</v>
      </c>
    </row>
    <row r="96" spans="1:9" ht="15" customHeight="1">
      <c r="A96" s="127" t="s">
        <v>161</v>
      </c>
      <c r="B96" s="128"/>
      <c r="C96" s="128"/>
      <c r="D96" s="128"/>
      <c r="E96" s="129"/>
      <c r="F96" s="128"/>
      <c r="G96" s="128"/>
      <c r="H96" s="128"/>
      <c r="I96" s="12"/>
    </row>
    <row r="97" spans="1:9" ht="15" customHeight="1">
      <c r="A97" s="469" t="s">
        <v>477</v>
      </c>
      <c r="B97" s="469"/>
      <c r="C97" s="469"/>
      <c r="D97" s="469"/>
      <c r="E97" s="469"/>
      <c r="F97" s="469"/>
      <c r="G97" s="469"/>
      <c r="H97" s="469"/>
      <c r="I97" s="12"/>
    </row>
    <row r="98" spans="1:9" ht="15" customHeight="1">
      <c r="A98" s="406" t="s">
        <v>384</v>
      </c>
      <c r="B98" s="128"/>
      <c r="C98" s="406" t="s">
        <v>0</v>
      </c>
      <c r="D98" s="128"/>
      <c r="E98" s="129"/>
      <c r="F98" s="128"/>
      <c r="G98" s="128"/>
      <c r="H98" s="128"/>
      <c r="I98" s="12"/>
    </row>
    <row r="99" spans="1:9" ht="15" customHeight="1">
      <c r="A99" s="127"/>
      <c r="B99" s="128"/>
      <c r="C99" s="128"/>
      <c r="D99" s="128"/>
      <c r="E99" s="129"/>
      <c r="F99" s="128"/>
      <c r="G99" s="128"/>
      <c r="H99" s="128"/>
      <c r="I99" s="12"/>
    </row>
    <row r="100" spans="1:9" ht="15" customHeight="1">
      <c r="A100" s="469" t="s">
        <v>478</v>
      </c>
      <c r="B100" s="469"/>
      <c r="C100" s="469"/>
      <c r="D100" s="469"/>
      <c r="E100" s="469"/>
      <c r="F100" s="469"/>
      <c r="G100" s="469"/>
      <c r="H100" s="469"/>
      <c r="I100" s="12"/>
    </row>
    <row r="101" spans="1:9" ht="15" customHeight="1">
      <c r="A101" s="130" t="s">
        <v>162</v>
      </c>
      <c r="B101" s="131"/>
      <c r="C101" s="131" t="s">
        <v>0</v>
      </c>
      <c r="D101" s="131"/>
      <c r="E101" s="131"/>
      <c r="F101" s="131"/>
      <c r="G101" s="131"/>
      <c r="H101" s="128"/>
      <c r="I101" s="12"/>
    </row>
    <row r="102" spans="1:9" ht="15" customHeight="1">
      <c r="A102" s="130"/>
      <c r="B102" s="131"/>
      <c r="C102" s="131"/>
      <c r="D102" s="131"/>
      <c r="E102" s="131"/>
      <c r="F102" s="131"/>
      <c r="G102" s="131"/>
      <c r="H102" s="128"/>
      <c r="I102" s="12"/>
    </row>
    <row r="103" spans="1:9" ht="15" customHeight="1">
      <c r="A103" s="469" t="s">
        <v>479</v>
      </c>
      <c r="B103" s="469"/>
      <c r="C103" s="469"/>
      <c r="D103" s="469"/>
      <c r="E103" s="469"/>
      <c r="F103" s="469"/>
      <c r="G103" s="469"/>
      <c r="H103" s="469"/>
      <c r="I103" s="12"/>
    </row>
    <row r="104" spans="1:9" ht="15" customHeight="1">
      <c r="A104" s="130" t="s">
        <v>162</v>
      </c>
      <c r="B104" s="131"/>
      <c r="C104" s="131" t="s">
        <v>0</v>
      </c>
      <c r="D104" s="131"/>
      <c r="E104" s="131"/>
      <c r="F104" s="131"/>
      <c r="G104" s="131"/>
      <c r="H104" s="128"/>
      <c r="I104" s="12"/>
    </row>
    <row r="105" spans="1:9" ht="15" customHeight="1">
      <c r="A105" s="130"/>
      <c r="B105" s="131"/>
      <c r="C105" s="131"/>
      <c r="D105" s="131"/>
      <c r="E105" s="131"/>
      <c r="F105" s="131"/>
      <c r="G105" s="131"/>
      <c r="H105" s="128"/>
      <c r="I105" s="12"/>
    </row>
    <row r="106" spans="1:9" ht="15" customHeight="1">
      <c r="A106" s="469" t="s">
        <v>480</v>
      </c>
      <c r="B106" s="469"/>
      <c r="C106" s="469"/>
      <c r="D106" s="469"/>
      <c r="E106" s="469"/>
      <c r="F106" s="469"/>
      <c r="G106" s="469"/>
      <c r="H106" s="469"/>
      <c r="I106" s="12"/>
    </row>
    <row r="107" spans="1:9" ht="15" customHeight="1">
      <c r="A107" s="407" t="s">
        <v>163</v>
      </c>
      <c r="B107" s="131"/>
      <c r="C107" s="131"/>
      <c r="D107" s="12"/>
      <c r="E107" s="131"/>
      <c r="F107" s="131"/>
      <c r="G107" s="131"/>
      <c r="H107" s="128"/>
      <c r="I107" s="12"/>
    </row>
    <row r="108" spans="1:9" ht="15" customHeight="1">
      <c r="A108" s="406" t="s">
        <v>481</v>
      </c>
      <c r="B108" s="131"/>
      <c r="C108" s="131"/>
      <c r="D108" s="131"/>
      <c r="E108" s="131"/>
      <c r="F108" s="131"/>
      <c r="G108" s="131"/>
      <c r="H108" s="128"/>
      <c r="I108" s="12"/>
    </row>
    <row r="109" spans="1:9" ht="15" customHeight="1">
      <c r="A109" s="406"/>
      <c r="B109" s="131"/>
      <c r="C109" s="131"/>
      <c r="D109" s="131"/>
      <c r="E109" s="131"/>
      <c r="F109" s="131"/>
      <c r="G109" s="131"/>
      <c r="H109" s="128"/>
      <c r="I109" s="12"/>
    </row>
    <row r="110" spans="1:9" ht="15" customHeight="1">
      <c r="A110" s="132" t="s">
        <v>482</v>
      </c>
      <c r="B110" s="132"/>
      <c r="C110" s="132"/>
      <c r="D110" s="132"/>
      <c r="E110" s="132"/>
      <c r="F110" s="132"/>
      <c r="G110" s="132"/>
      <c r="H110" s="128"/>
      <c r="I110" s="12"/>
    </row>
    <row r="111" spans="1:9" ht="15" customHeight="1">
      <c r="A111" s="407" t="s">
        <v>164</v>
      </c>
      <c r="B111" s="131"/>
      <c r="C111" s="12"/>
      <c r="D111" s="131"/>
      <c r="E111" s="12"/>
      <c r="F111" s="131"/>
      <c r="G111" s="131"/>
      <c r="H111" s="128"/>
      <c r="I111" s="12"/>
    </row>
    <row r="112" spans="1:9" ht="17">
      <c r="A112" s="406" t="s">
        <v>455</v>
      </c>
      <c r="B112" s="131"/>
      <c r="C112" s="406"/>
      <c r="D112" s="131"/>
      <c r="E112" s="12"/>
      <c r="F112" s="131"/>
      <c r="G112" s="131"/>
      <c r="H112" s="128"/>
      <c r="I112" s="12"/>
    </row>
    <row r="113" spans="1:8" ht="17">
      <c r="A113" s="410" t="s">
        <v>483</v>
      </c>
      <c r="B113" s="406" t="s">
        <v>465</v>
      </c>
      <c r="C113" s="133"/>
      <c r="D113" s="133"/>
      <c r="E113" s="133"/>
      <c r="F113" s="133"/>
      <c r="G113" s="133"/>
      <c r="H113" s="134"/>
    </row>
    <row r="114" spans="1:8" ht="17">
      <c r="A114" s="12"/>
      <c r="B114" s="406"/>
      <c r="C114" s="133"/>
      <c r="D114" s="133"/>
      <c r="E114" s="133"/>
      <c r="F114" s="133"/>
      <c r="G114" s="133"/>
      <c r="H114" s="134"/>
    </row>
    <row r="115" spans="1:8" ht="17">
      <c r="A115" s="132" t="s">
        <v>484</v>
      </c>
      <c r="B115" s="12"/>
      <c r="C115" s="12"/>
      <c r="D115" s="12"/>
      <c r="E115" s="12"/>
      <c r="F115" s="12"/>
      <c r="G115" s="12"/>
      <c r="H115" s="12"/>
    </row>
    <row r="116" spans="1:8" ht="17">
      <c r="A116" s="406" t="s">
        <v>485</v>
      </c>
      <c r="B116" s="12"/>
      <c r="C116" s="406" t="s">
        <v>0</v>
      </c>
      <c r="D116" s="12"/>
      <c r="E116" s="12"/>
      <c r="F116" s="12"/>
      <c r="G116" s="12"/>
      <c r="H116" s="12"/>
    </row>
    <row r="117" spans="1:8" ht="17">
      <c r="A117" s="430"/>
      <c r="B117" s="12"/>
      <c r="C117" s="12"/>
      <c r="D117" s="12"/>
      <c r="E117" s="12"/>
      <c r="F117" s="12"/>
      <c r="G117" s="12"/>
      <c r="H117" s="12"/>
    </row>
    <row r="118" spans="1:8" ht="21">
      <c r="A118" s="239"/>
    </row>
    <row r="119" spans="1:8" ht="21">
      <c r="A119" s="239"/>
    </row>
    <row r="120" spans="1:8" ht="21">
      <c r="A120" s="239"/>
    </row>
    <row r="123" spans="1:8">
      <c r="A123" t="s">
        <v>0</v>
      </c>
    </row>
    <row r="127" spans="1:8">
      <c r="A127" t="s">
        <v>0</v>
      </c>
    </row>
    <row r="144" spans="1:1">
      <c r="A144" t="s">
        <v>0</v>
      </c>
    </row>
    <row r="167" spans="1:1">
      <c r="A167" s="317"/>
    </row>
    <row r="168" spans="1:1">
      <c r="A168" s="317"/>
    </row>
    <row r="169" spans="1:1">
      <c r="A169" s="317"/>
    </row>
    <row r="170" spans="1:1">
      <c r="A170" s="317"/>
    </row>
    <row r="171" spans="1:1">
      <c r="A171" s="317"/>
    </row>
  </sheetData>
  <mergeCells count="4">
    <mergeCell ref="A106:H106"/>
    <mergeCell ref="A97:H97"/>
    <mergeCell ref="A100:H100"/>
    <mergeCell ref="A103:H103"/>
  </mergeCells>
  <hyperlinks>
    <hyperlink ref="A51" r:id="rId1" xr:uid="{F2D8D92D-2CFC-47F7-8367-848384BBC019}"/>
    <hyperlink ref="B35" r:id="rId2" xr:uid="{CD3D999A-96A5-46AB-8B02-6ACBB2D3BEDE}"/>
    <hyperlink ref="B38" r:id="rId3" xr:uid="{E7973359-2750-44D7-A081-1340481FB53A}"/>
    <hyperlink ref="B44" r:id="rId4" xr:uid="{6A86EEF7-E57A-4C61-899A-0DD4DFD58180}"/>
    <hyperlink ref="B41" r:id="rId5" xr:uid="{DF12CFA6-2317-4251-BCA8-D471B6651657}"/>
    <hyperlink ref="B46" r:id="rId6" xr:uid="{7BC69F62-5436-4526-8EDC-284E9A79FC88}"/>
    <hyperlink ref="A101" r:id="rId7" xr:uid="{4A3E2A88-AF67-4A43-9F1F-A4595A100952}"/>
    <hyperlink ref="A111" r:id="rId8" location="4" xr:uid="{D3EF1711-7526-43B6-B6EE-D4F6C2896169}"/>
    <hyperlink ref="A107" r:id="rId9" xr:uid="{432EF02D-4DF6-4747-AEB0-7E8EA67A257E}"/>
    <hyperlink ref="A104" r:id="rId10" xr:uid="{5F46D97C-DA6F-4D72-8C24-41C480F71B64}"/>
    <hyperlink ref="A98" r:id="rId11" xr:uid="{B479B8E8-A882-41CB-9379-7BE7D0FB7A34}"/>
    <hyperlink ref="C98" r:id="rId12" display="https://www.federalreserve.gov/datadownload/Preview.aspx?pi=400&amp;rel=H15&amp;preview=%20H15/H15/RIFLGFCY05_N.WF" xr:uid="{C917EEF0-5EEE-4EA2-9E6B-C5B1B0399638}"/>
    <hyperlink ref="A112" r:id="rId13" xr:uid="{28499A9E-376F-4AEC-83A5-AE218F85669C}"/>
    <hyperlink ref="C116" r:id="rId14" display="https://www.federalreserve.gov/monetarypolicy/files/fomcprojtabl20231213.pdf" xr:uid="{0AD8D9BB-C848-42C8-B5E0-25607F58A82F}"/>
    <hyperlink ref="A116" r:id="rId15" xr:uid="{E1BBE416-0199-4016-A667-6B2AB379B7B2}"/>
    <hyperlink ref="A108" r:id="rId16" display="https://www.philadelphiafed.org/-/media/frbp/assets/surveys-and-data/survey-of-professional-forecasters/2024/spfq124.pdf" xr:uid="{95EEE51F-3D02-4B9E-AE25-1F9D741F036A}"/>
    <hyperlink ref="B113" r:id="rId17" xr:uid="{FFBE61EB-AC84-4650-99E7-1EACEFC4B262}"/>
  </hyperlinks>
  <pageMargins left="0.25" right="0.25" top="0.75" bottom="0.75" header="0.3" footer="0.3"/>
  <pageSetup scale="28" fitToWidth="0" orientation="portrait" r:id="rId1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2F14-3100-4220-9131-7F24097183B2}">
  <sheetPr>
    <tabColor rgb="FF92D050"/>
    <pageSetUpPr fitToPage="1"/>
  </sheetPr>
  <dimension ref="A1:I106"/>
  <sheetViews>
    <sheetView view="pageBreakPreview" topLeftCell="A31" zoomScale="70" zoomScaleNormal="80" zoomScaleSheetLayoutView="70" workbookViewId="0">
      <selection activeCell="D53" sqref="D53"/>
    </sheetView>
  </sheetViews>
  <sheetFormatPr defaultRowHeight="14.5"/>
  <cols>
    <col min="1" max="1" width="45.7265625" customWidth="1"/>
    <col min="2" max="2" width="17.453125" customWidth="1"/>
    <col min="3" max="3" width="72.1796875" customWidth="1"/>
    <col min="4" max="4" width="34.54296875" customWidth="1"/>
    <col min="5" max="5" width="21.7265625" customWidth="1"/>
    <col min="6" max="6" width="17.81640625" customWidth="1"/>
    <col min="7" max="7" width="24.81640625" customWidth="1"/>
    <col min="8" max="8" width="18" customWidth="1"/>
    <col min="9" max="9" width="20.81640625" customWidth="1"/>
    <col min="10" max="10" width="19" customWidth="1"/>
    <col min="11" max="11" width="17.26953125" customWidth="1"/>
    <col min="12" max="12" width="24.1796875" customWidth="1"/>
  </cols>
  <sheetData>
    <row r="1" spans="1:9" ht="25.5">
      <c r="A1" s="24" t="s">
        <v>1</v>
      </c>
      <c r="B1" s="12"/>
      <c r="C1" s="12"/>
      <c r="D1" s="12"/>
      <c r="E1" s="12"/>
      <c r="F1" s="12"/>
      <c r="G1" s="12"/>
      <c r="H1" s="12"/>
      <c r="I1" s="12"/>
    </row>
    <row r="2" spans="1:9" ht="17.5">
      <c r="A2" s="64" t="s">
        <v>9</v>
      </c>
      <c r="B2" s="12"/>
      <c r="C2" s="12"/>
      <c r="D2" s="12"/>
      <c r="E2" s="12"/>
      <c r="F2" s="12"/>
      <c r="G2" s="12"/>
      <c r="H2" s="12"/>
      <c r="I2" s="12"/>
    </row>
    <row r="3" spans="1:9" ht="17">
      <c r="A3" s="26" t="s">
        <v>457</v>
      </c>
      <c r="B3" s="12"/>
      <c r="C3" s="12"/>
      <c r="D3" s="12"/>
      <c r="E3" s="12"/>
      <c r="F3" s="12"/>
      <c r="G3" s="12"/>
      <c r="H3" s="12"/>
      <c r="I3" s="12"/>
    </row>
    <row r="4" spans="1:9" ht="17">
      <c r="A4" s="12"/>
      <c r="B4" s="12"/>
      <c r="C4" s="12"/>
      <c r="D4" s="12"/>
      <c r="E4" s="12"/>
      <c r="F4" s="12"/>
      <c r="G4" s="12"/>
      <c r="H4" s="12"/>
      <c r="I4" s="12"/>
    </row>
    <row r="5" spans="1:9" ht="18" thickBot="1">
      <c r="A5" s="64"/>
      <c r="B5" s="12"/>
      <c r="C5" s="12"/>
      <c r="D5" s="12"/>
      <c r="E5" s="12"/>
      <c r="F5" s="12"/>
      <c r="G5" s="12"/>
      <c r="H5" s="12"/>
      <c r="I5" s="12"/>
    </row>
    <row r="6" spans="1:9" ht="21.5" thickBot="1">
      <c r="A6" s="267" t="str">
        <f>+'S&amp;D'!A12</f>
        <v>Electric Wholesale (non-regulated) Power Generator</v>
      </c>
      <c r="B6" s="268"/>
      <c r="C6" s="197"/>
      <c r="D6" s="12"/>
      <c r="E6" s="12"/>
      <c r="F6" s="12"/>
      <c r="G6" s="12"/>
      <c r="H6" s="12"/>
      <c r="I6" s="12"/>
    </row>
    <row r="7" spans="1:9" ht="21">
      <c r="A7" s="31"/>
      <c r="B7" s="12"/>
      <c r="C7" s="12"/>
      <c r="D7" s="12"/>
      <c r="E7" s="12"/>
      <c r="F7" s="12"/>
      <c r="G7" s="12"/>
      <c r="H7" s="12"/>
      <c r="I7" s="12"/>
    </row>
    <row r="8" spans="1:9" ht="18" thickBot="1">
      <c r="A8" s="64"/>
      <c r="B8" s="12"/>
      <c r="C8" s="29"/>
      <c r="E8" s="12"/>
      <c r="F8" s="12"/>
      <c r="G8" s="12"/>
      <c r="H8" s="12"/>
      <c r="I8" s="12"/>
    </row>
    <row r="9" spans="1:9" ht="25.5">
      <c r="B9" s="12"/>
      <c r="C9" s="32" t="s">
        <v>170</v>
      </c>
      <c r="E9" s="12"/>
      <c r="F9" s="12"/>
      <c r="G9" s="12"/>
      <c r="H9" s="12"/>
      <c r="I9" s="12"/>
    </row>
    <row r="10" spans="1:9" ht="21.5" thickBot="1">
      <c r="A10" s="31"/>
      <c r="B10" s="12"/>
      <c r="C10" s="33" t="s">
        <v>458</v>
      </c>
      <c r="E10" s="12"/>
      <c r="F10" s="12"/>
      <c r="G10" s="12"/>
      <c r="H10" s="12"/>
      <c r="I10" s="12"/>
    </row>
    <row r="11" spans="1:9" ht="21">
      <c r="A11" s="31"/>
      <c r="B11" s="12"/>
      <c r="C11" s="12"/>
      <c r="D11" s="12"/>
      <c r="E11" s="12"/>
      <c r="F11" s="12"/>
      <c r="G11" s="12"/>
      <c r="H11" s="12"/>
      <c r="I11" s="12"/>
    </row>
    <row r="12" spans="1:9" ht="17.5" thickBot="1">
      <c r="A12" s="12"/>
      <c r="B12" s="12"/>
      <c r="C12" s="12"/>
      <c r="D12" s="12"/>
      <c r="E12" s="12"/>
      <c r="F12" s="12"/>
      <c r="G12" s="12"/>
      <c r="H12" s="12"/>
      <c r="I12" s="12"/>
    </row>
    <row r="13" spans="1:9" ht="17">
      <c r="A13" s="12"/>
      <c r="B13" s="12"/>
      <c r="C13" s="80" t="s">
        <v>0</v>
      </c>
      <c r="D13" s="80" t="s">
        <v>205</v>
      </c>
      <c r="E13" s="12"/>
      <c r="F13" s="12"/>
      <c r="G13" s="12"/>
      <c r="H13" s="12"/>
      <c r="I13" s="12"/>
    </row>
    <row r="14" spans="1:9" ht="21.5" thickBot="1">
      <c r="A14" s="12"/>
      <c r="B14" s="12"/>
      <c r="C14" s="348" t="s">
        <v>169</v>
      </c>
      <c r="D14" s="82" t="s">
        <v>293</v>
      </c>
      <c r="E14" s="12"/>
      <c r="F14" s="12"/>
      <c r="G14" s="12"/>
      <c r="H14" s="12"/>
      <c r="I14" s="12"/>
    </row>
    <row r="15" spans="1:9" ht="17.5">
      <c r="A15" s="12"/>
      <c r="B15" s="12"/>
      <c r="C15" s="349" t="s">
        <v>408</v>
      </c>
      <c r="D15" s="350">
        <f>+CAPM!F16</f>
        <v>7.0490999999999998E-2</v>
      </c>
      <c r="E15" s="351"/>
      <c r="F15" s="12"/>
      <c r="G15" s="12"/>
      <c r="H15" s="12"/>
      <c r="I15" s="12"/>
    </row>
    <row r="16" spans="1:9" ht="17.5">
      <c r="A16" s="12"/>
      <c r="B16" s="12"/>
      <c r="C16" s="270" t="s">
        <v>409</v>
      </c>
      <c r="D16" s="362">
        <f>+CAPM!F17</f>
        <v>7.2207999999999994E-2</v>
      </c>
      <c r="E16" s="351"/>
      <c r="F16" s="12"/>
      <c r="G16" s="12"/>
      <c r="H16" s="12"/>
      <c r="I16" s="12"/>
    </row>
    <row r="17" spans="1:9" ht="17.5">
      <c r="A17" s="12"/>
      <c r="B17" s="12"/>
      <c r="C17" s="270" t="s">
        <v>430</v>
      </c>
      <c r="D17" s="362">
        <f>+CAPM!F19</f>
        <v>8.7559999999999999E-2</v>
      </c>
      <c r="E17" s="351"/>
      <c r="F17" s="12"/>
      <c r="G17" s="12"/>
      <c r="H17" s="12"/>
      <c r="I17" s="12"/>
    </row>
    <row r="18" spans="1:9" ht="17.5">
      <c r="A18" s="12"/>
      <c r="B18" s="12"/>
      <c r="C18" s="270" t="s">
        <v>444</v>
      </c>
      <c r="D18" s="362">
        <f>+CAPM!F20</f>
        <v>0.102407</v>
      </c>
      <c r="E18" s="351"/>
      <c r="F18" s="12"/>
      <c r="G18" s="12"/>
      <c r="H18" s="12"/>
      <c r="I18" s="12"/>
    </row>
    <row r="19" spans="1:9" ht="17.5">
      <c r="A19" s="12"/>
      <c r="B19" s="12"/>
      <c r="C19" s="270" t="s">
        <v>431</v>
      </c>
      <c r="D19" s="362">
        <f>+CAPM!F21</f>
        <v>8.5843000000000003E-2</v>
      </c>
      <c r="E19" s="351"/>
      <c r="F19" s="12"/>
      <c r="G19" s="12"/>
      <c r="H19" s="12"/>
      <c r="I19" s="12"/>
    </row>
    <row r="20" spans="1:9" ht="17.5">
      <c r="A20" s="12"/>
      <c r="B20" s="12"/>
      <c r="C20" s="270" t="s">
        <v>432</v>
      </c>
      <c r="D20" s="362">
        <f>+CAPM!F22</f>
        <v>8.4429000000000004E-2</v>
      </c>
      <c r="E20" s="351"/>
      <c r="F20" s="12"/>
      <c r="G20" s="12"/>
      <c r="H20" s="12"/>
      <c r="I20" s="12"/>
    </row>
    <row r="21" spans="1:9" ht="17.5">
      <c r="A21" s="12"/>
      <c r="B21" s="12"/>
      <c r="C21" s="270" t="s">
        <v>171</v>
      </c>
      <c r="D21" s="362">
        <f>+CAPM!F24</f>
        <v>9.0993999999999992E-2</v>
      </c>
      <c r="E21" s="351"/>
      <c r="F21" s="12"/>
      <c r="G21" s="12"/>
      <c r="H21" s="12"/>
      <c r="I21" s="12"/>
    </row>
    <row r="22" spans="1:9" ht="17.5">
      <c r="A22" s="12"/>
      <c r="B22" s="12"/>
      <c r="C22" s="363" t="s">
        <v>172</v>
      </c>
      <c r="D22" s="362">
        <f>+CAPM!F26</f>
        <v>9.8670000000000008E-2</v>
      </c>
      <c r="E22" s="351"/>
      <c r="F22" s="12"/>
      <c r="G22" s="12"/>
      <c r="H22" s="12"/>
      <c r="I22" s="12"/>
    </row>
    <row r="23" spans="1:9" ht="17.5">
      <c r="A23" s="12"/>
      <c r="B23" s="12"/>
      <c r="C23" s="363" t="s">
        <v>173</v>
      </c>
      <c r="D23" s="362">
        <f>+CAPM!F28</f>
        <v>0.10624500000000001</v>
      </c>
      <c r="G23" s="12"/>
      <c r="H23" s="12"/>
      <c r="I23" s="12"/>
    </row>
    <row r="24" spans="1:9" ht="17.5">
      <c r="A24" s="12"/>
      <c r="B24" s="12"/>
      <c r="C24" s="363" t="s">
        <v>174</v>
      </c>
      <c r="D24" s="362">
        <f>+CAPM!F29</f>
        <v>9.3518999999999991E-2</v>
      </c>
      <c r="G24" s="12"/>
      <c r="H24" s="12"/>
      <c r="I24" s="12"/>
    </row>
    <row r="25" spans="1:9" ht="17.5">
      <c r="A25" s="12"/>
      <c r="B25" s="12"/>
      <c r="C25" s="364" t="s">
        <v>433</v>
      </c>
      <c r="D25" s="362">
        <f>+CAPM!F31</f>
        <v>0.11351699999999999</v>
      </c>
      <c r="G25" s="12"/>
      <c r="H25" s="12"/>
      <c r="I25" s="12"/>
    </row>
    <row r="26" spans="1:9" ht="17.5">
      <c r="A26" s="12"/>
      <c r="B26" s="12"/>
      <c r="C26" s="364" t="s">
        <v>434</v>
      </c>
      <c r="D26" s="362">
        <f>+CAPM!F32</f>
        <v>0.103922</v>
      </c>
      <c r="E26" s="352"/>
      <c r="F26" s="12"/>
      <c r="G26" s="12"/>
      <c r="H26" s="12"/>
      <c r="I26" s="12"/>
    </row>
    <row r="27" spans="1:9" ht="17.5">
      <c r="A27" s="12"/>
      <c r="B27" s="12"/>
      <c r="C27" s="364" t="s">
        <v>435</v>
      </c>
      <c r="D27" s="362">
        <f>+CAPM!F33</f>
        <v>9.665E-2</v>
      </c>
      <c r="E27" s="352"/>
      <c r="F27" s="12"/>
      <c r="G27" s="12"/>
      <c r="H27" s="12"/>
      <c r="I27" s="12"/>
    </row>
    <row r="28" spans="1:9" ht="17.5">
      <c r="A28" s="12"/>
      <c r="B28" s="12"/>
      <c r="C28" s="363" t="s">
        <v>410</v>
      </c>
      <c r="D28" s="362">
        <f>+CAPM!G42</f>
        <v>7.0418250000000002E-2</v>
      </c>
      <c r="E28" s="351"/>
      <c r="F28" s="12"/>
      <c r="G28" s="12"/>
      <c r="H28" s="12"/>
      <c r="I28" s="12"/>
    </row>
    <row r="29" spans="1:9" ht="17.5">
      <c r="A29" s="12"/>
      <c r="B29" s="12"/>
      <c r="C29" s="363" t="s">
        <v>411</v>
      </c>
      <c r="D29" s="362">
        <f>+CAPM!G43</f>
        <v>7.2131000000000001E-2</v>
      </c>
      <c r="E29" s="351"/>
      <c r="F29" s="12"/>
      <c r="G29" s="12"/>
      <c r="H29" s="12"/>
      <c r="I29" s="12"/>
    </row>
    <row r="30" spans="1:9" ht="17.5">
      <c r="A30" s="12"/>
      <c r="B30" s="12"/>
      <c r="C30" s="270" t="s">
        <v>436</v>
      </c>
      <c r="D30" s="362">
        <f>+CAPM!G45</f>
        <v>8.7444999999999995E-2</v>
      </c>
      <c r="E30" s="351"/>
      <c r="F30" s="12"/>
      <c r="G30" s="12"/>
      <c r="H30" s="12"/>
      <c r="I30" s="12"/>
    </row>
    <row r="31" spans="1:9" ht="17.5">
      <c r="A31" s="12"/>
      <c r="B31" s="12"/>
      <c r="C31" s="270" t="s">
        <v>445</v>
      </c>
      <c r="D31" s="362">
        <f>+CAPM!G46</f>
        <v>0.10225524999999999</v>
      </c>
      <c r="E31" s="351"/>
      <c r="F31" s="12"/>
      <c r="G31" s="12"/>
      <c r="H31" s="12"/>
      <c r="I31" s="12"/>
    </row>
    <row r="32" spans="1:9" ht="17.5">
      <c r="A32" s="12"/>
      <c r="B32" s="12"/>
      <c r="C32" s="270" t="s">
        <v>437</v>
      </c>
      <c r="D32" s="362">
        <f>+CAPM!G47</f>
        <v>8.5732249999999996E-2</v>
      </c>
      <c r="E32" s="351"/>
      <c r="F32" s="12"/>
      <c r="G32" s="12"/>
      <c r="H32" s="12"/>
      <c r="I32" s="12"/>
    </row>
    <row r="33" spans="1:9" ht="17.5">
      <c r="A33" s="12"/>
      <c r="B33" s="12"/>
      <c r="C33" s="270" t="s">
        <v>438</v>
      </c>
      <c r="D33" s="362">
        <f>+CAPM!G48</f>
        <v>8.4321750000000001E-2</v>
      </c>
      <c r="E33" s="351"/>
      <c r="F33" s="12"/>
      <c r="G33" s="12"/>
      <c r="H33" s="12"/>
      <c r="I33" s="12"/>
    </row>
    <row r="34" spans="1:9" ht="17.5">
      <c r="A34" s="12"/>
      <c r="B34" s="12"/>
      <c r="C34" s="363" t="s">
        <v>175</v>
      </c>
      <c r="D34" s="362">
        <f>+CAPM!G50</f>
        <v>9.0870499999999993E-2</v>
      </c>
      <c r="E34" s="351"/>
      <c r="F34" s="12"/>
      <c r="G34" s="12"/>
      <c r="H34" s="12"/>
      <c r="I34" s="12"/>
    </row>
    <row r="35" spans="1:9" ht="17.5">
      <c r="A35" s="12"/>
      <c r="B35" s="12"/>
      <c r="C35" s="363" t="s">
        <v>176</v>
      </c>
      <c r="D35" s="362">
        <f>+CAPM!G52</f>
        <v>9.852749999999999E-2</v>
      </c>
      <c r="E35" s="351"/>
      <c r="F35" s="12"/>
      <c r="G35" s="12"/>
      <c r="H35" s="12"/>
      <c r="I35" s="12"/>
    </row>
    <row r="36" spans="1:9" ht="17.5">
      <c r="A36" s="12"/>
      <c r="B36" s="12"/>
      <c r="C36" s="364" t="s">
        <v>177</v>
      </c>
      <c r="D36" s="362">
        <f>+CAPM!G54</f>
        <v>0.10608375</v>
      </c>
      <c r="E36" s="351"/>
      <c r="F36" s="12"/>
      <c r="G36" s="12"/>
      <c r="H36" s="12"/>
      <c r="I36" s="12"/>
    </row>
    <row r="37" spans="1:9" ht="17.5">
      <c r="A37" s="12"/>
      <c r="B37" s="12"/>
      <c r="C37" s="363" t="s">
        <v>178</v>
      </c>
      <c r="D37" s="362">
        <f>+CAPM!G55</f>
        <v>9.3389250000000007E-2</v>
      </c>
      <c r="E37" s="351"/>
      <c r="F37" s="12"/>
      <c r="G37" s="12"/>
      <c r="H37" s="12"/>
      <c r="I37" s="12"/>
    </row>
    <row r="38" spans="1:9" ht="16.5" customHeight="1">
      <c r="A38" s="12"/>
      <c r="B38" s="12"/>
      <c r="C38" s="364" t="s">
        <v>439</v>
      </c>
      <c r="D38" s="362">
        <f>+CAPM!G57</f>
        <v>0.11333774999999999</v>
      </c>
      <c r="E38" s="351" t="s">
        <v>0</v>
      </c>
      <c r="F38" s="12"/>
      <c r="G38" s="12"/>
      <c r="H38" s="12"/>
      <c r="I38" s="12"/>
    </row>
    <row r="39" spans="1:9" ht="16.5" customHeight="1">
      <c r="A39" s="12"/>
      <c r="B39" s="12"/>
      <c r="C39" s="364" t="s">
        <v>440</v>
      </c>
      <c r="D39" s="362">
        <f>+CAPM!G58</f>
        <v>0.1037665</v>
      </c>
      <c r="E39" s="351"/>
      <c r="F39" s="12"/>
      <c r="G39" s="12"/>
      <c r="H39" s="12"/>
      <c r="I39" s="12"/>
    </row>
    <row r="40" spans="1:9" ht="18.75" customHeight="1">
      <c r="A40" s="12"/>
      <c r="B40" s="12"/>
      <c r="C40" s="423" t="s">
        <v>441</v>
      </c>
      <c r="D40" s="424">
        <f>+CAPM!G59</f>
        <v>9.6512500000000001E-2</v>
      </c>
      <c r="E40" s="353"/>
      <c r="F40" s="12"/>
      <c r="G40" s="12"/>
      <c r="H40" s="12"/>
      <c r="I40" s="12"/>
    </row>
    <row r="41" spans="1:9" ht="21.75" customHeight="1">
      <c r="A41" s="12"/>
      <c r="B41" s="12"/>
      <c r="C41" s="365" t="s">
        <v>254</v>
      </c>
      <c r="D41" s="215">
        <f>+'Single Stage Div Growth Model'!I30</f>
        <v>9.2399999999999996E-2</v>
      </c>
      <c r="G41" s="12"/>
      <c r="H41" s="12"/>
      <c r="I41" s="12"/>
    </row>
    <row r="42" spans="1:9" ht="21.75" customHeight="1">
      <c r="A42" s="12"/>
      <c r="B42" s="12"/>
      <c r="C42" s="271" t="s">
        <v>253</v>
      </c>
      <c r="D42" s="215">
        <f>+'Single Stage Div Growth Model'!I32</f>
        <v>6.7799999999999999E-2</v>
      </c>
      <c r="G42" s="12"/>
      <c r="H42" s="12"/>
      <c r="I42" s="12"/>
    </row>
    <row r="43" spans="1:9" ht="21.75" customHeight="1">
      <c r="A43" s="12"/>
      <c r="B43" s="12"/>
      <c r="C43" s="354" t="s">
        <v>255</v>
      </c>
      <c r="D43" s="355">
        <f>+'Two-Stage Dividend Growth Model'!H34</f>
        <v>7.3200000000000001E-2</v>
      </c>
      <c r="G43" s="83" t="s">
        <v>0</v>
      </c>
      <c r="H43" s="12"/>
      <c r="I43" s="12"/>
    </row>
    <row r="44" spans="1:9" ht="21.75" customHeight="1">
      <c r="A44" s="12"/>
      <c r="B44" s="12"/>
      <c r="C44" s="340" t="s">
        <v>371</v>
      </c>
      <c r="D44" s="341">
        <f>+'Direct NOPAT'!G59</f>
        <v>9.3399999999999997E-2</v>
      </c>
      <c r="E44" s="190" t="s">
        <v>0</v>
      </c>
      <c r="F44" s="12"/>
      <c r="G44" s="12"/>
      <c r="H44" s="12"/>
      <c r="I44" s="12"/>
    </row>
    <row r="45" spans="1:9" ht="17.5" thickBot="1">
      <c r="A45" s="12"/>
      <c r="B45" s="12"/>
      <c r="C45" s="12"/>
      <c r="D45" s="72"/>
      <c r="E45" s="12"/>
      <c r="F45" s="12"/>
      <c r="G45" s="12"/>
      <c r="H45" s="12"/>
      <c r="I45" s="12"/>
    </row>
    <row r="46" spans="1:9" ht="17.5" thickTop="1">
      <c r="A46" s="12"/>
      <c r="B46" s="12"/>
      <c r="C46" s="14" t="s">
        <v>53</v>
      </c>
      <c r="D46" s="53">
        <f>MAX(D15:D43)</f>
        <v>0.11351699999999999</v>
      </c>
      <c r="E46" s="148"/>
      <c r="F46" s="12"/>
      <c r="G46" s="12"/>
      <c r="H46" s="12"/>
      <c r="I46" s="12"/>
    </row>
    <row r="47" spans="1:9" ht="17">
      <c r="A47" s="12"/>
      <c r="B47" s="12"/>
      <c r="C47" s="14" t="s">
        <v>54</v>
      </c>
      <c r="D47" s="347">
        <f>MIN(D15:D43)</f>
        <v>6.7799999999999999E-2</v>
      </c>
      <c r="E47" s="12"/>
      <c r="F47" s="12"/>
      <c r="G47" s="53"/>
      <c r="H47" s="53"/>
      <c r="I47" s="53"/>
    </row>
    <row r="48" spans="1:9" ht="17">
      <c r="A48" s="12"/>
      <c r="B48" s="12"/>
      <c r="C48" s="14" t="s">
        <v>18</v>
      </c>
      <c r="D48" s="83">
        <f>MEDIAN(D15:D43)</f>
        <v>9.2399999999999996E-2</v>
      </c>
      <c r="E48" s="83"/>
      <c r="F48" s="83"/>
      <c r="G48" s="83"/>
      <c r="H48" s="83"/>
      <c r="I48" s="83"/>
    </row>
    <row r="49" spans="1:9" ht="17">
      <c r="A49" s="12"/>
      <c r="B49" s="12"/>
      <c r="C49" s="14" t="s">
        <v>412</v>
      </c>
      <c r="D49" s="84">
        <f>AVERAGE(D15:D43)</f>
        <v>9.119469827586206E-2</v>
      </c>
      <c r="E49" s="84"/>
      <c r="F49" s="84"/>
      <c r="G49" s="84"/>
      <c r="H49" s="84"/>
      <c r="I49" s="84"/>
    </row>
    <row r="50" spans="1:9" ht="17">
      <c r="A50" s="12"/>
      <c r="B50" s="12"/>
      <c r="C50" s="14" t="s">
        <v>413</v>
      </c>
      <c r="D50" s="84">
        <f>HARMEAN(D15:D43)</f>
        <v>8.9266809372414893E-2</v>
      </c>
      <c r="E50" s="84"/>
      <c r="F50" s="84"/>
      <c r="G50" s="84"/>
      <c r="H50" s="84"/>
      <c r="I50" s="84"/>
    </row>
    <row r="51" spans="1:9" ht="17.5" thickBot="1">
      <c r="A51" s="12"/>
      <c r="B51" s="12"/>
      <c r="C51" s="12"/>
      <c r="D51" s="12" t="s">
        <v>208</v>
      </c>
      <c r="E51" s="12"/>
      <c r="F51" s="12"/>
      <c r="G51" s="12"/>
      <c r="H51" s="12"/>
      <c r="I51" s="12"/>
    </row>
    <row r="52" spans="1:9" ht="26" thickBot="1">
      <c r="A52" s="12"/>
      <c r="B52" s="12"/>
      <c r="C52" s="205" t="s">
        <v>261</v>
      </c>
      <c r="D52" s="386">
        <v>9.1200000000000003E-2</v>
      </c>
      <c r="E52" s="85"/>
      <c r="F52" s="85"/>
    </row>
    <row r="53" spans="1:9" ht="17">
      <c r="A53" s="12"/>
      <c r="B53" s="12"/>
      <c r="C53" s="12"/>
      <c r="D53" s="12"/>
      <c r="E53" s="12"/>
      <c r="F53" s="12"/>
    </row>
    <row r="54" spans="1:9" ht="17.5">
      <c r="A54" s="110" t="s">
        <v>0</v>
      </c>
      <c r="B54" s="12"/>
      <c r="C54" s="12"/>
      <c r="D54" s="12"/>
      <c r="E54" s="12"/>
      <c r="F54" s="12"/>
      <c r="G54" s="12"/>
      <c r="H54" s="12"/>
      <c r="I54" s="12"/>
    </row>
    <row r="55" spans="1:9" ht="17.5">
      <c r="A55" s="110" t="s">
        <v>0</v>
      </c>
      <c r="B55" s="12"/>
      <c r="C55" s="12"/>
      <c r="D55" s="12"/>
      <c r="E55" s="12"/>
      <c r="F55" s="12"/>
      <c r="G55" s="12"/>
      <c r="H55" s="12"/>
      <c r="I55" s="12"/>
    </row>
    <row r="56" spans="1:9" ht="17">
      <c r="A56" s="12"/>
      <c r="B56" s="12"/>
      <c r="C56" s="12"/>
      <c r="D56" s="12"/>
      <c r="E56" s="12"/>
      <c r="F56" s="12"/>
      <c r="G56" s="12"/>
      <c r="H56" s="12"/>
      <c r="I56" s="12"/>
    </row>
    <row r="57" spans="1:9" ht="17">
      <c r="A57" s="12"/>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t="s">
        <v>0</v>
      </c>
      <c r="E60" s="12"/>
      <c r="F60" s="12"/>
      <c r="G60" s="12"/>
      <c r="H60" s="12"/>
      <c r="I60" s="12"/>
    </row>
    <row r="61" spans="1:9" ht="17">
      <c r="A61" s="12"/>
      <c r="B61" s="12"/>
      <c r="C61" s="12"/>
      <c r="D61" s="12" t="s">
        <v>0</v>
      </c>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sheetData>
  <pageMargins left="0.25" right="0.25" top="0.75" bottom="0.75" header="0.3" footer="0.3"/>
  <pageSetup scale="4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FFEC-1F00-437E-BAA4-D2A0B875528B}">
  <sheetPr>
    <tabColor rgb="FF92D050"/>
    <pageSetUpPr fitToPage="1"/>
  </sheetPr>
  <dimension ref="A1:J84"/>
  <sheetViews>
    <sheetView view="pageBreakPreview" topLeftCell="A13" zoomScale="60" zoomScaleNormal="80" workbookViewId="0">
      <selection activeCell="G71" sqref="G71"/>
    </sheetView>
  </sheetViews>
  <sheetFormatPr defaultRowHeight="14.5"/>
  <cols>
    <col min="1" max="1" width="74.54296875" customWidth="1"/>
    <col min="2" max="2" width="21.7265625" customWidth="1"/>
    <col min="3" max="3" width="24.54296875" customWidth="1"/>
    <col min="4" max="4" width="29.453125" customWidth="1"/>
    <col min="5" max="5" width="30.54296875" customWidth="1"/>
    <col min="6" max="6" width="32.1796875" customWidth="1"/>
    <col min="7" max="7" width="27" customWidth="1"/>
    <col min="8" max="8" width="13.7265625" customWidth="1"/>
    <col min="9" max="9" width="13.81640625" customWidth="1"/>
    <col min="10" max="11" width="14.1796875" bestFit="1" customWidth="1"/>
  </cols>
  <sheetData>
    <row r="1" spans="1:10" ht="25.5">
      <c r="A1" s="24" t="s">
        <v>1</v>
      </c>
      <c r="B1" s="24"/>
      <c r="C1" s="24"/>
      <c r="D1" s="12"/>
      <c r="E1" s="12"/>
      <c r="F1" s="12"/>
      <c r="G1" s="12"/>
      <c r="H1" s="12"/>
      <c r="I1" s="12"/>
      <c r="J1" s="12"/>
    </row>
    <row r="2" spans="1:10" ht="17.5">
      <c r="A2" s="25" t="s">
        <v>9</v>
      </c>
      <c r="B2" s="25"/>
      <c r="C2" s="25"/>
      <c r="D2" s="12"/>
      <c r="E2" s="12"/>
      <c r="F2" s="12"/>
      <c r="G2" s="12"/>
      <c r="H2" s="12"/>
      <c r="I2" s="12"/>
      <c r="J2" s="12"/>
    </row>
    <row r="3" spans="1:10" ht="17">
      <c r="A3" s="26" t="s">
        <v>457</v>
      </c>
      <c r="B3" s="26"/>
      <c r="C3" s="26"/>
      <c r="D3" s="12"/>
      <c r="E3" s="12"/>
      <c r="F3" s="12"/>
      <c r="G3" s="12"/>
      <c r="H3" s="12"/>
      <c r="I3" s="12"/>
      <c r="J3" s="12"/>
    </row>
    <row r="4" spans="1:10" ht="17">
      <c r="A4" s="26"/>
      <c r="B4" s="26"/>
      <c r="C4" s="26"/>
      <c r="D4" s="12"/>
      <c r="E4" s="12"/>
      <c r="F4" s="12"/>
      <c r="G4" s="12"/>
      <c r="H4" s="12"/>
      <c r="I4" s="12"/>
      <c r="J4" s="12"/>
    </row>
    <row r="5" spans="1:10" ht="17.5" thickBot="1">
      <c r="A5" s="12"/>
      <c r="B5" s="12"/>
      <c r="C5" s="12"/>
      <c r="D5" s="12"/>
      <c r="E5" s="12"/>
      <c r="F5" s="12"/>
      <c r="G5" s="12"/>
      <c r="H5" s="27" t="s">
        <v>0</v>
      </c>
      <c r="I5" s="27"/>
      <c r="J5" s="12"/>
    </row>
    <row r="6" spans="1:10" ht="21.5" thickBot="1">
      <c r="A6" s="28" t="str">
        <f>+'S&amp;D'!A12</f>
        <v>Electric Wholesale (non-regulated) Power Generator</v>
      </c>
      <c r="B6" s="12"/>
      <c r="C6" s="12"/>
      <c r="D6" s="29"/>
      <c r="E6" s="29"/>
      <c r="F6" s="29"/>
      <c r="G6" s="12"/>
      <c r="H6" s="12"/>
      <c r="I6" s="12"/>
      <c r="J6" s="12"/>
    </row>
    <row r="7" spans="1:10" ht="25.5">
      <c r="B7" s="31"/>
      <c r="C7" s="31"/>
      <c r="D7" s="12"/>
      <c r="E7" s="32" t="s">
        <v>225</v>
      </c>
      <c r="F7" s="12"/>
      <c r="G7" s="12"/>
      <c r="H7" s="12"/>
      <c r="I7" s="12"/>
      <c r="J7" s="12"/>
    </row>
    <row r="8" spans="1:10" ht="21.5" thickBot="1">
      <c r="A8" s="31"/>
      <c r="B8" s="31"/>
      <c r="C8" s="31"/>
      <c r="D8" s="29"/>
      <c r="E8" s="33" t="s">
        <v>458</v>
      </c>
      <c r="F8" s="29"/>
      <c r="G8" s="12"/>
      <c r="H8" s="12"/>
      <c r="I8" s="12"/>
      <c r="J8" s="12"/>
    </row>
    <row r="9" spans="1:10" ht="21">
      <c r="A9" s="31"/>
      <c r="B9" s="31"/>
      <c r="C9" s="31"/>
      <c r="D9" s="12"/>
      <c r="E9" s="35"/>
      <c r="F9" s="12"/>
      <c r="G9" s="12"/>
      <c r="H9" s="12"/>
      <c r="I9" s="12"/>
      <c r="J9" s="12"/>
    </row>
    <row r="10" spans="1:10" ht="21">
      <c r="A10" s="31"/>
      <c r="B10" s="31"/>
      <c r="H10" s="12"/>
      <c r="I10" s="12"/>
      <c r="J10" s="12"/>
    </row>
    <row r="11" spans="1:10" ht="21">
      <c r="A11" s="31"/>
      <c r="B11" s="31"/>
      <c r="H11" s="12"/>
      <c r="I11" s="12"/>
      <c r="J11" s="12"/>
    </row>
    <row r="12" spans="1:10" ht="30" customHeight="1" thickBot="1">
      <c r="A12" s="31"/>
      <c r="B12" s="31"/>
      <c r="C12" t="s">
        <v>0</v>
      </c>
      <c r="H12" s="12"/>
      <c r="I12" s="12"/>
      <c r="J12" s="12"/>
    </row>
    <row r="13" spans="1:10" ht="26.25" customHeight="1" thickBot="1">
      <c r="A13" s="161" t="s">
        <v>241</v>
      </c>
      <c r="B13" s="12" t="s">
        <v>0</v>
      </c>
      <c r="C13" s="12"/>
      <c r="D13" s="12"/>
      <c r="E13" s="12"/>
      <c r="F13" s="12"/>
      <c r="G13" s="12"/>
      <c r="H13" s="12"/>
      <c r="I13" s="12"/>
      <c r="J13" s="12"/>
    </row>
    <row r="14" spans="1:10" ht="42" customHeight="1" thickBot="1">
      <c r="A14" s="160" t="s">
        <v>239</v>
      </c>
      <c r="B14" s="159" t="s">
        <v>230</v>
      </c>
      <c r="C14" s="158" t="s">
        <v>242</v>
      </c>
      <c r="D14" s="159" t="s">
        <v>232</v>
      </c>
      <c r="E14" s="159" t="s">
        <v>403</v>
      </c>
      <c r="F14" s="157" t="s">
        <v>231</v>
      </c>
      <c r="G14" s="12"/>
      <c r="H14" s="12"/>
      <c r="I14" s="12"/>
      <c r="J14" s="12"/>
    </row>
    <row r="15" spans="1:10" ht="17">
      <c r="A15" s="154"/>
      <c r="B15" s="115"/>
      <c r="C15" s="115"/>
      <c r="D15" s="115"/>
      <c r="E15" s="115"/>
      <c r="F15" s="155"/>
      <c r="G15" s="12"/>
      <c r="H15" s="12"/>
      <c r="I15" s="12"/>
      <c r="J15" s="12"/>
    </row>
    <row r="16" spans="1:10" ht="17.5">
      <c r="A16" s="198" t="s">
        <v>406</v>
      </c>
      <c r="B16" s="211">
        <v>2.9100000000000001E-2</v>
      </c>
      <c r="C16" s="208">
        <f>+'Beta for CAPM'!I30</f>
        <v>1.01</v>
      </c>
      <c r="D16" s="199">
        <f>+B16*C16</f>
        <v>2.9391E-2</v>
      </c>
      <c r="E16" s="199">
        <f>+'Growth &amp; Inflation Rates'!F93</f>
        <v>4.1099999999999998E-2</v>
      </c>
      <c r="F16" s="200">
        <f>+D16+E16</f>
        <v>7.0490999999999998E-2</v>
      </c>
      <c r="G16" s="12"/>
      <c r="H16" s="12"/>
      <c r="I16" s="12"/>
      <c r="J16" s="12"/>
    </row>
    <row r="17" spans="1:10" ht="17.5">
      <c r="A17" s="198" t="s">
        <v>407</v>
      </c>
      <c r="B17" s="211">
        <v>3.0800000000000001E-2</v>
      </c>
      <c r="C17" s="208">
        <f>+C16</f>
        <v>1.01</v>
      </c>
      <c r="D17" s="199">
        <f>+B17*C17</f>
        <v>3.1108E-2</v>
      </c>
      <c r="E17" s="199">
        <f>+E16</f>
        <v>4.1099999999999998E-2</v>
      </c>
      <c r="F17" s="200">
        <f>+D17+E17</f>
        <v>7.2207999999999994E-2</v>
      </c>
      <c r="G17" s="12"/>
      <c r="H17" s="12"/>
      <c r="I17" s="12"/>
      <c r="J17" s="12"/>
    </row>
    <row r="18" spans="1:10" ht="17.5">
      <c r="A18" s="201"/>
      <c r="B18" s="110"/>
      <c r="C18" s="110"/>
      <c r="D18" s="110"/>
      <c r="E18" s="110"/>
      <c r="F18" s="202"/>
      <c r="G18" s="12"/>
      <c r="H18" s="12"/>
      <c r="I18" s="12"/>
      <c r="J18" s="12"/>
    </row>
    <row r="19" spans="1:10" ht="17.5">
      <c r="A19" s="198" t="s">
        <v>424</v>
      </c>
      <c r="B19" s="211">
        <v>4.5999999999999999E-2</v>
      </c>
      <c r="C19" s="208">
        <f>+C16</f>
        <v>1.01</v>
      </c>
      <c r="D19" s="199">
        <f>+B19*C19</f>
        <v>4.6460000000000001E-2</v>
      </c>
      <c r="E19" s="199">
        <f>+E16</f>
        <v>4.1099999999999998E-2</v>
      </c>
      <c r="F19" s="200">
        <f>+D19+E19</f>
        <v>8.7559999999999999E-2</v>
      </c>
      <c r="G19" s="12"/>
      <c r="H19" s="12"/>
      <c r="I19" s="12"/>
      <c r="J19" s="12"/>
    </row>
    <row r="20" spans="1:10" ht="17.5">
      <c r="A20" s="198" t="s">
        <v>443</v>
      </c>
      <c r="B20" s="211">
        <v>6.0699999999999997E-2</v>
      </c>
      <c r="C20" s="208">
        <f>+C16</f>
        <v>1.01</v>
      </c>
      <c r="D20" s="199">
        <f>+B20*C20</f>
        <v>6.1307E-2</v>
      </c>
      <c r="E20" s="199">
        <f>+E17</f>
        <v>4.1099999999999998E-2</v>
      </c>
      <c r="F20" s="200">
        <f>+D20+E20</f>
        <v>0.102407</v>
      </c>
      <c r="G20" s="12"/>
      <c r="H20" s="12"/>
      <c r="I20" s="12"/>
      <c r="J20" s="12"/>
    </row>
    <row r="21" spans="1:10" ht="17.5">
      <c r="A21" s="198" t="s">
        <v>425</v>
      </c>
      <c r="B21" s="211">
        <v>4.4299999999999999E-2</v>
      </c>
      <c r="C21" s="208">
        <f>+C16</f>
        <v>1.01</v>
      </c>
      <c r="D21" s="199">
        <f>+B21*C21</f>
        <v>4.4742999999999998E-2</v>
      </c>
      <c r="E21" s="199">
        <f>+E16</f>
        <v>4.1099999999999998E-2</v>
      </c>
      <c r="F21" s="200">
        <f>+D21+E21</f>
        <v>8.5843000000000003E-2</v>
      </c>
      <c r="G21" s="12"/>
      <c r="H21" s="12"/>
      <c r="I21" s="12"/>
      <c r="J21" s="12"/>
    </row>
    <row r="22" spans="1:10" ht="17.5">
      <c r="A22" s="198" t="s">
        <v>426</v>
      </c>
      <c r="B22" s="211">
        <v>4.2900000000000001E-2</v>
      </c>
      <c r="C22" s="208">
        <f>+C16</f>
        <v>1.01</v>
      </c>
      <c r="D22" s="199">
        <f>+B22*C22</f>
        <v>4.3328999999999999E-2</v>
      </c>
      <c r="E22" s="199">
        <f>+E16</f>
        <v>4.1099999999999998E-2</v>
      </c>
      <c r="F22" s="200">
        <f>+D22+E22</f>
        <v>8.4429000000000004E-2</v>
      </c>
      <c r="G22" s="12"/>
      <c r="H22" s="12"/>
      <c r="I22" s="12"/>
      <c r="J22" s="12"/>
    </row>
    <row r="23" spans="1:10" ht="17.5">
      <c r="A23" s="198" t="s">
        <v>0</v>
      </c>
      <c r="B23" s="211" t="s">
        <v>0</v>
      </c>
      <c r="C23" s="209" t="s">
        <v>0</v>
      </c>
      <c r="D23" s="199" t="s">
        <v>0</v>
      </c>
      <c r="E23" s="199" t="s">
        <v>0</v>
      </c>
      <c r="F23" s="200" t="s">
        <v>0</v>
      </c>
      <c r="G23" s="12"/>
      <c r="H23" s="12"/>
      <c r="I23" s="12"/>
      <c r="J23" s="12"/>
    </row>
    <row r="24" spans="1:10" ht="17.5">
      <c r="A24" s="198" t="s">
        <v>235</v>
      </c>
      <c r="B24" s="211">
        <v>4.9399999999999999E-2</v>
      </c>
      <c r="C24" s="208">
        <f>+C16</f>
        <v>1.01</v>
      </c>
      <c r="D24" s="199">
        <f>+B24*C24</f>
        <v>4.9894000000000001E-2</v>
      </c>
      <c r="E24" s="199">
        <f>+E16</f>
        <v>4.1099999999999998E-2</v>
      </c>
      <c r="F24" s="200">
        <f>+D24+E24</f>
        <v>9.0993999999999992E-2</v>
      </c>
      <c r="G24" s="12"/>
      <c r="H24" s="12"/>
      <c r="I24" s="12"/>
      <c r="J24" s="12"/>
    </row>
    <row r="25" spans="1:10" ht="17.5">
      <c r="A25" s="198" t="s">
        <v>0</v>
      </c>
      <c r="B25" s="211" t="s">
        <v>0</v>
      </c>
      <c r="C25" s="209" t="s">
        <v>0</v>
      </c>
      <c r="D25" s="199" t="s">
        <v>0</v>
      </c>
      <c r="E25" s="199" t="s">
        <v>0</v>
      </c>
      <c r="F25" s="200" t="s">
        <v>0</v>
      </c>
      <c r="G25" s="12"/>
      <c r="H25" s="12"/>
      <c r="I25" s="12"/>
      <c r="J25" s="12"/>
    </row>
    <row r="26" spans="1:10" ht="17.5">
      <c r="A26" s="198" t="s">
        <v>442</v>
      </c>
      <c r="B26" s="211">
        <v>5.7000000000000002E-2</v>
      </c>
      <c r="C26" s="208">
        <f>+C16</f>
        <v>1.01</v>
      </c>
      <c r="D26" s="199">
        <f>+B26*C26</f>
        <v>5.7570000000000003E-2</v>
      </c>
      <c r="E26" s="199">
        <f>+E16</f>
        <v>4.1099999999999998E-2</v>
      </c>
      <c r="F26" s="200">
        <f>+D26+E26</f>
        <v>9.8670000000000008E-2</v>
      </c>
      <c r="G26" s="12"/>
      <c r="H26" s="12"/>
      <c r="I26" s="12"/>
      <c r="J26" s="12"/>
    </row>
    <row r="27" spans="1:10" ht="17.5">
      <c r="A27" s="198" t="s">
        <v>0</v>
      </c>
      <c r="B27" s="211" t="s">
        <v>0</v>
      </c>
      <c r="C27" s="209" t="s">
        <v>0</v>
      </c>
      <c r="D27" s="199" t="s">
        <v>0</v>
      </c>
      <c r="E27" s="199" t="s">
        <v>0</v>
      </c>
      <c r="F27" s="200" t="s">
        <v>0</v>
      </c>
      <c r="G27" s="12"/>
      <c r="H27" s="12"/>
      <c r="I27" s="12"/>
      <c r="J27" s="12"/>
    </row>
    <row r="28" spans="1:10" ht="17.5">
      <c r="A28" s="198" t="s">
        <v>236</v>
      </c>
      <c r="B28" s="211">
        <v>6.4500000000000002E-2</v>
      </c>
      <c r="C28" s="208">
        <f>+C16</f>
        <v>1.01</v>
      </c>
      <c r="D28" s="199">
        <f>+B28*C28</f>
        <v>6.5145000000000008E-2</v>
      </c>
      <c r="E28" s="199">
        <f>+E16</f>
        <v>4.1099999999999998E-2</v>
      </c>
      <c r="F28" s="200">
        <f>+D28+E28</f>
        <v>0.10624500000000001</v>
      </c>
      <c r="G28" s="12"/>
      <c r="H28" s="12"/>
      <c r="I28" s="12"/>
      <c r="J28" s="12"/>
    </row>
    <row r="29" spans="1:10" ht="17.5">
      <c r="A29" s="198" t="s">
        <v>237</v>
      </c>
      <c r="B29" s="211">
        <v>5.1900000000000002E-2</v>
      </c>
      <c r="C29" s="208">
        <f>+C16</f>
        <v>1.01</v>
      </c>
      <c r="D29" s="199">
        <f>+B29*C29</f>
        <v>5.2419E-2</v>
      </c>
      <c r="E29" s="199">
        <f>+E16</f>
        <v>4.1099999999999998E-2</v>
      </c>
      <c r="F29" s="200">
        <f>+D29+E29</f>
        <v>9.3518999999999991E-2</v>
      </c>
      <c r="G29" s="12"/>
      <c r="H29" s="12"/>
      <c r="I29" s="12"/>
      <c r="J29" s="12"/>
    </row>
    <row r="30" spans="1:10" ht="17.5">
      <c r="A30" s="198"/>
      <c r="B30" s="211"/>
      <c r="C30" s="208"/>
      <c r="D30" s="199"/>
      <c r="E30" s="199"/>
      <c r="F30" s="200"/>
      <c r="G30" s="12"/>
      <c r="H30" s="12"/>
      <c r="I30" s="12"/>
      <c r="J30" s="12"/>
    </row>
    <row r="31" spans="1:10" ht="17.5">
      <c r="A31" s="198" t="s">
        <v>427</v>
      </c>
      <c r="B31" s="211">
        <v>7.17E-2</v>
      </c>
      <c r="C31" s="208">
        <f>+C16</f>
        <v>1.01</v>
      </c>
      <c r="D31" s="199">
        <f>+B31*C31</f>
        <v>7.2416999999999995E-2</v>
      </c>
      <c r="E31" s="199">
        <f>+E16</f>
        <v>4.1099999999999998E-2</v>
      </c>
      <c r="F31" s="200">
        <f>+D31+E31</f>
        <v>0.11351699999999999</v>
      </c>
      <c r="G31" s="12"/>
      <c r="H31" s="12"/>
      <c r="I31" s="12"/>
      <c r="J31" s="12"/>
    </row>
    <row r="32" spans="1:10" ht="17.5">
      <c r="A32" s="198" t="s">
        <v>428</v>
      </c>
      <c r="B32" s="211">
        <v>6.2199999999999998E-2</v>
      </c>
      <c r="C32" s="208">
        <f>+C17</f>
        <v>1.01</v>
      </c>
      <c r="D32" s="199">
        <f>+B32*C32</f>
        <v>6.2822000000000003E-2</v>
      </c>
      <c r="E32" s="199">
        <f>+E17</f>
        <v>4.1099999999999998E-2</v>
      </c>
      <c r="F32" s="200">
        <f>+D32+E32</f>
        <v>0.103922</v>
      </c>
      <c r="G32" s="12"/>
      <c r="H32" s="12"/>
      <c r="I32" s="12"/>
      <c r="J32" s="12"/>
    </row>
    <row r="33" spans="1:10" ht="17.5">
      <c r="A33" s="198" t="s">
        <v>429</v>
      </c>
      <c r="B33" s="211">
        <v>5.5E-2</v>
      </c>
      <c r="C33" s="208">
        <f>+C16</f>
        <v>1.01</v>
      </c>
      <c r="D33" s="199">
        <f>+B33*C33</f>
        <v>5.5550000000000002E-2</v>
      </c>
      <c r="E33" s="199">
        <f>+E16</f>
        <v>4.1099999999999998E-2</v>
      </c>
      <c r="F33" s="200">
        <f>+D33+E33</f>
        <v>9.665E-2</v>
      </c>
      <c r="G33" s="12"/>
      <c r="H33" s="12"/>
      <c r="I33" s="12"/>
      <c r="J33" s="12"/>
    </row>
    <row r="34" spans="1:10" ht="17.5">
      <c r="A34" s="198"/>
      <c r="B34" s="211"/>
      <c r="C34" s="208"/>
      <c r="D34" s="199"/>
      <c r="E34" s="199"/>
      <c r="F34" s="200"/>
      <c r="G34" s="12"/>
      <c r="H34" s="12"/>
      <c r="I34" s="12"/>
      <c r="J34" s="12"/>
    </row>
    <row r="35" spans="1:10" ht="17.5">
      <c r="A35" s="408" t="s">
        <v>417</v>
      </c>
      <c r="B35" s="409">
        <v>0</v>
      </c>
      <c r="C35" s="208">
        <f>+C16</f>
        <v>1.01</v>
      </c>
      <c r="D35" s="199">
        <f>+B35*C35</f>
        <v>0</v>
      </c>
      <c r="E35" s="199">
        <v>0</v>
      </c>
      <c r="F35" s="200">
        <f>+D35+E35</f>
        <v>0</v>
      </c>
      <c r="G35" s="12"/>
      <c r="H35" s="12"/>
      <c r="I35" s="12"/>
      <c r="J35" s="12"/>
    </row>
    <row r="36" spans="1:10" ht="17.5" thickBot="1">
      <c r="A36" s="358"/>
      <c r="B36" s="29"/>
      <c r="C36" s="29"/>
      <c r="D36" s="29"/>
      <c r="E36" s="29"/>
      <c r="F36" s="359"/>
      <c r="G36" s="12"/>
      <c r="H36" s="12"/>
      <c r="I36" s="12"/>
      <c r="J36" s="12"/>
    </row>
    <row r="37" spans="1:10" ht="17">
      <c r="A37" s="12"/>
      <c r="B37" s="12"/>
      <c r="C37" s="12"/>
      <c r="D37" s="12"/>
      <c r="E37" s="12"/>
      <c r="F37" s="12"/>
      <c r="G37" s="12"/>
      <c r="H37" s="12"/>
      <c r="I37" s="12"/>
      <c r="J37" s="12"/>
    </row>
    <row r="38" spans="1:10" ht="27" customHeight="1" thickBot="1">
      <c r="A38" s="12"/>
      <c r="B38" s="12"/>
      <c r="C38" s="12"/>
      <c r="D38" s="12"/>
      <c r="E38" s="12"/>
      <c r="F38" s="12"/>
      <c r="G38" s="12" t="s">
        <v>0</v>
      </c>
      <c r="H38" s="12"/>
      <c r="I38" s="12"/>
      <c r="J38" s="12"/>
    </row>
    <row r="39" spans="1:10" ht="18" thickBot="1">
      <c r="A39" s="161" t="s">
        <v>240</v>
      </c>
      <c r="B39" s="12"/>
      <c r="C39" s="12"/>
      <c r="D39" s="12"/>
      <c r="E39" s="12"/>
      <c r="F39" s="12"/>
      <c r="G39" s="12"/>
      <c r="H39" s="12"/>
      <c r="I39" s="12"/>
      <c r="J39" s="12"/>
    </row>
    <row r="40" spans="1:10" ht="42.5" thickBot="1">
      <c r="A40" s="160" t="s">
        <v>238</v>
      </c>
      <c r="B40" s="159" t="s">
        <v>230</v>
      </c>
      <c r="C40" s="158" t="s">
        <v>242</v>
      </c>
      <c r="D40" s="159" t="s">
        <v>233</v>
      </c>
      <c r="E40" s="159" t="s">
        <v>234</v>
      </c>
      <c r="F40" s="159" t="s">
        <v>403</v>
      </c>
      <c r="G40" s="157" t="s">
        <v>231</v>
      </c>
      <c r="H40" s="12"/>
      <c r="I40" s="12"/>
      <c r="J40" s="12"/>
    </row>
    <row r="41" spans="1:10" ht="17">
      <c r="A41" s="154"/>
      <c r="B41" s="115"/>
      <c r="C41" s="115"/>
      <c r="D41" s="115"/>
      <c r="E41" s="115"/>
      <c r="F41" s="115"/>
      <c r="G41" s="155"/>
      <c r="H41" s="12"/>
      <c r="I41" s="12"/>
      <c r="J41" s="12"/>
    </row>
    <row r="42" spans="1:10" ht="17.5">
      <c r="A42" s="198" t="s">
        <v>406</v>
      </c>
      <c r="B42" s="211">
        <f>+B16</f>
        <v>2.9100000000000001E-2</v>
      </c>
      <c r="C42" s="207">
        <f>+C16</f>
        <v>1.01</v>
      </c>
      <c r="D42" s="199">
        <f>+B42*C42*0.75</f>
        <v>2.204325E-2</v>
      </c>
      <c r="E42" s="211">
        <f>+B42*0.25</f>
        <v>7.2750000000000002E-3</v>
      </c>
      <c r="F42" s="199">
        <f>+E16</f>
        <v>4.1099999999999998E-2</v>
      </c>
      <c r="G42" s="200">
        <f>+D42+E42+F42</f>
        <v>7.0418250000000002E-2</v>
      </c>
      <c r="H42" s="12"/>
      <c r="I42" s="12"/>
      <c r="J42" s="12"/>
    </row>
    <row r="43" spans="1:10" ht="17.5">
      <c r="A43" s="198" t="s">
        <v>407</v>
      </c>
      <c r="B43" s="211">
        <f>+B17</f>
        <v>3.0800000000000001E-2</v>
      </c>
      <c r="C43" s="207">
        <f>+C17</f>
        <v>1.01</v>
      </c>
      <c r="D43" s="199">
        <f>+B43*C43*0.75</f>
        <v>2.3331000000000001E-2</v>
      </c>
      <c r="E43" s="211">
        <f>+B43*0.25</f>
        <v>7.7000000000000002E-3</v>
      </c>
      <c r="F43" s="199">
        <f>+E17</f>
        <v>4.1099999999999998E-2</v>
      </c>
      <c r="G43" s="200">
        <f>+D43+E43+F43</f>
        <v>7.2131000000000001E-2</v>
      </c>
      <c r="H43" s="12"/>
      <c r="I43" s="12"/>
      <c r="J43" s="12"/>
    </row>
    <row r="44" spans="1:10" ht="17.5">
      <c r="A44" s="201"/>
      <c r="B44" s="110"/>
      <c r="C44" s="110"/>
      <c r="D44" s="110"/>
      <c r="E44" s="110"/>
      <c r="F44" s="110"/>
      <c r="G44" s="202"/>
      <c r="H44" s="12"/>
      <c r="I44" s="12"/>
      <c r="J44" s="12"/>
    </row>
    <row r="45" spans="1:10" ht="17.5">
      <c r="A45" s="198" t="str">
        <f>+A19</f>
        <v>Damodaran Implied ERP Ex Ante   Trailing 12 mo Cash Yield (3)</v>
      </c>
      <c r="B45" s="211">
        <f>+B19</f>
        <v>4.5999999999999999E-2</v>
      </c>
      <c r="C45" s="207">
        <f>+C19</f>
        <v>1.01</v>
      </c>
      <c r="D45" s="199">
        <f>+B45*C45*0.75</f>
        <v>3.4845000000000001E-2</v>
      </c>
      <c r="E45" s="211">
        <f>+B45*0.25</f>
        <v>1.15E-2</v>
      </c>
      <c r="F45" s="199">
        <f>+E19</f>
        <v>4.1099999999999998E-2</v>
      </c>
      <c r="G45" s="200">
        <f>+D45+E45+F45</f>
        <v>8.7444999999999995E-2</v>
      </c>
      <c r="H45" s="12"/>
      <c r="I45" s="12"/>
      <c r="J45" s="12"/>
    </row>
    <row r="46" spans="1:10" ht="17.5">
      <c r="A46" s="198" t="s">
        <v>443</v>
      </c>
      <c r="B46" s="211">
        <f>+B20</f>
        <v>6.0699999999999997E-2</v>
      </c>
      <c r="C46" s="207">
        <f>+C20</f>
        <v>1.01</v>
      </c>
      <c r="D46" s="199">
        <f>+B46*C46*0.75</f>
        <v>4.598025E-2</v>
      </c>
      <c r="E46" s="211">
        <f>+B46*0.25</f>
        <v>1.5174999999999999E-2</v>
      </c>
      <c r="F46" s="199">
        <f>+E20</f>
        <v>4.1099999999999998E-2</v>
      </c>
      <c r="G46" s="200">
        <f>+D46+E46+F46</f>
        <v>0.10225524999999999</v>
      </c>
      <c r="H46" s="12"/>
      <c r="I46" s="12"/>
      <c r="J46" s="12"/>
    </row>
    <row r="47" spans="1:10" ht="17.5">
      <c r="A47" s="198" t="str">
        <f t="shared" ref="A47:C48" si="0">+A21</f>
        <v>Damodaran Implied ERP Ex Ante   Net Cash Yield (3)</v>
      </c>
      <c r="B47" s="211">
        <f t="shared" si="0"/>
        <v>4.4299999999999999E-2</v>
      </c>
      <c r="C47" s="207">
        <f t="shared" si="0"/>
        <v>1.01</v>
      </c>
      <c r="D47" s="199">
        <f>+B47*C47*0.75</f>
        <v>3.3557249999999997E-2</v>
      </c>
      <c r="E47" s="211">
        <f>+B47*0.25</f>
        <v>1.1075E-2</v>
      </c>
      <c r="F47" s="199">
        <f>+E21</f>
        <v>4.1099999999999998E-2</v>
      </c>
      <c r="G47" s="200">
        <f>+D47+E47+F47</f>
        <v>8.5732249999999996E-2</v>
      </c>
      <c r="H47" s="12"/>
      <c r="I47" s="12"/>
      <c r="J47" s="12"/>
    </row>
    <row r="48" spans="1:10" ht="17.5">
      <c r="A48" s="198" t="str">
        <f t="shared" si="0"/>
        <v>Damodaran Implied ERP Ex Ante   Norm. Earnings &amp; Payout (3)</v>
      </c>
      <c r="B48" s="211">
        <f t="shared" si="0"/>
        <v>4.2900000000000001E-2</v>
      </c>
      <c r="C48" s="207">
        <f t="shared" si="0"/>
        <v>1.01</v>
      </c>
      <c r="D48" s="199">
        <f>+B48*C48*0.75</f>
        <v>3.2496749999999998E-2</v>
      </c>
      <c r="E48" s="211">
        <f>+B48*0.25</f>
        <v>1.0725E-2</v>
      </c>
      <c r="F48" s="199">
        <f>+E22</f>
        <v>4.1099999999999998E-2</v>
      </c>
      <c r="G48" s="200">
        <f>+D48+E48+F48</f>
        <v>8.4321750000000001E-2</v>
      </c>
      <c r="H48" s="12"/>
      <c r="I48" s="12"/>
      <c r="J48" s="12"/>
    </row>
    <row r="49" spans="1:10" ht="17.5">
      <c r="A49" s="198" t="s">
        <v>0</v>
      </c>
      <c r="B49" s="211" t="s">
        <v>0</v>
      </c>
      <c r="C49" s="199" t="s">
        <v>0</v>
      </c>
      <c r="D49" s="199" t="s">
        <v>0</v>
      </c>
      <c r="E49" s="211" t="s">
        <v>0</v>
      </c>
      <c r="F49" s="199" t="s">
        <v>0</v>
      </c>
      <c r="G49" s="200" t="s">
        <v>0</v>
      </c>
      <c r="H49" s="12"/>
      <c r="I49" s="12"/>
      <c r="J49" s="12"/>
    </row>
    <row r="50" spans="1:10" ht="17.5">
      <c r="A50" s="198" t="s">
        <v>235</v>
      </c>
      <c r="B50" s="211">
        <f>+B24</f>
        <v>4.9399999999999999E-2</v>
      </c>
      <c r="C50" s="207">
        <f>+C24</f>
        <v>1.01</v>
      </c>
      <c r="D50" s="199">
        <f>+B50*C50*0.75</f>
        <v>3.7420500000000002E-2</v>
      </c>
      <c r="E50" s="211">
        <f>+B50*0.25</f>
        <v>1.235E-2</v>
      </c>
      <c r="F50" s="199">
        <f>+E24</f>
        <v>4.1099999999999998E-2</v>
      </c>
      <c r="G50" s="200">
        <f>+D50+E50+F50</f>
        <v>9.0870499999999993E-2</v>
      </c>
    </row>
    <row r="51" spans="1:10" ht="17.5">
      <c r="A51" s="198" t="s">
        <v>0</v>
      </c>
      <c r="B51" s="211" t="s">
        <v>0</v>
      </c>
      <c r="C51" s="199" t="s">
        <v>0</v>
      </c>
      <c r="D51" s="199" t="s">
        <v>0</v>
      </c>
      <c r="E51" s="211" t="s">
        <v>0</v>
      </c>
      <c r="F51" s="199" t="s">
        <v>0</v>
      </c>
      <c r="G51" s="200" t="s">
        <v>0</v>
      </c>
    </row>
    <row r="52" spans="1:10" ht="17.5">
      <c r="A52" s="198" t="s">
        <v>442</v>
      </c>
      <c r="B52" s="211">
        <f>+B26</f>
        <v>5.7000000000000002E-2</v>
      </c>
      <c r="C52" s="207">
        <f>+C26</f>
        <v>1.01</v>
      </c>
      <c r="D52" s="199">
        <f>+B52*C52*0.75</f>
        <v>4.3177500000000001E-2</v>
      </c>
      <c r="E52" s="211">
        <f>+B52*0.25</f>
        <v>1.4250000000000001E-2</v>
      </c>
      <c r="F52" s="199">
        <f>+E26</f>
        <v>4.1099999999999998E-2</v>
      </c>
      <c r="G52" s="200">
        <f>+D52+E52+F52</f>
        <v>9.852749999999999E-2</v>
      </c>
    </row>
    <row r="53" spans="1:10" ht="17.5">
      <c r="A53" s="198" t="s">
        <v>0</v>
      </c>
      <c r="B53" s="211" t="s">
        <v>0</v>
      </c>
      <c r="C53" s="199" t="s">
        <v>0</v>
      </c>
      <c r="D53" s="199" t="s">
        <v>0</v>
      </c>
      <c r="E53" s="211" t="s">
        <v>0</v>
      </c>
      <c r="F53" s="199" t="s">
        <v>0</v>
      </c>
      <c r="G53" s="200" t="s">
        <v>0</v>
      </c>
    </row>
    <row r="54" spans="1:10" ht="17.5">
      <c r="A54" s="198" t="s">
        <v>236</v>
      </c>
      <c r="B54" s="211">
        <f>+B28</f>
        <v>6.4500000000000002E-2</v>
      </c>
      <c r="C54" s="207">
        <f>+C28</f>
        <v>1.01</v>
      </c>
      <c r="D54" s="199">
        <f>+B54*C54*0.75</f>
        <v>4.8858750000000006E-2</v>
      </c>
      <c r="E54" s="211">
        <f>+B54*0.25</f>
        <v>1.6125E-2</v>
      </c>
      <c r="F54" s="199">
        <f>+E28</f>
        <v>4.1099999999999998E-2</v>
      </c>
      <c r="G54" s="200">
        <f>+D54+E54+F54</f>
        <v>0.10608375</v>
      </c>
    </row>
    <row r="55" spans="1:10" ht="17.5">
      <c r="A55" s="198" t="s">
        <v>237</v>
      </c>
      <c r="B55" s="211">
        <f>+B29</f>
        <v>5.1900000000000002E-2</v>
      </c>
      <c r="C55" s="207">
        <f>+C29</f>
        <v>1.01</v>
      </c>
      <c r="D55" s="199">
        <f>+B55*C55*0.75</f>
        <v>3.9314250000000002E-2</v>
      </c>
      <c r="E55" s="211">
        <f>+B55*0.25</f>
        <v>1.2975E-2</v>
      </c>
      <c r="F55" s="199">
        <f>+E29</f>
        <v>4.1099999999999998E-2</v>
      </c>
      <c r="G55" s="200">
        <f>+D55+E55+F55</f>
        <v>9.3389250000000007E-2</v>
      </c>
    </row>
    <row r="56" spans="1:10" ht="17.5">
      <c r="A56" s="198"/>
      <c r="B56" s="211"/>
      <c r="C56" s="207"/>
      <c r="D56" s="199"/>
      <c r="E56" s="211"/>
      <c r="F56" s="199"/>
      <c r="G56" s="200"/>
    </row>
    <row r="57" spans="1:10" ht="17.5">
      <c r="A57" s="198" t="s">
        <v>427</v>
      </c>
      <c r="B57" s="211">
        <f t="shared" ref="B57:C59" si="1">+B31</f>
        <v>7.17E-2</v>
      </c>
      <c r="C57" s="207">
        <f t="shared" si="1"/>
        <v>1.01</v>
      </c>
      <c r="D57" s="199">
        <f>+B57*C57*0.75</f>
        <v>5.4312749999999993E-2</v>
      </c>
      <c r="E57" s="211">
        <f>+B57*0.25</f>
        <v>1.7925E-2</v>
      </c>
      <c r="F57" s="199">
        <f>+E31</f>
        <v>4.1099999999999998E-2</v>
      </c>
      <c r="G57" s="200">
        <f>+D57+E57+F57</f>
        <v>0.11333774999999999</v>
      </c>
    </row>
    <row r="58" spans="1:10" ht="17.5">
      <c r="A58" s="198" t="s">
        <v>428</v>
      </c>
      <c r="B58" s="211">
        <f t="shared" si="1"/>
        <v>6.2199999999999998E-2</v>
      </c>
      <c r="C58" s="207">
        <f t="shared" si="1"/>
        <v>1.01</v>
      </c>
      <c r="D58" s="199">
        <f>+B58*C58*0.75</f>
        <v>4.7116500000000006E-2</v>
      </c>
      <c r="E58" s="211">
        <f>+B58*0.25</f>
        <v>1.555E-2</v>
      </c>
      <c r="F58" s="199">
        <f>+E32</f>
        <v>4.1099999999999998E-2</v>
      </c>
      <c r="G58" s="200">
        <f>+D58+E58+F58</f>
        <v>0.1037665</v>
      </c>
    </row>
    <row r="59" spans="1:10" ht="17.5">
      <c r="A59" s="198" t="s">
        <v>429</v>
      </c>
      <c r="B59" s="211">
        <f t="shared" si="1"/>
        <v>5.5E-2</v>
      </c>
      <c r="C59" s="207">
        <f t="shared" si="1"/>
        <v>1.01</v>
      </c>
      <c r="D59" s="199">
        <f>+B59*C59*0.75</f>
        <v>4.1662500000000005E-2</v>
      </c>
      <c r="E59" s="211">
        <f>+B59*0.25</f>
        <v>1.375E-2</v>
      </c>
      <c r="F59" s="199">
        <f>+E33</f>
        <v>4.1099999999999998E-2</v>
      </c>
      <c r="G59" s="200">
        <f>+D59+E59+F59</f>
        <v>9.6512500000000001E-2</v>
      </c>
    </row>
    <row r="60" spans="1:10" ht="17.5">
      <c r="A60" s="198"/>
      <c r="B60" s="211"/>
      <c r="C60" s="207"/>
      <c r="D60" s="199"/>
      <c r="E60" s="211"/>
      <c r="F60" s="199"/>
      <c r="G60" s="200"/>
    </row>
    <row r="61" spans="1:10" ht="17.5">
      <c r="A61" s="408" t="s">
        <v>417</v>
      </c>
      <c r="B61" s="409">
        <f>+B35</f>
        <v>0</v>
      </c>
      <c r="C61" s="207">
        <f>+C33</f>
        <v>1.01</v>
      </c>
      <c r="D61" s="199">
        <f>+B61*C61*0.75</f>
        <v>0</v>
      </c>
      <c r="E61" s="211">
        <f>+B61*0.25</f>
        <v>0</v>
      </c>
      <c r="F61" s="199">
        <f>+E35</f>
        <v>0</v>
      </c>
      <c r="G61" s="200">
        <f>+D61+E61+F61</f>
        <v>0</v>
      </c>
    </row>
    <row r="62" spans="1:10" ht="15" thickBot="1">
      <c r="A62" s="360"/>
      <c r="B62" s="152"/>
      <c r="C62" s="152"/>
      <c r="D62" s="152"/>
      <c r="E62" s="152"/>
      <c r="F62" s="152"/>
      <c r="G62" s="361"/>
    </row>
    <row r="64" spans="1:10" ht="17.5">
      <c r="A64" s="64" t="s">
        <v>85</v>
      </c>
      <c r="E64" s="210" t="s">
        <v>0</v>
      </c>
    </row>
    <row r="65" spans="1:7" ht="17">
      <c r="A65" s="44" t="s">
        <v>0</v>
      </c>
      <c r="E65" s="210" t="s">
        <v>0</v>
      </c>
    </row>
    <row r="66" spans="1:7" ht="17">
      <c r="A66" s="44" t="s">
        <v>418</v>
      </c>
      <c r="B66" s="12"/>
      <c r="C66" s="12"/>
      <c r="D66" s="12"/>
      <c r="E66" s="12"/>
      <c r="F66" s="12"/>
      <c r="G66" s="12"/>
    </row>
    <row r="67" spans="1:7" ht="17">
      <c r="A67" s="44" t="s">
        <v>0</v>
      </c>
      <c r="B67" s="12"/>
      <c r="C67" s="12"/>
      <c r="D67" s="12"/>
      <c r="E67" s="12"/>
      <c r="F67" s="12"/>
      <c r="G67" s="12"/>
    </row>
    <row r="68" spans="1:7" ht="17">
      <c r="A68" s="44" t="s">
        <v>486</v>
      </c>
      <c r="B68" s="12"/>
      <c r="C68" s="12"/>
      <c r="D68" s="12"/>
      <c r="E68" s="12"/>
      <c r="F68" s="12"/>
      <c r="G68" s="12"/>
    </row>
    <row r="69" spans="1:7" ht="17">
      <c r="A69" s="406" t="s">
        <v>419</v>
      </c>
      <c r="C69" s="12"/>
      <c r="D69" s="12"/>
      <c r="E69" s="12"/>
      <c r="F69" s="12"/>
      <c r="G69" s="12"/>
    </row>
    <row r="70" spans="1:7" ht="17">
      <c r="A70" s="44" t="s">
        <v>0</v>
      </c>
      <c r="B70" s="12"/>
      <c r="C70" s="12"/>
      <c r="D70" s="12"/>
      <c r="E70" s="12"/>
      <c r="F70" s="12"/>
      <c r="G70" s="12"/>
    </row>
    <row r="71" spans="1:7" ht="17">
      <c r="A71" s="44" t="s">
        <v>487</v>
      </c>
      <c r="B71" s="12"/>
      <c r="C71" s="12"/>
      <c r="D71" s="12"/>
      <c r="E71" s="12"/>
      <c r="F71" s="12"/>
      <c r="G71" s="12"/>
    </row>
    <row r="72" spans="1:7" ht="17">
      <c r="A72" s="406" t="s">
        <v>420</v>
      </c>
      <c r="B72" s="12"/>
      <c r="C72" s="12"/>
      <c r="D72" s="12"/>
      <c r="E72" s="12"/>
      <c r="F72" s="12"/>
      <c r="G72" s="12"/>
    </row>
    <row r="73" spans="1:7" ht="17">
      <c r="A73" s="44"/>
      <c r="B73" s="12"/>
      <c r="C73" s="12"/>
      <c r="D73" s="12"/>
      <c r="E73" s="12"/>
      <c r="F73" s="12"/>
      <c r="G73" s="12"/>
    </row>
    <row r="74" spans="1:7" ht="17">
      <c r="A74" s="44" t="s">
        <v>488</v>
      </c>
      <c r="B74" s="12"/>
      <c r="C74" s="12"/>
      <c r="D74" s="12"/>
      <c r="E74" s="12"/>
      <c r="F74" s="12"/>
      <c r="G74" s="12"/>
    </row>
    <row r="75" spans="1:7" ht="17">
      <c r="A75" s="406" t="s">
        <v>489</v>
      </c>
      <c r="B75" s="12"/>
      <c r="C75" s="12"/>
      <c r="D75" s="12"/>
      <c r="E75" s="12"/>
      <c r="F75" s="12"/>
      <c r="G75" s="12"/>
    </row>
    <row r="76" spans="1:7" ht="17">
      <c r="A76" s="44"/>
      <c r="B76" s="12"/>
      <c r="C76" s="12"/>
      <c r="D76" s="12"/>
      <c r="E76" s="12"/>
      <c r="F76" s="12"/>
      <c r="G76" s="12"/>
    </row>
    <row r="77" spans="1:7" ht="17">
      <c r="A77" s="44" t="s">
        <v>490</v>
      </c>
      <c r="B77" s="12"/>
      <c r="C77" s="12"/>
      <c r="D77" s="12"/>
      <c r="E77" s="12"/>
      <c r="F77" s="12"/>
      <c r="G77" s="12"/>
    </row>
    <row r="78" spans="1:7" ht="17">
      <c r="A78" s="406" t="s">
        <v>421</v>
      </c>
      <c r="B78" s="12"/>
      <c r="C78" s="12"/>
      <c r="D78" s="12"/>
      <c r="E78" s="12"/>
      <c r="F78" s="12"/>
      <c r="G78" s="12"/>
    </row>
    <row r="79" spans="1:7" ht="17">
      <c r="A79" s="44"/>
    </row>
    <row r="80" spans="1:7" ht="17">
      <c r="A80" s="44" t="s">
        <v>491</v>
      </c>
    </row>
    <row r="81" spans="1:7" ht="17">
      <c r="A81" s="44" t="s">
        <v>0</v>
      </c>
    </row>
    <row r="82" spans="1:7" ht="17">
      <c r="A82" s="44" t="s">
        <v>492</v>
      </c>
    </row>
    <row r="83" spans="1:7" ht="17">
      <c r="A83" s="406" t="s">
        <v>422</v>
      </c>
    </row>
    <row r="84" spans="1:7" ht="21.5" thickBot="1">
      <c r="A84" s="153"/>
      <c r="B84" s="153"/>
      <c r="C84" s="153"/>
      <c r="D84" s="29"/>
      <c r="E84" s="37"/>
      <c r="F84" s="29"/>
      <c r="G84" s="152"/>
    </row>
  </sheetData>
  <hyperlinks>
    <hyperlink ref="A83" r:id="rId1" xr:uid="{1CCE0149-033D-4AF3-9AAC-689CDE1E7CFD}"/>
    <hyperlink ref="A78" r:id="rId2" xr:uid="{B8C80B78-5628-45B1-B863-2A26C1344463}"/>
    <hyperlink ref="A69" r:id="rId3" xr:uid="{7A0732A7-98B9-4681-8C07-7DC10D79CCC5}"/>
    <hyperlink ref="A72" r:id="rId4" xr:uid="{5B47D31B-BBD6-4D14-896C-B781F3072F7C}"/>
    <hyperlink ref="A75" r:id="rId5" xr:uid="{557B74DF-FC57-4EFB-B7D3-FA550D10D22B}"/>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6"/>
  <sheetViews>
    <sheetView view="pageBreakPreview" topLeftCell="A7" zoomScale="70" zoomScaleNormal="80" zoomScaleSheetLayoutView="70" workbookViewId="0">
      <selection activeCell="J32" sqref="J32"/>
    </sheetView>
  </sheetViews>
  <sheetFormatPr defaultRowHeight="14.5"/>
  <cols>
    <col min="1" max="1" width="47.453125" customWidth="1"/>
    <col min="2" max="2" width="10.81640625" bestFit="1" customWidth="1"/>
    <col min="3" max="3" width="19.1796875" bestFit="1" customWidth="1"/>
    <col min="4" max="4" width="15.26953125" customWidth="1"/>
    <col min="5" max="5" width="27.1796875" customWidth="1"/>
    <col min="6" max="6" width="22" customWidth="1"/>
    <col min="7" max="7" width="29.26953125" customWidth="1"/>
    <col min="8" max="8" width="37" customWidth="1"/>
    <col min="9" max="9" width="24.54296875" customWidth="1"/>
    <col min="10" max="10" width="24.1796875" customWidth="1"/>
    <col min="12" max="12" width="10.54296875" customWidth="1"/>
  </cols>
  <sheetData>
    <row r="1" spans="1:11" ht="25.5">
      <c r="A1" s="24" t="s">
        <v>1</v>
      </c>
      <c r="B1" s="12"/>
      <c r="C1" s="12"/>
      <c r="D1" s="12"/>
      <c r="E1" s="12"/>
      <c r="F1" s="12"/>
      <c r="G1" s="12"/>
      <c r="H1" s="12"/>
      <c r="I1" s="12"/>
      <c r="J1" s="12"/>
      <c r="K1" s="12"/>
    </row>
    <row r="2" spans="1:11" ht="17.5">
      <c r="A2" s="25" t="s">
        <v>9</v>
      </c>
      <c r="B2" s="12"/>
      <c r="C2" s="12"/>
      <c r="D2" s="12"/>
      <c r="E2" s="12"/>
      <c r="F2" s="12"/>
      <c r="G2" s="12"/>
      <c r="H2" s="12"/>
      <c r="I2" s="12"/>
      <c r="J2" s="12"/>
      <c r="K2" s="12"/>
    </row>
    <row r="3" spans="1:11" ht="17">
      <c r="A3" s="26" t="s">
        <v>457</v>
      </c>
      <c r="B3" s="12"/>
      <c r="C3" s="12"/>
      <c r="D3" s="12"/>
      <c r="E3" s="12"/>
      <c r="F3" s="12"/>
      <c r="G3" s="12"/>
      <c r="H3" s="12"/>
      <c r="I3" s="12"/>
      <c r="J3" s="12"/>
      <c r="K3" s="12"/>
    </row>
    <row r="4" spans="1:11" ht="17">
      <c r="A4" s="26"/>
      <c r="B4" s="12"/>
      <c r="C4" s="12"/>
      <c r="D4" s="12"/>
      <c r="E4" s="12"/>
      <c r="F4" s="12"/>
      <c r="G4" s="12"/>
      <c r="H4" s="12"/>
      <c r="I4" s="12"/>
      <c r="J4" s="12"/>
      <c r="K4" s="12"/>
    </row>
    <row r="5" spans="1:11" ht="17.5" thickBot="1">
      <c r="A5" s="12"/>
      <c r="B5" s="12"/>
      <c r="C5" s="12"/>
      <c r="D5" s="12"/>
      <c r="E5" s="12"/>
      <c r="F5" s="12"/>
      <c r="G5" s="12"/>
      <c r="H5" s="27"/>
      <c r="I5" s="12"/>
      <c r="J5" s="12"/>
      <c r="K5" s="12"/>
    </row>
    <row r="6" spans="1:11" ht="18" thickBot="1">
      <c r="A6" s="269" t="str">
        <f>+'S&amp;D'!A12</f>
        <v>Electric Wholesale (non-regulated) Power Generator</v>
      </c>
      <c r="B6" s="197"/>
      <c r="C6" s="12"/>
      <c r="D6" s="29"/>
      <c r="E6" s="29"/>
      <c r="F6" s="29"/>
      <c r="G6" s="30" t="s">
        <v>0</v>
      </c>
      <c r="H6" s="29"/>
      <c r="I6" s="12"/>
      <c r="J6" s="12"/>
      <c r="K6" s="12"/>
    </row>
    <row r="7" spans="1:11" ht="25.5">
      <c r="A7" s="31"/>
      <c r="B7" s="12"/>
      <c r="C7" s="12"/>
      <c r="D7" s="12"/>
      <c r="E7" s="12"/>
      <c r="F7" s="32" t="s">
        <v>404</v>
      </c>
      <c r="G7" s="12"/>
      <c r="H7" s="12"/>
      <c r="I7" s="12"/>
      <c r="J7" s="12"/>
      <c r="K7" s="12"/>
    </row>
    <row r="8" spans="1:11" ht="21.5" thickBot="1">
      <c r="A8" s="31"/>
      <c r="B8" s="12"/>
      <c r="C8" s="12"/>
      <c r="D8" s="29"/>
      <c r="E8" s="29"/>
      <c r="F8" s="33" t="s">
        <v>458</v>
      </c>
      <c r="G8" s="29"/>
      <c r="H8" s="29"/>
      <c r="I8" s="12"/>
      <c r="J8" s="12"/>
      <c r="K8" s="12"/>
    </row>
    <row r="9" spans="1:11" ht="17.5" thickBot="1">
      <c r="A9" s="34" t="s">
        <v>0</v>
      </c>
      <c r="B9" s="34" t="s">
        <v>0</v>
      </c>
      <c r="C9" s="34" t="s">
        <v>0</v>
      </c>
      <c r="D9" s="29"/>
      <c r="E9" s="34"/>
      <c r="F9" s="34" t="s">
        <v>0</v>
      </c>
      <c r="G9" s="34"/>
      <c r="H9" s="29"/>
      <c r="I9" s="29"/>
      <c r="J9" s="29"/>
      <c r="K9" s="12"/>
    </row>
    <row r="10" spans="1:11" ht="17">
      <c r="A10" s="35" t="s">
        <v>0</v>
      </c>
      <c r="B10" s="35" t="s">
        <v>3</v>
      </c>
      <c r="C10" s="35" t="s">
        <v>5</v>
      </c>
      <c r="D10" s="35" t="s">
        <v>179</v>
      </c>
      <c r="E10" s="35" t="s">
        <v>12</v>
      </c>
      <c r="F10" s="35" t="s">
        <v>191</v>
      </c>
      <c r="G10" s="35" t="s">
        <v>192</v>
      </c>
      <c r="H10" s="35" t="s">
        <v>192</v>
      </c>
      <c r="I10" s="35" t="s">
        <v>188</v>
      </c>
      <c r="J10" s="35" t="s">
        <v>188</v>
      </c>
      <c r="K10" s="12"/>
    </row>
    <row r="11" spans="1:11" ht="17">
      <c r="A11" s="35" t="s">
        <v>2</v>
      </c>
      <c r="B11" s="35" t="s">
        <v>4</v>
      </c>
      <c r="C11" s="35" t="s">
        <v>6</v>
      </c>
      <c r="D11" s="35" t="s">
        <v>221</v>
      </c>
      <c r="E11" s="35" t="s">
        <v>14</v>
      </c>
      <c r="F11" s="35" t="s">
        <v>380</v>
      </c>
      <c r="G11" s="35" t="s">
        <v>222</v>
      </c>
      <c r="H11" s="35" t="s">
        <v>223</v>
      </c>
      <c r="I11" s="35" t="s">
        <v>182</v>
      </c>
      <c r="J11" s="35" t="s">
        <v>186</v>
      </c>
      <c r="K11" s="12"/>
    </row>
    <row r="12" spans="1:11" ht="17">
      <c r="A12" s="35"/>
      <c r="B12" s="35"/>
      <c r="C12" s="35"/>
      <c r="D12" s="35"/>
      <c r="E12" s="35"/>
      <c r="F12" s="36" t="s">
        <v>0</v>
      </c>
      <c r="G12" s="36" t="s">
        <v>381</v>
      </c>
      <c r="H12" s="36" t="s">
        <v>381</v>
      </c>
      <c r="I12" s="35"/>
      <c r="J12" s="35"/>
      <c r="K12" s="12"/>
    </row>
    <row r="13" spans="1:11" ht="17.5" thickBot="1">
      <c r="A13" s="37" t="s">
        <v>0</v>
      </c>
      <c r="B13" s="38" t="s">
        <v>102</v>
      </c>
      <c r="C13" s="38" t="s">
        <v>103</v>
      </c>
      <c r="D13" s="38" t="s">
        <v>104</v>
      </c>
      <c r="E13" s="38" t="s">
        <v>105</v>
      </c>
      <c r="F13" s="38" t="s">
        <v>106</v>
      </c>
      <c r="G13" s="38" t="s">
        <v>107</v>
      </c>
      <c r="H13" s="38" t="s">
        <v>108</v>
      </c>
      <c r="I13" s="38" t="s">
        <v>189</v>
      </c>
      <c r="J13" s="38" t="s">
        <v>190</v>
      </c>
      <c r="K13" s="12"/>
    </row>
    <row r="14" spans="1:11" ht="17">
      <c r="A14" s="39" t="s">
        <v>7</v>
      </c>
      <c r="B14" s="39" t="s">
        <v>7</v>
      </c>
      <c r="C14" s="39" t="s">
        <v>7</v>
      </c>
      <c r="D14" s="40" t="s">
        <v>126</v>
      </c>
      <c r="E14" s="40"/>
      <c r="F14" s="39" t="s">
        <v>7</v>
      </c>
      <c r="G14" s="39" t="s">
        <v>7</v>
      </c>
      <c r="H14" s="39" t="s">
        <v>7</v>
      </c>
      <c r="I14" s="39" t="s">
        <v>0</v>
      </c>
      <c r="J14" s="39" t="s">
        <v>0</v>
      </c>
      <c r="K14" s="12"/>
    </row>
    <row r="15" spans="1:11" ht="17">
      <c r="A15" s="35"/>
      <c r="B15" s="35"/>
      <c r="C15" s="35"/>
      <c r="D15" s="35"/>
      <c r="E15" s="35"/>
      <c r="F15" s="35"/>
      <c r="G15" s="35"/>
      <c r="H15" s="12"/>
      <c r="I15" s="12"/>
      <c r="J15" s="12"/>
      <c r="K15" s="12"/>
    </row>
    <row r="16" spans="1:11" ht="17">
      <c r="A16" s="12"/>
      <c r="B16" s="12"/>
      <c r="C16" s="12"/>
      <c r="D16" s="12"/>
      <c r="E16" s="12"/>
      <c r="F16" s="12"/>
      <c r="G16" s="12"/>
      <c r="H16" s="12"/>
      <c r="I16" s="12"/>
      <c r="J16" s="12"/>
      <c r="K16" s="12"/>
    </row>
    <row r="17" spans="1:11" ht="17.5">
      <c r="A17" s="44" t="str">
        <f>+'S&amp;D'!A22</f>
        <v>AES CORPORATION</v>
      </c>
      <c r="B17" s="35" t="str">
        <f>+'S&amp;D'!B22</f>
        <v>AES</v>
      </c>
      <c r="C17" s="35" t="str">
        <f>+'S&amp;D'!C22</f>
        <v>Power Electric</v>
      </c>
      <c r="D17" s="61">
        <f>+'S&amp;D'!G22</f>
        <v>19.25</v>
      </c>
      <c r="E17" s="62">
        <f>+'S&amp;D'!D38</f>
        <v>12891594754.5</v>
      </c>
      <c r="F17" s="55">
        <f>+'Dividends '!H16</f>
        <v>3.7402597402597403E-2</v>
      </c>
      <c r="G17" s="55">
        <v>3.5000000000000003E-2</v>
      </c>
      <c r="H17" s="322">
        <v>0</v>
      </c>
      <c r="I17" s="367">
        <f t="shared" ref="I17" si="0">+F17+G17</f>
        <v>7.2402597402597413E-2</v>
      </c>
      <c r="J17" s="367">
        <f t="shared" ref="J17" si="1">+F17+H17</f>
        <v>3.7402597402597403E-2</v>
      </c>
      <c r="K17" s="12"/>
    </row>
    <row r="18" spans="1:11" ht="17.5">
      <c r="A18" s="44" t="str">
        <f>+'S&amp;D'!A23</f>
        <v>DOMINION ENERGY INC</v>
      </c>
      <c r="B18" s="35" t="str">
        <f>+'S&amp;D'!B23</f>
        <v>D</v>
      </c>
      <c r="C18" s="35" t="str">
        <f>+'S&amp;D'!C23</f>
        <v>Electric - East</v>
      </c>
      <c r="D18" s="61">
        <f>+'S&amp;D'!G23</f>
        <v>47</v>
      </c>
      <c r="E18" s="62">
        <f>+'S&amp;D'!D39</f>
        <v>39386000000</v>
      </c>
      <c r="F18" s="55">
        <f>+'Dividends '!H17</f>
        <v>5.6808510638297872E-2</v>
      </c>
      <c r="G18" s="55">
        <v>1.4999999999999999E-2</v>
      </c>
      <c r="H18" s="55">
        <v>5.0000000000000001E-3</v>
      </c>
      <c r="I18" s="367">
        <f t="shared" ref="I18" si="2">+F18+G18</f>
        <v>7.1808510638297879E-2</v>
      </c>
      <c r="J18" s="367">
        <f t="shared" ref="J18" si="3">+F18+H18</f>
        <v>6.180851063829787E-2</v>
      </c>
      <c r="K18" s="12"/>
    </row>
    <row r="19" spans="1:11" ht="17.5">
      <c r="A19" s="44" t="str">
        <f>+'S&amp;D'!A24</f>
        <v>CONSTELLATION ENERGY GENERATION LLC</v>
      </c>
      <c r="B19" s="35" t="str">
        <f>+'S&amp;D'!B24</f>
        <v>CEG</v>
      </c>
      <c r="C19" s="35" t="str">
        <f>+'S&amp;D'!C24</f>
        <v>Power Electric</v>
      </c>
      <c r="D19" s="61">
        <f>+'S&amp;D'!G24</f>
        <v>116.89</v>
      </c>
      <c r="E19" s="62">
        <f>+'S&amp;D'!D40</f>
        <v>37054130000</v>
      </c>
      <c r="F19" s="55">
        <f>+'Dividends '!H18</f>
        <v>1.3260330224997861E-2</v>
      </c>
      <c r="G19" s="322" t="s">
        <v>527</v>
      </c>
      <c r="H19" s="322" t="s">
        <v>527</v>
      </c>
      <c r="I19" s="367" t="s">
        <v>529</v>
      </c>
      <c r="J19" s="367" t="s">
        <v>529</v>
      </c>
      <c r="K19" s="12"/>
    </row>
    <row r="20" spans="1:11" ht="17.5">
      <c r="A20" s="44" t="str">
        <f>+'S&amp;D'!A25</f>
        <v>NEXTERA ENERGY INC</v>
      </c>
      <c r="B20" s="35" t="str">
        <f>+'S&amp;D'!B25</f>
        <v>NEE</v>
      </c>
      <c r="C20" s="35" t="str">
        <f>+'S&amp;D'!C25</f>
        <v>Electric - East</v>
      </c>
      <c r="D20" s="61">
        <f>+'S&amp;D'!G25</f>
        <v>60.74</v>
      </c>
      <c r="E20" s="62">
        <f>+'S&amp;D'!D41</f>
        <v>124638480000</v>
      </c>
      <c r="F20" s="55">
        <f>+'Dividends '!H19</f>
        <v>3.7043134672374051E-2</v>
      </c>
      <c r="G20" s="55">
        <v>0.09</v>
      </c>
      <c r="H20" s="55">
        <v>8.5000000000000006E-2</v>
      </c>
      <c r="I20" s="367">
        <f t="shared" ref="I20:I21" si="4">+F20+G20</f>
        <v>0.12704313467237405</v>
      </c>
      <c r="J20" s="367">
        <f t="shared" ref="J20:J21" si="5">+F20+H20</f>
        <v>0.12204313467237406</v>
      </c>
      <c r="K20" s="12"/>
    </row>
    <row r="21" spans="1:11" ht="17.5">
      <c r="A21" s="44" t="str">
        <f>+'S&amp;D'!A26</f>
        <v>NRG ENERGY</v>
      </c>
      <c r="B21" s="35" t="str">
        <f>+'S&amp;D'!B26</f>
        <v>NRG</v>
      </c>
      <c r="C21" s="35" t="str">
        <f>+'S&amp;D'!C26</f>
        <v>Power Electric</v>
      </c>
      <c r="D21" s="61">
        <f>+'S&amp;D'!G26</f>
        <v>51.7</v>
      </c>
      <c r="E21" s="62">
        <f>+'S&amp;D'!D42</f>
        <v>10760370115</v>
      </c>
      <c r="F21" s="55">
        <f>+'Dividends '!H20</f>
        <v>3.0947775628626693E-2</v>
      </c>
      <c r="G21" s="55">
        <v>0.04</v>
      </c>
      <c r="H21" s="55">
        <v>-0.02</v>
      </c>
      <c r="I21" s="367">
        <f t="shared" si="4"/>
        <v>7.0947775628626697E-2</v>
      </c>
      <c r="J21" s="367">
        <f t="shared" si="5"/>
        <v>1.0947775628626692E-2</v>
      </c>
      <c r="K21" s="12"/>
    </row>
    <row r="22" spans="1:11" ht="17.5">
      <c r="A22" s="44" t="str">
        <f>+'S&amp;D'!A27</f>
        <v>SOUTHERN COMPANY</v>
      </c>
      <c r="B22" s="35" t="str">
        <f>+'S&amp;D'!B27</f>
        <v>SO</v>
      </c>
      <c r="C22" s="35" t="str">
        <f>+'S&amp;D'!C27</f>
        <v>Electric - East</v>
      </c>
      <c r="D22" s="61">
        <f>+'S&amp;D'!G27</f>
        <v>70.12</v>
      </c>
      <c r="E22" s="62">
        <f>+'S&amp;D'!D43</f>
        <v>76500920000</v>
      </c>
      <c r="F22" s="55">
        <f>+'Dividends '!H21</f>
        <v>4.1928123217341698E-2</v>
      </c>
      <c r="G22" s="55">
        <v>3.5000000000000003E-2</v>
      </c>
      <c r="H22" s="55">
        <v>6.5000000000000002E-2</v>
      </c>
      <c r="I22" s="367">
        <f>+F22+G22</f>
        <v>7.6928123217341701E-2</v>
      </c>
      <c r="J22" s="367">
        <f>+F22+H22</f>
        <v>0.1069281232173417</v>
      </c>
      <c r="K22" s="12"/>
    </row>
    <row r="23" spans="1:11" ht="18" thickBot="1">
      <c r="A23" s="44" t="str">
        <f>+'S&amp;D'!A28</f>
        <v>VISTRA ENERGY CORPORATION</v>
      </c>
      <c r="B23" s="35" t="str">
        <f>+'S&amp;D'!B28</f>
        <v>VST</v>
      </c>
      <c r="C23" s="35" t="str">
        <f>+'S&amp;D'!C28</f>
        <v>Power Electric</v>
      </c>
      <c r="D23" s="61">
        <f>+'S&amp;D'!G28</f>
        <v>38.520000000000003</v>
      </c>
      <c r="E23" s="62">
        <f>+'S&amp;D'!D44</f>
        <v>13538124256.320002</v>
      </c>
      <c r="F23" s="368">
        <f>+'Dividends '!H22</f>
        <v>2.5441329179646935E-2</v>
      </c>
      <c r="G23" s="368">
        <v>0.11</v>
      </c>
      <c r="H23" s="369" t="s">
        <v>527</v>
      </c>
      <c r="I23" s="370">
        <f t="shared" ref="I23" si="6">+F23+G23</f>
        <v>0.13544132917964694</v>
      </c>
      <c r="J23" s="370" t="s">
        <v>529</v>
      </c>
      <c r="K23" s="12"/>
    </row>
    <row r="24" spans="1:11" ht="17.5" thickTop="1">
      <c r="A24" s="12"/>
      <c r="B24" s="12"/>
      <c r="C24" s="14" t="s">
        <v>0</v>
      </c>
      <c r="D24" s="15" t="s">
        <v>0</v>
      </c>
      <c r="E24" s="15" t="s">
        <v>53</v>
      </c>
      <c r="F24" s="456">
        <f>MAX(F17:F23)</f>
        <v>5.6808510638297872E-2</v>
      </c>
      <c r="G24" s="299">
        <f t="shared" ref="G24:J24" si="7">MAX(G17:G23)</f>
        <v>0.11</v>
      </c>
      <c r="H24" s="16">
        <f t="shared" si="7"/>
        <v>8.5000000000000006E-2</v>
      </c>
      <c r="I24" s="16">
        <f t="shared" si="7"/>
        <v>0.13544132917964694</v>
      </c>
      <c r="J24" s="16">
        <f t="shared" si="7"/>
        <v>0.12204313467237406</v>
      </c>
      <c r="K24" s="12"/>
    </row>
    <row r="25" spans="1:11" ht="17">
      <c r="A25" s="12"/>
      <c r="B25" s="12"/>
      <c r="C25" s="14"/>
      <c r="D25" s="15"/>
      <c r="E25" s="15" t="s">
        <v>54</v>
      </c>
      <c r="F25" s="457">
        <f>MIN(F17:F23)</f>
        <v>1.3260330224997861E-2</v>
      </c>
      <c r="G25" s="336">
        <f t="shared" ref="G25:J25" si="8">MIN(G17:G23)</f>
        <v>1.4999999999999999E-2</v>
      </c>
      <c r="H25" s="335">
        <f t="shared" si="8"/>
        <v>-0.02</v>
      </c>
      <c r="I25" s="335">
        <f t="shared" si="8"/>
        <v>7.0947775628626697E-2</v>
      </c>
      <c r="J25" s="335">
        <f t="shared" si="8"/>
        <v>1.0947775628626692E-2</v>
      </c>
      <c r="K25" s="12"/>
    </row>
    <row r="26" spans="1:11" ht="17">
      <c r="A26" s="12"/>
      <c r="B26" s="12"/>
      <c r="D26" s="17" t="s">
        <v>0</v>
      </c>
      <c r="E26" s="14" t="s">
        <v>18</v>
      </c>
      <c r="F26" s="57">
        <f>MEDIAN(F17:F23)</f>
        <v>3.7043134672374051E-2</v>
      </c>
      <c r="G26" s="51">
        <f>MEDIAN(G17:G23)</f>
        <v>3.7500000000000006E-2</v>
      </c>
      <c r="H26" s="51">
        <f>MEDIAN(H17:H23)</f>
        <v>5.0000000000000001E-3</v>
      </c>
      <c r="I26" s="52">
        <f>MEDIAN(I17:I23)</f>
        <v>7.4665360309969564E-2</v>
      </c>
      <c r="J26" s="52">
        <f>MEDIAN(J17:J23)</f>
        <v>6.180851063829787E-2</v>
      </c>
      <c r="K26" s="12"/>
    </row>
    <row r="27" spans="1:11" ht="17">
      <c r="A27" s="12"/>
      <c r="B27" s="12"/>
      <c r="D27" s="21" t="s">
        <v>0</v>
      </c>
      <c r="E27" s="14" t="s">
        <v>412</v>
      </c>
      <c r="F27" s="57">
        <f>AVERAGE(F17:F23)</f>
        <v>3.4690257280554644E-2</v>
      </c>
      <c r="G27" s="57">
        <f>AVERAGE(G17:G23)</f>
        <v>5.4166666666666669E-2</v>
      </c>
      <c r="H27" s="51">
        <f>AVERAGE(H17:H23)</f>
        <v>2.7000000000000003E-2</v>
      </c>
      <c r="I27" s="52">
        <f>AVERAGE(I17:I23)</f>
        <v>9.2428578456480781E-2</v>
      </c>
      <c r="J27" s="52">
        <f>AVERAGE(J17:J23)</f>
        <v>6.7826028311847544E-2</v>
      </c>
      <c r="K27" s="12"/>
    </row>
    <row r="28" spans="1:11" ht="17">
      <c r="A28" s="12"/>
      <c r="B28" s="12"/>
      <c r="C28" s="14"/>
      <c r="D28" s="21"/>
      <c r="E28" s="22"/>
      <c r="F28" s="18"/>
      <c r="G28" s="18"/>
      <c r="H28" s="19"/>
      <c r="I28" s="20"/>
      <c r="J28" s="20"/>
      <c r="K28" s="12"/>
    </row>
    <row r="29" spans="1:11" ht="17.5" thickBot="1">
      <c r="A29" s="12"/>
      <c r="B29" s="12"/>
      <c r="C29" s="12"/>
      <c r="D29" s="12"/>
      <c r="E29" s="12"/>
      <c r="F29" s="12"/>
      <c r="G29" s="12"/>
      <c r="H29" s="12"/>
      <c r="I29" s="12"/>
      <c r="J29" s="12"/>
      <c r="K29" s="12"/>
    </row>
    <row r="30" spans="1:11" ht="26.5" thickBot="1">
      <c r="A30" s="12"/>
      <c r="B30" s="12"/>
      <c r="C30" s="12"/>
      <c r="D30" s="12"/>
      <c r="E30" s="12"/>
      <c r="F30" s="12"/>
      <c r="G30" s="194" t="s">
        <v>194</v>
      </c>
      <c r="H30" s="196"/>
      <c r="I30" s="387">
        <v>9.2399999999999996E-2</v>
      </c>
      <c r="J30" s="12"/>
      <c r="K30" s="12"/>
    </row>
    <row r="31" spans="1:11" ht="17.5" thickBot="1">
      <c r="A31" s="12"/>
      <c r="B31" s="12"/>
      <c r="C31" s="12"/>
      <c r="D31" s="12"/>
      <c r="E31" s="12"/>
      <c r="F31" s="12"/>
      <c r="G31" s="12"/>
      <c r="H31" s="12"/>
      <c r="I31" s="12"/>
      <c r="J31" s="12"/>
      <c r="K31" s="12"/>
    </row>
    <row r="32" spans="1:11" ht="26.5" thickBot="1">
      <c r="A32" s="12"/>
      <c r="B32" s="12"/>
      <c r="C32" s="12"/>
      <c r="D32" s="12"/>
      <c r="E32" s="12"/>
      <c r="F32" s="12"/>
      <c r="G32" s="194" t="s">
        <v>193</v>
      </c>
      <c r="H32" s="197"/>
      <c r="I32" s="387">
        <v>6.7799999999999999E-2</v>
      </c>
      <c r="J32" s="12"/>
      <c r="K32" s="12"/>
    </row>
    <row r="33" spans="1:10" ht="17">
      <c r="A33" s="12"/>
      <c r="B33" s="12"/>
      <c r="C33" s="12"/>
      <c r="D33" s="12"/>
      <c r="E33" s="12"/>
      <c r="F33" s="12"/>
      <c r="G33" s="12"/>
      <c r="H33" s="12"/>
      <c r="I33" s="12"/>
      <c r="J33" s="12"/>
    </row>
    <row r="34" spans="1:10" ht="25.5">
      <c r="A34" s="24" t="s">
        <v>372</v>
      </c>
      <c r="B34" s="12"/>
      <c r="C34" s="24" t="s">
        <v>373</v>
      </c>
      <c r="D34" s="12"/>
      <c r="E34" s="12"/>
      <c r="F34" s="12"/>
      <c r="G34" s="12"/>
      <c r="H34" s="12"/>
      <c r="I34" s="12"/>
      <c r="J34" s="12"/>
    </row>
    <row r="35" spans="1:10" ht="17.5">
      <c r="A35" s="64" t="s">
        <v>374</v>
      </c>
      <c r="B35" s="12"/>
      <c r="C35" s="64" t="s">
        <v>374</v>
      </c>
      <c r="D35" s="12"/>
      <c r="E35" s="12"/>
      <c r="F35" s="12"/>
      <c r="G35" s="12"/>
      <c r="H35" s="12"/>
      <c r="I35" s="12"/>
      <c r="J35" s="12"/>
    </row>
    <row r="36" spans="1:10" ht="17.5">
      <c r="A36" s="64" t="s">
        <v>375</v>
      </c>
      <c r="B36" s="12"/>
      <c r="C36" s="64" t="s">
        <v>376</v>
      </c>
      <c r="D36" s="12"/>
      <c r="E36" s="12"/>
      <c r="F36" s="12"/>
      <c r="G36" s="12"/>
      <c r="H36" s="12"/>
      <c r="I36" s="12"/>
      <c r="J36" s="12"/>
    </row>
    <row r="37" spans="1:10" ht="17">
      <c r="A37" s="44"/>
      <c r="B37" s="12"/>
      <c r="C37" s="44"/>
      <c r="D37" s="12"/>
      <c r="E37" s="12"/>
      <c r="F37" s="12"/>
      <c r="G37" s="12"/>
      <c r="H37" s="12"/>
      <c r="I37" s="12"/>
      <c r="J37" s="12"/>
    </row>
    <row r="38" spans="1:10" ht="17">
      <c r="A38" s="44"/>
      <c r="B38" s="12"/>
      <c r="C38" s="44"/>
      <c r="D38" s="12"/>
      <c r="E38" s="12"/>
      <c r="F38" s="12"/>
      <c r="G38" s="12"/>
      <c r="H38" s="12"/>
      <c r="I38" s="12"/>
      <c r="J38" s="12"/>
    </row>
    <row r="39" spans="1:10" ht="25.5">
      <c r="A39" s="24" t="s">
        <v>218</v>
      </c>
      <c r="B39" s="12"/>
      <c r="C39" s="24" t="s">
        <v>218</v>
      </c>
      <c r="D39" s="12"/>
      <c r="E39" s="12"/>
      <c r="F39" s="12"/>
      <c r="G39" s="12"/>
      <c r="H39" s="12"/>
      <c r="I39" s="12"/>
      <c r="J39" s="12"/>
    </row>
    <row r="40" spans="1:10" ht="17">
      <c r="A40" s="44"/>
      <c r="B40" s="12"/>
      <c r="C40" s="44"/>
      <c r="D40" s="12"/>
      <c r="E40" s="12"/>
      <c r="F40" s="12"/>
      <c r="H40" s="12"/>
      <c r="I40" s="12"/>
      <c r="J40" s="12"/>
    </row>
    <row r="41" spans="1:10" ht="17.5">
      <c r="A41" s="64" t="s">
        <v>219</v>
      </c>
      <c r="B41" s="12"/>
      <c r="C41" s="64" t="s">
        <v>219</v>
      </c>
      <c r="D41" s="12"/>
      <c r="E41" s="12"/>
      <c r="F41" s="12"/>
      <c r="G41" s="12"/>
      <c r="H41" s="12"/>
      <c r="I41" s="12"/>
      <c r="J41" s="12"/>
    </row>
    <row r="42" spans="1:10" ht="17.5">
      <c r="A42" s="64" t="s">
        <v>217</v>
      </c>
      <c r="B42" s="12"/>
      <c r="C42" s="64" t="s">
        <v>217</v>
      </c>
      <c r="D42" s="12"/>
      <c r="E42" s="12"/>
      <c r="F42" s="12"/>
      <c r="G42" s="12"/>
      <c r="H42" s="12"/>
      <c r="I42" s="12"/>
      <c r="J42" s="12"/>
    </row>
    <row r="43" spans="1:10" ht="17.5">
      <c r="A43" s="64" t="s">
        <v>220</v>
      </c>
      <c r="B43" s="12"/>
      <c r="C43" s="64" t="s">
        <v>220</v>
      </c>
      <c r="D43" s="12"/>
      <c r="E43" s="12"/>
      <c r="F43" s="12"/>
      <c r="G43" s="12"/>
      <c r="H43" s="12"/>
      <c r="I43" s="12"/>
      <c r="J43" s="12"/>
    </row>
    <row r="44" spans="1:10" ht="17.5">
      <c r="A44" s="64" t="s">
        <v>377</v>
      </c>
      <c r="B44" s="12"/>
      <c r="C44" s="64" t="s">
        <v>378</v>
      </c>
      <c r="D44" s="12"/>
      <c r="E44" s="12"/>
      <c r="F44" s="12"/>
      <c r="G44" s="12"/>
      <c r="H44" s="12"/>
      <c r="I44" s="12"/>
      <c r="J44" s="12"/>
    </row>
    <row r="45" spans="1:10" ht="17.5">
      <c r="A45" s="64"/>
      <c r="B45" s="12"/>
      <c r="C45" s="64"/>
      <c r="D45" s="12"/>
      <c r="E45" s="12"/>
      <c r="F45" s="12"/>
      <c r="G45" s="12"/>
      <c r="H45" s="12"/>
      <c r="I45" s="12"/>
      <c r="J45" s="12"/>
    </row>
    <row r="46" spans="1:10" ht="17.5">
      <c r="A46" s="64"/>
      <c r="B46" s="12"/>
      <c r="C46" s="64"/>
      <c r="D46" s="12"/>
      <c r="E46" s="12"/>
      <c r="F46" s="12"/>
      <c r="G46" s="12"/>
      <c r="H46" s="12"/>
      <c r="I46" s="12"/>
      <c r="J46" s="12"/>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13"/>
  <sheetViews>
    <sheetView view="pageBreakPreview" zoomScale="70" zoomScaleNormal="80" zoomScaleSheetLayoutView="70" workbookViewId="0">
      <selection activeCell="H35" sqref="H35"/>
    </sheetView>
  </sheetViews>
  <sheetFormatPr defaultRowHeight="14.5"/>
  <cols>
    <col min="1" max="1" width="50.26953125" customWidth="1"/>
    <col min="2" max="2" width="16.7265625" customWidth="1"/>
    <col min="3" max="3" width="24.54296875" customWidth="1"/>
    <col min="4" max="4" width="26.54296875" customWidth="1"/>
    <col min="5" max="5" width="30.7265625" customWidth="1"/>
    <col min="6" max="6" width="22.453125" customWidth="1"/>
    <col min="7" max="7" width="27" customWidth="1"/>
    <col min="8" max="8" width="43" customWidth="1"/>
    <col min="9" max="9" width="15.26953125" customWidth="1"/>
    <col min="10" max="10" width="24.54296875" customWidth="1"/>
    <col min="11" max="11" width="24.1796875" customWidth="1"/>
    <col min="13" max="13" width="10.54296875" customWidth="1"/>
  </cols>
  <sheetData>
    <row r="1" spans="1:9" ht="25.5">
      <c r="A1" s="24" t="s">
        <v>1</v>
      </c>
      <c r="B1" s="12"/>
      <c r="C1" s="12"/>
      <c r="D1" s="12"/>
      <c r="E1" s="12"/>
      <c r="F1" s="12"/>
      <c r="G1" s="12"/>
      <c r="H1" s="12"/>
      <c r="I1" s="12"/>
    </row>
    <row r="2" spans="1:9" ht="17.5">
      <c r="A2" s="25" t="s">
        <v>9</v>
      </c>
      <c r="B2" s="12"/>
      <c r="C2" s="12"/>
      <c r="D2" s="12"/>
      <c r="E2" s="12"/>
      <c r="F2" s="12"/>
      <c r="G2" s="12"/>
      <c r="H2" s="12"/>
      <c r="I2" s="12"/>
    </row>
    <row r="3" spans="1:9" ht="17">
      <c r="A3" s="26" t="s">
        <v>457</v>
      </c>
      <c r="B3" s="12"/>
      <c r="C3" s="12"/>
      <c r="D3" s="12"/>
      <c r="E3" s="12"/>
      <c r="F3" s="12"/>
      <c r="G3" s="12"/>
      <c r="H3" s="12"/>
      <c r="I3" s="12"/>
    </row>
    <row r="4" spans="1:9" ht="17">
      <c r="A4" s="26"/>
      <c r="B4" s="12"/>
      <c r="C4" s="12"/>
      <c r="D4" s="12"/>
      <c r="E4" s="12"/>
      <c r="F4" s="12"/>
      <c r="G4" s="12"/>
      <c r="H4" s="12"/>
      <c r="I4" s="12"/>
    </row>
    <row r="5" spans="1:9" ht="17.5" thickBot="1">
      <c r="A5" s="12"/>
      <c r="B5" s="12"/>
      <c r="C5" s="12"/>
      <c r="D5" s="12"/>
      <c r="E5" s="12"/>
      <c r="F5" s="12"/>
      <c r="G5" s="12"/>
      <c r="H5" s="12"/>
      <c r="I5" s="27"/>
    </row>
    <row r="6" spans="1:9" ht="21.5" thickBot="1">
      <c r="A6" s="267" t="str">
        <f>+'S&amp;D'!A12</f>
        <v>Electric Wholesale (non-regulated) Power Generator</v>
      </c>
      <c r="B6" s="197"/>
      <c r="C6" s="12"/>
      <c r="D6" s="12"/>
      <c r="E6" s="12"/>
      <c r="F6" s="12"/>
      <c r="G6" s="12"/>
      <c r="H6" s="12"/>
      <c r="I6" s="12"/>
    </row>
    <row r="7" spans="1:9" ht="21">
      <c r="A7" s="31"/>
      <c r="B7" s="12"/>
      <c r="C7" s="12"/>
      <c r="D7" s="12"/>
      <c r="E7" s="12"/>
      <c r="F7" s="12"/>
      <c r="G7" s="12"/>
      <c r="H7" s="12"/>
      <c r="I7" s="12"/>
    </row>
    <row r="8" spans="1:9" ht="21.5" thickBot="1">
      <c r="A8" s="31"/>
      <c r="B8" s="12"/>
      <c r="C8" s="12"/>
      <c r="D8" s="29"/>
      <c r="E8" s="29"/>
      <c r="F8" s="29"/>
      <c r="G8" s="12"/>
      <c r="H8" s="12"/>
      <c r="I8" s="12"/>
    </row>
    <row r="9" spans="1:9" ht="25.5">
      <c r="A9" s="31"/>
      <c r="B9" s="12"/>
      <c r="C9" s="12"/>
      <c r="D9" s="12"/>
      <c r="E9" s="32" t="s">
        <v>195</v>
      </c>
      <c r="F9" s="12"/>
      <c r="G9" s="12"/>
      <c r="H9" s="12"/>
      <c r="I9" s="12"/>
    </row>
    <row r="10" spans="1:9" ht="21.5" thickBot="1">
      <c r="A10" s="31"/>
      <c r="B10" s="12"/>
      <c r="C10" s="12"/>
      <c r="D10" s="29"/>
      <c r="E10" s="33" t="s">
        <v>458</v>
      </c>
      <c r="F10" s="29"/>
      <c r="G10" s="12"/>
      <c r="H10" s="12"/>
      <c r="I10" s="12"/>
    </row>
    <row r="11" spans="1:9" ht="21">
      <c r="A11" s="31"/>
      <c r="B11" s="12"/>
      <c r="C11" s="12"/>
      <c r="D11" s="12"/>
      <c r="E11" s="12"/>
      <c r="F11" s="35"/>
      <c r="G11" s="35"/>
      <c r="H11" s="12"/>
      <c r="I11" s="12"/>
    </row>
    <row r="12" spans="1:9" ht="21">
      <c r="A12" s="31"/>
      <c r="B12" s="12"/>
      <c r="C12" s="12"/>
      <c r="D12" s="12"/>
      <c r="E12" s="12"/>
      <c r="F12" s="35"/>
      <c r="G12" s="35"/>
      <c r="H12" s="12"/>
      <c r="I12" s="12"/>
    </row>
    <row r="13" spans="1:9" ht="45.75" customHeight="1" thickBot="1">
      <c r="A13" s="34" t="s">
        <v>0</v>
      </c>
      <c r="B13" s="34" t="s">
        <v>0</v>
      </c>
      <c r="C13" s="34" t="s">
        <v>0</v>
      </c>
      <c r="D13" s="29"/>
      <c r="E13" s="29"/>
      <c r="F13" s="34" t="s">
        <v>0</v>
      </c>
      <c r="G13" s="34"/>
      <c r="H13" s="34"/>
      <c r="I13" s="12"/>
    </row>
    <row r="14" spans="1:9" ht="17">
      <c r="A14" s="35" t="s">
        <v>0</v>
      </c>
      <c r="B14" s="35" t="s">
        <v>3</v>
      </c>
      <c r="C14" s="35" t="s">
        <v>5</v>
      </c>
      <c r="D14" s="35" t="s">
        <v>191</v>
      </c>
      <c r="E14" s="35" t="s">
        <v>192</v>
      </c>
      <c r="F14" s="35" t="s">
        <v>196</v>
      </c>
      <c r="G14" s="35" t="s">
        <v>19</v>
      </c>
      <c r="H14" s="35" t="s">
        <v>199</v>
      </c>
      <c r="I14" s="12"/>
    </row>
    <row r="15" spans="1:9" ht="17">
      <c r="A15" s="35" t="s">
        <v>2</v>
      </c>
      <c r="B15" s="35" t="s">
        <v>4</v>
      </c>
      <c r="C15" s="35" t="s">
        <v>6</v>
      </c>
      <c r="D15" s="35" t="s">
        <v>380</v>
      </c>
      <c r="E15" s="35" t="s">
        <v>198</v>
      </c>
      <c r="F15" s="35" t="s">
        <v>141</v>
      </c>
      <c r="G15" s="35" t="s">
        <v>197</v>
      </c>
      <c r="H15" s="35" t="s">
        <v>187</v>
      </c>
      <c r="I15" s="12"/>
    </row>
    <row r="16" spans="1:9" ht="17">
      <c r="A16" s="35"/>
      <c r="B16" s="35" t="s">
        <v>0</v>
      </c>
      <c r="C16" s="35" t="s">
        <v>0</v>
      </c>
      <c r="D16" s="35" t="s">
        <v>0</v>
      </c>
      <c r="E16" s="35" t="s">
        <v>197</v>
      </c>
      <c r="F16" s="36" t="s">
        <v>0</v>
      </c>
      <c r="G16" s="35" t="s">
        <v>203</v>
      </c>
      <c r="H16" s="36" t="s">
        <v>204</v>
      </c>
      <c r="I16" s="12"/>
    </row>
    <row r="17" spans="1:11" ht="18" customHeight="1" thickBot="1">
      <c r="A17" s="68" t="s">
        <v>0</v>
      </c>
      <c r="B17" s="38" t="s">
        <v>0</v>
      </c>
      <c r="C17" s="38" t="s">
        <v>0</v>
      </c>
      <c r="D17" s="33" t="s">
        <v>201</v>
      </c>
      <c r="E17" s="33" t="s">
        <v>202</v>
      </c>
      <c r="F17" s="33" t="s">
        <v>200</v>
      </c>
      <c r="G17" s="35" t="s">
        <v>107</v>
      </c>
      <c r="H17" s="152"/>
      <c r="I17" s="12"/>
    </row>
    <row r="18" spans="1:11" ht="17">
      <c r="A18" s="39" t="s">
        <v>0</v>
      </c>
      <c r="B18" s="39" t="s">
        <v>0</v>
      </c>
      <c r="C18" s="39" t="s">
        <v>0</v>
      </c>
      <c r="D18" s="39" t="s">
        <v>7</v>
      </c>
      <c r="E18" s="39" t="s">
        <v>7</v>
      </c>
      <c r="F18" s="39" t="s">
        <v>0</v>
      </c>
      <c r="G18" s="69" t="s">
        <v>0</v>
      </c>
      <c r="H18" s="39" t="s">
        <v>0</v>
      </c>
      <c r="I18" s="12"/>
    </row>
    <row r="19" spans="1:11" ht="17">
      <c r="A19" s="35"/>
      <c r="B19" s="35"/>
      <c r="C19" s="35"/>
      <c r="D19" s="35"/>
      <c r="E19" s="12"/>
      <c r="F19" s="35"/>
      <c r="G19" s="12"/>
      <c r="H19" s="12"/>
      <c r="I19" s="12"/>
      <c r="J19" t="s">
        <v>0</v>
      </c>
      <c r="K19" t="s">
        <v>0</v>
      </c>
    </row>
    <row r="20" spans="1:11" ht="17">
      <c r="A20" s="12"/>
      <c r="B20" s="12"/>
      <c r="C20" s="12"/>
      <c r="D20" s="12"/>
      <c r="E20" s="12"/>
      <c r="F20" s="12"/>
      <c r="G20" s="12"/>
      <c r="H20" s="12" t="s">
        <v>0</v>
      </c>
      <c r="I20" s="12"/>
      <c r="J20" t="s">
        <v>0</v>
      </c>
      <c r="K20" t="s">
        <v>0</v>
      </c>
    </row>
    <row r="21" spans="1:11" ht="17">
      <c r="A21" s="44" t="str">
        <f>+'S&amp;D'!A22</f>
        <v>AES CORPORATION</v>
      </c>
      <c r="B21" s="35" t="str">
        <f>+'S&amp;D'!B22</f>
        <v>AES</v>
      </c>
      <c r="C21" s="35" t="str">
        <f>+'S&amp;D'!C22</f>
        <v>Power Electric</v>
      </c>
      <c r="D21" s="67">
        <f>+'Dividends '!H16</f>
        <v>3.7402597402597403E-2</v>
      </c>
      <c r="E21" s="67">
        <f>+'Single Stage Div Growth Model'!H17</f>
        <v>0</v>
      </c>
      <c r="F21" s="67">
        <f>+'Growth &amp; Inflation Rates'!F93</f>
        <v>4.1099999999999998E-2</v>
      </c>
      <c r="G21" s="67">
        <f t="shared" ref="G21" si="0">(F21+E21)/2</f>
        <v>2.0549999999999999E-2</v>
      </c>
      <c r="H21" s="67">
        <f t="shared" ref="H21:H26" si="1">D21*(1+(0.5*G21))+(0.67*E21)+(0.33*F21)</f>
        <v>5.1349909090909092E-2</v>
      </c>
      <c r="I21" s="12"/>
      <c r="J21" t="s">
        <v>0</v>
      </c>
      <c r="K21" t="s">
        <v>0</v>
      </c>
    </row>
    <row r="22" spans="1:11" ht="17">
      <c r="A22" s="44" t="str">
        <f>+'S&amp;D'!A23</f>
        <v>DOMINION ENERGY INC</v>
      </c>
      <c r="B22" s="35" t="str">
        <f>+'S&amp;D'!B23</f>
        <v>D</v>
      </c>
      <c r="C22" s="35" t="str">
        <f>+'S&amp;D'!C23</f>
        <v>Electric - East</v>
      </c>
      <c r="D22" s="67">
        <f>+'Dividends '!H17</f>
        <v>5.6808510638297872E-2</v>
      </c>
      <c r="E22" s="67">
        <f>+'Single Stage Div Growth Model'!H18</f>
        <v>5.0000000000000001E-3</v>
      </c>
      <c r="F22" s="67">
        <f>+F21</f>
        <v>4.1099999999999998E-2</v>
      </c>
      <c r="G22" s="67">
        <f t="shared" ref="G22:G26" si="2">(F22+E22)/2</f>
        <v>2.3049999999999998E-2</v>
      </c>
      <c r="H22" s="67">
        <f t="shared" si="1"/>
        <v>7.4376228723404256E-2</v>
      </c>
      <c r="I22" s="12"/>
      <c r="J22" t="s">
        <v>0</v>
      </c>
      <c r="K22" t="s">
        <v>0</v>
      </c>
    </row>
    <row r="23" spans="1:11" ht="17">
      <c r="A23" s="44" t="str">
        <f>+'S&amp;D'!A24</f>
        <v>CONSTELLATION ENERGY GENERATION LLC</v>
      </c>
      <c r="B23" s="35" t="str">
        <f>+'S&amp;D'!B24</f>
        <v>CEG</v>
      </c>
      <c r="C23" s="35" t="str">
        <f>+'S&amp;D'!C24</f>
        <v>Power Electric</v>
      </c>
      <c r="D23" s="67">
        <f>+'Dividends '!H18</f>
        <v>1.3260330224997861E-2</v>
      </c>
      <c r="E23" s="67" t="str">
        <f>+'Single Stage Div Growth Model'!H19</f>
        <v>nmf</v>
      </c>
      <c r="F23" s="67">
        <f>+F21</f>
        <v>4.1099999999999998E-2</v>
      </c>
      <c r="G23" s="67" t="s">
        <v>529</v>
      </c>
      <c r="H23" s="67" t="s">
        <v>529</v>
      </c>
      <c r="I23" s="12"/>
      <c r="J23" t="s">
        <v>0</v>
      </c>
      <c r="K23" t="s">
        <v>0</v>
      </c>
    </row>
    <row r="24" spans="1:11" ht="17">
      <c r="A24" s="44" t="str">
        <f>+'S&amp;D'!A25</f>
        <v>NEXTERA ENERGY INC</v>
      </c>
      <c r="B24" s="35" t="str">
        <f>+'S&amp;D'!B25</f>
        <v>NEE</v>
      </c>
      <c r="C24" s="35" t="str">
        <f>+'S&amp;D'!C25</f>
        <v>Electric - East</v>
      </c>
      <c r="D24" s="67">
        <f>+'Dividends '!H19</f>
        <v>3.7043134672374051E-2</v>
      </c>
      <c r="E24" s="67">
        <f>+'Single Stage Div Growth Model'!H20</f>
        <v>8.5000000000000006E-2</v>
      </c>
      <c r="F24" s="67">
        <f>+F21</f>
        <v>4.1099999999999998E-2</v>
      </c>
      <c r="G24" s="67">
        <f t="shared" ref="G24" si="3">(F24+E24)/2</f>
        <v>6.3049999999999995E-2</v>
      </c>
      <c r="H24" s="67">
        <f t="shared" ref="H24" si="4">D24*(1+(0.5*G24))+(0.67*E24)+(0.33*F24)</f>
        <v>0.10872391949292066</v>
      </c>
      <c r="I24" s="12"/>
    </row>
    <row r="25" spans="1:11" ht="17">
      <c r="A25" s="44" t="str">
        <f>+'S&amp;D'!A26</f>
        <v>NRG ENERGY</v>
      </c>
      <c r="B25" s="35" t="str">
        <f>+'S&amp;D'!B26</f>
        <v>NRG</v>
      </c>
      <c r="C25" s="35" t="str">
        <f>+'S&amp;D'!C26</f>
        <v>Power Electric</v>
      </c>
      <c r="D25" s="67">
        <f>+'Dividends '!H20</f>
        <v>3.0947775628626693E-2</v>
      </c>
      <c r="E25" s="67">
        <f>+'Single Stage Div Growth Model'!H21</f>
        <v>-0.02</v>
      </c>
      <c r="F25" s="67">
        <f>+F21</f>
        <v>4.1099999999999998E-2</v>
      </c>
      <c r="G25" s="67">
        <f t="shared" si="2"/>
        <v>1.0549999999999999E-2</v>
      </c>
      <c r="H25" s="67">
        <f t="shared" si="1"/>
        <v>3.1274025145067691E-2</v>
      </c>
      <c r="I25" s="12"/>
      <c r="J25" t="s">
        <v>0</v>
      </c>
      <c r="K25" t="s">
        <v>0</v>
      </c>
    </row>
    <row r="26" spans="1:11" ht="17">
      <c r="A26" s="44" t="str">
        <f>+'S&amp;D'!A27</f>
        <v>SOUTHERN COMPANY</v>
      </c>
      <c r="B26" s="35" t="str">
        <f>+'S&amp;D'!B27</f>
        <v>SO</v>
      </c>
      <c r="C26" s="35" t="str">
        <f>+'S&amp;D'!C27</f>
        <v>Electric - East</v>
      </c>
      <c r="D26" s="67">
        <f>+'Dividends '!H21</f>
        <v>4.1928123217341698E-2</v>
      </c>
      <c r="E26" s="67">
        <f>+'Single Stage Div Growth Model'!H22</f>
        <v>6.5000000000000002E-2</v>
      </c>
      <c r="F26" s="67">
        <f>+F21</f>
        <v>4.1099999999999998E-2</v>
      </c>
      <c r="G26" s="67">
        <f t="shared" si="2"/>
        <v>5.305E-2</v>
      </c>
      <c r="H26" s="67">
        <f t="shared" si="1"/>
        <v>0.1001532666856817</v>
      </c>
      <c r="I26" s="12"/>
      <c r="J26" t="s">
        <v>0</v>
      </c>
      <c r="K26" t="s">
        <v>0</v>
      </c>
    </row>
    <row r="27" spans="1:11" ht="17.5" thickBot="1">
      <c r="A27" s="44" t="str">
        <f>+'S&amp;D'!A28</f>
        <v>VISTRA ENERGY CORPORATION</v>
      </c>
      <c r="B27" s="35" t="str">
        <f>+'S&amp;D'!B28</f>
        <v>VST</v>
      </c>
      <c r="C27" s="35" t="str">
        <f>+'S&amp;D'!C28</f>
        <v>Power Electric</v>
      </c>
      <c r="D27" s="67">
        <f>+'Dividends '!H22</f>
        <v>2.5441329179646935E-2</v>
      </c>
      <c r="E27" s="67" t="str">
        <f>+'Single Stage Div Growth Model'!H23</f>
        <v>nmf</v>
      </c>
      <c r="F27" s="67">
        <f>+F21</f>
        <v>4.1099999999999998E-2</v>
      </c>
      <c r="G27" s="67" t="s">
        <v>529</v>
      </c>
      <c r="H27" s="422" t="s">
        <v>529</v>
      </c>
      <c r="I27" s="12"/>
      <c r="J27" s="11" t="s">
        <v>0</v>
      </c>
      <c r="K27" t="s">
        <v>0</v>
      </c>
    </row>
    <row r="28" spans="1:11" ht="17.5" thickTop="1">
      <c r="A28" s="12"/>
      <c r="B28" s="12"/>
      <c r="C28" s="12"/>
      <c r="D28" s="12"/>
      <c r="E28" s="12"/>
      <c r="F28" s="12"/>
      <c r="G28" s="189" t="s">
        <v>53</v>
      </c>
      <c r="H28" s="57">
        <f>MAX(H21:H27)</f>
        <v>0.10872391949292066</v>
      </c>
      <c r="I28" s="12"/>
    </row>
    <row r="29" spans="1:11" ht="17">
      <c r="A29" s="12"/>
      <c r="B29" s="12"/>
      <c r="C29" s="14" t="s">
        <v>0</v>
      </c>
      <c r="D29" s="15" t="s">
        <v>0</v>
      </c>
      <c r="E29" s="15" t="s">
        <v>0</v>
      </c>
      <c r="F29" s="16" t="s">
        <v>0</v>
      </c>
      <c r="G29" s="16" t="s">
        <v>54</v>
      </c>
      <c r="H29" s="293">
        <f>MIN(H21:H27)</f>
        <v>3.1274025145067691E-2</v>
      </c>
      <c r="I29" s="12"/>
    </row>
    <row r="30" spans="1:11" ht="17">
      <c r="A30" s="12"/>
      <c r="B30" s="12"/>
      <c r="D30" s="57" t="s">
        <v>0</v>
      </c>
      <c r="E30" s="51" t="s">
        <v>0</v>
      </c>
      <c r="F30" s="51" t="s">
        <v>0</v>
      </c>
      <c r="G30" s="14" t="s">
        <v>18</v>
      </c>
      <c r="H30" s="52">
        <f>MEDIAN(H21:H27)</f>
        <v>7.4376228723404256E-2</v>
      </c>
      <c r="I30" s="12"/>
    </row>
    <row r="31" spans="1:11" ht="17">
      <c r="A31" s="12"/>
      <c r="B31" s="12"/>
      <c r="D31" s="57" t="s">
        <v>0</v>
      </c>
      <c r="E31" s="51" t="s">
        <v>0</v>
      </c>
      <c r="F31" s="57" t="s">
        <v>0</v>
      </c>
      <c r="G31" s="14" t="s">
        <v>412</v>
      </c>
      <c r="H31" s="52">
        <f>AVERAGE(H21:H27)</f>
        <v>7.3175469827596679E-2</v>
      </c>
      <c r="I31" s="12"/>
    </row>
    <row r="32" spans="1:11" ht="17">
      <c r="A32" s="12"/>
      <c r="B32" s="12"/>
      <c r="C32" s="14"/>
      <c r="D32" s="18"/>
      <c r="E32" s="19"/>
      <c r="F32" s="18"/>
      <c r="G32" s="20"/>
      <c r="H32" s="20"/>
      <c r="I32" s="12"/>
    </row>
    <row r="33" spans="1:9" ht="17.5" thickBot="1">
      <c r="A33" s="12"/>
      <c r="B33" s="12"/>
      <c r="C33" s="12"/>
      <c r="D33" s="12"/>
      <c r="E33" s="12"/>
      <c r="F33" s="12"/>
      <c r="G33" s="12"/>
      <c r="H33" s="12"/>
      <c r="I33" s="12"/>
    </row>
    <row r="34" spans="1:9" ht="26.5" thickBot="1">
      <c r="A34" s="12"/>
      <c r="B34" s="12"/>
      <c r="C34" s="12"/>
      <c r="D34" s="12"/>
      <c r="F34" s="194"/>
      <c r="G34" s="195" t="s">
        <v>252</v>
      </c>
      <c r="H34" s="338">
        <v>7.3200000000000001E-2</v>
      </c>
      <c r="I34" s="12"/>
    </row>
    <row r="35" spans="1:9" ht="17">
      <c r="A35" s="12"/>
      <c r="B35" s="12"/>
      <c r="C35" s="12"/>
      <c r="D35" s="12"/>
      <c r="E35" s="12"/>
      <c r="F35" s="12"/>
      <c r="G35" s="12"/>
      <c r="H35" s="12"/>
      <c r="I35" s="12"/>
    </row>
    <row r="36" spans="1:9" ht="26.5">
      <c r="A36" s="24" t="s">
        <v>328</v>
      </c>
      <c r="B36" s="12"/>
      <c r="C36" s="12"/>
      <c r="D36" s="12"/>
      <c r="E36" s="12"/>
      <c r="F36" s="12"/>
      <c r="G36" s="23" t="s">
        <v>0</v>
      </c>
      <c r="H36" s="12"/>
      <c r="I36" s="12"/>
    </row>
    <row r="37" spans="1:9" ht="17">
      <c r="A37" s="44"/>
      <c r="B37" s="12"/>
      <c r="C37" s="12"/>
      <c r="D37" s="12"/>
      <c r="E37" s="12"/>
      <c r="F37" s="12"/>
      <c r="G37" s="12"/>
      <c r="H37" s="12"/>
      <c r="I37" s="12"/>
    </row>
    <row r="38" spans="1:9" ht="17.5">
      <c r="A38" s="64" t="s">
        <v>219</v>
      </c>
      <c r="B38" s="12"/>
      <c r="C38" s="12"/>
      <c r="D38" s="12"/>
      <c r="E38" s="12"/>
      <c r="F38" s="12"/>
      <c r="G38" s="12"/>
      <c r="H38" s="12"/>
      <c r="I38" s="12"/>
    </row>
    <row r="39" spans="1:9" ht="17.5">
      <c r="A39" s="64" t="s">
        <v>329</v>
      </c>
      <c r="B39" s="12"/>
      <c r="C39" s="12"/>
      <c r="D39" s="12"/>
      <c r="E39" s="12"/>
      <c r="F39" s="12"/>
      <c r="G39" s="12"/>
      <c r="H39" s="12"/>
      <c r="I39" s="12"/>
    </row>
    <row r="40" spans="1:9" ht="17.5">
      <c r="A40" s="64" t="s">
        <v>330</v>
      </c>
      <c r="B40" s="12"/>
      <c r="C40" s="12"/>
      <c r="D40" s="12"/>
      <c r="E40" s="12"/>
      <c r="F40" s="12"/>
      <c r="G40" s="12"/>
      <c r="H40" s="12"/>
      <c r="I40" s="12"/>
    </row>
    <row r="41" spans="1:9" ht="17.5">
      <c r="A41" s="64" t="s">
        <v>331</v>
      </c>
      <c r="B41" s="12"/>
      <c r="C41" s="12"/>
      <c r="D41" s="12"/>
      <c r="E41" s="12"/>
      <c r="F41" s="12"/>
      <c r="G41" s="12"/>
      <c r="H41" s="12"/>
      <c r="I41" s="12"/>
    </row>
    <row r="42" spans="1:9" ht="17.5">
      <c r="A42" s="64" t="s">
        <v>332</v>
      </c>
      <c r="B42" s="12"/>
      <c r="C42" s="12"/>
      <c r="D42" s="12"/>
      <c r="E42" s="12"/>
      <c r="F42" s="12"/>
      <c r="G42" s="12"/>
      <c r="H42" s="12"/>
      <c r="I42" s="12"/>
    </row>
    <row r="43" spans="1:9" ht="17">
      <c r="A43" s="12"/>
      <c r="B43" s="12"/>
      <c r="C43" s="12"/>
      <c r="D43" s="12"/>
      <c r="E43" s="12"/>
      <c r="F43" s="12"/>
      <c r="G43" s="12"/>
      <c r="H43" s="12"/>
      <c r="I43" s="12"/>
    </row>
    <row r="44" spans="1:9" ht="17">
      <c r="A44" s="44" t="s">
        <v>0</v>
      </c>
      <c r="B44" s="12"/>
      <c r="C44" s="12"/>
      <c r="D44" s="12"/>
      <c r="E44" s="12"/>
      <c r="F44" s="12"/>
      <c r="G44" s="12"/>
      <c r="H44" s="12"/>
      <c r="I44" s="12"/>
    </row>
    <row r="45" spans="1:9" ht="17">
      <c r="A45" s="44"/>
      <c r="B45" s="12"/>
      <c r="C45" s="12"/>
      <c r="D45" s="12"/>
      <c r="E45" s="12"/>
      <c r="F45" s="12"/>
      <c r="G45" s="12"/>
      <c r="H45" s="12"/>
      <c r="I45" s="12"/>
    </row>
    <row r="46" spans="1:9" ht="17">
      <c r="A46" s="12"/>
      <c r="B46" s="12"/>
      <c r="C46" s="12"/>
      <c r="D46" s="12"/>
      <c r="E46" s="12"/>
      <c r="F46" s="12"/>
      <c r="G46" s="12"/>
      <c r="H46" s="12"/>
      <c r="I46" s="12"/>
    </row>
    <row r="47" spans="1:9" ht="17">
      <c r="A47" s="12"/>
      <c r="B47" s="12"/>
      <c r="C47" s="12"/>
      <c r="D47" s="12"/>
      <c r="E47" s="12"/>
      <c r="F47" s="12"/>
      <c r="G47" s="12"/>
      <c r="H47" s="12"/>
      <c r="I47" s="12"/>
    </row>
    <row r="48" spans="1:9" ht="17">
      <c r="A48" s="12"/>
      <c r="B48" s="12"/>
      <c r="C48" s="12"/>
      <c r="D48" s="12"/>
      <c r="E48" s="12"/>
      <c r="F48" s="12"/>
      <c r="G48" s="12"/>
      <c r="H48" s="12"/>
      <c r="I48" s="12"/>
    </row>
    <row r="49" spans="1:9" ht="17">
      <c r="A49" s="12"/>
      <c r="B49" s="12"/>
      <c r="C49" s="12"/>
      <c r="D49" s="12"/>
      <c r="E49" s="12"/>
      <c r="F49" s="12"/>
      <c r="G49" s="12"/>
      <c r="H49" s="12"/>
      <c r="I49" s="12"/>
    </row>
    <row r="50" spans="1:9" ht="17">
      <c r="C50" s="12"/>
      <c r="D50" s="12"/>
      <c r="E50" s="12"/>
      <c r="F50" s="12"/>
      <c r="G50" s="12"/>
      <c r="H50" s="12"/>
      <c r="I50" s="12"/>
    </row>
    <row r="51" spans="1:9" ht="17">
      <c r="C51" s="12"/>
      <c r="D51" s="12"/>
      <c r="E51" s="12"/>
      <c r="F51" s="12"/>
      <c r="G51" s="12"/>
      <c r="H51" s="12"/>
      <c r="I51" s="12"/>
    </row>
    <row r="52" spans="1:9" ht="17">
      <c r="C52" s="12"/>
      <c r="D52" s="12"/>
      <c r="E52" s="12"/>
      <c r="F52" s="12"/>
      <c r="G52" s="12"/>
      <c r="H52" s="12"/>
      <c r="I52" s="12"/>
    </row>
    <row r="53" spans="1:9" ht="17">
      <c r="C53" s="12"/>
      <c r="D53" s="12"/>
      <c r="E53" s="12"/>
      <c r="F53" s="12"/>
      <c r="G53" s="12"/>
      <c r="H53" s="12"/>
      <c r="I53" s="12"/>
    </row>
    <row r="54" spans="1:9" ht="17">
      <c r="C54" s="12"/>
      <c r="D54" s="12"/>
      <c r="E54" s="12"/>
      <c r="F54" s="12"/>
      <c r="G54" s="12"/>
      <c r="H54" s="12"/>
      <c r="I54" s="12"/>
    </row>
    <row r="55" spans="1:9" ht="17">
      <c r="C55" s="12"/>
      <c r="D55" s="12"/>
      <c r="E55" s="12"/>
      <c r="F55" s="12"/>
      <c r="G55" s="12"/>
      <c r="H55" s="12"/>
      <c r="I55" s="12"/>
    </row>
    <row r="56" spans="1:9" ht="17">
      <c r="C56" s="12"/>
      <c r="D56" s="12"/>
      <c r="E56" s="12"/>
      <c r="F56" s="12"/>
      <c r="G56" s="12"/>
      <c r="H56" s="12"/>
      <c r="I56" s="12"/>
    </row>
    <row r="57" spans="1:9" ht="17">
      <c r="A57" s="12"/>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row r="107" spans="1:9" ht="17">
      <c r="A107" s="12"/>
      <c r="B107" s="12"/>
      <c r="C107" s="12"/>
      <c r="D107" s="12"/>
      <c r="E107" s="12"/>
      <c r="F107" s="12"/>
      <c r="G107" s="12"/>
      <c r="H107" s="12"/>
      <c r="I107" s="12"/>
    </row>
    <row r="108" spans="1:9" ht="17">
      <c r="A108" s="12"/>
      <c r="B108" s="12"/>
      <c r="C108" s="12"/>
      <c r="D108" s="12"/>
      <c r="E108" s="12"/>
      <c r="F108" s="12"/>
      <c r="G108" s="12"/>
      <c r="H108" s="12"/>
      <c r="I108" s="12"/>
    </row>
    <row r="109" spans="1:9" ht="17">
      <c r="A109" s="12"/>
      <c r="B109" s="12"/>
      <c r="C109" s="12"/>
      <c r="D109" s="12"/>
      <c r="E109" s="12"/>
      <c r="F109" s="12"/>
      <c r="G109" s="12"/>
      <c r="H109" s="12"/>
      <c r="I109" s="12"/>
    </row>
    <row r="110" spans="1:9" ht="17">
      <c r="A110" s="12"/>
      <c r="B110" s="12"/>
      <c r="C110" s="12"/>
      <c r="D110" s="12"/>
      <c r="E110" s="12"/>
      <c r="F110" s="12"/>
      <c r="G110" s="12"/>
      <c r="H110" s="12"/>
      <c r="I110" s="12"/>
    </row>
    <row r="111" spans="1:9" ht="17">
      <c r="A111" s="12"/>
      <c r="B111" s="12"/>
      <c r="C111" s="12"/>
      <c r="D111" s="12"/>
      <c r="E111" s="12"/>
      <c r="F111" s="12"/>
      <c r="G111" s="12"/>
      <c r="H111" s="12"/>
      <c r="I111" s="12"/>
    </row>
    <row r="112" spans="1:9" ht="17">
      <c r="A112" s="12"/>
      <c r="B112" s="12"/>
      <c r="C112" s="12"/>
      <c r="D112" s="12"/>
      <c r="E112" s="12"/>
      <c r="F112" s="12"/>
      <c r="G112" s="12"/>
      <c r="H112" s="12"/>
      <c r="I112" s="12"/>
    </row>
    <row r="113" spans="1:9" ht="17">
      <c r="A113" s="12"/>
      <c r="B113" s="12"/>
      <c r="C113" s="12"/>
      <c r="D113" s="12"/>
      <c r="E113" s="12"/>
      <c r="F113" s="12"/>
      <c r="G113" s="12"/>
      <c r="H113" s="12"/>
      <c r="I113" s="12"/>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9282-6164-4F23-8F00-A2369B6B55B2}">
  <sheetPr>
    <tabColor rgb="FF92D050"/>
  </sheetPr>
  <dimension ref="A1:N45"/>
  <sheetViews>
    <sheetView view="pageBreakPreview" zoomScale="70" zoomScaleNormal="80" zoomScaleSheetLayoutView="70" workbookViewId="0">
      <selection activeCell="H30" sqref="H30"/>
    </sheetView>
  </sheetViews>
  <sheetFormatPr defaultRowHeight="14.5"/>
  <cols>
    <col min="1" max="1" width="21.54296875" customWidth="1"/>
    <col min="2" max="2" width="38.453125" customWidth="1"/>
    <col min="3" max="3" width="25" customWidth="1"/>
    <col min="4" max="4" width="28.81640625" customWidth="1"/>
    <col min="5" max="5" width="22.453125" customWidth="1"/>
    <col min="6" max="6" width="22.7265625" customWidth="1"/>
    <col min="7" max="7" width="25" customWidth="1"/>
    <col min="8" max="8" width="26.7265625" customWidth="1"/>
    <col min="9" max="9" width="21.54296875" customWidth="1"/>
    <col min="10" max="10" width="21.26953125" customWidth="1"/>
    <col min="11" max="11" width="4.453125" customWidth="1"/>
    <col min="12" max="12" width="22.7265625" customWidth="1"/>
    <col min="13" max="13" width="17.26953125" customWidth="1"/>
  </cols>
  <sheetData>
    <row r="1" spans="1:14" ht="25.5">
      <c r="A1" s="24" t="s">
        <v>1</v>
      </c>
      <c r="C1" s="12"/>
      <c r="D1" s="12"/>
      <c r="E1" s="12"/>
      <c r="F1" s="12"/>
      <c r="G1" s="12"/>
      <c r="H1" s="12"/>
      <c r="I1" s="12"/>
      <c r="J1" s="12"/>
      <c r="K1" s="12"/>
      <c r="L1" s="12"/>
      <c r="M1" s="12"/>
      <c r="N1" s="12"/>
    </row>
    <row r="2" spans="1:14" ht="17.5">
      <c r="A2" s="64" t="s">
        <v>9</v>
      </c>
      <c r="C2" s="12"/>
      <c r="D2" s="12"/>
      <c r="E2" s="12"/>
      <c r="F2" s="12"/>
      <c r="G2" s="12"/>
      <c r="H2" s="12"/>
      <c r="I2" s="12"/>
      <c r="J2" s="12"/>
      <c r="K2" s="12"/>
      <c r="L2" s="12"/>
      <c r="M2" s="12"/>
      <c r="N2" s="12"/>
    </row>
    <row r="3" spans="1:14" ht="17">
      <c r="A3" s="26" t="s">
        <v>457</v>
      </c>
      <c r="C3" s="12"/>
      <c r="D3" s="12"/>
      <c r="E3" s="12"/>
      <c r="F3" s="12"/>
      <c r="G3" s="12"/>
      <c r="H3" s="12"/>
      <c r="I3" s="12"/>
      <c r="J3" s="12"/>
      <c r="K3" s="12"/>
      <c r="L3" s="12"/>
      <c r="M3" s="12"/>
      <c r="N3" s="12"/>
    </row>
    <row r="4" spans="1:14" ht="17">
      <c r="A4" s="12"/>
      <c r="C4" s="12"/>
      <c r="D4" s="12"/>
      <c r="E4" s="27" t="s">
        <v>0</v>
      </c>
      <c r="F4" s="12"/>
      <c r="G4" s="12"/>
      <c r="H4" s="12"/>
      <c r="I4" s="12"/>
      <c r="J4" s="12"/>
      <c r="K4" s="12"/>
      <c r="L4" s="12"/>
      <c r="M4" s="12"/>
      <c r="N4" s="12"/>
    </row>
    <row r="5" spans="1:14" ht="18" thickBot="1">
      <c r="A5" s="64"/>
      <c r="C5" s="12"/>
      <c r="D5" s="12"/>
      <c r="E5" s="12"/>
      <c r="F5" s="12"/>
      <c r="G5" s="12"/>
      <c r="H5" s="12"/>
      <c r="I5" s="12"/>
      <c r="J5" s="12"/>
      <c r="K5" s="12"/>
      <c r="L5" s="12"/>
      <c r="M5" s="12"/>
      <c r="N5" s="12"/>
    </row>
    <row r="6" spans="1:14" ht="21.5" thickBot="1">
      <c r="A6" s="267" t="str">
        <f>+'S&amp;D'!A12</f>
        <v>Electric Wholesale (non-regulated) Power Generator</v>
      </c>
      <c r="B6" s="290"/>
      <c r="C6" s="197"/>
      <c r="D6" s="12"/>
      <c r="E6" s="12"/>
      <c r="F6" s="12"/>
      <c r="G6" s="12"/>
      <c r="H6" s="12"/>
    </row>
    <row r="7" spans="1:14" ht="18" thickBot="1">
      <c r="A7" s="64"/>
      <c r="C7" s="29"/>
      <c r="D7" s="29"/>
      <c r="E7" s="29"/>
      <c r="F7" s="29"/>
      <c r="G7" s="29"/>
      <c r="H7" s="12"/>
    </row>
    <row r="8" spans="1:14" ht="25.5">
      <c r="C8" s="12"/>
      <c r="D8" s="12"/>
      <c r="E8" s="32" t="s">
        <v>360</v>
      </c>
      <c r="F8" s="12"/>
      <c r="G8" s="12"/>
      <c r="H8" s="12"/>
    </row>
    <row r="9" spans="1:14" ht="21.5" thickBot="1">
      <c r="B9" s="31"/>
      <c r="C9" s="29"/>
      <c r="D9" s="29"/>
      <c r="E9" s="33" t="s">
        <v>458</v>
      </c>
      <c r="F9" s="29"/>
      <c r="G9" s="29"/>
      <c r="H9" s="12"/>
    </row>
    <row r="10" spans="1:14" ht="17.5" thickBot="1">
      <c r="B10" s="34" t="s">
        <v>0</v>
      </c>
      <c r="C10" s="34" t="s">
        <v>0</v>
      </c>
      <c r="D10" s="34" t="s">
        <v>0</v>
      </c>
      <c r="E10" s="34" t="s">
        <v>0</v>
      </c>
      <c r="F10" s="34" t="s">
        <v>0</v>
      </c>
      <c r="G10" s="34" t="s">
        <v>0</v>
      </c>
      <c r="H10" s="29"/>
    </row>
    <row r="11" spans="1:14" ht="17">
      <c r="B11" s="35" t="s">
        <v>0</v>
      </c>
      <c r="C11" s="35" t="s">
        <v>3</v>
      </c>
      <c r="D11" s="35" t="s">
        <v>0</v>
      </c>
      <c r="E11" s="35" t="s">
        <v>361</v>
      </c>
      <c r="F11" s="35" t="s">
        <v>247</v>
      </c>
      <c r="G11" s="35" t="s">
        <v>362</v>
      </c>
      <c r="H11" s="35" t="s">
        <v>362</v>
      </c>
    </row>
    <row r="12" spans="1:14" ht="17.5" thickBot="1">
      <c r="B12" s="37" t="s">
        <v>2</v>
      </c>
      <c r="C12" s="37" t="s">
        <v>4</v>
      </c>
      <c r="D12" s="37" t="s">
        <v>28</v>
      </c>
      <c r="E12" s="37" t="s">
        <v>181</v>
      </c>
      <c r="F12" s="37" t="s">
        <v>363</v>
      </c>
      <c r="G12" s="37" t="s">
        <v>379</v>
      </c>
      <c r="H12" s="37" t="s">
        <v>29</v>
      </c>
    </row>
    <row r="13" spans="1:14" ht="15">
      <c r="B13" s="39" t="s">
        <v>0</v>
      </c>
      <c r="C13" s="39" t="s">
        <v>0</v>
      </c>
      <c r="D13" s="40" t="s">
        <v>126</v>
      </c>
      <c r="E13" s="39" t="s">
        <v>127</v>
      </c>
      <c r="F13" s="39" t="s">
        <v>0</v>
      </c>
      <c r="G13" s="39" t="s">
        <v>127</v>
      </c>
      <c r="H13" s="39" t="s">
        <v>0</v>
      </c>
    </row>
    <row r="14" spans="1:14" ht="17">
      <c r="B14" s="35"/>
      <c r="C14" s="35"/>
      <c r="D14" s="35"/>
      <c r="E14" s="35"/>
      <c r="F14" s="35"/>
      <c r="G14" s="35"/>
      <c r="H14" s="35"/>
    </row>
    <row r="15" spans="1:14" ht="17">
      <c r="B15" s="12"/>
      <c r="C15" s="12"/>
      <c r="D15" s="12"/>
      <c r="E15" s="12"/>
      <c r="F15" s="12"/>
      <c r="G15" s="12"/>
      <c r="H15" s="12"/>
    </row>
    <row r="16" spans="1:14" ht="17.5">
      <c r="B16" s="64" t="str">
        <f>+'S&amp;D'!A22</f>
        <v>AES CORPORATION</v>
      </c>
      <c r="C16" s="91" t="str">
        <f>+'S&amp;D'!B22</f>
        <v>AES</v>
      </c>
      <c r="D16" s="186">
        <f>+'S&amp;D'!G22</f>
        <v>19.25</v>
      </c>
      <c r="E16" s="296">
        <v>17.600000000000001</v>
      </c>
      <c r="F16" s="73">
        <f>D16/E16</f>
        <v>1.09375</v>
      </c>
      <c r="G16" s="296">
        <v>6.85</v>
      </c>
      <c r="H16" s="344">
        <f>D16/G16</f>
        <v>2.8102189781021898</v>
      </c>
    </row>
    <row r="17" spans="1:8" ht="17.5">
      <c r="B17" s="64" t="str">
        <f>+'S&amp;D'!A23</f>
        <v>DOMINION ENERGY INC</v>
      </c>
      <c r="C17" s="91" t="str">
        <f>+'S&amp;D'!B23</f>
        <v>D</v>
      </c>
      <c r="D17" s="186">
        <f>+'S&amp;D'!G23</f>
        <v>47</v>
      </c>
      <c r="E17" s="296">
        <v>18.5</v>
      </c>
      <c r="F17" s="344">
        <f t="shared" ref="F17:F21" si="0">D17/E17</f>
        <v>2.5405405405405403</v>
      </c>
      <c r="G17" s="296">
        <v>34.049999999999997</v>
      </c>
      <c r="H17" s="73">
        <f t="shared" ref="H17:H22" si="1">D17/G17</f>
        <v>1.380323054331865</v>
      </c>
    </row>
    <row r="18" spans="1:8" ht="17.5">
      <c r="B18" s="64" t="str">
        <f>+'S&amp;D'!A24</f>
        <v>CONSTELLATION ENERGY GENERATION LLC</v>
      </c>
      <c r="C18" s="91" t="str">
        <f>+'S&amp;D'!B24</f>
        <v>CEG</v>
      </c>
      <c r="D18" s="186">
        <f>+'S&amp;D'!G24</f>
        <v>116.89</v>
      </c>
      <c r="E18" s="296">
        <v>77.400000000000006</v>
      </c>
      <c r="F18" s="73">
        <f t="shared" si="0"/>
        <v>1.5102067183462531</v>
      </c>
      <c r="G18" s="296">
        <v>37.4</v>
      </c>
      <c r="H18" s="73">
        <f t="shared" si="1"/>
        <v>3.1254010695187167</v>
      </c>
    </row>
    <row r="19" spans="1:8" ht="17.5">
      <c r="B19" s="64" t="str">
        <f>+'S&amp;D'!A25</f>
        <v>NEXTERA ENERGY INC</v>
      </c>
      <c r="C19" s="91" t="str">
        <f>+'S&amp;D'!B25</f>
        <v>NEE</v>
      </c>
      <c r="D19" s="186">
        <f>+'S&amp;D'!G25</f>
        <v>60.74</v>
      </c>
      <c r="E19" s="296">
        <v>13.85</v>
      </c>
      <c r="F19" s="73">
        <f>D19/E19</f>
        <v>4.3855595667870038</v>
      </c>
      <c r="G19" s="296">
        <v>24.55</v>
      </c>
      <c r="H19" s="73">
        <f t="shared" ref="H19" si="2">D19/G19</f>
        <v>2.4741344195519348</v>
      </c>
    </row>
    <row r="20" spans="1:8" ht="17.5">
      <c r="B20" s="64" t="str">
        <f>+'S&amp;D'!A26</f>
        <v>NRG ENERGY</v>
      </c>
      <c r="C20" s="91" t="str">
        <f>+'S&amp;D'!B26</f>
        <v>NRG</v>
      </c>
      <c r="D20" s="186">
        <f>+'S&amp;D'!G26</f>
        <v>51.7</v>
      </c>
      <c r="E20" s="296">
        <v>147</v>
      </c>
      <c r="F20" s="73">
        <f>D20/E20</f>
        <v>0.35170068027210888</v>
      </c>
      <c r="G20" s="296">
        <v>13.25</v>
      </c>
      <c r="H20" s="73">
        <f t="shared" si="1"/>
        <v>3.9018867924528302</v>
      </c>
    </row>
    <row r="21" spans="1:8" ht="17.5">
      <c r="B21" s="64" t="str">
        <f>+'S&amp;D'!A27</f>
        <v>SOUTHERN COMPANY</v>
      </c>
      <c r="C21" s="91" t="str">
        <f>+'S&amp;D'!B27</f>
        <v>SO</v>
      </c>
      <c r="D21" s="186">
        <f>+'S&amp;D'!G27</f>
        <v>70.12</v>
      </c>
      <c r="E21" s="296">
        <v>26.4</v>
      </c>
      <c r="F21" s="73">
        <f t="shared" si="0"/>
        <v>2.6560606060606062</v>
      </c>
      <c r="G21" s="296">
        <v>29.9</v>
      </c>
      <c r="H21" s="73">
        <f t="shared" si="1"/>
        <v>2.3451505016722409</v>
      </c>
    </row>
    <row r="22" spans="1:8" ht="17.5">
      <c r="B22" s="64" t="str">
        <f>+'S&amp;D'!A28</f>
        <v>VISTRA ENERGY CORPORATION</v>
      </c>
      <c r="C22" s="91" t="str">
        <f>+'S&amp;D'!B28</f>
        <v>VST</v>
      </c>
      <c r="D22" s="186">
        <f>+'S&amp;D'!G28</f>
        <v>38.520000000000003</v>
      </c>
      <c r="E22" s="296">
        <v>46.95</v>
      </c>
      <c r="F22" s="73">
        <f t="shared" ref="F22" si="3">D22/E22</f>
        <v>0.82044728434504799</v>
      </c>
      <c r="G22" s="296">
        <v>17.75</v>
      </c>
      <c r="H22" s="73">
        <f t="shared" si="1"/>
        <v>2.1701408450704229</v>
      </c>
    </row>
    <row r="23" spans="1:8" ht="10.5" customHeight="1" thickBot="1">
      <c r="B23" s="12"/>
      <c r="C23" s="72"/>
      <c r="D23" s="72"/>
      <c r="E23" s="72"/>
      <c r="F23" s="72"/>
      <c r="G23" s="72"/>
      <c r="H23" s="72"/>
    </row>
    <row r="24" spans="1:8" ht="17.5" thickTop="1">
      <c r="B24" s="12"/>
      <c r="D24" s="14" t="s">
        <v>53</v>
      </c>
      <c r="E24" s="16">
        <f>MAX(E16:E22)</f>
        <v>147</v>
      </c>
      <c r="F24" s="303">
        <f t="shared" ref="F24:H24" si="4">MAX(F16:F22)</f>
        <v>4.3855595667870038</v>
      </c>
      <c r="G24" s="16">
        <f t="shared" si="4"/>
        <v>37.4</v>
      </c>
      <c r="H24" s="16">
        <f t="shared" si="4"/>
        <v>3.9018867924528302</v>
      </c>
    </row>
    <row r="25" spans="1:8" ht="17">
      <c r="B25" s="12"/>
      <c r="D25" s="14" t="s">
        <v>54</v>
      </c>
      <c r="E25" s="335">
        <f>MIN(E16:E22)</f>
        <v>13.85</v>
      </c>
      <c r="F25" s="306">
        <f t="shared" ref="F25:H25" si="5">MIN(F16:F22)</f>
        <v>0.35170068027210888</v>
      </c>
      <c r="G25" s="335">
        <f t="shared" si="5"/>
        <v>6.85</v>
      </c>
      <c r="H25" s="335">
        <f t="shared" si="5"/>
        <v>1.380323054331865</v>
      </c>
    </row>
    <row r="26" spans="1:8" ht="17">
      <c r="B26" s="12"/>
      <c r="D26" s="14" t="s">
        <v>18</v>
      </c>
      <c r="E26" s="58" t="s">
        <v>0</v>
      </c>
      <c r="F26" s="21">
        <f>MEDIAN(F16:F22)</f>
        <v>1.5102067183462531</v>
      </c>
      <c r="G26" s="58" t="s">
        <v>0</v>
      </c>
      <c r="H26" s="21">
        <f>MEDIAN(H16:H22)</f>
        <v>2.4741344195519348</v>
      </c>
    </row>
    <row r="27" spans="1:8" ht="17">
      <c r="B27" s="12"/>
      <c r="D27" s="14" t="s">
        <v>412</v>
      </c>
      <c r="E27" s="74" t="s">
        <v>0</v>
      </c>
      <c r="F27" s="21">
        <f>AVERAGE(F16:F22)</f>
        <v>1.9083236280502227</v>
      </c>
      <c r="G27" s="74" t="s">
        <v>0</v>
      </c>
      <c r="H27" s="21">
        <f>AVERAGE(H16:H22)</f>
        <v>2.6010365229571719</v>
      </c>
    </row>
    <row r="28" spans="1:8" ht="17.5" thickBot="1">
      <c r="B28" s="12"/>
      <c r="C28" s="12"/>
      <c r="D28" s="12"/>
      <c r="E28" s="12"/>
      <c r="F28" s="12"/>
      <c r="G28" s="12"/>
      <c r="H28" s="12"/>
    </row>
    <row r="29" spans="1:8" ht="26" thickBot="1">
      <c r="B29" s="76" t="s">
        <v>0</v>
      </c>
      <c r="C29" s="12"/>
      <c r="D29" s="24" t="s">
        <v>137</v>
      </c>
      <c r="E29" s="24"/>
      <c r="F29" s="388">
        <v>1.91</v>
      </c>
      <c r="G29" s="339"/>
      <c r="H29" s="388">
        <v>2.6</v>
      </c>
    </row>
    <row r="30" spans="1:8" ht="17">
      <c r="B30" s="76" t="s">
        <v>0</v>
      </c>
      <c r="C30" s="12"/>
      <c r="D30" s="12"/>
      <c r="E30" s="12"/>
      <c r="F30" s="12"/>
      <c r="G30" s="12"/>
      <c r="H30" s="12"/>
    </row>
    <row r="31" spans="1:8" ht="17">
      <c r="B31" s="76"/>
      <c r="C31" s="12"/>
      <c r="D31" s="12"/>
      <c r="E31" s="12"/>
      <c r="F31" s="12"/>
      <c r="G31" s="12"/>
      <c r="H31" s="12"/>
    </row>
    <row r="32" spans="1:8" ht="17.5">
      <c r="A32" s="110" t="s">
        <v>364</v>
      </c>
      <c r="B32" s="76"/>
      <c r="C32" s="12"/>
      <c r="D32" s="12"/>
      <c r="E32" s="12"/>
      <c r="F32" s="12"/>
      <c r="G32" s="12"/>
      <c r="H32" s="12"/>
    </row>
    <row r="33" spans="1:8" ht="17.5">
      <c r="A33" s="110" t="s">
        <v>365</v>
      </c>
      <c r="B33" s="76"/>
      <c r="C33" s="12"/>
      <c r="D33" s="12"/>
      <c r="E33" s="12"/>
      <c r="F33" s="12"/>
      <c r="G33" s="12"/>
      <c r="H33" s="12"/>
    </row>
    <row r="34" spans="1:8" ht="17">
      <c r="H34" s="12"/>
    </row>
    <row r="35" spans="1:8" ht="17.5">
      <c r="A35" s="110" t="s">
        <v>366</v>
      </c>
      <c r="H35" s="12"/>
    </row>
    <row r="36" spans="1:8" ht="17.5">
      <c r="A36" s="110" t="s">
        <v>367</v>
      </c>
    </row>
    <row r="37" spans="1:8" ht="17.5">
      <c r="A37" s="110" t="s">
        <v>368</v>
      </c>
    </row>
    <row r="43" spans="1:8" ht="17.5">
      <c r="A43" s="110"/>
      <c r="C43" s="277" t="s">
        <v>0</v>
      </c>
    </row>
    <row r="44" spans="1:8" ht="17.5">
      <c r="C44" s="277" t="s">
        <v>0</v>
      </c>
    </row>
    <row r="45" spans="1:8" ht="17.5">
      <c r="C45" s="277" t="s">
        <v>0</v>
      </c>
    </row>
  </sheetData>
  <pageMargins left="0.25" right="0.25" top="0.75" bottom="0.75" header="0.3" footer="0.3"/>
  <pageSetup scale="45" orientation="landscape" r:id="rId1"/>
  <rowBreaks count="1" manualBreakCount="1">
    <brk id="3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zoomScale="80" zoomScaleNormal="80" zoomScaleSheetLayoutView="80" workbookViewId="0">
      <selection activeCell="G30" sqref="G30"/>
    </sheetView>
  </sheetViews>
  <sheetFormatPr defaultRowHeight="14.5"/>
  <cols>
    <col min="1" max="1" width="22.26953125" customWidth="1"/>
    <col min="2" max="2" width="39.7265625" customWidth="1"/>
    <col min="3" max="3" width="16.81640625" customWidth="1"/>
    <col min="4" max="4" width="35.26953125" customWidth="1"/>
    <col min="5" max="5" width="18" customWidth="1"/>
    <col min="6" max="6" width="20.81640625" bestFit="1" customWidth="1"/>
    <col min="7" max="7" width="22" customWidth="1"/>
    <col min="8" max="8" width="23.7265625" customWidth="1"/>
  </cols>
  <sheetData>
    <row r="1" spans="1:11" ht="25.5">
      <c r="A1" s="24" t="s">
        <v>1</v>
      </c>
      <c r="C1" s="12"/>
      <c r="D1" s="12"/>
      <c r="E1" s="12"/>
      <c r="F1" s="12"/>
      <c r="G1" s="12"/>
      <c r="H1" s="12"/>
      <c r="I1" s="12"/>
      <c r="J1" s="12"/>
      <c r="K1" s="12"/>
    </row>
    <row r="2" spans="1:11" ht="17.5">
      <c r="A2" s="25" t="s">
        <v>9</v>
      </c>
      <c r="C2" s="12"/>
      <c r="D2" s="12"/>
      <c r="E2" s="12"/>
      <c r="F2" s="12"/>
      <c r="G2" s="12"/>
      <c r="H2" s="12"/>
      <c r="I2" s="12"/>
      <c r="J2" s="12"/>
      <c r="K2" s="12"/>
    </row>
    <row r="3" spans="1:11" ht="17.25" customHeight="1">
      <c r="A3" s="26" t="s">
        <v>457</v>
      </c>
      <c r="C3" s="12"/>
      <c r="D3" s="12"/>
      <c r="E3" s="12"/>
      <c r="F3" s="12"/>
      <c r="G3" s="12"/>
      <c r="H3" s="12"/>
      <c r="I3" s="12"/>
      <c r="J3" s="12"/>
      <c r="K3" s="12"/>
    </row>
    <row r="4" spans="1:11" ht="17.25" customHeight="1">
      <c r="B4" s="26"/>
      <c r="C4" s="12"/>
      <c r="D4" s="12"/>
      <c r="E4" s="12"/>
      <c r="F4" s="12"/>
      <c r="G4" s="12"/>
      <c r="H4" s="12"/>
      <c r="I4" s="12"/>
      <c r="J4" s="12"/>
      <c r="K4" s="12"/>
    </row>
    <row r="5" spans="1:11" ht="17.25" customHeight="1">
      <c r="B5" s="147"/>
      <c r="C5" s="12"/>
      <c r="D5" s="12"/>
      <c r="E5" s="12"/>
      <c r="F5" s="12"/>
      <c r="G5" s="12"/>
      <c r="H5" s="12"/>
      <c r="I5" s="12"/>
      <c r="J5" s="12"/>
      <c r="K5" s="12"/>
    </row>
    <row r="6" spans="1:11" ht="17.25" customHeight="1">
      <c r="B6" s="147"/>
      <c r="C6" s="12"/>
      <c r="D6" s="12"/>
      <c r="E6" s="12"/>
      <c r="F6" s="12"/>
      <c r="G6" s="12"/>
      <c r="H6" s="12"/>
      <c r="I6" s="12"/>
      <c r="J6" s="12"/>
      <c r="K6" s="12"/>
    </row>
    <row r="7" spans="1:11" ht="17.25" customHeight="1">
      <c r="B7" s="147"/>
      <c r="C7" s="12"/>
      <c r="D7" s="12"/>
      <c r="E7" s="12"/>
      <c r="F7" s="12"/>
      <c r="G7" s="12"/>
      <c r="H7" s="12"/>
      <c r="I7" s="12"/>
      <c r="J7" s="12"/>
      <c r="K7" s="12"/>
    </row>
    <row r="8" spans="1:11" ht="17">
      <c r="B8" s="26"/>
      <c r="C8" s="12"/>
      <c r="D8" s="12"/>
      <c r="E8" s="12"/>
      <c r="F8" s="12"/>
      <c r="G8" s="12"/>
      <c r="H8" s="12"/>
      <c r="I8" s="12"/>
      <c r="J8" s="12"/>
      <c r="K8" s="12"/>
    </row>
    <row r="9" spans="1:11" ht="21">
      <c r="B9" s="12"/>
      <c r="C9" s="12"/>
      <c r="D9" s="79" t="s">
        <v>0</v>
      </c>
      <c r="E9" s="12"/>
      <c r="F9" s="12"/>
      <c r="G9" s="12"/>
      <c r="H9" s="12"/>
      <c r="I9" s="12"/>
      <c r="J9" s="12"/>
      <c r="K9" s="12"/>
    </row>
    <row r="10" spans="1:11" ht="21">
      <c r="B10" s="12"/>
      <c r="C10" s="12"/>
      <c r="D10" s="79" t="s">
        <v>77</v>
      </c>
      <c r="E10" s="12"/>
      <c r="F10" s="12"/>
      <c r="G10" s="12"/>
      <c r="H10" s="12"/>
      <c r="I10" s="12"/>
      <c r="J10" s="12"/>
      <c r="K10" s="12"/>
    </row>
    <row r="11" spans="1:11" ht="17">
      <c r="B11" s="12"/>
      <c r="C11" s="12"/>
      <c r="D11" s="12"/>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27"/>
      <c r="F13" s="12"/>
      <c r="G13" s="12"/>
      <c r="H13" s="12"/>
      <c r="I13" s="12"/>
      <c r="J13" s="12"/>
      <c r="K13" s="12"/>
    </row>
    <row r="14" spans="1:11" ht="17">
      <c r="B14" s="12"/>
      <c r="C14" s="12"/>
      <c r="D14" s="12"/>
      <c r="E14" s="12"/>
      <c r="F14" s="12"/>
      <c r="G14" s="12"/>
      <c r="H14" s="12"/>
      <c r="I14" s="12"/>
      <c r="J14" s="12"/>
      <c r="K14" s="12"/>
    </row>
    <row r="15" spans="1:11" ht="17.5" thickBot="1">
      <c r="B15" s="12"/>
      <c r="C15" s="29"/>
      <c r="D15" s="29"/>
      <c r="E15" s="29"/>
      <c r="F15" s="12"/>
      <c r="G15" s="12"/>
      <c r="H15" s="12"/>
      <c r="I15" s="12"/>
      <c r="J15" s="12"/>
      <c r="K15" s="12"/>
    </row>
    <row r="16" spans="1:11" ht="25.5">
      <c r="B16" s="12"/>
      <c r="C16" s="12"/>
      <c r="D16" s="32" t="str">
        <f>+'S&amp;D'!A12</f>
        <v>Electric Wholesale (non-regulated) Power Generator</v>
      </c>
      <c r="E16" s="12"/>
      <c r="F16" s="12"/>
      <c r="G16" s="12"/>
      <c r="H16" s="12"/>
      <c r="I16" s="12"/>
      <c r="J16" s="12"/>
      <c r="K16" s="12"/>
    </row>
    <row r="17" spans="2:11" ht="17.5" thickBot="1">
      <c r="B17" s="12"/>
      <c r="C17" s="29"/>
      <c r="D17" s="37" t="s">
        <v>0</v>
      </c>
      <c r="E17" s="29"/>
      <c r="F17" s="12"/>
      <c r="G17" s="12"/>
      <c r="H17" s="12"/>
      <c r="I17" s="12"/>
      <c r="J17" s="12"/>
      <c r="K17" s="12"/>
    </row>
    <row r="18" spans="2:11" ht="17.5" thickBot="1">
      <c r="B18" s="29"/>
      <c r="C18" s="29"/>
      <c r="D18" s="37" t="s">
        <v>0</v>
      </c>
      <c r="E18" s="29"/>
      <c r="F18" s="29"/>
      <c r="G18" s="29"/>
      <c r="H18" s="12"/>
      <c r="I18" s="12"/>
      <c r="J18" s="12"/>
      <c r="K18" s="12"/>
    </row>
    <row r="19" spans="2:11" ht="17">
      <c r="B19" s="35" t="s">
        <v>32</v>
      </c>
      <c r="C19" s="35" t="s">
        <v>33</v>
      </c>
      <c r="D19" s="35" t="s">
        <v>34</v>
      </c>
      <c r="E19" s="35" t="s">
        <v>81</v>
      </c>
      <c r="F19" s="35" t="s">
        <v>34</v>
      </c>
      <c r="G19" s="35" t="s">
        <v>35</v>
      </c>
      <c r="H19" s="12"/>
      <c r="I19" s="12"/>
      <c r="J19" s="12"/>
      <c r="K19" s="12"/>
    </row>
    <row r="20" spans="2:11" ht="17.5" thickBot="1">
      <c r="B20" s="37" t="s">
        <v>33</v>
      </c>
      <c r="C20" s="37" t="s">
        <v>36</v>
      </c>
      <c r="D20" s="37" t="s">
        <v>37</v>
      </c>
      <c r="E20" s="37" t="s">
        <v>23</v>
      </c>
      <c r="F20" s="37" t="s">
        <v>38</v>
      </c>
      <c r="G20" s="37" t="s">
        <v>39</v>
      </c>
      <c r="H20" s="12"/>
      <c r="I20" s="12"/>
      <c r="J20" s="12"/>
      <c r="K20" s="12"/>
    </row>
    <row r="21" spans="2:11" ht="17">
      <c r="B21" s="39" t="s">
        <v>0</v>
      </c>
      <c r="C21" s="39" t="s">
        <v>0</v>
      </c>
      <c r="D21" s="39" t="s">
        <v>0</v>
      </c>
      <c r="E21" s="39" t="s">
        <v>0</v>
      </c>
      <c r="F21" s="39" t="s">
        <v>0</v>
      </c>
      <c r="G21" s="39" t="s">
        <v>0</v>
      </c>
      <c r="H21" s="12"/>
      <c r="I21" s="12"/>
      <c r="J21" s="12"/>
      <c r="K21" s="12"/>
    </row>
    <row r="22" spans="2:11" ht="17">
      <c r="B22" s="35"/>
      <c r="C22" s="35"/>
      <c r="D22" s="35"/>
      <c r="E22" s="35"/>
      <c r="F22" s="35"/>
      <c r="G22" s="35"/>
      <c r="H22" s="12"/>
      <c r="I22" s="12"/>
      <c r="J22" s="12"/>
      <c r="K22" s="12"/>
    </row>
    <row r="23" spans="2:11" ht="17.5">
      <c r="B23" s="91" t="s">
        <v>40</v>
      </c>
      <c r="C23" s="139">
        <f>'S&amp;D'!J50</f>
        <v>0.54</v>
      </c>
      <c r="D23" s="139">
        <f>+'Indicated Yield Equity Rate '!D52</f>
        <v>9.1200000000000003E-2</v>
      </c>
      <c r="E23" s="105" t="s">
        <v>41</v>
      </c>
      <c r="F23" s="139">
        <f>+D23</f>
        <v>9.1200000000000003E-2</v>
      </c>
      <c r="G23" s="140">
        <f>+F23*C23</f>
        <v>4.9248000000000007E-2</v>
      </c>
      <c r="H23" s="12"/>
      <c r="I23" s="12"/>
      <c r="J23" s="12"/>
      <c r="K23" s="12"/>
    </row>
    <row r="24" spans="2:11" ht="17.5">
      <c r="B24" s="91" t="s">
        <v>0</v>
      </c>
      <c r="C24" s="105" t="s">
        <v>0</v>
      </c>
      <c r="D24" s="105" t="s">
        <v>0</v>
      </c>
      <c r="E24" s="105" t="s">
        <v>0</v>
      </c>
      <c r="F24" s="141" t="s">
        <v>0</v>
      </c>
      <c r="G24" s="123" t="s">
        <v>0</v>
      </c>
      <c r="H24" s="12"/>
      <c r="I24" s="12"/>
      <c r="J24" s="12"/>
      <c r="K24" s="12"/>
    </row>
    <row r="25" spans="2:11" ht="17.5">
      <c r="B25" s="91" t="s">
        <v>42</v>
      </c>
      <c r="C25" s="139">
        <f>'S&amp;D'!K50</f>
        <v>0.46</v>
      </c>
      <c r="D25" s="139">
        <f>+'Yield Debt'!J29</f>
        <v>6.0299999999999999E-2</v>
      </c>
      <c r="E25" s="139">
        <v>0.26</v>
      </c>
      <c r="F25" s="139">
        <f>+D25*(1-E25)</f>
        <v>4.4622000000000002E-2</v>
      </c>
      <c r="G25" s="140">
        <f>+C25*F25</f>
        <v>2.0526120000000002E-2</v>
      </c>
      <c r="H25" s="12"/>
      <c r="I25" s="12"/>
      <c r="J25" s="12"/>
      <c r="K25" s="12"/>
    </row>
    <row r="26" spans="2:11" ht="18" thickBot="1">
      <c r="B26" s="99" t="s">
        <v>0</v>
      </c>
      <c r="C26" s="99" t="s">
        <v>0</v>
      </c>
      <c r="D26" s="99" t="s">
        <v>0</v>
      </c>
      <c r="E26" s="99" t="s">
        <v>0</v>
      </c>
      <c r="F26" s="142" t="s">
        <v>0</v>
      </c>
      <c r="G26" s="143" t="s">
        <v>0</v>
      </c>
      <c r="H26" s="12"/>
      <c r="I26" s="12"/>
      <c r="J26" s="12"/>
      <c r="K26" s="12"/>
    </row>
    <row r="27" spans="2:11" ht="17.5">
      <c r="B27" s="91" t="s">
        <v>84</v>
      </c>
      <c r="C27" s="144">
        <f>+C23+C25</f>
        <v>1</v>
      </c>
      <c r="D27" s="91" t="s">
        <v>0</v>
      </c>
      <c r="E27" s="91" t="s">
        <v>0</v>
      </c>
      <c r="F27" s="145" t="s">
        <v>0</v>
      </c>
      <c r="G27" s="140">
        <f>+G23+G25</f>
        <v>6.9774120000000009E-2</v>
      </c>
      <c r="H27" s="12"/>
      <c r="I27" s="12"/>
      <c r="J27" s="12"/>
      <c r="K27" s="12"/>
    </row>
    <row r="28" spans="2:11" ht="18" thickBot="1">
      <c r="B28" s="64"/>
      <c r="C28" s="64"/>
      <c r="D28" s="64"/>
      <c r="E28" s="64"/>
      <c r="F28" s="64"/>
      <c r="G28" s="146"/>
      <c r="H28" s="12"/>
      <c r="I28" s="12"/>
      <c r="J28" s="12"/>
      <c r="K28" s="12"/>
    </row>
    <row r="29" spans="2:11" ht="18" thickBot="1">
      <c r="B29" s="12"/>
      <c r="C29" s="12"/>
      <c r="D29" s="12"/>
      <c r="E29" s="12"/>
      <c r="F29" s="206" t="s">
        <v>87</v>
      </c>
      <c r="G29" s="191">
        <v>6.9800000000000001E-2</v>
      </c>
      <c r="H29" s="12"/>
      <c r="I29" s="12"/>
      <c r="J29" s="12"/>
      <c r="K29" s="12"/>
    </row>
    <row r="30" spans="2:11" ht="17">
      <c r="B30" s="12"/>
      <c r="C30" s="12"/>
      <c r="D30" s="12"/>
      <c r="E30" s="12"/>
      <c r="F30" s="12"/>
      <c r="G30" s="12"/>
      <c r="H30" s="12"/>
      <c r="I30" s="12"/>
      <c r="J30" s="12"/>
      <c r="K30" s="12"/>
    </row>
    <row r="31" spans="2:11" ht="17">
      <c r="B31" s="12"/>
      <c r="C31" s="12"/>
      <c r="D31" s="12"/>
      <c r="E31" s="12"/>
      <c r="F31" s="12"/>
      <c r="G31" s="12"/>
      <c r="H31" s="12"/>
      <c r="I31" s="12"/>
      <c r="J31" s="12"/>
      <c r="K31" s="12"/>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L7" sqref="L7"/>
    </sheetView>
  </sheetViews>
  <sheetFormatPr defaultRowHeight="1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38" zoomScale="80" zoomScaleNormal="80" zoomScaleSheetLayoutView="80" workbookViewId="0">
      <selection activeCell="G63" sqref="G63"/>
    </sheetView>
  </sheetViews>
  <sheetFormatPr defaultRowHeight="14.5"/>
  <cols>
    <col min="1" max="1" width="17.26953125" customWidth="1"/>
    <col min="2" max="2" width="31.7265625" customWidth="1"/>
    <col min="3" max="3" width="16.54296875" customWidth="1"/>
    <col min="4" max="4" width="35.26953125" customWidth="1"/>
    <col min="5" max="5" width="14.81640625" customWidth="1"/>
    <col min="6" max="6" width="25.81640625" customWidth="1"/>
    <col min="7" max="7" width="24.1796875" customWidth="1"/>
    <col min="8" max="8" width="17.7265625" customWidth="1"/>
  </cols>
  <sheetData>
    <row r="1" spans="1:11" ht="25.5">
      <c r="A1" s="24" t="s">
        <v>1</v>
      </c>
      <c r="C1" s="12"/>
      <c r="D1" s="12"/>
      <c r="E1" s="12"/>
      <c r="F1" s="12"/>
      <c r="G1" s="12"/>
      <c r="H1" s="12"/>
      <c r="I1" s="12"/>
      <c r="J1" s="12"/>
      <c r="K1" s="12"/>
    </row>
    <row r="2" spans="1:11" ht="17.5">
      <c r="A2" s="25" t="s">
        <v>9</v>
      </c>
      <c r="C2" s="12"/>
      <c r="D2" s="12"/>
      <c r="E2" s="12"/>
      <c r="F2" s="12"/>
      <c r="G2" s="12"/>
      <c r="H2" s="12"/>
      <c r="I2" s="12"/>
      <c r="J2" s="12"/>
      <c r="K2" s="12"/>
    </row>
    <row r="3" spans="1:11" ht="17">
      <c r="A3" s="26" t="s">
        <v>457</v>
      </c>
      <c r="C3" s="12"/>
      <c r="D3" s="12"/>
      <c r="E3" s="12"/>
      <c r="F3" s="12"/>
      <c r="G3" s="12"/>
      <c r="H3" s="12"/>
      <c r="I3" s="12"/>
      <c r="J3" s="12"/>
      <c r="K3" s="12"/>
    </row>
    <row r="4" spans="1:11" ht="17">
      <c r="B4" s="26"/>
      <c r="C4" s="12"/>
      <c r="D4" s="12"/>
      <c r="E4" s="12"/>
      <c r="F4" s="12"/>
      <c r="G4" s="12"/>
      <c r="H4" s="12"/>
      <c r="I4" s="12"/>
      <c r="J4" s="12"/>
      <c r="K4" s="12"/>
    </row>
    <row r="5" spans="1:11" ht="17">
      <c r="B5" s="26"/>
      <c r="C5" s="12"/>
      <c r="D5" s="12"/>
      <c r="E5" s="12"/>
      <c r="F5" s="12"/>
      <c r="G5" s="12"/>
      <c r="H5" s="12"/>
      <c r="I5" s="12"/>
      <c r="J5" s="12"/>
      <c r="K5" s="12"/>
    </row>
    <row r="6" spans="1:11" ht="17">
      <c r="B6" s="26"/>
      <c r="C6" s="12"/>
      <c r="D6" s="12"/>
      <c r="E6" s="12"/>
      <c r="F6" s="12"/>
      <c r="G6" s="12"/>
      <c r="H6" s="12"/>
      <c r="I6" s="12"/>
      <c r="J6" s="12"/>
      <c r="K6" s="12"/>
    </row>
    <row r="7" spans="1:11" ht="17">
      <c r="B7" s="26"/>
      <c r="C7" s="12"/>
      <c r="D7" s="12"/>
      <c r="E7" s="12"/>
      <c r="F7" s="12"/>
      <c r="G7" s="12"/>
      <c r="H7" s="12"/>
      <c r="I7" s="12"/>
      <c r="J7" s="12"/>
      <c r="K7" s="12"/>
    </row>
    <row r="8" spans="1:11" ht="17">
      <c r="B8" s="26"/>
      <c r="C8" s="12"/>
      <c r="D8" s="12"/>
      <c r="E8" s="12"/>
      <c r="F8" s="12"/>
      <c r="G8" s="12"/>
      <c r="H8" s="12"/>
      <c r="I8" s="12"/>
      <c r="J8" s="12"/>
      <c r="K8" s="12"/>
    </row>
    <row r="9" spans="1:11" ht="17">
      <c r="B9" s="26"/>
      <c r="C9" s="12"/>
      <c r="D9" s="12"/>
      <c r="E9" s="12"/>
      <c r="F9" s="12"/>
      <c r="G9" s="12"/>
      <c r="H9" s="12"/>
      <c r="I9" s="12"/>
      <c r="J9" s="12"/>
      <c r="K9" s="12"/>
    </row>
    <row r="10" spans="1:11" ht="21">
      <c r="B10" s="12"/>
      <c r="C10" s="12"/>
      <c r="D10" s="79" t="s">
        <v>0</v>
      </c>
      <c r="E10" s="12"/>
      <c r="F10" s="12"/>
      <c r="G10" s="12"/>
      <c r="H10" s="12"/>
      <c r="I10" s="12"/>
      <c r="J10" s="12"/>
      <c r="K10" s="12"/>
    </row>
    <row r="11" spans="1:11" ht="21">
      <c r="B11" s="12"/>
      <c r="C11" s="12"/>
      <c r="D11" s="79" t="s">
        <v>76</v>
      </c>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12"/>
      <c r="F13" s="12"/>
      <c r="G13" s="12"/>
      <c r="H13" s="12"/>
      <c r="I13" s="12"/>
      <c r="J13" s="12"/>
      <c r="K13" s="12"/>
    </row>
    <row r="14" spans="1:11" ht="17.5" thickBot="1">
      <c r="B14" s="12"/>
      <c r="C14" s="29"/>
      <c r="D14" s="29"/>
      <c r="E14" s="29"/>
      <c r="F14" s="12"/>
      <c r="G14" s="12"/>
      <c r="H14" s="12"/>
      <c r="I14" s="12"/>
      <c r="J14" s="12"/>
      <c r="K14" s="12"/>
    </row>
    <row r="15" spans="1:11" ht="25.5">
      <c r="B15" s="12"/>
      <c r="C15" s="12"/>
      <c r="D15" s="32" t="str">
        <f>+'S&amp;D'!A12</f>
        <v>Electric Wholesale (non-regulated) Power Generator</v>
      </c>
      <c r="E15" s="12"/>
      <c r="F15" s="12"/>
      <c r="G15" s="12"/>
      <c r="H15" s="12"/>
      <c r="I15" s="12"/>
      <c r="J15" s="12"/>
      <c r="K15" s="12"/>
    </row>
    <row r="16" spans="1:11" ht="21.5" thickBot="1">
      <c r="B16" s="12"/>
      <c r="C16" s="29"/>
      <c r="D16" s="138" t="s">
        <v>83</v>
      </c>
      <c r="E16" s="29"/>
      <c r="F16" s="12"/>
      <c r="G16" s="12"/>
      <c r="H16" s="12"/>
      <c r="I16" s="12"/>
      <c r="J16" s="12"/>
      <c r="K16" s="12"/>
    </row>
    <row r="17" spans="2:11" ht="17">
      <c r="H17" s="12"/>
      <c r="I17" s="12"/>
      <c r="J17" s="12"/>
      <c r="K17" s="12"/>
    </row>
    <row r="18" spans="2:11" ht="17.5" thickBot="1">
      <c r="B18" s="29"/>
      <c r="C18" s="29"/>
      <c r="D18" s="37" t="s">
        <v>0</v>
      </c>
      <c r="E18" s="29"/>
      <c r="F18" s="29"/>
      <c r="G18" s="29"/>
      <c r="H18" s="12"/>
      <c r="I18" s="12"/>
      <c r="J18" s="12"/>
      <c r="K18" s="12"/>
    </row>
    <row r="19" spans="2:11" ht="17">
      <c r="B19" s="35" t="s">
        <v>32</v>
      </c>
      <c r="C19" s="35" t="s">
        <v>33</v>
      </c>
      <c r="D19" s="35" t="s">
        <v>80</v>
      </c>
      <c r="E19" s="35" t="s">
        <v>81</v>
      </c>
      <c r="F19" s="35" t="s">
        <v>79</v>
      </c>
      <c r="G19" s="35" t="s">
        <v>35</v>
      </c>
      <c r="H19" s="12"/>
      <c r="I19" s="12"/>
      <c r="J19" s="12"/>
      <c r="K19" s="12"/>
    </row>
    <row r="20" spans="2:11" ht="17.5" thickBot="1">
      <c r="B20" s="37" t="s">
        <v>33</v>
      </c>
      <c r="C20" s="37" t="s">
        <v>36</v>
      </c>
      <c r="D20" s="37" t="s">
        <v>37</v>
      </c>
      <c r="E20" s="37" t="s">
        <v>23</v>
      </c>
      <c r="F20" s="37" t="s">
        <v>38</v>
      </c>
      <c r="G20" s="37" t="s">
        <v>82</v>
      </c>
      <c r="H20" s="12"/>
      <c r="I20" s="12"/>
      <c r="J20" s="12"/>
      <c r="K20" s="12"/>
    </row>
    <row r="21" spans="2:11" ht="17">
      <c r="B21" s="39" t="s">
        <v>0</v>
      </c>
      <c r="C21" s="39" t="s">
        <v>0</v>
      </c>
      <c r="D21" s="39" t="s">
        <v>0</v>
      </c>
      <c r="E21" s="39" t="s">
        <v>0</v>
      </c>
      <c r="F21" s="39" t="s">
        <v>0</v>
      </c>
      <c r="G21" s="39" t="s">
        <v>0</v>
      </c>
      <c r="H21" s="12"/>
      <c r="I21" s="12"/>
      <c r="J21" s="12"/>
      <c r="K21" s="12"/>
    </row>
    <row r="22" spans="2:11" ht="17">
      <c r="B22" s="35"/>
      <c r="C22" s="35"/>
      <c r="D22" s="35"/>
      <c r="E22" s="35"/>
      <c r="F22" s="35"/>
      <c r="G22" s="35"/>
      <c r="H22" s="12"/>
      <c r="I22" s="12"/>
      <c r="J22" s="12"/>
      <c r="K22" s="12"/>
    </row>
    <row r="23" spans="2:11" ht="17.5">
      <c r="B23" s="91" t="s">
        <v>40</v>
      </c>
      <c r="C23" s="139">
        <f>'S&amp;D'!J50</f>
        <v>0.54</v>
      </c>
      <c r="D23" s="139">
        <f>+'Direct NOPAT'!J33</f>
        <v>6.695000000000001E-2</v>
      </c>
      <c r="E23" s="105" t="s">
        <v>41</v>
      </c>
      <c r="F23" s="139">
        <f>+D23</f>
        <v>6.695000000000001E-2</v>
      </c>
      <c r="G23" s="140">
        <f>+F23*C23</f>
        <v>3.6153000000000005E-2</v>
      </c>
      <c r="H23" s="12"/>
      <c r="I23" s="12"/>
      <c r="J23" s="12"/>
      <c r="K23" s="12"/>
    </row>
    <row r="24" spans="2:11" ht="17.5">
      <c r="B24" s="91" t="s">
        <v>0</v>
      </c>
      <c r="C24" s="105" t="s">
        <v>0</v>
      </c>
      <c r="D24" s="105" t="s">
        <v>0</v>
      </c>
      <c r="E24" s="105" t="s">
        <v>0</v>
      </c>
      <c r="F24" s="141" t="s">
        <v>0</v>
      </c>
      <c r="G24" s="123" t="s">
        <v>0</v>
      </c>
      <c r="H24" s="12"/>
      <c r="I24" s="12"/>
      <c r="J24" s="12"/>
      <c r="K24" s="12"/>
    </row>
    <row r="25" spans="2:11" ht="17.5">
      <c r="B25" s="91" t="s">
        <v>42</v>
      </c>
      <c r="C25" s="139">
        <f>'S&amp;D'!K50</f>
        <v>0.46</v>
      </c>
      <c r="D25" s="139">
        <f>+'Direct Debt'!I32</f>
        <v>5.0299999999999997E-2</v>
      </c>
      <c r="E25" s="139">
        <v>0.26</v>
      </c>
      <c r="F25" s="139">
        <f>+D25*(1-E25)</f>
        <v>3.7221999999999998E-2</v>
      </c>
      <c r="G25" s="140">
        <f>+C25*F25</f>
        <v>1.7122120000000001E-2</v>
      </c>
      <c r="H25" s="12"/>
      <c r="I25" s="12"/>
      <c r="J25" s="12"/>
      <c r="K25" s="12"/>
    </row>
    <row r="26" spans="2:11" ht="18" thickBot="1">
      <c r="B26" s="99" t="s">
        <v>0</v>
      </c>
      <c r="C26" s="99" t="s">
        <v>0</v>
      </c>
      <c r="D26" s="99" t="s">
        <v>0</v>
      </c>
      <c r="E26" s="99" t="s">
        <v>0</v>
      </c>
      <c r="F26" s="142" t="s">
        <v>0</v>
      </c>
      <c r="G26" s="143" t="s">
        <v>0</v>
      </c>
      <c r="H26" s="12"/>
      <c r="I26" s="12"/>
      <c r="J26" s="12"/>
      <c r="K26" s="12"/>
    </row>
    <row r="27" spans="2:11" ht="17.5">
      <c r="B27" s="91" t="s">
        <v>43</v>
      </c>
      <c r="C27" s="144">
        <f>+C23+C25</f>
        <v>1</v>
      </c>
      <c r="D27" s="91" t="s">
        <v>0</v>
      </c>
      <c r="E27" s="91" t="s">
        <v>0</v>
      </c>
      <c r="F27" s="145" t="s">
        <v>0</v>
      </c>
      <c r="G27" s="140">
        <f>+G23+G25</f>
        <v>5.3275120000000009E-2</v>
      </c>
      <c r="H27" s="12"/>
      <c r="I27" s="12"/>
      <c r="J27" s="12"/>
      <c r="K27" s="12"/>
    </row>
    <row r="28" spans="2:11" ht="18" thickBot="1">
      <c r="B28" s="64"/>
      <c r="C28" s="64"/>
      <c r="D28" s="64"/>
      <c r="E28" s="64"/>
      <c r="F28" s="64"/>
      <c r="G28" s="146"/>
      <c r="H28" s="12"/>
      <c r="I28" s="12"/>
      <c r="J28" s="12"/>
      <c r="K28" s="12"/>
    </row>
    <row r="29" spans="2:11" ht="18" thickBot="1">
      <c r="B29" s="12"/>
      <c r="C29" s="12"/>
      <c r="D29" s="12"/>
      <c r="E29" s="12"/>
      <c r="F29" s="206" t="s">
        <v>87</v>
      </c>
      <c r="G29" s="191">
        <v>5.33E-2</v>
      </c>
      <c r="H29" s="12"/>
      <c r="I29" s="12"/>
      <c r="J29" s="12"/>
      <c r="K29" s="12"/>
    </row>
    <row r="30" spans="2:11" ht="18" thickBot="1">
      <c r="B30" s="12"/>
      <c r="C30" s="12"/>
      <c r="D30" s="12"/>
      <c r="E30" s="12"/>
      <c r="F30" s="145"/>
      <c r="G30" s="140"/>
      <c r="H30" s="12"/>
      <c r="I30" s="12"/>
      <c r="J30" s="12"/>
      <c r="K30" s="12"/>
    </row>
    <row r="31" spans="2:11" ht="18" thickBot="1">
      <c r="B31" s="12"/>
      <c r="C31" s="12"/>
      <c r="D31" s="12"/>
      <c r="E31" s="12"/>
      <c r="F31" s="206" t="s">
        <v>248</v>
      </c>
      <c r="G31" s="241">
        <f>1/G29</f>
        <v>18.761726078799249</v>
      </c>
      <c r="H31" s="12"/>
      <c r="I31" s="12"/>
      <c r="J31" s="12"/>
      <c r="K31" s="12"/>
    </row>
    <row r="32" spans="2:11" ht="17.5">
      <c r="B32" s="12"/>
      <c r="C32" s="12"/>
      <c r="D32" s="12"/>
      <c r="E32" s="12"/>
      <c r="F32" s="145"/>
      <c r="G32" s="140"/>
      <c r="H32" s="12"/>
      <c r="I32" s="12"/>
      <c r="J32" s="12"/>
      <c r="K32" s="12"/>
    </row>
    <row r="33" spans="1:11" ht="17.5">
      <c r="B33" s="12"/>
      <c r="C33" s="12"/>
      <c r="D33" s="12"/>
      <c r="E33" s="12"/>
      <c r="F33" s="145"/>
      <c r="G33" s="140"/>
      <c r="H33" s="12"/>
      <c r="I33" s="12"/>
      <c r="J33" s="12"/>
      <c r="K33" s="12"/>
    </row>
    <row r="34" spans="1:11" ht="25.5">
      <c r="A34" s="24" t="s">
        <v>1</v>
      </c>
      <c r="C34" s="12"/>
      <c r="D34" s="12"/>
      <c r="E34" s="12"/>
      <c r="F34" s="145"/>
      <c r="G34" s="140"/>
      <c r="H34" s="12"/>
      <c r="I34" s="12"/>
      <c r="J34" s="12"/>
      <c r="K34" s="12"/>
    </row>
    <row r="35" spans="1:11" ht="17.5">
      <c r="A35" s="25" t="s">
        <v>9</v>
      </c>
      <c r="C35" s="12"/>
      <c r="D35" s="12"/>
      <c r="E35" s="12"/>
      <c r="F35" s="145"/>
      <c r="G35" s="140"/>
      <c r="H35" s="12"/>
      <c r="I35" s="12"/>
      <c r="J35" s="12"/>
      <c r="K35" s="12"/>
    </row>
    <row r="36" spans="1:11" ht="17.5">
      <c r="A36" s="26" t="s">
        <v>457</v>
      </c>
      <c r="C36" s="12"/>
      <c r="D36" s="12"/>
      <c r="E36" s="12"/>
      <c r="F36" s="145"/>
      <c r="G36" s="140"/>
      <c r="H36" s="12"/>
      <c r="I36" s="12"/>
      <c r="J36" s="12"/>
      <c r="K36" s="12"/>
    </row>
    <row r="37" spans="1:11" ht="17.5">
      <c r="A37" s="26"/>
      <c r="C37" s="12"/>
      <c r="D37" s="12"/>
      <c r="E37" s="12"/>
      <c r="F37" s="145"/>
      <c r="G37" s="140"/>
      <c r="H37" s="12"/>
      <c r="I37" s="12"/>
      <c r="J37" s="12"/>
      <c r="K37" s="12"/>
    </row>
    <row r="38" spans="1:11" ht="17.5">
      <c r="A38" s="26"/>
      <c r="C38" s="12"/>
      <c r="D38" s="12"/>
      <c r="E38" s="12"/>
      <c r="F38" s="145"/>
      <c r="G38" s="140"/>
      <c r="H38" s="12"/>
      <c r="I38" s="12"/>
      <c r="J38" s="12"/>
      <c r="K38" s="12"/>
    </row>
    <row r="39" spans="1:11" ht="17.5">
      <c r="A39" s="26"/>
      <c r="C39" s="12"/>
      <c r="D39" s="12"/>
      <c r="E39" s="12"/>
      <c r="F39" s="145"/>
      <c r="G39" s="140"/>
      <c r="H39" s="12"/>
      <c r="I39" s="12"/>
      <c r="J39" s="12"/>
      <c r="K39" s="12"/>
    </row>
    <row r="40" spans="1:11" ht="17.5">
      <c r="A40" s="26"/>
      <c r="C40" s="12"/>
      <c r="D40" s="12"/>
      <c r="E40" s="12"/>
      <c r="F40" s="145"/>
      <c r="G40" s="140"/>
      <c r="H40" s="12"/>
      <c r="I40" s="12"/>
      <c r="J40" s="12"/>
      <c r="K40" s="12"/>
    </row>
    <row r="41" spans="1:11" ht="17.5">
      <c r="A41" s="26"/>
      <c r="C41" s="12"/>
      <c r="D41" s="12"/>
      <c r="E41" s="12"/>
      <c r="F41" s="145"/>
      <c r="G41" s="140"/>
      <c r="H41" s="12"/>
      <c r="I41" s="12"/>
      <c r="J41" s="12"/>
      <c r="K41" s="12"/>
    </row>
    <row r="42" spans="1:11" ht="17.5">
      <c r="A42" s="26"/>
      <c r="C42" s="12"/>
      <c r="D42" s="12"/>
      <c r="E42" s="12"/>
      <c r="F42" s="145"/>
      <c r="G42" s="140"/>
      <c r="H42" s="12"/>
      <c r="I42" s="12"/>
      <c r="J42" s="12"/>
      <c r="K42" s="12"/>
    </row>
    <row r="43" spans="1:11" ht="17.5">
      <c r="A43" s="26"/>
      <c r="C43" s="12"/>
      <c r="D43" s="12"/>
      <c r="E43" s="12"/>
      <c r="F43" s="145"/>
      <c r="G43" s="140"/>
      <c r="H43" s="12"/>
      <c r="I43" s="12"/>
      <c r="J43" s="12"/>
      <c r="K43" s="12"/>
    </row>
    <row r="44" spans="1:11" ht="21">
      <c r="A44" s="26"/>
      <c r="C44" s="12"/>
      <c r="D44" s="79" t="s">
        <v>76</v>
      </c>
      <c r="E44" s="12"/>
      <c r="F44" s="145"/>
      <c r="G44" s="140"/>
      <c r="H44" s="12"/>
      <c r="I44" s="12"/>
      <c r="J44" s="12"/>
      <c r="K44" s="12"/>
    </row>
    <row r="45" spans="1:11" ht="21">
      <c r="A45" s="26"/>
      <c r="C45" s="12"/>
      <c r="D45" s="79"/>
      <c r="E45" s="12"/>
      <c r="F45" s="145"/>
      <c r="G45" s="140"/>
      <c r="H45" s="12"/>
      <c r="I45" s="12"/>
      <c r="J45" s="12"/>
      <c r="K45" s="12"/>
    </row>
    <row r="46" spans="1:11" ht="21">
      <c r="A46" s="26"/>
      <c r="C46" s="12"/>
      <c r="D46" s="79"/>
      <c r="E46" s="12"/>
      <c r="F46" s="145"/>
      <c r="G46" s="140"/>
      <c r="H46" s="12"/>
      <c r="I46" s="12"/>
      <c r="J46" s="12"/>
      <c r="K46" s="12"/>
    </row>
    <row r="47" spans="1:11" ht="17.5" thickBot="1">
      <c r="B47" s="12"/>
      <c r="C47" s="29"/>
      <c r="D47" s="29"/>
      <c r="E47" s="29"/>
      <c r="F47" s="12"/>
      <c r="G47" s="12"/>
      <c r="H47" s="12"/>
      <c r="I47" s="12"/>
      <c r="J47" s="12"/>
      <c r="K47" s="12"/>
    </row>
    <row r="48" spans="1:11" ht="25.5">
      <c r="B48" s="12"/>
      <c r="C48" s="12"/>
      <c r="D48" s="32" t="str">
        <f>+'S&amp;D'!A12</f>
        <v>Electric Wholesale (non-regulated) Power Generator</v>
      </c>
      <c r="E48" s="12"/>
      <c r="F48" s="12"/>
      <c r="G48" s="12"/>
      <c r="H48" s="12"/>
      <c r="I48" s="12"/>
      <c r="J48" s="12"/>
      <c r="K48" s="12"/>
    </row>
    <row r="49" spans="2:11" ht="21.5" thickBot="1">
      <c r="B49" s="12"/>
      <c r="C49" s="29"/>
      <c r="D49" s="138" t="s">
        <v>78</v>
      </c>
      <c r="E49" s="29"/>
      <c r="F49" s="12"/>
      <c r="G49" s="12"/>
      <c r="H49" s="12"/>
      <c r="I49" s="12"/>
      <c r="J49" s="12"/>
      <c r="K49" s="12"/>
    </row>
    <row r="50" spans="2:11" ht="17">
      <c r="B50" s="12"/>
      <c r="C50" s="12"/>
      <c r="D50" s="12"/>
      <c r="E50" s="12"/>
      <c r="F50" s="12"/>
      <c r="G50" s="12"/>
      <c r="H50" s="12"/>
      <c r="I50" s="12"/>
      <c r="J50" s="12"/>
      <c r="K50" s="12"/>
    </row>
    <row r="51" spans="2:11" ht="17.5" thickBot="1">
      <c r="B51" s="29"/>
      <c r="C51" s="29"/>
      <c r="D51" s="37" t="s">
        <v>0</v>
      </c>
      <c r="E51" s="29"/>
      <c r="F51" s="29"/>
      <c r="G51" s="29"/>
      <c r="H51" s="12"/>
      <c r="I51" s="12"/>
      <c r="J51" s="12"/>
      <c r="K51" s="12"/>
    </row>
    <row r="52" spans="2:11" ht="17">
      <c r="B52" s="35" t="s">
        <v>32</v>
      </c>
      <c r="C52" s="35" t="s">
        <v>33</v>
      </c>
      <c r="D52" s="35" t="s">
        <v>80</v>
      </c>
      <c r="E52" s="35" t="s">
        <v>81</v>
      </c>
      <c r="F52" s="35" t="s">
        <v>79</v>
      </c>
      <c r="G52" s="35" t="s">
        <v>35</v>
      </c>
      <c r="H52" s="12"/>
      <c r="I52" s="12"/>
      <c r="J52" s="12"/>
      <c r="K52" s="12"/>
    </row>
    <row r="53" spans="2:11" ht="17.5" thickBot="1">
      <c r="B53" s="37" t="s">
        <v>33</v>
      </c>
      <c r="C53" s="37" t="s">
        <v>36</v>
      </c>
      <c r="D53" s="37" t="s">
        <v>37</v>
      </c>
      <c r="E53" s="37" t="s">
        <v>23</v>
      </c>
      <c r="F53" s="37" t="s">
        <v>38</v>
      </c>
      <c r="G53" s="37" t="s">
        <v>82</v>
      </c>
      <c r="H53" s="12"/>
      <c r="I53" s="12"/>
      <c r="J53" s="12"/>
      <c r="K53" s="12"/>
    </row>
    <row r="54" spans="2:11" ht="17">
      <c r="B54" s="39" t="s">
        <v>0</v>
      </c>
      <c r="C54" s="39" t="s">
        <v>0</v>
      </c>
      <c r="D54" s="39" t="s">
        <v>0</v>
      </c>
      <c r="E54" s="39" t="s">
        <v>0</v>
      </c>
      <c r="F54" s="39" t="s">
        <v>0</v>
      </c>
      <c r="G54" s="39" t="s">
        <v>0</v>
      </c>
      <c r="H54" s="12"/>
      <c r="I54" s="12"/>
      <c r="J54" s="12"/>
      <c r="K54" s="12"/>
    </row>
    <row r="55" spans="2:11" ht="17">
      <c r="B55" s="35"/>
      <c r="C55" s="35"/>
      <c r="D55" s="35"/>
      <c r="E55" s="35"/>
      <c r="F55" s="35"/>
      <c r="G55" s="35"/>
      <c r="H55" s="12"/>
      <c r="I55" s="12"/>
      <c r="J55" s="12"/>
      <c r="K55" s="12"/>
    </row>
    <row r="56" spans="2:11" ht="17.5">
      <c r="B56" s="91" t="s">
        <v>40</v>
      </c>
      <c r="C56" s="139">
        <f>'S&amp;D'!J50</f>
        <v>0.54</v>
      </c>
      <c r="D56" s="139">
        <f>'Direct GCF'!F30</f>
        <v>0.1153</v>
      </c>
      <c r="E56" s="105" t="s">
        <v>41</v>
      </c>
      <c r="F56" s="139">
        <f>+D56</f>
        <v>0.1153</v>
      </c>
      <c r="G56" s="140">
        <f>+F56*C56</f>
        <v>6.2262000000000005E-2</v>
      </c>
      <c r="H56" s="12"/>
      <c r="I56" s="12"/>
      <c r="J56" s="12"/>
      <c r="K56" s="12"/>
    </row>
    <row r="57" spans="2:11" ht="17.5">
      <c r="B57" s="91" t="s">
        <v>0</v>
      </c>
      <c r="C57" s="105" t="s">
        <v>0</v>
      </c>
      <c r="D57" s="105" t="s">
        <v>0</v>
      </c>
      <c r="E57" s="105" t="s">
        <v>0</v>
      </c>
      <c r="F57" s="141" t="s">
        <v>0</v>
      </c>
      <c r="G57" s="123" t="s">
        <v>0</v>
      </c>
      <c r="H57" s="12"/>
      <c r="I57" s="12"/>
      <c r="J57" s="12"/>
      <c r="K57" s="12"/>
    </row>
    <row r="58" spans="2:11" ht="17.5">
      <c r="B58" s="91" t="s">
        <v>42</v>
      </c>
      <c r="C58" s="139">
        <f>'S&amp;D'!K50</f>
        <v>0.46</v>
      </c>
      <c r="D58" s="139">
        <f>+'Direct Debt'!I32</f>
        <v>5.0299999999999997E-2</v>
      </c>
      <c r="E58" s="139">
        <v>0.26</v>
      </c>
      <c r="F58" s="139">
        <f>+D58*(1-E58)</f>
        <v>3.7221999999999998E-2</v>
      </c>
      <c r="G58" s="140">
        <f>+C58*F58</f>
        <v>1.7122120000000001E-2</v>
      </c>
      <c r="H58" s="12"/>
      <c r="I58" s="12"/>
      <c r="J58" s="12"/>
      <c r="K58" s="12"/>
    </row>
    <row r="59" spans="2:11" ht="18" thickBot="1">
      <c r="B59" s="99" t="s">
        <v>0</v>
      </c>
      <c r="C59" s="99" t="s">
        <v>0</v>
      </c>
      <c r="D59" s="99" t="s">
        <v>0</v>
      </c>
      <c r="E59" s="99" t="s">
        <v>0</v>
      </c>
      <c r="F59" s="142" t="s">
        <v>0</v>
      </c>
      <c r="G59" s="143" t="s">
        <v>0</v>
      </c>
      <c r="H59" s="12"/>
      <c r="I59" s="12"/>
      <c r="J59" s="12"/>
      <c r="K59" s="12"/>
    </row>
    <row r="60" spans="2:11" ht="17.5">
      <c r="B60" s="91" t="s">
        <v>43</v>
      </c>
      <c r="C60" s="144">
        <f>+C56+C58</f>
        <v>1</v>
      </c>
      <c r="D60" s="91" t="s">
        <v>0</v>
      </c>
      <c r="E60" s="91" t="s">
        <v>0</v>
      </c>
      <c r="F60" s="145" t="s">
        <v>0</v>
      </c>
      <c r="G60" s="140">
        <f>+G56+G58</f>
        <v>7.9384120000000002E-2</v>
      </c>
      <c r="H60" s="12"/>
      <c r="I60" s="12"/>
      <c r="J60" s="12"/>
      <c r="K60" s="12"/>
    </row>
    <row r="61" spans="2:11" ht="18" thickBot="1">
      <c r="B61" s="64"/>
      <c r="C61" s="64"/>
      <c r="D61" s="64"/>
      <c r="E61" s="64"/>
      <c r="F61" s="64"/>
      <c r="G61" s="146"/>
      <c r="H61" s="12"/>
      <c r="I61" s="12"/>
      <c r="J61" s="12"/>
      <c r="K61" s="12"/>
    </row>
    <row r="62" spans="2:11" ht="18" thickBot="1">
      <c r="B62" s="12"/>
      <c r="C62" s="12"/>
      <c r="D62" s="12"/>
      <c r="E62" s="12"/>
      <c r="F62" s="206" t="s">
        <v>87</v>
      </c>
      <c r="G62" s="191">
        <v>7.9399999999999998E-2</v>
      </c>
      <c r="H62" s="12"/>
      <c r="I62" s="12"/>
      <c r="J62" s="12"/>
      <c r="K62" s="12"/>
    </row>
    <row r="63" spans="2:11" ht="15" thickBot="1"/>
    <row r="64" spans="2:11" ht="18" thickBot="1">
      <c r="F64" s="206" t="s">
        <v>248</v>
      </c>
      <c r="G64" s="241">
        <f>1/G62</f>
        <v>12.594458438287154</v>
      </c>
    </row>
  </sheetData>
  <pageMargins left="0.25" right="0.25" top="0.75" bottom="0.75" header="0.3" footer="0.3"/>
  <pageSetup scale="73"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89"/>
  <sheetViews>
    <sheetView view="pageBreakPreview" topLeftCell="A18" zoomScale="60" zoomScaleNormal="80" zoomScalePageLayoutView="70" workbookViewId="0">
      <pane xSplit="1" topLeftCell="B1" activePane="topRight" state="frozen"/>
      <selection activeCell="F4" sqref="F4"/>
      <selection pane="topRight" activeCell="A28" sqref="A28"/>
    </sheetView>
  </sheetViews>
  <sheetFormatPr defaultRowHeight="14.5"/>
  <cols>
    <col min="1" max="1" width="68.7265625" customWidth="1"/>
    <col min="2" max="2" width="11.54296875" bestFit="1" customWidth="1"/>
    <col min="3" max="3" width="23.7265625" customWidth="1"/>
    <col min="4" max="4" width="25.54296875" bestFit="1" customWidth="1"/>
    <col min="5" max="5" width="28" customWidth="1"/>
    <col min="6" max="6" width="25.7265625" customWidth="1"/>
    <col min="7" max="7" width="26.453125" customWidth="1"/>
    <col min="8" max="8" width="31.81640625" customWidth="1"/>
    <col min="9" max="9" width="31.54296875" customWidth="1"/>
    <col min="10" max="10" width="30.81640625" customWidth="1"/>
    <col min="11" max="11" width="31.453125" customWidth="1"/>
    <col min="12" max="12" width="25.81640625" bestFit="1" customWidth="1"/>
    <col min="13" max="13" width="30.1796875" bestFit="1" customWidth="1"/>
    <col min="14" max="14" width="9.1796875" customWidth="1"/>
  </cols>
  <sheetData>
    <row r="1" spans="1:12" ht="25.5">
      <c r="A1" s="24" t="s">
        <v>1</v>
      </c>
      <c r="B1" s="12"/>
      <c r="C1" s="12"/>
      <c r="D1" s="12"/>
      <c r="E1" s="12"/>
      <c r="F1" s="12"/>
      <c r="G1" s="12"/>
      <c r="H1" s="12"/>
      <c r="I1" s="12"/>
      <c r="J1" s="12"/>
      <c r="K1" s="12"/>
    </row>
    <row r="2" spans="1:12" ht="17.5">
      <c r="A2" s="25" t="s">
        <v>9</v>
      </c>
      <c r="B2" s="12"/>
      <c r="C2" s="12"/>
      <c r="D2" s="12"/>
      <c r="E2" s="12"/>
      <c r="F2" s="12"/>
      <c r="G2" s="12"/>
      <c r="H2" s="12"/>
      <c r="I2" s="12"/>
      <c r="J2" s="12"/>
      <c r="K2" s="12"/>
    </row>
    <row r="3" spans="1:12" ht="17">
      <c r="A3" s="26" t="s">
        <v>457</v>
      </c>
      <c r="B3" s="12"/>
      <c r="C3" s="12"/>
      <c r="D3" s="12"/>
      <c r="E3" s="12"/>
      <c r="F3" s="12"/>
      <c r="G3" s="12"/>
      <c r="H3" s="12"/>
      <c r="I3" s="12"/>
      <c r="J3" s="12"/>
      <c r="K3" s="12"/>
    </row>
    <row r="4" spans="1:12" ht="17">
      <c r="A4" s="26"/>
      <c r="B4" s="12"/>
      <c r="C4" s="12"/>
      <c r="D4" s="12"/>
      <c r="E4" s="12"/>
      <c r="F4" s="204" t="s">
        <v>0</v>
      </c>
      <c r="G4" s="12"/>
      <c r="H4" s="12"/>
      <c r="I4" s="12"/>
      <c r="J4" s="12"/>
      <c r="K4" s="12"/>
    </row>
    <row r="5" spans="1:12" ht="17">
      <c r="B5" s="12"/>
      <c r="C5" s="12"/>
      <c r="D5" s="12"/>
      <c r="E5" s="27"/>
      <c r="F5" s="204" t="s">
        <v>0</v>
      </c>
      <c r="G5" s="12"/>
      <c r="H5" s="12"/>
      <c r="I5" s="12"/>
      <c r="J5" s="12"/>
      <c r="K5" s="12" t="s">
        <v>0</v>
      </c>
    </row>
    <row r="6" spans="1:12" ht="17">
      <c r="A6" s="12"/>
      <c r="B6" s="12"/>
      <c r="C6" s="12"/>
      <c r="D6" s="12"/>
      <c r="E6" s="12"/>
      <c r="F6" s="12"/>
      <c r="G6" s="12"/>
      <c r="H6" s="12"/>
      <c r="I6" s="12"/>
      <c r="J6" s="12"/>
      <c r="K6" s="12"/>
    </row>
    <row r="7" spans="1:12" ht="17">
      <c r="A7" s="12"/>
      <c r="B7" s="35"/>
      <c r="C7" s="35"/>
      <c r="D7" s="35"/>
      <c r="E7" s="35"/>
      <c r="F7" s="35"/>
      <c r="G7" s="14"/>
      <c r="H7" s="44"/>
      <c r="I7" s="44"/>
      <c r="J7" s="86"/>
      <c r="K7" s="86"/>
      <c r="L7" s="3"/>
    </row>
    <row r="8" spans="1:12" ht="17">
      <c r="A8" s="87"/>
      <c r="B8" s="35"/>
      <c r="C8" s="35"/>
      <c r="D8" s="35"/>
      <c r="E8" s="35"/>
      <c r="F8" s="35"/>
      <c r="G8" s="14"/>
      <c r="H8" s="44"/>
      <c r="I8" s="44"/>
      <c r="J8" s="86"/>
      <c r="K8" s="86"/>
      <c r="L8" s="3"/>
    </row>
    <row r="9" spans="1:12" ht="17">
      <c r="A9" s="87"/>
      <c r="B9" s="35"/>
      <c r="C9" s="35"/>
      <c r="D9" s="35"/>
      <c r="E9" s="35"/>
      <c r="F9" s="35"/>
      <c r="G9" s="14"/>
      <c r="H9" s="44"/>
      <c r="I9" s="44"/>
      <c r="J9" s="86"/>
      <c r="K9" s="86"/>
      <c r="L9" s="3"/>
    </row>
    <row r="10" spans="1:12" ht="17">
      <c r="A10" s="44"/>
      <c r="D10" s="44"/>
      <c r="E10" s="44"/>
      <c r="F10" s="44"/>
      <c r="G10" s="44"/>
      <c r="H10" s="44"/>
      <c r="I10" s="44"/>
      <c r="J10" s="44"/>
      <c r="K10" s="44"/>
      <c r="L10" s="2"/>
    </row>
    <row r="11" spans="1:12" ht="17.5" thickBot="1">
      <c r="A11" s="44"/>
      <c r="D11" s="44"/>
      <c r="E11" s="88"/>
      <c r="F11" s="29"/>
      <c r="G11" s="88"/>
      <c r="H11" s="44"/>
      <c r="I11" s="44"/>
      <c r="J11" s="44"/>
      <c r="K11" s="44"/>
      <c r="L11" s="2"/>
    </row>
    <row r="12" spans="1:12" ht="26" thickBot="1">
      <c r="A12" s="28" t="s">
        <v>423</v>
      </c>
      <c r="D12" s="44"/>
      <c r="E12" s="44"/>
      <c r="F12" s="32" t="s">
        <v>88</v>
      </c>
      <c r="G12" s="44"/>
      <c r="H12" s="44"/>
      <c r="I12" s="44"/>
      <c r="J12" s="44"/>
      <c r="K12" s="12"/>
    </row>
    <row r="13" spans="1:12" ht="21.5" thickBot="1">
      <c r="A13" s="31"/>
      <c r="D13" s="44"/>
      <c r="E13" s="88"/>
      <c r="F13" s="37" t="s">
        <v>458</v>
      </c>
      <c r="G13" s="88"/>
      <c r="H13" s="44"/>
      <c r="I13" s="44"/>
      <c r="J13" s="44" t="s">
        <v>0</v>
      </c>
      <c r="K13" s="12"/>
    </row>
    <row r="14" spans="1:12" ht="21">
      <c r="A14" s="31"/>
      <c r="B14" s="44"/>
      <c r="C14" s="44"/>
      <c r="D14" s="44"/>
      <c r="E14" s="44"/>
      <c r="F14" s="13" t="s">
        <v>0</v>
      </c>
      <c r="G14" s="44"/>
      <c r="H14" s="44"/>
      <c r="I14" s="44"/>
      <c r="J14" s="44"/>
      <c r="K14" s="12"/>
    </row>
    <row r="15" spans="1:12" ht="17.5" thickBot="1">
      <c r="A15" s="42" t="s">
        <v>0</v>
      </c>
      <c r="B15" s="42" t="s">
        <v>0</v>
      </c>
      <c r="C15" s="42" t="s">
        <v>0</v>
      </c>
      <c r="D15" s="42"/>
      <c r="E15" s="42"/>
      <c r="F15" s="42"/>
      <c r="G15" s="42" t="s">
        <v>0</v>
      </c>
      <c r="H15" s="88"/>
      <c r="I15" s="88"/>
      <c r="J15" s="88"/>
      <c r="K15" s="12"/>
    </row>
    <row r="16" spans="1:12" ht="17.5">
      <c r="A16" s="89"/>
      <c r="B16" s="90"/>
      <c r="C16" s="257"/>
      <c r="D16" s="92" t="s">
        <v>13</v>
      </c>
      <c r="E16" s="93" t="s">
        <v>13</v>
      </c>
      <c r="F16" s="92" t="s">
        <v>13</v>
      </c>
      <c r="G16" s="256" t="s">
        <v>258</v>
      </c>
      <c r="H16" s="419" t="s">
        <v>460</v>
      </c>
      <c r="I16" s="419" t="s">
        <v>460</v>
      </c>
      <c r="J16" s="419" t="s">
        <v>460</v>
      </c>
      <c r="K16" s="12"/>
    </row>
    <row r="17" spans="1:13" ht="17.5">
      <c r="A17" s="89" t="s">
        <v>0</v>
      </c>
      <c r="B17" s="90" t="s">
        <v>3</v>
      </c>
      <c r="C17" s="90" t="s">
        <v>5</v>
      </c>
      <c r="D17" s="92" t="s">
        <v>10</v>
      </c>
      <c r="E17" s="93" t="s">
        <v>10</v>
      </c>
      <c r="F17" s="92" t="s">
        <v>19</v>
      </c>
      <c r="G17" s="416" t="s">
        <v>460</v>
      </c>
      <c r="H17" s="90" t="s">
        <v>12</v>
      </c>
      <c r="I17" s="95" t="s">
        <v>11</v>
      </c>
      <c r="J17" s="96" t="s">
        <v>166</v>
      </c>
      <c r="K17" s="12"/>
    </row>
    <row r="18" spans="1:13" ht="17.5">
      <c r="A18" s="89" t="s">
        <v>2</v>
      </c>
      <c r="B18" s="90" t="s">
        <v>4</v>
      </c>
      <c r="C18" s="90" t="s">
        <v>6</v>
      </c>
      <c r="D18" s="92" t="s">
        <v>53</v>
      </c>
      <c r="E18" s="93" t="s">
        <v>54</v>
      </c>
      <c r="F18" s="92" t="s">
        <v>10</v>
      </c>
      <c r="G18" s="416" t="s">
        <v>10</v>
      </c>
      <c r="H18" s="90" t="s">
        <v>86</v>
      </c>
      <c r="I18" s="420"/>
      <c r="J18" s="96" t="s">
        <v>526</v>
      </c>
      <c r="K18" s="12" t="s">
        <v>0</v>
      </c>
    </row>
    <row r="19" spans="1:13" ht="18" thickBot="1">
      <c r="A19" s="97" t="s">
        <v>0</v>
      </c>
      <c r="B19" s="98" t="s">
        <v>0</v>
      </c>
      <c r="C19" s="98" t="s">
        <v>0</v>
      </c>
      <c r="D19" s="98" t="s">
        <v>0</v>
      </c>
      <c r="E19" s="99" t="s">
        <v>0</v>
      </c>
      <c r="F19" s="98" t="s">
        <v>0</v>
      </c>
      <c r="G19" s="97" t="s">
        <v>0</v>
      </c>
      <c r="H19" s="100" t="s">
        <v>75</v>
      </c>
      <c r="I19" s="100" t="s">
        <v>74</v>
      </c>
      <c r="J19" s="100" t="s">
        <v>74</v>
      </c>
      <c r="K19" s="12" t="s">
        <v>0</v>
      </c>
    </row>
    <row r="20" spans="1:13" ht="17">
      <c r="A20" s="101" t="s">
        <v>7</v>
      </c>
      <c r="B20" s="102" t="s">
        <v>7</v>
      </c>
      <c r="C20" s="102" t="s">
        <v>7</v>
      </c>
      <c r="D20" s="102" t="s">
        <v>7</v>
      </c>
      <c r="E20" s="43" t="s">
        <v>7</v>
      </c>
      <c r="F20" s="102" t="s">
        <v>15</v>
      </c>
      <c r="G20" s="101" t="s">
        <v>7</v>
      </c>
      <c r="H20" s="102" t="s">
        <v>8</v>
      </c>
      <c r="I20" s="102" t="s">
        <v>8</v>
      </c>
      <c r="J20" s="102" t="s">
        <v>8</v>
      </c>
      <c r="K20" s="12"/>
    </row>
    <row r="21" spans="1:13" ht="17.5">
      <c r="A21" s="89"/>
      <c r="B21" s="90"/>
      <c r="C21" s="90"/>
      <c r="D21" s="90"/>
      <c r="E21" s="91"/>
      <c r="F21" s="90"/>
      <c r="G21" s="89"/>
      <c r="H21" s="90"/>
      <c r="I21" s="103"/>
      <c r="J21" s="103"/>
      <c r="K21" s="12"/>
    </row>
    <row r="22" spans="1:13" ht="17.5">
      <c r="A22" s="104" t="s">
        <v>389</v>
      </c>
      <c r="B22" s="81" t="s">
        <v>390</v>
      </c>
      <c r="C22" s="91" t="s">
        <v>506</v>
      </c>
      <c r="D22" s="106">
        <v>20.239999999999998</v>
      </c>
      <c r="E22" s="61">
        <v>11.43</v>
      </c>
      <c r="F22" s="106">
        <f>AVERAGE(D22,E22)</f>
        <v>15.834999999999999</v>
      </c>
      <c r="G22" s="417">
        <v>19.25</v>
      </c>
      <c r="H22" s="421">
        <f>669693234</f>
        <v>669693234</v>
      </c>
      <c r="I22" s="324">
        <v>1043050</v>
      </c>
      <c r="J22" s="324">
        <f>4264000000+18482000000+200000000+3932000000</f>
        <v>26878000000</v>
      </c>
      <c r="K22" s="12" t="s">
        <v>0</v>
      </c>
    </row>
    <row r="23" spans="1:13" ht="17.5">
      <c r="A23" s="107" t="s">
        <v>391</v>
      </c>
      <c r="B23" s="81" t="s">
        <v>104</v>
      </c>
      <c r="C23" s="91" t="s">
        <v>505</v>
      </c>
      <c r="D23" s="106">
        <v>50.7</v>
      </c>
      <c r="E23" s="61">
        <v>39.18</v>
      </c>
      <c r="F23" s="106">
        <f t="shared" ref="F23:F28" si="0">AVERAGE(D23,E23)</f>
        <v>44.94</v>
      </c>
      <c r="G23" s="417">
        <v>47</v>
      </c>
      <c r="H23" s="421">
        <v>838000000</v>
      </c>
      <c r="I23" s="324">
        <v>1783000000</v>
      </c>
      <c r="J23" s="421">
        <f>33248000000+6589000000+450000000+3956000000</f>
        <v>44243000000</v>
      </c>
      <c r="K23" s="425" t="s">
        <v>0</v>
      </c>
      <c r="L23" s="4" t="s">
        <v>0</v>
      </c>
    </row>
    <row r="24" spans="1:13" ht="17.5">
      <c r="A24" s="107" t="s">
        <v>520</v>
      </c>
      <c r="B24" s="81" t="s">
        <v>517</v>
      </c>
      <c r="C24" s="91" t="s">
        <v>506</v>
      </c>
      <c r="D24" s="106">
        <v>117.27</v>
      </c>
      <c r="E24" s="61">
        <v>115.93</v>
      </c>
      <c r="F24" s="106">
        <f t="shared" si="0"/>
        <v>116.6</v>
      </c>
      <c r="G24" s="417">
        <v>116.89</v>
      </c>
      <c r="H24" s="324">
        <v>317000000</v>
      </c>
      <c r="I24" s="324"/>
      <c r="J24" s="324">
        <f>7496000000+121000000</f>
        <v>7617000000</v>
      </c>
    </row>
    <row r="25" spans="1:13" ht="17.5">
      <c r="A25" s="427" t="s">
        <v>402</v>
      </c>
      <c r="B25" s="81" t="s">
        <v>401</v>
      </c>
      <c r="C25" s="91" t="s">
        <v>505</v>
      </c>
      <c r="D25" s="106">
        <v>64.59</v>
      </c>
      <c r="E25" s="61">
        <v>47.15</v>
      </c>
      <c r="F25" s="106">
        <f>AVERAGE(D25,E25)</f>
        <v>55.870000000000005</v>
      </c>
      <c r="G25" s="417">
        <v>60.74</v>
      </c>
      <c r="H25" s="324">
        <v>2052000000</v>
      </c>
      <c r="I25" s="324"/>
      <c r="J25" s="324">
        <f>61405000000+6901000000</f>
        <v>68306000000</v>
      </c>
    </row>
    <row r="26" spans="1:13" ht="17.5">
      <c r="A26" s="107" t="s">
        <v>392</v>
      </c>
      <c r="B26" s="81" t="s">
        <v>393</v>
      </c>
      <c r="C26" s="91" t="s">
        <v>506</v>
      </c>
      <c r="D26" s="106">
        <v>52.16</v>
      </c>
      <c r="E26" s="61">
        <v>36.61</v>
      </c>
      <c r="F26" s="106">
        <f t="shared" si="0"/>
        <v>44.384999999999998</v>
      </c>
      <c r="G26" s="417">
        <v>51.7</v>
      </c>
      <c r="H26" s="421">
        <f>208130950</f>
        <v>208130950</v>
      </c>
      <c r="I26" s="324">
        <v>650000000</v>
      </c>
      <c r="J26" s="324">
        <f>10133000000+620000000</f>
        <v>10753000000</v>
      </c>
      <c r="K26" s="12"/>
    </row>
    <row r="27" spans="1:13" ht="17.5">
      <c r="A27" s="107" t="s">
        <v>394</v>
      </c>
      <c r="B27" s="81" t="s">
        <v>55</v>
      </c>
      <c r="C27" s="91" t="s">
        <v>505</v>
      </c>
      <c r="D27" s="106">
        <v>73.42</v>
      </c>
      <c r="E27" s="61">
        <v>61.56</v>
      </c>
      <c r="F27" s="106">
        <f t="shared" si="0"/>
        <v>67.490000000000009</v>
      </c>
      <c r="G27" s="417">
        <v>70.12</v>
      </c>
      <c r="H27" s="324">
        <f>1092000000-1000000</f>
        <v>1091000000</v>
      </c>
      <c r="I27" s="324"/>
      <c r="J27" s="324">
        <f>57210000000+2476000000</f>
        <v>59686000000</v>
      </c>
      <c r="L27" t="s">
        <v>0</v>
      </c>
    </row>
    <row r="28" spans="1:13" ht="18" thickBot="1">
      <c r="A28" s="108" t="s">
        <v>395</v>
      </c>
      <c r="B28" s="82" t="s">
        <v>396</v>
      </c>
      <c r="C28" s="98" t="s">
        <v>506</v>
      </c>
      <c r="D28" s="325">
        <v>38.9</v>
      </c>
      <c r="E28" s="326">
        <v>31.16</v>
      </c>
      <c r="F28" s="325">
        <f t="shared" si="0"/>
        <v>35.03</v>
      </c>
      <c r="G28" s="418">
        <v>38.520000000000003</v>
      </c>
      <c r="H28" s="429">
        <f>351457016</f>
        <v>351457016</v>
      </c>
      <c r="I28" s="328">
        <v>2476000000</v>
      </c>
      <c r="J28" s="328">
        <f>12116000000+2286000000</f>
        <v>14402000000</v>
      </c>
      <c r="K28" s="12"/>
      <c r="M28" s="10" t="s">
        <v>0</v>
      </c>
    </row>
    <row r="29" spans="1:13" ht="17.5">
      <c r="A29" s="110"/>
      <c r="B29" s="110"/>
      <c r="C29" s="110"/>
      <c r="D29" s="110"/>
      <c r="E29" s="110"/>
      <c r="F29" s="110"/>
      <c r="G29" s="110"/>
      <c r="H29" s="342" t="s">
        <v>0</v>
      </c>
      <c r="I29" s="110" t="s">
        <v>0</v>
      </c>
      <c r="J29" s="110"/>
      <c r="K29" s="12" t="s">
        <v>0</v>
      </c>
    </row>
    <row r="30" spans="1:13" ht="17.5">
      <c r="A30" s="110"/>
      <c r="B30" s="110"/>
      <c r="C30" s="110"/>
      <c r="D30" s="110"/>
      <c r="E30" s="110"/>
      <c r="F30" s="110"/>
      <c r="G30" s="110"/>
      <c r="H30" s="110"/>
      <c r="I30" s="110" t="s">
        <v>0</v>
      </c>
      <c r="J30" s="110" t="s">
        <v>0</v>
      </c>
      <c r="K30" s="12" t="s">
        <v>0</v>
      </c>
    </row>
    <row r="31" spans="1:13" ht="18" thickBot="1">
      <c r="A31" s="111" t="s">
        <v>0</v>
      </c>
      <c r="B31" s="112"/>
      <c r="C31" s="112"/>
      <c r="D31" s="112"/>
      <c r="E31" s="112"/>
      <c r="F31" s="29"/>
      <c r="G31" s="112"/>
      <c r="H31" s="112"/>
      <c r="I31" s="112"/>
      <c r="J31" s="110"/>
      <c r="K31" s="110"/>
      <c r="L31" s="4"/>
    </row>
    <row r="32" spans="1:13" ht="17.5">
      <c r="A32" s="113"/>
      <c r="B32" s="431"/>
      <c r="C32" s="431"/>
      <c r="D32" s="431"/>
      <c r="E32" s="419" t="s">
        <v>0</v>
      </c>
      <c r="F32" s="419" t="s">
        <v>0</v>
      </c>
      <c r="G32" s="438"/>
      <c r="H32" s="216"/>
      <c r="I32" s="114"/>
      <c r="J32" s="113"/>
      <c r="K32" s="431"/>
      <c r="L32" s="4"/>
    </row>
    <row r="33" spans="1:12" ht="17.5">
      <c r="A33" s="89"/>
      <c r="B33" s="90"/>
      <c r="C33" s="90"/>
      <c r="D33" s="432" t="s">
        <v>460</v>
      </c>
      <c r="E33" s="432" t="s">
        <v>460</v>
      </c>
      <c r="F33" s="432" t="s">
        <v>460</v>
      </c>
      <c r="G33" s="432" t="s">
        <v>460</v>
      </c>
      <c r="H33" s="432" t="s">
        <v>460</v>
      </c>
      <c r="I33" s="94" t="s">
        <v>460</v>
      </c>
      <c r="J33" s="416" t="s">
        <v>460</v>
      </c>
      <c r="K33" s="432" t="s">
        <v>460</v>
      </c>
      <c r="L33" s="5"/>
    </row>
    <row r="34" spans="1:12" ht="17.5">
      <c r="A34" s="89" t="s">
        <v>0</v>
      </c>
      <c r="B34" s="90" t="s">
        <v>3</v>
      </c>
      <c r="C34" s="90" t="s">
        <v>5</v>
      </c>
      <c r="D34" s="90" t="s">
        <v>12</v>
      </c>
      <c r="E34" s="96" t="s">
        <v>165</v>
      </c>
      <c r="F34" s="96" t="s">
        <v>308</v>
      </c>
      <c r="G34" s="96" t="s">
        <v>397</v>
      </c>
      <c r="H34" s="90" t="s">
        <v>224</v>
      </c>
      <c r="I34" s="105" t="s">
        <v>16</v>
      </c>
      <c r="J34" s="329" t="s">
        <v>17</v>
      </c>
      <c r="K34" s="96" t="s">
        <v>61</v>
      </c>
      <c r="L34" s="5"/>
    </row>
    <row r="35" spans="1:12" ht="18" thickBot="1">
      <c r="A35" s="97" t="s">
        <v>2</v>
      </c>
      <c r="B35" s="98" t="s">
        <v>4</v>
      </c>
      <c r="C35" s="98" t="s">
        <v>6</v>
      </c>
      <c r="D35" s="98" t="s">
        <v>14</v>
      </c>
      <c r="E35" s="98" t="s">
        <v>14</v>
      </c>
      <c r="F35" s="98" t="s">
        <v>321</v>
      </c>
      <c r="G35" s="98" t="s">
        <v>321</v>
      </c>
      <c r="H35" s="98" t="s">
        <v>14</v>
      </c>
      <c r="I35" s="99" t="s">
        <v>525</v>
      </c>
      <c r="J35" s="97" t="s">
        <v>0</v>
      </c>
      <c r="K35" s="98" t="s">
        <v>398</v>
      </c>
      <c r="L35" s="1"/>
    </row>
    <row r="36" spans="1:12" ht="16.5">
      <c r="A36" s="274" t="s">
        <v>7</v>
      </c>
      <c r="B36" s="275" t="s">
        <v>7</v>
      </c>
      <c r="C36" s="275" t="s">
        <v>7</v>
      </c>
      <c r="D36" s="275" t="s">
        <v>15</v>
      </c>
      <c r="E36" s="275" t="s">
        <v>8</v>
      </c>
      <c r="F36" s="275" t="s">
        <v>8</v>
      </c>
      <c r="G36" s="275" t="s">
        <v>8</v>
      </c>
      <c r="H36" s="275" t="s">
        <v>8</v>
      </c>
      <c r="I36" s="319" t="s">
        <v>15</v>
      </c>
      <c r="J36" s="274" t="s">
        <v>15</v>
      </c>
      <c r="K36" s="275" t="s">
        <v>15</v>
      </c>
      <c r="L36" s="5"/>
    </row>
    <row r="37" spans="1:12" ht="17.5">
      <c r="A37" s="89"/>
      <c r="B37" s="90"/>
      <c r="C37" s="90"/>
      <c r="D37" s="435"/>
      <c r="E37" s="435"/>
      <c r="F37" s="435"/>
      <c r="G37" s="435"/>
      <c r="H37" s="435"/>
      <c r="I37" s="64"/>
      <c r="J37" s="104"/>
      <c r="K37" s="103"/>
      <c r="L37" s="4"/>
    </row>
    <row r="38" spans="1:12" ht="17.5">
      <c r="A38" s="104" t="str">
        <f t="shared" ref="A38:C44" si="1">+A22</f>
        <v>AES CORPORATION</v>
      </c>
      <c r="B38" s="90" t="str">
        <f t="shared" si="1"/>
        <v>AES</v>
      </c>
      <c r="C38" s="90" t="str">
        <f t="shared" si="1"/>
        <v>Power Electric</v>
      </c>
      <c r="D38" s="436">
        <f t="shared" ref="D38:D44" si="2">(+H22)*G22</f>
        <v>12891594754.5</v>
      </c>
      <c r="E38" s="436">
        <f>(1/1)*I22</f>
        <v>1043050</v>
      </c>
      <c r="F38" s="436">
        <v>424000000</v>
      </c>
      <c r="G38" s="436">
        <v>270000000</v>
      </c>
      <c r="H38" s="436">
        <f>J22*(22174+4210)/(22144+4464)</f>
        <v>26651726999.398678</v>
      </c>
      <c r="I38" s="320">
        <f>+D38+E38+F38+G38+H38</f>
        <v>40238364803.898682</v>
      </c>
      <c r="J38" s="330">
        <f t="shared" ref="J38:J44" si="3">(+D38)/I38</f>
        <v>0.32038068190213675</v>
      </c>
      <c r="K38" s="433">
        <f>(+E38+F38+G38+H38)/I38</f>
        <v>0.67961931809786313</v>
      </c>
      <c r="L38" s="4"/>
    </row>
    <row r="39" spans="1:12" ht="17.5">
      <c r="A39" s="107" t="str">
        <f t="shared" si="1"/>
        <v>DOMINION ENERGY INC</v>
      </c>
      <c r="B39" s="90" t="str">
        <f t="shared" si="1"/>
        <v>D</v>
      </c>
      <c r="C39" s="90" t="str">
        <f t="shared" si="1"/>
        <v>Electric - East</v>
      </c>
      <c r="D39" s="436">
        <f t="shared" si="2"/>
        <v>39386000000</v>
      </c>
      <c r="E39" s="436">
        <f>(194.8/200)*I23</f>
        <v>1736642000.0000002</v>
      </c>
      <c r="F39" s="436">
        <v>664000000</v>
      </c>
      <c r="G39" s="436">
        <v>262000000</v>
      </c>
      <c r="H39" s="437">
        <f>J23*(40539/42526)</f>
        <v>42175774279.26445</v>
      </c>
      <c r="I39" s="320">
        <f t="shared" ref="I39:I42" si="4">+D39+E39+F39+G39+H39</f>
        <v>84224416279.26445</v>
      </c>
      <c r="J39" s="330">
        <f t="shared" si="3"/>
        <v>0.4676316172902536</v>
      </c>
      <c r="K39" s="433">
        <f t="shared" ref="K39:K42" si="5">(+E39+F39+G39+H39)/I39</f>
        <v>0.5323683827097464</v>
      </c>
      <c r="L39" s="4"/>
    </row>
    <row r="40" spans="1:12" ht="17.5">
      <c r="A40" s="107" t="str">
        <f t="shared" si="1"/>
        <v>CONSTELLATION ENERGY GENERATION LLC</v>
      </c>
      <c r="B40" s="90" t="str">
        <f t="shared" si="1"/>
        <v>CEG</v>
      </c>
      <c r="C40" s="90" t="str">
        <f t="shared" si="1"/>
        <v>Power Electric</v>
      </c>
      <c r="D40" s="436">
        <f t="shared" si="2"/>
        <v>37054130000</v>
      </c>
      <c r="E40" s="436">
        <f>(1/1)*I24</f>
        <v>0</v>
      </c>
      <c r="F40" s="436">
        <v>650000000</v>
      </c>
      <c r="G40" s="436">
        <v>0</v>
      </c>
      <c r="H40" s="436">
        <v>7914000000</v>
      </c>
      <c r="I40" s="320">
        <f t="shared" si="4"/>
        <v>45618130000</v>
      </c>
      <c r="J40" s="330">
        <f t="shared" si="3"/>
        <v>0.81226762254393159</v>
      </c>
      <c r="K40" s="433">
        <f t="shared" si="5"/>
        <v>0.18773237745606847</v>
      </c>
      <c r="L40" s="4"/>
    </row>
    <row r="41" spans="1:12" ht="17.5">
      <c r="A41" s="107" t="str">
        <f t="shared" si="1"/>
        <v>NEXTERA ENERGY INC</v>
      </c>
      <c r="B41" s="90" t="str">
        <f t="shared" si="1"/>
        <v>NEE</v>
      </c>
      <c r="C41" s="90" t="str">
        <f t="shared" si="1"/>
        <v>Electric - East</v>
      </c>
      <c r="D41" s="436">
        <f t="shared" si="2"/>
        <v>124638480000</v>
      </c>
      <c r="E41" s="436">
        <f>(1/1)*I25</f>
        <v>0</v>
      </c>
      <c r="F41" s="436">
        <v>1700000000</v>
      </c>
      <c r="G41" s="436"/>
      <c r="H41" s="436">
        <f>J25*(64103/68306)</f>
        <v>64103000000</v>
      </c>
      <c r="I41" s="320">
        <f t="shared" ref="I41" si="6">+D41+E41+F41+G41+H41</f>
        <v>190441480000</v>
      </c>
      <c r="J41" s="330">
        <f t="shared" ref="J41" si="7">(+D41)/I41</f>
        <v>0.65447128430213841</v>
      </c>
      <c r="K41" s="433">
        <f t="shared" ref="K41" si="8">(+E41+F41+G41+H41)/I41</f>
        <v>0.34552871569786164</v>
      </c>
      <c r="L41" s="4"/>
    </row>
    <row r="42" spans="1:12" ht="17.5">
      <c r="A42" s="107" t="str">
        <f t="shared" si="1"/>
        <v>NRG ENERGY</v>
      </c>
      <c r="B42" s="90" t="str">
        <f t="shared" si="1"/>
        <v>NRG</v>
      </c>
      <c r="C42" s="90" t="str">
        <f t="shared" si="1"/>
        <v>Power Electric</v>
      </c>
      <c r="D42" s="436">
        <f t="shared" si="2"/>
        <v>10760370115</v>
      </c>
      <c r="E42" s="436">
        <f>(1/1)*I26</f>
        <v>650000000</v>
      </c>
      <c r="F42" s="436">
        <v>218000000</v>
      </c>
      <c r="G42" s="436">
        <v>0</v>
      </c>
      <c r="H42" s="436">
        <f>J26*(10574/10794)</f>
        <v>10533835649.434872</v>
      </c>
      <c r="I42" s="320">
        <f t="shared" si="4"/>
        <v>22162205764.434872</v>
      </c>
      <c r="J42" s="330">
        <f t="shared" si="3"/>
        <v>0.48552794019573015</v>
      </c>
      <c r="K42" s="433">
        <f t="shared" si="5"/>
        <v>0.51447205980426991</v>
      </c>
      <c r="L42" s="4"/>
    </row>
    <row r="43" spans="1:12" ht="17.5">
      <c r="A43" s="107" t="str">
        <f t="shared" si="1"/>
        <v>SOUTHERN COMPANY</v>
      </c>
      <c r="B43" s="90" t="str">
        <f t="shared" si="1"/>
        <v>SO</v>
      </c>
      <c r="C43" s="90" t="str">
        <f>+C27</f>
        <v>Electric - East</v>
      </c>
      <c r="D43" s="436">
        <f t="shared" si="2"/>
        <v>76500920000</v>
      </c>
      <c r="E43" s="436">
        <f>(1/1)*I27</f>
        <v>0</v>
      </c>
      <c r="F43" s="436">
        <v>1490000000</v>
      </c>
      <c r="G43" s="436">
        <v>298000000</v>
      </c>
      <c r="H43" s="324">
        <f>J27*(55/59.4)</f>
        <v>55264814814.814812</v>
      </c>
      <c r="I43" s="320">
        <f>+D43+E43+F43+G43+H43</f>
        <v>133553734814.81482</v>
      </c>
      <c r="J43" s="330">
        <f t="shared" si="3"/>
        <v>0.57281003864156943</v>
      </c>
      <c r="K43" s="433">
        <f>(+E43+F43+G43+H43)/I43</f>
        <v>0.42718996135843046</v>
      </c>
      <c r="L43" s="4"/>
    </row>
    <row r="44" spans="1:12" ht="18" thickBot="1">
      <c r="A44" s="108" t="str">
        <f t="shared" si="1"/>
        <v>VISTRA ENERGY CORPORATION</v>
      </c>
      <c r="B44" s="98" t="str">
        <f t="shared" si="1"/>
        <v>VST</v>
      </c>
      <c r="C44" s="98" t="str">
        <f t="shared" si="1"/>
        <v>Power Electric</v>
      </c>
      <c r="D44" s="439">
        <f t="shared" si="2"/>
        <v>13538124256.320002</v>
      </c>
      <c r="E44" s="439">
        <f>(1/1)*I28</f>
        <v>2476000000</v>
      </c>
      <c r="F44" s="439">
        <v>55000000</v>
      </c>
      <c r="G44" s="439">
        <v>236000000</v>
      </c>
      <c r="H44" s="328">
        <f>J28*((2500+11752+62)/(2456+11881+65))</f>
        <v>14314000000</v>
      </c>
      <c r="I44" s="109">
        <f>+D44+E44+F44+G44+H44</f>
        <v>30619124256.32</v>
      </c>
      <c r="J44" s="356">
        <f t="shared" si="3"/>
        <v>0.44214603079399434</v>
      </c>
      <c r="K44" s="434">
        <f>(+E44+F44+G44+H44)/I44</f>
        <v>0.55785396920600572</v>
      </c>
      <c r="L44" s="4" t="s">
        <v>0</v>
      </c>
    </row>
    <row r="45" spans="1:12" ht="17.5">
      <c r="A45" s="12"/>
      <c r="B45" s="12"/>
      <c r="C45" s="12"/>
      <c r="D45" s="12"/>
      <c r="E45" s="12"/>
      <c r="F45" s="12"/>
      <c r="H45" s="12" t="s">
        <v>0</v>
      </c>
      <c r="I45" s="119" t="s">
        <v>53</v>
      </c>
      <c r="J45" s="123">
        <v>0.81230000000000002</v>
      </c>
      <c r="K45" s="123">
        <v>0.67959999999999998</v>
      </c>
    </row>
    <row r="46" spans="1:12" ht="17.5">
      <c r="G46" s="118" t="s">
        <v>0</v>
      </c>
      <c r="I46" s="304" t="s">
        <v>54</v>
      </c>
      <c r="J46" s="305">
        <v>0.32040000000000002</v>
      </c>
      <c r="K46" s="305">
        <v>0.18770000000000001</v>
      </c>
    </row>
    <row r="47" spans="1:12" ht="17.5">
      <c r="G47" s="118" t="s">
        <v>0</v>
      </c>
      <c r="H47" s="12" t="s">
        <v>0</v>
      </c>
      <c r="I47" s="14" t="s">
        <v>18</v>
      </c>
      <c r="J47" s="121">
        <f>MEDIAN(J38:J44)</f>
        <v>0.48552794019573015</v>
      </c>
      <c r="K47" s="122">
        <f>MEDIAN(K38:K44)</f>
        <v>0.51447205980426991</v>
      </c>
    </row>
    <row r="48" spans="1:12" ht="17.5">
      <c r="E48" t="s">
        <v>0</v>
      </c>
      <c r="F48" t="s">
        <v>0</v>
      </c>
      <c r="H48" s="12" t="s">
        <v>0</v>
      </c>
      <c r="I48" s="14" t="s">
        <v>412</v>
      </c>
      <c r="J48" s="121">
        <f>AVERAGE(J38:J44)</f>
        <v>0.53646217366710769</v>
      </c>
      <c r="K48" s="122">
        <f>AVERAGE(K38:K44)</f>
        <v>0.46353782633289226</v>
      </c>
    </row>
    <row r="49" spans="1:11" ht="18" thickBot="1">
      <c r="D49" t="s">
        <v>0</v>
      </c>
      <c r="F49" t="s">
        <v>0</v>
      </c>
      <c r="H49" s="12"/>
      <c r="I49" s="12"/>
      <c r="J49" s="64"/>
      <c r="K49" s="64"/>
    </row>
    <row r="50" spans="1:11" ht="26" thickBot="1">
      <c r="H50" s="12"/>
      <c r="I50" s="205" t="s">
        <v>226</v>
      </c>
      <c r="J50" s="393">
        <v>0.54</v>
      </c>
      <c r="K50" s="394">
        <v>0.46</v>
      </c>
    </row>
    <row r="51" spans="1:11" ht="17.5">
      <c r="E51" s="120"/>
      <c r="F51" s="12"/>
      <c r="G51" s="12"/>
      <c r="H51" s="12"/>
      <c r="I51" s="64"/>
      <c r="J51" s="64" t="s">
        <v>0</v>
      </c>
      <c r="K51" s="12"/>
    </row>
    <row r="52" spans="1:11" ht="17">
      <c r="E52" s="120"/>
      <c r="F52" s="12"/>
      <c r="G52" s="12"/>
      <c r="H52" s="12"/>
      <c r="I52" s="12"/>
      <c r="J52" s="12"/>
      <c r="K52" s="12"/>
    </row>
    <row r="53" spans="1:11" ht="17">
      <c r="E53" s="120"/>
      <c r="F53" s="12"/>
      <c r="G53" s="12"/>
      <c r="H53" s="12"/>
      <c r="I53" s="12"/>
      <c r="J53" s="12"/>
      <c r="K53" s="12"/>
    </row>
    <row r="54" spans="1:11" ht="26">
      <c r="A54" s="23" t="s">
        <v>85</v>
      </c>
      <c r="B54" s="12"/>
      <c r="C54" s="76"/>
      <c r="D54" s="124"/>
      <c r="E54" s="120"/>
      <c r="F54" s="12"/>
      <c r="G54" s="12"/>
      <c r="H54" s="12"/>
      <c r="I54" s="12"/>
      <c r="J54" s="12"/>
      <c r="K54" s="12"/>
    </row>
    <row r="55" spans="1:11" ht="17">
      <c r="A55" s="87" t="s">
        <v>67</v>
      </c>
      <c r="B55" s="12"/>
      <c r="C55" s="76"/>
      <c r="D55" s="124"/>
      <c r="E55" s="120"/>
      <c r="F55" s="12"/>
      <c r="G55" s="12"/>
      <c r="H55" s="12"/>
      <c r="I55" s="12"/>
      <c r="J55" s="12"/>
      <c r="K55" s="12"/>
    </row>
    <row r="56" spans="1:11" ht="17">
      <c r="A56" s="12" t="s">
        <v>168</v>
      </c>
    </row>
    <row r="57" spans="1:11" ht="17">
      <c r="A57" s="12" t="s">
        <v>400</v>
      </c>
      <c r="J57" s="428"/>
    </row>
    <row r="58" spans="1:11" ht="17">
      <c r="A58" s="12" t="s">
        <v>167</v>
      </c>
    </row>
    <row r="59" spans="1:11" ht="17">
      <c r="A59" s="12" t="s">
        <v>399</v>
      </c>
    </row>
    <row r="62" spans="1:11" ht="26">
      <c r="A62" s="412" t="s">
        <v>519</v>
      </c>
      <c r="H62" s="12" t="s">
        <v>0</v>
      </c>
      <c r="I62" t="s">
        <v>0</v>
      </c>
    </row>
    <row r="63" spans="1:11" ht="17">
      <c r="A63" s="413" t="s">
        <v>496</v>
      </c>
    </row>
    <row r="64" spans="1:11" ht="17.5">
      <c r="A64" s="414" t="s">
        <v>521</v>
      </c>
    </row>
    <row r="65" spans="1:8" ht="17.5">
      <c r="A65" s="414" t="s">
        <v>524</v>
      </c>
      <c r="H65" t="s">
        <v>0</v>
      </c>
    </row>
    <row r="66" spans="1:8" ht="17.5">
      <c r="A66" s="414" t="s">
        <v>405</v>
      </c>
      <c r="H66" t="s">
        <v>0</v>
      </c>
    </row>
    <row r="67" spans="1:8" ht="17.5">
      <c r="A67" s="414" t="s">
        <v>518</v>
      </c>
      <c r="H67" t="s">
        <v>0</v>
      </c>
    </row>
    <row r="68" spans="1:8" ht="17">
      <c r="A68" s="415" t="s">
        <v>523</v>
      </c>
      <c r="H68" t="s">
        <v>0</v>
      </c>
    </row>
    <row r="69" spans="1:8" ht="17">
      <c r="A69" s="415" t="s">
        <v>515</v>
      </c>
    </row>
    <row r="72" spans="1:8" ht="26">
      <c r="A72" s="426" t="s">
        <v>495</v>
      </c>
    </row>
    <row r="73" spans="1:8" ht="17">
      <c r="A73" s="411" t="s">
        <v>507</v>
      </c>
    </row>
    <row r="74" spans="1:8" ht="17">
      <c r="A74" s="44" t="s">
        <v>497</v>
      </c>
    </row>
    <row r="75" spans="1:8" ht="17.5">
      <c r="A75" s="146" t="s">
        <v>508</v>
      </c>
    </row>
    <row r="76" spans="1:8" ht="17.5">
      <c r="A76" s="146" t="s">
        <v>509</v>
      </c>
    </row>
    <row r="77" spans="1:8" ht="17">
      <c r="A77" s="44" t="s">
        <v>498</v>
      </c>
    </row>
    <row r="78" spans="1:8" ht="17">
      <c r="A78" s="411" t="s">
        <v>510</v>
      </c>
    </row>
    <row r="79" spans="1:8" ht="17">
      <c r="A79" s="411" t="s">
        <v>516</v>
      </c>
    </row>
    <row r="80" spans="1:8" ht="17">
      <c r="A80" s="44" t="s">
        <v>511</v>
      </c>
    </row>
    <row r="81" spans="1:1" ht="17">
      <c r="A81" s="44" t="s">
        <v>512</v>
      </c>
    </row>
    <row r="82" spans="1:1" ht="17">
      <c r="A82" s="44" t="s">
        <v>499</v>
      </c>
    </row>
    <row r="83" spans="1:1" ht="17">
      <c r="A83" s="411" t="s">
        <v>500</v>
      </c>
    </row>
    <row r="84" spans="1:1" ht="17.5">
      <c r="A84" s="146" t="s">
        <v>501</v>
      </c>
    </row>
    <row r="85" spans="1:1" ht="17">
      <c r="A85" s="127" t="s">
        <v>502</v>
      </c>
    </row>
    <row r="86" spans="1:1" ht="17">
      <c r="A86" s="44" t="s">
        <v>513</v>
      </c>
    </row>
    <row r="87" spans="1:1" ht="17">
      <c r="A87" s="127" t="s">
        <v>503</v>
      </c>
    </row>
    <row r="88" spans="1:1" ht="17">
      <c r="A88" s="127" t="s">
        <v>514</v>
      </c>
    </row>
    <row r="89" spans="1:1" ht="17">
      <c r="A89" s="44" t="s">
        <v>504</v>
      </c>
    </row>
  </sheetData>
  <pageMargins left="0.25" right="0.25" top="0.75" bottom="0.75" header="0.3" footer="0.3"/>
  <pageSetup scale="31" orientation="landscape" r:id="rId1"/>
  <rowBreaks count="1" manualBreakCount="1">
    <brk id="50" max="11" man="1"/>
  </rowBreaks>
  <colBreaks count="1" manualBreakCount="1">
    <brk id="11" max="90" man="1"/>
  </colBreaks>
  <ignoredErrors>
    <ignoredError sqref="E39"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J60"/>
  <sheetViews>
    <sheetView view="pageBreakPreview" topLeftCell="A20" zoomScale="70" zoomScaleNormal="80" zoomScaleSheetLayoutView="70" zoomScalePageLayoutView="70" workbookViewId="0">
      <pane xSplit="1" topLeftCell="B1" activePane="topRight" state="frozen"/>
      <selection activeCell="F4" sqref="F4"/>
      <selection pane="topRight" activeCell="E23" sqref="E23"/>
    </sheetView>
  </sheetViews>
  <sheetFormatPr defaultRowHeight="14.5"/>
  <cols>
    <col min="1" max="1" width="69.453125" customWidth="1"/>
    <col min="2" max="2" width="13.453125" customWidth="1"/>
    <col min="3" max="3" width="20.453125" bestFit="1" customWidth="1"/>
    <col min="4" max="4" width="30.1796875" customWidth="1"/>
    <col min="5" max="5" width="28" customWidth="1"/>
    <col min="6" max="6" width="29.1796875" customWidth="1"/>
    <col min="7" max="7" width="23.453125" customWidth="1"/>
    <col min="8" max="8" width="12.81640625" customWidth="1"/>
    <col min="9" max="9" width="25.81640625" bestFit="1" customWidth="1"/>
    <col min="10" max="10" width="30.1796875" bestFit="1" customWidth="1"/>
    <col min="11" max="11" width="9.1796875" customWidth="1"/>
  </cols>
  <sheetData>
    <row r="1" spans="1:9" ht="25.5">
      <c r="A1" s="24" t="s">
        <v>1</v>
      </c>
      <c r="B1" s="12"/>
      <c r="C1" s="12"/>
      <c r="D1" s="12"/>
      <c r="E1" s="12"/>
      <c r="F1" s="12"/>
      <c r="G1" s="12"/>
      <c r="H1" s="12"/>
    </row>
    <row r="2" spans="1:9" ht="17.5">
      <c r="A2" s="25" t="s">
        <v>9</v>
      </c>
      <c r="B2" s="12"/>
      <c r="C2" s="12"/>
      <c r="D2" s="12"/>
      <c r="E2" s="12"/>
      <c r="F2" s="12"/>
      <c r="G2" s="12"/>
      <c r="H2" s="12"/>
    </row>
    <row r="3" spans="1:9" ht="17">
      <c r="A3" s="26" t="s">
        <v>457</v>
      </c>
      <c r="B3" s="12"/>
      <c r="C3" s="12"/>
      <c r="D3" s="12"/>
      <c r="E3" s="12"/>
      <c r="F3" s="12"/>
      <c r="G3" s="12"/>
      <c r="H3" s="12"/>
    </row>
    <row r="4" spans="1:9" ht="17">
      <c r="A4" s="26"/>
      <c r="B4" s="12"/>
      <c r="C4" s="12"/>
      <c r="D4" s="12"/>
      <c r="E4" s="12"/>
      <c r="F4" s="204" t="s">
        <v>0</v>
      </c>
      <c r="G4" s="12"/>
      <c r="H4" s="12"/>
    </row>
    <row r="5" spans="1:9" ht="17">
      <c r="B5" s="12"/>
      <c r="C5" s="12"/>
      <c r="D5" s="12"/>
      <c r="E5" s="27"/>
      <c r="F5" s="204" t="s">
        <v>0</v>
      </c>
      <c r="G5" s="12"/>
      <c r="H5" s="12" t="s">
        <v>0</v>
      </c>
    </row>
    <row r="6" spans="1:9" ht="17">
      <c r="A6" s="87"/>
      <c r="B6" s="35"/>
      <c r="C6" s="35"/>
      <c r="D6" s="35"/>
      <c r="E6" s="35"/>
      <c r="F6" s="35"/>
      <c r="G6" s="14"/>
      <c r="H6" s="86"/>
      <c r="I6" s="3"/>
    </row>
    <row r="7" spans="1:9" ht="17">
      <c r="A7" s="44"/>
      <c r="B7" s="44"/>
      <c r="C7" s="44"/>
      <c r="D7" s="44"/>
      <c r="E7" s="44"/>
      <c r="F7" s="44"/>
      <c r="G7" s="44"/>
      <c r="H7" s="44"/>
      <c r="I7" s="2"/>
    </row>
    <row r="8" spans="1:9" ht="17.5" thickBot="1">
      <c r="A8" s="44"/>
      <c r="B8" s="44"/>
      <c r="C8" s="44"/>
      <c r="D8" s="88"/>
      <c r="E8" s="29"/>
      <c r="F8" s="88"/>
      <c r="H8" s="44"/>
      <c r="I8" s="2"/>
    </row>
    <row r="9" spans="1:9" ht="26" thickBot="1">
      <c r="A9" s="28" t="str">
        <f>+'S&amp;D'!A12</f>
        <v>Electric Wholesale (non-regulated) Power Generator</v>
      </c>
      <c r="B9" s="44"/>
      <c r="C9" s="44"/>
      <c r="D9" s="44"/>
      <c r="E9" s="32" t="s">
        <v>319</v>
      </c>
      <c r="F9" s="44"/>
      <c r="H9" s="12"/>
    </row>
    <row r="10" spans="1:9" ht="21.5" thickBot="1">
      <c r="A10" s="31"/>
      <c r="B10" s="44"/>
      <c r="C10" s="44"/>
      <c r="D10" s="88"/>
      <c r="E10" s="37" t="s">
        <v>458</v>
      </c>
      <c r="F10" s="88"/>
      <c r="H10" s="12"/>
    </row>
    <row r="11" spans="1:9" ht="21">
      <c r="A11" s="31"/>
      <c r="B11" s="44"/>
      <c r="C11" s="44"/>
      <c r="D11" s="44"/>
      <c r="E11" s="35"/>
      <c r="F11" s="44"/>
      <c r="H11" s="12"/>
    </row>
    <row r="12" spans="1:9" ht="21">
      <c r="A12" s="31"/>
      <c r="B12" s="44"/>
      <c r="C12" s="44"/>
      <c r="D12" s="44"/>
      <c r="E12" s="35"/>
      <c r="F12" s="44"/>
      <c r="H12" s="12"/>
    </row>
    <row r="13" spans="1:9" ht="21">
      <c r="A13" s="31"/>
      <c r="B13" s="44"/>
      <c r="C13" s="44"/>
      <c r="D13" s="44"/>
      <c r="E13" s="35"/>
      <c r="F13" s="44"/>
      <c r="H13" s="12"/>
    </row>
    <row r="14" spans="1:9" ht="21">
      <c r="A14" s="31"/>
      <c r="B14" s="44"/>
      <c r="C14" s="44"/>
      <c r="D14" s="44"/>
      <c r="E14" s="13" t="s">
        <v>0</v>
      </c>
      <c r="F14" s="44"/>
      <c r="H14" s="12"/>
    </row>
    <row r="15" spans="1:9" ht="17.5" thickBot="1">
      <c r="A15" s="42" t="s">
        <v>0</v>
      </c>
      <c r="B15" s="42" t="s">
        <v>0</v>
      </c>
      <c r="C15" s="42" t="s">
        <v>0</v>
      </c>
      <c r="D15" s="42"/>
      <c r="E15" s="42"/>
      <c r="F15" s="42"/>
      <c r="H15" s="12"/>
    </row>
    <row r="16" spans="1:9" ht="17.5">
      <c r="A16" s="89"/>
      <c r="B16" s="90"/>
      <c r="C16" s="91"/>
      <c r="D16" s="242" t="s">
        <v>0</v>
      </c>
      <c r="E16" s="243" t="s">
        <v>0</v>
      </c>
      <c r="F16" s="242" t="s">
        <v>0</v>
      </c>
      <c r="H16" s="12"/>
    </row>
    <row r="17" spans="1:10" ht="17.5">
      <c r="A17" s="89" t="s">
        <v>0</v>
      </c>
      <c r="B17" s="90" t="s">
        <v>3</v>
      </c>
      <c r="C17" s="91" t="s">
        <v>5</v>
      </c>
      <c r="D17" s="92" t="s">
        <v>309</v>
      </c>
      <c r="E17" s="244" t="s">
        <v>74</v>
      </c>
      <c r="F17" s="92" t="s">
        <v>311</v>
      </c>
      <c r="H17" s="12"/>
    </row>
    <row r="18" spans="1:10" ht="17.5">
      <c r="A18" s="89"/>
      <c r="B18" s="90" t="s">
        <v>4</v>
      </c>
      <c r="C18" s="91" t="s">
        <v>6</v>
      </c>
      <c r="D18" s="92" t="s">
        <v>320</v>
      </c>
      <c r="E18" s="244" t="s">
        <v>320</v>
      </c>
      <c r="F18" s="92" t="s">
        <v>143</v>
      </c>
      <c r="H18" s="12"/>
    </row>
    <row r="19" spans="1:10" ht="18" thickBot="1">
      <c r="A19" s="97" t="s">
        <v>2</v>
      </c>
      <c r="B19" s="98" t="s">
        <v>0</v>
      </c>
      <c r="C19" s="99" t="s">
        <v>0</v>
      </c>
      <c r="D19" s="98" t="s">
        <v>0</v>
      </c>
      <c r="E19" s="116" t="s">
        <v>0</v>
      </c>
      <c r="F19" s="98" t="s">
        <v>0</v>
      </c>
      <c r="H19" s="12"/>
    </row>
    <row r="20" spans="1:10" ht="17">
      <c r="A20" s="274" t="s">
        <v>7</v>
      </c>
      <c r="B20" s="275" t="s">
        <v>7</v>
      </c>
      <c r="C20" s="276" t="s">
        <v>7</v>
      </c>
      <c r="D20" s="275" t="s">
        <v>7</v>
      </c>
      <c r="E20" s="117" t="s">
        <v>310</v>
      </c>
      <c r="F20" s="102"/>
      <c r="H20" s="12"/>
    </row>
    <row r="21" spans="1:10" ht="17.5">
      <c r="A21" s="89"/>
      <c r="B21" s="90"/>
      <c r="C21" s="245"/>
      <c r="D21" s="90"/>
      <c r="E21" s="245"/>
      <c r="F21" s="90"/>
      <c r="H21" s="12"/>
    </row>
    <row r="22" spans="1:10" ht="17.5">
      <c r="A22" s="104" t="str">
        <f>+'S&amp;D'!A22</f>
        <v>AES CORPORATION</v>
      </c>
      <c r="B22" s="89" t="str">
        <f>+'S&amp;D'!B22</f>
        <v>AES</v>
      </c>
      <c r="C22" s="90" t="str">
        <f>+'S&amp;D'!C22</f>
        <v>Power Electric</v>
      </c>
      <c r="D22" s="259">
        <f>+'S&amp;D'!D38</f>
        <v>12891594754.5</v>
      </c>
      <c r="E22" s="261">
        <v>2488000000</v>
      </c>
      <c r="F22" s="106">
        <f>+D22/E22</f>
        <v>5.1815091456993567</v>
      </c>
      <c r="H22" s="12"/>
    </row>
    <row r="23" spans="1:10" ht="17.5">
      <c r="A23" s="104" t="str">
        <f>+'S&amp;D'!A23</f>
        <v>DOMINION ENERGY INC</v>
      </c>
      <c r="B23" s="89" t="str">
        <f>+'S&amp;D'!B23</f>
        <v>D</v>
      </c>
      <c r="C23" s="90" t="str">
        <f>+'S&amp;D'!C23</f>
        <v>Electric - East</v>
      </c>
      <c r="D23" s="259">
        <f>+'S&amp;D'!D39</f>
        <v>39386000000</v>
      </c>
      <c r="E23" s="261">
        <v>27529000000</v>
      </c>
      <c r="F23" s="106">
        <f t="shared" ref="F23:F28" si="0">+D23/E23</f>
        <v>1.4307094336881108</v>
      </c>
      <c r="H23" s="12"/>
    </row>
    <row r="24" spans="1:10" ht="17.5">
      <c r="A24" s="104" t="str">
        <f>+'S&amp;D'!A24</f>
        <v>CONSTELLATION ENERGY GENERATION LLC</v>
      </c>
      <c r="B24" s="89" t="str">
        <f>+'S&amp;D'!B24</f>
        <v>CEG</v>
      </c>
      <c r="C24" s="90" t="str">
        <f>+'S&amp;D'!C24</f>
        <v>Power Electric</v>
      </c>
      <c r="D24" s="259">
        <f>+'S&amp;D'!D40</f>
        <v>37054130000</v>
      </c>
      <c r="E24" s="261">
        <v>11013000000</v>
      </c>
      <c r="F24" s="106">
        <f t="shared" si="0"/>
        <v>3.3645809497866157</v>
      </c>
      <c r="G24" t="s">
        <v>0</v>
      </c>
      <c r="H24" s="12"/>
    </row>
    <row r="25" spans="1:10" ht="17.5">
      <c r="A25" s="104" t="str">
        <f>+'S&amp;D'!A25</f>
        <v>NEXTERA ENERGY INC</v>
      </c>
      <c r="B25" s="89" t="str">
        <f>+'S&amp;D'!B25</f>
        <v>NEE</v>
      </c>
      <c r="C25" s="90" t="str">
        <f>+'S&amp;D'!C25</f>
        <v>Electric - East</v>
      </c>
      <c r="D25" s="259">
        <f>+'S&amp;D'!D41</f>
        <v>124638480000</v>
      </c>
      <c r="E25" s="261">
        <v>47468000000</v>
      </c>
      <c r="F25" s="106">
        <f t="shared" ref="F25" si="1">+D25/E25</f>
        <v>2.6257369175023175</v>
      </c>
      <c r="H25" s="12"/>
    </row>
    <row r="26" spans="1:10" ht="17.5">
      <c r="A26" s="104" t="str">
        <f>+'S&amp;D'!A26</f>
        <v>NRG ENERGY</v>
      </c>
      <c r="B26" s="89" t="str">
        <f>+'S&amp;D'!B26</f>
        <v>NRG</v>
      </c>
      <c r="C26" s="90" t="str">
        <f>+'S&amp;D'!C26</f>
        <v>Power Electric</v>
      </c>
      <c r="D26" s="259">
        <f>+'S&amp;D'!D42</f>
        <v>10760370115</v>
      </c>
      <c r="E26" s="261">
        <v>2906000000</v>
      </c>
      <c r="F26" s="106">
        <f t="shared" si="0"/>
        <v>3.7028114642119752</v>
      </c>
      <c r="H26" s="12"/>
    </row>
    <row r="27" spans="1:10" ht="17.5">
      <c r="A27" s="104" t="str">
        <f>+'S&amp;D'!A27</f>
        <v>SOUTHERN COMPANY</v>
      </c>
      <c r="B27" s="89" t="str">
        <f>+'S&amp;D'!B27</f>
        <v>SO</v>
      </c>
      <c r="C27" s="90" t="str">
        <f>+'S&amp;D'!C27</f>
        <v>Electric - East</v>
      </c>
      <c r="D27" s="259">
        <f>+'S&amp;D'!D43</f>
        <v>76500920000</v>
      </c>
      <c r="E27" s="261">
        <v>31444000000</v>
      </c>
      <c r="F27" s="106">
        <f t="shared" si="0"/>
        <v>2.4329258364075819</v>
      </c>
      <c r="H27" s="12"/>
    </row>
    <row r="28" spans="1:10" ht="18" thickBot="1">
      <c r="A28" s="108" t="str">
        <f>+'S&amp;D'!A28</f>
        <v>VISTRA ENERGY CORPORATION</v>
      </c>
      <c r="B28" s="97" t="str">
        <f>+'S&amp;D'!B28</f>
        <v>VST</v>
      </c>
      <c r="C28" s="98" t="str">
        <f>+'S&amp;D'!C28</f>
        <v>Power Electric</v>
      </c>
      <c r="D28" s="260">
        <f>+'S&amp;D'!D44</f>
        <v>13538124256.320002</v>
      </c>
      <c r="E28" s="261">
        <v>5307000000</v>
      </c>
      <c r="F28" s="106">
        <f t="shared" si="0"/>
        <v>2.5509938300960999</v>
      </c>
      <c r="H28" s="12"/>
      <c r="J28" s="10" t="s">
        <v>0</v>
      </c>
    </row>
    <row r="29" spans="1:10" ht="27" customHeight="1" thickBot="1">
      <c r="A29" s="110"/>
      <c r="B29" s="110"/>
      <c r="C29" s="110"/>
      <c r="D29" s="110"/>
      <c r="E29" s="272" t="s">
        <v>318</v>
      </c>
      <c r="F29" s="371">
        <f>AVERAGE(F22:F28)</f>
        <v>3.0413239396274365</v>
      </c>
      <c r="H29" s="12"/>
    </row>
    <row r="30" spans="1:10" ht="17.5">
      <c r="A30" s="110"/>
      <c r="B30" s="110"/>
      <c r="C30" s="110"/>
      <c r="D30" s="110"/>
      <c r="E30" s="254"/>
      <c r="F30" s="255"/>
      <c r="H30" s="12"/>
    </row>
    <row r="31" spans="1:10" ht="17.5">
      <c r="A31" s="110"/>
      <c r="B31" s="110"/>
      <c r="C31" s="110"/>
      <c r="D31" s="110"/>
      <c r="E31" s="254"/>
      <c r="F31" s="255"/>
      <c r="H31" s="12"/>
    </row>
    <row r="32" spans="1:10" ht="17.5">
      <c r="A32" s="110"/>
      <c r="B32" s="110"/>
      <c r="C32" s="110"/>
      <c r="D32" s="110"/>
      <c r="E32" s="254"/>
      <c r="F32" s="255"/>
      <c r="H32" s="12"/>
    </row>
    <row r="33" spans="1:8" ht="18" thickBot="1">
      <c r="A33" s="110"/>
      <c r="B33" s="110"/>
      <c r="C33" s="110"/>
      <c r="D33" s="110"/>
      <c r="E33" s="110"/>
      <c r="F33" s="110"/>
      <c r="H33" s="12"/>
    </row>
    <row r="34" spans="1:8" ht="17.5">
      <c r="A34" s="256"/>
      <c r="B34" s="257"/>
      <c r="C34" s="258"/>
      <c r="D34" s="242" t="s">
        <v>0</v>
      </c>
      <c r="E34" s="243" t="s">
        <v>0</v>
      </c>
      <c r="F34" s="242" t="s">
        <v>0</v>
      </c>
      <c r="H34" s="12"/>
    </row>
    <row r="35" spans="1:8" ht="17.5">
      <c r="A35" s="89" t="s">
        <v>0</v>
      </c>
      <c r="B35" s="90" t="s">
        <v>3</v>
      </c>
      <c r="C35" s="91" t="s">
        <v>5</v>
      </c>
      <c r="D35" s="92" t="s">
        <v>309</v>
      </c>
      <c r="E35" s="244" t="s">
        <v>74</v>
      </c>
      <c r="F35" s="92" t="s">
        <v>311</v>
      </c>
      <c r="H35" s="12"/>
    </row>
    <row r="36" spans="1:8" ht="17.5">
      <c r="A36" s="89"/>
      <c r="B36" s="90" t="s">
        <v>4</v>
      </c>
      <c r="C36" s="91" t="s">
        <v>6</v>
      </c>
      <c r="D36" s="92" t="s">
        <v>312</v>
      </c>
      <c r="E36" s="244" t="s">
        <v>312</v>
      </c>
      <c r="F36" s="92" t="s">
        <v>143</v>
      </c>
    </row>
    <row r="37" spans="1:8" ht="18" thickBot="1">
      <c r="A37" s="97" t="s">
        <v>2</v>
      </c>
      <c r="B37" s="98" t="s">
        <v>0</v>
      </c>
      <c r="C37" s="99" t="s">
        <v>0</v>
      </c>
      <c r="D37" s="98" t="s">
        <v>0</v>
      </c>
      <c r="E37" s="116" t="s">
        <v>0</v>
      </c>
      <c r="F37" s="98" t="s">
        <v>0</v>
      </c>
    </row>
    <row r="38" spans="1:8" ht="16">
      <c r="A38" s="274" t="s">
        <v>7</v>
      </c>
      <c r="B38" s="275" t="s">
        <v>7</v>
      </c>
      <c r="C38" s="319" t="s">
        <v>7</v>
      </c>
      <c r="D38" s="275" t="s">
        <v>310</v>
      </c>
      <c r="E38" s="117" t="s">
        <v>310</v>
      </c>
      <c r="F38" s="102"/>
    </row>
    <row r="39" spans="1:8" ht="17.5">
      <c r="A39" s="89"/>
      <c r="B39" s="90"/>
      <c r="C39" s="91"/>
      <c r="D39" s="90"/>
      <c r="E39" s="245"/>
      <c r="F39" s="90"/>
    </row>
    <row r="40" spans="1:8" ht="17.5">
      <c r="A40" s="104" t="str">
        <f>+'S&amp;D'!A22</f>
        <v>AES CORPORATION</v>
      </c>
      <c r="B40" s="89" t="str">
        <f>+'S&amp;D'!B22</f>
        <v>AES</v>
      </c>
      <c r="C40" s="89" t="str">
        <f>+'S&amp;D'!C22</f>
        <v>Power Electric</v>
      </c>
      <c r="D40" s="259">
        <f>+'S&amp;D'!H38</f>
        <v>26651726999.398678</v>
      </c>
      <c r="E40" s="261">
        <f>+'S&amp;D'!J22</f>
        <v>26878000000</v>
      </c>
      <c r="F40" s="106">
        <f>+D40/E40</f>
        <v>0.99158147925435958</v>
      </c>
    </row>
    <row r="41" spans="1:8" ht="17.5">
      <c r="A41" s="104" t="str">
        <f>+'S&amp;D'!A23</f>
        <v>DOMINION ENERGY INC</v>
      </c>
      <c r="B41" s="89" t="str">
        <f>+'S&amp;D'!B23</f>
        <v>D</v>
      </c>
      <c r="C41" s="89" t="str">
        <f>+'S&amp;D'!C23</f>
        <v>Electric - East</v>
      </c>
      <c r="D41" s="259">
        <f>+'S&amp;D'!H39</f>
        <v>42175774279.26445</v>
      </c>
      <c r="E41" s="261">
        <f>+'S&amp;D'!J23</f>
        <v>44243000000</v>
      </c>
      <c r="F41" s="106">
        <f t="shared" ref="F41:F46" si="2">+D41/E41</f>
        <v>0.95327564313596391</v>
      </c>
    </row>
    <row r="42" spans="1:8" ht="17.5">
      <c r="A42" s="104" t="str">
        <f>+'S&amp;D'!A24</f>
        <v>CONSTELLATION ENERGY GENERATION LLC</v>
      </c>
      <c r="B42" s="89" t="str">
        <f>+'S&amp;D'!B24</f>
        <v>CEG</v>
      </c>
      <c r="C42" s="89" t="str">
        <f>+'S&amp;D'!C24</f>
        <v>Power Electric</v>
      </c>
      <c r="D42" s="259">
        <f>+'S&amp;D'!H40</f>
        <v>7914000000</v>
      </c>
      <c r="E42" s="261">
        <f>+'S&amp;D'!J24</f>
        <v>7617000000</v>
      </c>
      <c r="F42" s="106">
        <f t="shared" si="2"/>
        <v>1.038991729027176</v>
      </c>
    </row>
    <row r="43" spans="1:8" ht="17.5">
      <c r="A43" s="104" t="str">
        <f>+'S&amp;D'!A25</f>
        <v>NEXTERA ENERGY INC</v>
      </c>
      <c r="B43" s="89" t="str">
        <f>+'S&amp;D'!B25</f>
        <v>NEE</v>
      </c>
      <c r="C43" s="89" t="str">
        <f>+'S&amp;D'!C25</f>
        <v>Electric - East</v>
      </c>
      <c r="D43" s="259">
        <f>+'S&amp;D'!H41</f>
        <v>64103000000</v>
      </c>
      <c r="E43" s="261">
        <f>+'S&amp;D'!J25</f>
        <v>68306000000</v>
      </c>
      <c r="F43" s="106">
        <f t="shared" ref="F43" si="3">+D43/E43</f>
        <v>0.9384680701548912</v>
      </c>
    </row>
    <row r="44" spans="1:8" ht="17.5">
      <c r="A44" s="104" t="str">
        <f>+'S&amp;D'!A26</f>
        <v>NRG ENERGY</v>
      </c>
      <c r="B44" s="89" t="str">
        <f>+'S&amp;D'!B26</f>
        <v>NRG</v>
      </c>
      <c r="C44" s="89" t="str">
        <f>+'S&amp;D'!C26</f>
        <v>Power Electric</v>
      </c>
      <c r="D44" s="259">
        <f>+'S&amp;D'!H42</f>
        <v>10533835649.434872</v>
      </c>
      <c r="E44" s="261">
        <f>+'S&amp;D'!J26</f>
        <v>10753000000</v>
      </c>
      <c r="F44" s="106">
        <f t="shared" si="2"/>
        <v>0.97961830646655557</v>
      </c>
    </row>
    <row r="45" spans="1:8" ht="17.5">
      <c r="A45" s="104" t="str">
        <f>+'S&amp;D'!A27</f>
        <v>SOUTHERN COMPANY</v>
      </c>
      <c r="B45" s="89" t="str">
        <f>+'S&amp;D'!B27</f>
        <v>SO</v>
      </c>
      <c r="C45" s="89" t="str">
        <f>+'S&amp;D'!C27</f>
        <v>Electric - East</v>
      </c>
      <c r="D45" s="259">
        <f>+'S&amp;D'!H43</f>
        <v>55264814814.814812</v>
      </c>
      <c r="E45" s="261">
        <f>+'S&amp;D'!J27</f>
        <v>59686000000</v>
      </c>
      <c r="F45" s="106">
        <f t="shared" si="2"/>
        <v>0.92592592592592582</v>
      </c>
    </row>
    <row r="46" spans="1:8" ht="18" thickBot="1">
      <c r="A46" s="108" t="str">
        <f>+'S&amp;D'!A28</f>
        <v>VISTRA ENERGY CORPORATION</v>
      </c>
      <c r="B46" s="97" t="str">
        <f>+'S&amp;D'!B28</f>
        <v>VST</v>
      </c>
      <c r="C46" s="97" t="str">
        <f>+'S&amp;D'!C28</f>
        <v>Power Electric</v>
      </c>
      <c r="D46" s="260">
        <f>+'S&amp;D'!H44</f>
        <v>14314000000</v>
      </c>
      <c r="E46" s="261">
        <f>+'S&amp;D'!J28</f>
        <v>14402000000</v>
      </c>
      <c r="F46" s="106">
        <f t="shared" si="2"/>
        <v>0.99388973753645327</v>
      </c>
    </row>
    <row r="47" spans="1:8" ht="27.75" customHeight="1" thickBot="1">
      <c r="E47" s="272" t="s">
        <v>318</v>
      </c>
      <c r="F47" s="371">
        <f>AVERAGE(F40:F46)</f>
        <v>0.97453584164304641</v>
      </c>
    </row>
    <row r="52" spans="1:6">
      <c r="C52" s="246" t="s">
        <v>313</v>
      </c>
      <c r="D52" s="246" t="s">
        <v>314</v>
      </c>
      <c r="E52" s="246"/>
    </row>
    <row r="53" spans="1:6">
      <c r="A53" s="248"/>
      <c r="B53" s="248"/>
      <c r="C53" s="247" t="s">
        <v>36</v>
      </c>
      <c r="D53" s="247" t="s">
        <v>315</v>
      </c>
      <c r="E53" s="247" t="s">
        <v>316</v>
      </c>
    </row>
    <row r="54" spans="1:6" ht="17.5">
      <c r="A54" s="91" t="s">
        <v>40</v>
      </c>
      <c r="B54" s="139" t="s">
        <v>0</v>
      </c>
      <c r="C54" s="139">
        <f>+'Yield CapRate'!C23</f>
        <v>0.54</v>
      </c>
      <c r="D54" s="252">
        <f>+F29</f>
        <v>3.0413239396274365</v>
      </c>
      <c r="E54" s="253">
        <f>+C54*D54</f>
        <v>1.6423149273988158</v>
      </c>
      <c r="F54" s="140" t="s">
        <v>0</v>
      </c>
    </row>
    <row r="55" spans="1:6" ht="17.5">
      <c r="A55" s="249" t="s">
        <v>42</v>
      </c>
      <c r="B55" s="250" t="str">
        <f>'S&amp;D'!J35</f>
        <v xml:space="preserve"> </v>
      </c>
      <c r="C55" s="250">
        <f>+'Yield CapRate'!C25</f>
        <v>0.46</v>
      </c>
      <c r="D55" s="251">
        <f>+F47</f>
        <v>0.97453584164304641</v>
      </c>
      <c r="E55" s="251">
        <f>+C55*D55</f>
        <v>0.44828648715580138</v>
      </c>
      <c r="F55" s="140" t="s">
        <v>0</v>
      </c>
    </row>
    <row r="56" spans="1:6" ht="17.5">
      <c r="D56" s="119" t="s">
        <v>317</v>
      </c>
      <c r="E56" s="273">
        <f>+E54+E55</f>
        <v>2.0906014145546172</v>
      </c>
    </row>
    <row r="59" spans="1:6" ht="21">
      <c r="A59" s="31" t="s">
        <v>414</v>
      </c>
    </row>
    <row r="60" spans="1:6" ht="21">
      <c r="A60" s="31" t="s">
        <v>382</v>
      </c>
    </row>
  </sheetData>
  <pageMargins left="0.25" right="0.25" top="0.75" bottom="0.75" header="0.3" footer="0.3"/>
  <pageSetup scale="46" orientation="landscape" r:id="rId1"/>
  <rowBreaks count="1" manualBreakCount="1">
    <brk id="33"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6"/>
  <sheetViews>
    <sheetView view="pageBreakPreview" topLeftCell="A3" zoomScale="70" zoomScaleNormal="80" zoomScaleSheetLayoutView="70" workbookViewId="0">
      <selection activeCell="L34" sqref="L34"/>
    </sheetView>
  </sheetViews>
  <sheetFormatPr defaultRowHeight="14.5"/>
  <cols>
    <col min="1" max="1" width="45.1796875" customWidth="1"/>
    <col min="2" max="2" width="10.81640625" bestFit="1" customWidth="1"/>
    <col min="3" max="3" width="13" customWidth="1"/>
    <col min="4" max="4" width="23.453125" customWidth="1"/>
    <col min="5" max="5" width="22.26953125" customWidth="1"/>
    <col min="6" max="6" width="26.54296875" customWidth="1"/>
    <col min="7" max="7" width="26.453125" customWidth="1"/>
    <col min="8" max="8" width="23.81640625" customWidth="1"/>
    <col min="9" max="9" width="15" customWidth="1"/>
    <col min="10" max="10" width="14.1796875" bestFit="1" customWidth="1"/>
    <col min="11" max="11" width="16.7265625" customWidth="1"/>
    <col min="12" max="12" width="23.1796875" customWidth="1"/>
  </cols>
  <sheetData>
    <row r="1" spans="1:12" ht="25.5">
      <c r="A1" s="24" t="s">
        <v>1</v>
      </c>
      <c r="B1" s="12"/>
      <c r="C1" s="12"/>
      <c r="D1" s="12"/>
      <c r="E1" s="12"/>
      <c r="F1" s="12"/>
      <c r="G1" s="12"/>
      <c r="H1" s="12"/>
      <c r="I1" s="12"/>
      <c r="J1" s="12"/>
      <c r="K1" s="12"/>
      <c r="L1" s="12"/>
    </row>
    <row r="2" spans="1:12" ht="17.5">
      <c r="A2" s="25" t="s">
        <v>9</v>
      </c>
      <c r="B2" s="12"/>
      <c r="C2" s="12"/>
      <c r="D2" s="12"/>
      <c r="E2" s="12"/>
      <c r="F2" s="12"/>
      <c r="G2" s="12"/>
      <c r="H2" s="12"/>
      <c r="I2" s="12"/>
      <c r="J2" s="12"/>
      <c r="K2" s="12"/>
      <c r="L2" s="12"/>
    </row>
    <row r="3" spans="1:12" ht="17">
      <c r="A3" s="26" t="s">
        <v>457</v>
      </c>
      <c r="B3" s="12"/>
      <c r="C3" s="12"/>
      <c r="D3" s="12"/>
      <c r="E3" s="12"/>
      <c r="F3" s="12"/>
      <c r="G3" s="12"/>
      <c r="H3" s="12"/>
      <c r="I3" s="12"/>
      <c r="J3" s="12"/>
      <c r="K3" s="12"/>
      <c r="L3" s="12"/>
    </row>
    <row r="4" spans="1:12" ht="17">
      <c r="A4" s="26"/>
      <c r="B4" s="12"/>
      <c r="C4" s="12"/>
      <c r="D4" s="12"/>
      <c r="E4" s="12"/>
      <c r="F4" s="12"/>
      <c r="G4" s="12"/>
      <c r="H4" s="12"/>
      <c r="I4" s="12"/>
      <c r="J4" s="12"/>
      <c r="K4" s="12"/>
      <c r="L4" s="12"/>
    </row>
    <row r="5" spans="1:12" ht="17">
      <c r="A5" s="26"/>
      <c r="B5" s="12"/>
      <c r="C5" s="12"/>
      <c r="D5" s="12"/>
      <c r="E5" s="12"/>
      <c r="F5" s="12"/>
      <c r="G5" s="12"/>
      <c r="H5" s="12"/>
      <c r="I5" s="12"/>
      <c r="J5" s="12"/>
      <c r="K5" s="12"/>
      <c r="L5" s="12"/>
    </row>
    <row r="6" spans="1:12" ht="17">
      <c r="A6" s="26"/>
      <c r="B6" s="12"/>
      <c r="C6" s="12"/>
      <c r="D6" s="12"/>
      <c r="E6" s="12"/>
      <c r="F6" s="12"/>
      <c r="G6" s="12"/>
      <c r="H6" s="12"/>
      <c r="I6" s="12"/>
      <c r="J6" s="12"/>
      <c r="K6" s="12"/>
      <c r="L6" s="12"/>
    </row>
    <row r="7" spans="1:12" ht="17.5" thickBot="1">
      <c r="A7" s="12"/>
      <c r="B7" s="12"/>
      <c r="C7" s="12"/>
      <c r="D7" s="12"/>
      <c r="E7" s="12"/>
      <c r="F7" s="29"/>
      <c r="G7" s="29"/>
      <c r="H7" s="30" t="s">
        <v>0</v>
      </c>
      <c r="I7" s="12"/>
      <c r="J7" s="12"/>
      <c r="K7" s="12"/>
      <c r="L7" s="12"/>
    </row>
    <row r="8" spans="1:12" ht="26" thickBot="1">
      <c r="A8" s="267" t="str">
        <f>+'S&amp;D'!A12</f>
        <v>Electric Wholesale (non-regulated) Power Generator</v>
      </c>
      <c r="B8" s="268"/>
      <c r="C8" s="197"/>
      <c r="D8" s="12"/>
      <c r="E8" s="12"/>
      <c r="F8" s="12"/>
      <c r="G8" s="32" t="s">
        <v>89</v>
      </c>
      <c r="H8" s="12"/>
      <c r="I8" s="12"/>
      <c r="J8" s="12"/>
      <c r="K8" s="12"/>
      <c r="L8" s="12"/>
    </row>
    <row r="9" spans="1:12" ht="21">
      <c r="A9" s="31"/>
      <c r="B9" s="12"/>
      <c r="C9" s="12"/>
      <c r="D9" s="12"/>
      <c r="E9" s="12"/>
      <c r="F9" s="12"/>
      <c r="G9" s="91" t="s">
        <v>90</v>
      </c>
      <c r="H9" s="12"/>
      <c r="I9" s="12"/>
      <c r="J9" s="12"/>
      <c r="K9" s="12"/>
      <c r="L9" s="12"/>
    </row>
    <row r="10" spans="1:12" ht="18" customHeight="1" thickBot="1">
      <c r="A10" s="41" t="s">
        <v>0</v>
      </c>
      <c r="B10" s="41" t="s">
        <v>0</v>
      </c>
      <c r="C10" s="41" t="s">
        <v>0</v>
      </c>
      <c r="D10" s="12"/>
      <c r="E10" s="12"/>
      <c r="F10" s="34" t="s">
        <v>0</v>
      </c>
      <c r="G10" s="37" t="s">
        <v>458</v>
      </c>
      <c r="H10" s="34" t="s">
        <v>0</v>
      </c>
      <c r="I10" s="41" t="s">
        <v>0</v>
      </c>
      <c r="J10" s="12"/>
      <c r="K10" s="12"/>
      <c r="L10" s="12"/>
    </row>
    <row r="11" spans="1:12" ht="18" customHeight="1">
      <c r="A11" s="41"/>
      <c r="B11" s="41"/>
      <c r="C11" s="41"/>
      <c r="D11" s="12"/>
      <c r="E11" s="12"/>
      <c r="J11" s="12"/>
      <c r="K11" s="12"/>
      <c r="L11" s="12"/>
    </row>
    <row r="12" spans="1:12" ht="18" customHeight="1">
      <c r="A12" s="41"/>
      <c r="B12" s="41"/>
      <c r="C12" s="41"/>
      <c r="D12" s="12"/>
      <c r="E12" s="12"/>
      <c r="G12" s="13" t="s">
        <v>0</v>
      </c>
      <c r="J12" s="12"/>
      <c r="K12" s="12"/>
      <c r="L12" s="12"/>
    </row>
    <row r="13" spans="1:12" ht="17.5" thickBot="1">
      <c r="A13" s="34"/>
      <c r="B13" s="34"/>
      <c r="C13" s="34"/>
      <c r="D13" s="34"/>
      <c r="E13" s="37"/>
      <c r="F13" s="34"/>
      <c r="G13" s="34"/>
      <c r="H13" s="34"/>
      <c r="I13" s="34"/>
      <c r="J13" s="29"/>
      <c r="K13" s="29"/>
      <c r="L13" s="29"/>
    </row>
    <row r="14" spans="1:12" ht="15" customHeight="1" thickBot="1">
      <c r="A14" s="34" t="s">
        <v>24</v>
      </c>
      <c r="B14" s="34" t="s">
        <v>102</v>
      </c>
      <c r="C14" s="34" t="s">
        <v>103</v>
      </c>
      <c r="D14" s="42" t="s">
        <v>104</v>
      </c>
      <c r="E14" s="34" t="s">
        <v>105</v>
      </c>
      <c r="F14" s="34" t="s">
        <v>106</v>
      </c>
      <c r="G14" s="34" t="s">
        <v>107</v>
      </c>
      <c r="H14" s="34" t="s">
        <v>108</v>
      </c>
      <c r="I14" s="34" t="s">
        <v>109</v>
      </c>
      <c r="J14" s="34" t="s">
        <v>110</v>
      </c>
      <c r="K14" s="34" t="s">
        <v>111</v>
      </c>
      <c r="L14" s="34" t="s">
        <v>119</v>
      </c>
    </row>
    <row r="15" spans="1:12" ht="17">
      <c r="A15" s="35" t="s">
        <v>0</v>
      </c>
      <c r="B15" s="35" t="s">
        <v>3</v>
      </c>
      <c r="C15" s="35" t="s">
        <v>91</v>
      </c>
      <c r="D15" s="35" t="s">
        <v>94</v>
      </c>
      <c r="E15" s="35" t="s">
        <v>94</v>
      </c>
      <c r="F15" s="35" t="s">
        <v>95</v>
      </c>
      <c r="G15" s="35" t="s">
        <v>98</v>
      </c>
      <c r="H15" s="35" t="s">
        <v>100</v>
      </c>
      <c r="I15" s="35" t="s">
        <v>122</v>
      </c>
      <c r="J15" s="35" t="s">
        <v>122</v>
      </c>
      <c r="K15" s="35" t="s">
        <v>115</v>
      </c>
      <c r="L15" s="35" t="s">
        <v>117</v>
      </c>
    </row>
    <row r="16" spans="1:12" ht="17.5" thickBot="1">
      <c r="A16" s="37" t="s">
        <v>2</v>
      </c>
      <c r="B16" s="37" t="s">
        <v>4</v>
      </c>
      <c r="C16" s="37" t="s">
        <v>92</v>
      </c>
      <c r="D16" s="37" t="s">
        <v>97</v>
      </c>
      <c r="E16" s="37" t="s">
        <v>96</v>
      </c>
      <c r="F16" s="37" t="s">
        <v>19</v>
      </c>
      <c r="G16" s="37" t="s">
        <v>99</v>
      </c>
      <c r="H16" s="37" t="s">
        <v>101</v>
      </c>
      <c r="I16" s="37" t="s">
        <v>0</v>
      </c>
      <c r="J16" s="37" t="s">
        <v>0</v>
      </c>
      <c r="K16" s="37" t="s">
        <v>116</v>
      </c>
      <c r="L16" s="37" t="s">
        <v>98</v>
      </c>
    </row>
    <row r="17" spans="1:12" ht="16">
      <c r="A17" s="43" t="s">
        <v>7</v>
      </c>
      <c r="B17" s="43" t="s">
        <v>7</v>
      </c>
      <c r="C17" s="43" t="s">
        <v>93</v>
      </c>
      <c r="D17" s="43" t="s">
        <v>260</v>
      </c>
      <c r="E17" s="43" t="s">
        <v>260</v>
      </c>
      <c r="F17" s="43" t="s">
        <v>120</v>
      </c>
      <c r="G17" s="43" t="s">
        <v>259</v>
      </c>
      <c r="H17" s="43" t="s">
        <v>112</v>
      </c>
      <c r="I17" s="43" t="s">
        <v>113</v>
      </c>
      <c r="J17" s="43" t="s">
        <v>114</v>
      </c>
      <c r="K17" s="43" t="s">
        <v>121</v>
      </c>
      <c r="L17" s="43" t="s">
        <v>118</v>
      </c>
    </row>
    <row r="18" spans="1:12" ht="17">
      <c r="A18" s="35"/>
      <c r="B18" s="35"/>
      <c r="C18" s="35"/>
      <c r="D18" s="35"/>
      <c r="E18" s="35"/>
      <c r="F18" s="35"/>
      <c r="G18" s="35"/>
      <c r="H18" s="35"/>
      <c r="I18" s="35"/>
      <c r="J18" s="35"/>
      <c r="K18" s="35"/>
      <c r="L18" s="35"/>
    </row>
    <row r="19" spans="1:12" ht="17">
      <c r="A19" s="12"/>
      <c r="B19" s="12"/>
      <c r="C19" s="12"/>
      <c r="D19" s="12" t="s">
        <v>0</v>
      </c>
      <c r="E19" s="12" t="s">
        <v>0</v>
      </c>
      <c r="F19" s="12" t="s">
        <v>0</v>
      </c>
      <c r="G19" s="12" t="s">
        <v>0</v>
      </c>
      <c r="H19" s="12"/>
      <c r="I19" s="12"/>
      <c r="J19" s="12"/>
      <c r="K19" s="12"/>
      <c r="L19" s="12"/>
    </row>
    <row r="20" spans="1:12" ht="22.5" customHeight="1">
      <c r="A20" s="64" t="str">
        <f>+'S&amp;D'!A22</f>
        <v>AES CORPORATION</v>
      </c>
      <c r="B20" s="91" t="str">
        <f>+'S&amp;D'!B22</f>
        <v>AES</v>
      </c>
      <c r="C20" s="67">
        <f>+'Growth &amp; Inflation Rates'!D93</f>
        <v>2.2200000000000001E-2</v>
      </c>
      <c r="D20" s="301">
        <f>29958000000+8602000000</f>
        <v>38560000000</v>
      </c>
      <c r="E20" s="135">
        <f>23039000000+8651000000</f>
        <v>31690000000</v>
      </c>
      <c r="F20" s="135">
        <f>(D20+E20)/2</f>
        <v>35125000000</v>
      </c>
      <c r="G20" s="135">
        <v>1128000000</v>
      </c>
      <c r="H20" s="18">
        <f t="shared" ref="H20:H25" si="0">+F20/G20</f>
        <v>31.13918439716312</v>
      </c>
      <c r="I20" s="45">
        <f>+C20*H20</f>
        <v>0.69128989361702131</v>
      </c>
      <c r="J20" s="46">
        <f>1/(1+C20)^H20</f>
        <v>0.50473169747830726</v>
      </c>
      <c r="K20" s="136">
        <f>(G20*I20)/(1-J20)</f>
        <v>1574449638.7709889</v>
      </c>
      <c r="L20" s="137">
        <f>+K20/G20</f>
        <v>1.3957886868537135</v>
      </c>
    </row>
    <row r="21" spans="1:12" ht="22.5" customHeight="1">
      <c r="A21" s="64" t="str">
        <f>+'S&amp;D'!A23</f>
        <v>DOMINION ENERGY INC</v>
      </c>
      <c r="B21" s="91" t="str">
        <f>+'S&amp;D'!B23</f>
        <v>D</v>
      </c>
      <c r="C21" s="67">
        <f>+'Growth &amp; Inflation Rates'!D93</f>
        <v>2.2200000000000001E-2</v>
      </c>
      <c r="D21" s="301">
        <v>83417000000</v>
      </c>
      <c r="E21" s="135">
        <v>75708000000</v>
      </c>
      <c r="F21" s="135">
        <f t="shared" ref="F21:F26" si="1">(D21+E21)/2</f>
        <v>79562500000</v>
      </c>
      <c r="G21" s="135">
        <v>2580000000</v>
      </c>
      <c r="H21" s="18">
        <f t="shared" si="0"/>
        <v>30.838178294573645</v>
      </c>
      <c r="I21" s="45">
        <f t="shared" ref="I21:I26" si="2">+C21*H21</f>
        <v>0.68460755813953489</v>
      </c>
      <c r="J21" s="46">
        <f t="shared" ref="J21:J26" si="3">1/(1+C21)^H21</f>
        <v>0.50807863928297559</v>
      </c>
      <c r="K21" s="136">
        <f t="shared" ref="K21:K26" si="4">(G21*I21)/(1-J21)</f>
        <v>3590589149.0978556</v>
      </c>
      <c r="L21" s="137">
        <f t="shared" ref="L21:L26" si="5">+K21/G21</f>
        <v>1.3917012205805641</v>
      </c>
    </row>
    <row r="22" spans="1:12" ht="22.5" customHeight="1">
      <c r="A22" s="64" t="str">
        <f>+'S&amp;D'!A24</f>
        <v>CONSTELLATION ENERGY GENERATION LLC</v>
      </c>
      <c r="B22" s="91" t="str">
        <f>+'S&amp;D'!B24</f>
        <v>CEG</v>
      </c>
      <c r="C22" s="67">
        <f>+'Growth &amp; Inflation Rates'!D93</f>
        <v>2.2200000000000001E-2</v>
      </c>
      <c r="D22" s="301">
        <v>39539000000</v>
      </c>
      <c r="E22" s="135">
        <v>36548000000</v>
      </c>
      <c r="F22" s="135">
        <f>(D22+E22)/2</f>
        <v>38043500000</v>
      </c>
      <c r="G22" s="135">
        <v>1096000000</v>
      </c>
      <c r="H22" s="18">
        <f t="shared" si="0"/>
        <v>34.711222627737229</v>
      </c>
      <c r="I22" s="45">
        <f t="shared" si="2"/>
        <v>0.77058914233576647</v>
      </c>
      <c r="J22" s="46">
        <f t="shared" si="3"/>
        <v>0.46665729974132436</v>
      </c>
      <c r="K22" s="136">
        <f t="shared" si="4"/>
        <v>1583532875.9358261</v>
      </c>
      <c r="L22" s="137">
        <f t="shared" si="5"/>
        <v>1.4448292663648048</v>
      </c>
    </row>
    <row r="23" spans="1:12" ht="22.5" customHeight="1">
      <c r="A23" s="64" t="str">
        <f>+'S&amp;D'!A25</f>
        <v>NEXTERA ENERGY INC</v>
      </c>
      <c r="B23" s="91" t="str">
        <f>+'S&amp;D'!B25</f>
        <v>NEE</v>
      </c>
      <c r="C23" s="67">
        <f>+'Growth &amp; Inflation Rates'!D93</f>
        <v>2.2200000000000001E-2</v>
      </c>
      <c r="D23" s="301">
        <v>159265000000</v>
      </c>
      <c r="E23" s="135">
        <v>142322000000</v>
      </c>
      <c r="F23" s="135">
        <f>(D23+E23)/2</f>
        <v>150793500000</v>
      </c>
      <c r="G23" s="135">
        <v>5879000000</v>
      </c>
      <c r="H23" s="18">
        <f t="shared" si="0"/>
        <v>25.649515223677497</v>
      </c>
      <c r="I23" s="45">
        <f t="shared" ref="I23" si="6">+C23*H23</f>
        <v>0.56941923796564042</v>
      </c>
      <c r="J23" s="46">
        <f t="shared" ref="J23" si="7">1/(1+C23)^H23</f>
        <v>0.56938941260260967</v>
      </c>
      <c r="K23" s="136">
        <f t="shared" ref="K23" si="8">(G23*I23)/(1-J23)</f>
        <v>7774113776.9811554</v>
      </c>
      <c r="L23" s="137">
        <f t="shared" ref="L23" si="9">+K23/G23</f>
        <v>1.3223530833443027</v>
      </c>
    </row>
    <row r="24" spans="1:12" ht="22.5" customHeight="1">
      <c r="A24" s="64" t="str">
        <f>+'S&amp;D'!A26</f>
        <v>NRG ENERGY</v>
      </c>
      <c r="B24" s="91" t="str">
        <f>+'S&amp;D'!B26</f>
        <v>NRG</v>
      </c>
      <c r="C24" s="67">
        <f>+'Growth &amp; Inflation Rates'!D93</f>
        <v>2.2200000000000001E-2</v>
      </c>
      <c r="D24" s="301">
        <v>3058000000</v>
      </c>
      <c r="E24" s="135">
        <v>3170000000</v>
      </c>
      <c r="F24" s="135">
        <f t="shared" si="1"/>
        <v>3114000000</v>
      </c>
      <c r="G24" s="135">
        <v>1127000000</v>
      </c>
      <c r="H24" s="18">
        <f t="shared" si="0"/>
        <v>2.7630878438331856</v>
      </c>
      <c r="I24" s="45">
        <f t="shared" si="2"/>
        <v>6.1340550133096722E-2</v>
      </c>
      <c r="J24" s="46">
        <f t="shared" si="3"/>
        <v>0.9411341558886579</v>
      </c>
      <c r="K24" s="136">
        <f t="shared" si="4"/>
        <v>1174378810.7283773</v>
      </c>
      <c r="L24" s="137">
        <f t="shared" si="5"/>
        <v>1.042039761072207</v>
      </c>
    </row>
    <row r="25" spans="1:12" ht="22.5" customHeight="1">
      <c r="A25" s="64" t="str">
        <f>+'S&amp;D'!A27</f>
        <v>SOUTHERN COMPANY</v>
      </c>
      <c r="B25" s="91" t="str">
        <f>+'S&amp;D'!B27</f>
        <v>SO</v>
      </c>
      <c r="C25" s="67">
        <f>+'Growth &amp; Inflation Rates'!D93</f>
        <v>2.2200000000000001E-2</v>
      </c>
      <c r="D25" s="301">
        <f>128428000000+499000000+858000000+7784000000</f>
        <v>137569000000</v>
      </c>
      <c r="E25" s="135">
        <f>117529000000+599000000+843000000+10896000000</f>
        <v>129867000000</v>
      </c>
      <c r="F25" s="135">
        <f t="shared" si="1"/>
        <v>133718000000</v>
      </c>
      <c r="G25" s="135">
        <v>4525000000</v>
      </c>
      <c r="H25" s="18">
        <f t="shared" si="0"/>
        <v>29.550939226519336</v>
      </c>
      <c r="I25" s="45">
        <f t="shared" si="2"/>
        <v>0.65603085082872925</v>
      </c>
      <c r="J25" s="46">
        <f t="shared" si="3"/>
        <v>0.5226439043668768</v>
      </c>
      <c r="K25" s="136">
        <f t="shared" si="4"/>
        <v>6218710994.0699301</v>
      </c>
      <c r="L25" s="137">
        <f t="shared" si="5"/>
        <v>1.3743007721701503</v>
      </c>
    </row>
    <row r="26" spans="1:12" ht="22.5" customHeight="1">
      <c r="A26" s="64" t="str">
        <f>+'S&amp;D'!A28</f>
        <v>VISTRA ENERGY CORPORATION</v>
      </c>
      <c r="B26" s="91" t="str">
        <f>+'S&amp;D'!B28</f>
        <v>VST</v>
      </c>
      <c r="C26" s="67">
        <f>+'Growth &amp; Inflation Rates'!D93</f>
        <v>2.2200000000000001E-2</v>
      </c>
      <c r="D26" s="301">
        <f>18028000000+160000000+379000000+522000000</f>
        <v>19089000000</v>
      </c>
      <c r="E26" s="135">
        <f>17344000000+522000000+173000000+268000000</f>
        <v>18307000000</v>
      </c>
      <c r="F26" s="135">
        <f t="shared" si="1"/>
        <v>18698000000</v>
      </c>
      <c r="G26" s="135">
        <v>1502000000</v>
      </c>
      <c r="H26" s="18">
        <f t="shared" ref="H26" si="10">+F26/G26</f>
        <v>12.448735019973368</v>
      </c>
      <c r="I26" s="45">
        <f t="shared" si="2"/>
        <v>0.27636191744340877</v>
      </c>
      <c r="J26" s="46">
        <f t="shared" si="3"/>
        <v>0.76083485273905771</v>
      </c>
      <c r="K26" s="136">
        <f t="shared" si="4"/>
        <v>1735602385.0210412</v>
      </c>
      <c r="L26" s="137">
        <f t="shared" si="5"/>
        <v>1.1555275532763256</v>
      </c>
    </row>
    <row r="27" spans="1:12" ht="22.5" customHeight="1" thickBot="1">
      <c r="A27" s="12"/>
      <c r="B27" s="12"/>
      <c r="D27" s="47"/>
      <c r="E27" s="47"/>
      <c r="F27" s="47"/>
      <c r="G27" s="47" t="s">
        <v>52</v>
      </c>
      <c r="H27" s="47"/>
      <c r="I27" s="47" t="s">
        <v>52</v>
      </c>
      <c r="J27" s="47"/>
      <c r="K27" s="47"/>
      <c r="L27" s="47"/>
    </row>
    <row r="28" spans="1:12" ht="22.5" customHeight="1" thickTop="1">
      <c r="A28" s="12"/>
      <c r="B28" s="12"/>
      <c r="D28" s="48" t="s">
        <v>0</v>
      </c>
      <c r="E28" s="35" t="s">
        <v>0</v>
      </c>
      <c r="F28" s="35"/>
      <c r="G28" s="48" t="s">
        <v>0</v>
      </c>
      <c r="H28" s="35"/>
      <c r="I28" s="48" t="s">
        <v>0</v>
      </c>
      <c r="J28" s="48" t="s">
        <v>0</v>
      </c>
      <c r="K28" s="14" t="s">
        <v>53</v>
      </c>
      <c r="L28" s="297">
        <f>MAX(L20:L26)</f>
        <v>1.4448292663648048</v>
      </c>
    </row>
    <row r="29" spans="1:12" ht="22.5" customHeight="1">
      <c r="B29" s="12"/>
      <c r="D29" s="35" t="s">
        <v>0</v>
      </c>
      <c r="E29" s="35" t="s">
        <v>0</v>
      </c>
      <c r="F29" s="35"/>
      <c r="G29" s="357" t="s">
        <v>0</v>
      </c>
      <c r="H29" s="35"/>
      <c r="I29" s="48"/>
      <c r="J29" s="48"/>
      <c r="K29" s="14" t="s">
        <v>54</v>
      </c>
      <c r="L29" s="298">
        <f>MIN(L20:L26)</f>
        <v>1.042039761072207</v>
      </c>
    </row>
    <row r="30" spans="1:12" ht="22.5" customHeight="1">
      <c r="B30" s="12"/>
      <c r="C30" s="12"/>
      <c r="D30" s="302" t="s">
        <v>0</v>
      </c>
      <c r="E30" s="12" t="s">
        <v>0</v>
      </c>
      <c r="F30" s="12"/>
      <c r="G30" s="12" t="s">
        <v>0</v>
      </c>
      <c r="H30" s="12"/>
      <c r="I30" s="12"/>
      <c r="J30" s="12"/>
      <c r="K30" s="14" t="s">
        <v>18</v>
      </c>
      <c r="L30" s="56">
        <f>MEDIAN(L20:L26)</f>
        <v>1.3743007721701503</v>
      </c>
    </row>
    <row r="31" spans="1:12" ht="22.5" customHeight="1">
      <c r="A31" s="12"/>
      <c r="B31" s="12"/>
      <c r="C31" s="12"/>
      <c r="D31" s="12" t="s">
        <v>0</v>
      </c>
      <c r="E31" s="12"/>
      <c r="F31" s="12"/>
      <c r="G31" s="12"/>
      <c r="H31" s="12"/>
      <c r="I31" s="12"/>
      <c r="J31" s="12"/>
      <c r="K31" s="14" t="s">
        <v>412</v>
      </c>
      <c r="L31" s="56">
        <f>AVERAGE(L20:L26)</f>
        <v>1.3037914776660098</v>
      </c>
    </row>
    <row r="32" spans="1:12" ht="22.5" customHeight="1" thickBot="1">
      <c r="A32" s="12"/>
      <c r="B32" s="12"/>
      <c r="C32" s="12"/>
      <c r="D32" s="12"/>
      <c r="E32" s="12"/>
      <c r="F32" s="12"/>
      <c r="G32" s="12" t="s">
        <v>0</v>
      </c>
      <c r="H32" s="12"/>
      <c r="I32" s="12"/>
      <c r="J32" s="12"/>
      <c r="K32" s="12"/>
      <c r="L32" s="12"/>
    </row>
    <row r="33" spans="1:12" ht="22.5" customHeight="1" thickBot="1">
      <c r="A33" s="12"/>
      <c r="B33" s="12"/>
      <c r="C33" s="12"/>
      <c r="D33" s="12"/>
      <c r="E33" s="12"/>
      <c r="F33" s="12"/>
      <c r="G33" s="12"/>
      <c r="H33" s="12"/>
      <c r="I33" s="12"/>
      <c r="J33" s="12"/>
      <c r="K33" s="203" t="s">
        <v>226</v>
      </c>
      <c r="L33" s="372">
        <v>1.3743000000000001</v>
      </c>
    </row>
    <row r="34" spans="1:12" ht="17">
      <c r="A34" s="12"/>
      <c r="B34" s="12"/>
      <c r="C34" s="12"/>
      <c r="D34" s="12"/>
      <c r="E34" s="12"/>
      <c r="F34" s="12"/>
      <c r="G34" s="12"/>
      <c r="H34" s="12"/>
      <c r="I34" s="12"/>
      <c r="J34" s="12"/>
      <c r="K34" s="12"/>
      <c r="L34" s="12"/>
    </row>
    <row r="35" spans="1:12" ht="17">
      <c r="A35" s="12"/>
      <c r="B35" s="12"/>
      <c r="C35" s="12"/>
      <c r="D35" s="12"/>
      <c r="E35" s="12"/>
      <c r="F35" s="12"/>
      <c r="G35" s="12"/>
      <c r="H35" s="12"/>
      <c r="I35" s="12"/>
      <c r="J35" s="12"/>
      <c r="K35" s="12"/>
      <c r="L35" s="12"/>
    </row>
    <row r="36" spans="1:12" ht="21">
      <c r="A36" s="31" t="s">
        <v>85</v>
      </c>
      <c r="B36" s="12"/>
      <c r="C36" s="12"/>
      <c r="D36" s="12"/>
      <c r="E36" s="12"/>
      <c r="F36" s="12"/>
      <c r="G36" s="12"/>
      <c r="H36" s="12"/>
      <c r="I36" s="12"/>
      <c r="J36" s="12"/>
      <c r="K36" s="12"/>
      <c r="L36" s="12"/>
    </row>
    <row r="37" spans="1:12" ht="17">
      <c r="A37" s="12" t="s">
        <v>280</v>
      </c>
    </row>
    <row r="38" spans="1:12" ht="17">
      <c r="A38" s="12"/>
    </row>
    <row r="39" spans="1:12" ht="17">
      <c r="A39" s="12" t="s">
        <v>383</v>
      </c>
    </row>
    <row r="40" spans="1:12" ht="21">
      <c r="A40" s="239"/>
      <c r="B40" s="239"/>
      <c r="C40" s="239"/>
      <c r="D40" s="239"/>
      <c r="E40" s="239"/>
      <c r="F40" s="239"/>
      <c r="G40" s="239"/>
      <c r="H40" s="239"/>
      <c r="I40" s="239"/>
      <c r="J40" s="239"/>
      <c r="K40" s="239"/>
      <c r="L40" s="239"/>
    </row>
    <row r="41" spans="1:12" ht="25.5">
      <c r="A41" s="24" t="s">
        <v>1</v>
      </c>
      <c r="B41" s="12"/>
      <c r="C41" s="12"/>
      <c r="D41" s="12"/>
      <c r="E41" s="12"/>
      <c r="F41" s="12"/>
      <c r="G41" s="12"/>
      <c r="H41" s="12"/>
      <c r="I41" s="12"/>
      <c r="J41" s="12"/>
      <c r="K41" s="239"/>
      <c r="L41" s="239"/>
    </row>
    <row r="42" spans="1:12" ht="21">
      <c r="A42" s="25" t="s">
        <v>9</v>
      </c>
      <c r="B42" s="12"/>
      <c r="C42" s="12"/>
      <c r="D42" s="12"/>
      <c r="E42" s="12"/>
      <c r="F42" s="12"/>
      <c r="G42" s="12"/>
      <c r="H42" s="12"/>
      <c r="I42" s="12"/>
      <c r="J42" s="12"/>
      <c r="K42" s="239"/>
      <c r="L42" s="239"/>
    </row>
    <row r="43" spans="1:12" ht="21">
      <c r="A43" s="26" t="s">
        <v>457</v>
      </c>
      <c r="B43" s="12"/>
      <c r="C43" s="12"/>
      <c r="D43" s="12"/>
      <c r="E43" s="12"/>
      <c r="F43" s="12"/>
      <c r="G43" s="12"/>
      <c r="H43" s="12"/>
      <c r="I43" s="12"/>
      <c r="J43" s="12"/>
      <c r="K43" s="239"/>
      <c r="L43" s="239"/>
    </row>
    <row r="44" spans="1:12" ht="21">
      <c r="A44" s="26"/>
      <c r="B44" s="12"/>
      <c r="C44" s="12"/>
      <c r="D44" s="12"/>
      <c r="E44" s="12"/>
      <c r="F44" s="12"/>
      <c r="G44" s="12"/>
      <c r="H44" s="12"/>
      <c r="I44" s="12"/>
      <c r="J44" s="12"/>
      <c r="K44" s="239"/>
      <c r="L44" s="239"/>
    </row>
    <row r="45" spans="1:12" ht="21">
      <c r="A45" s="26"/>
      <c r="B45" s="12"/>
      <c r="C45" s="12"/>
      <c r="D45" s="12"/>
      <c r="E45" s="12"/>
      <c r="F45" s="12"/>
      <c r="G45" s="12"/>
      <c r="H45" s="12"/>
      <c r="I45" s="12"/>
      <c r="J45" s="12"/>
      <c r="K45" s="239"/>
      <c r="L45" s="239"/>
    </row>
    <row r="46" spans="1:12" ht="21">
      <c r="A46" s="26"/>
      <c r="B46" s="12"/>
      <c r="C46" s="12"/>
      <c r="D46" s="12"/>
      <c r="E46" s="12"/>
      <c r="F46" s="12"/>
      <c r="G46" s="12"/>
      <c r="H46" s="12"/>
      <c r="I46" s="12"/>
      <c r="J46" s="12"/>
      <c r="K46" s="239"/>
      <c r="L46" s="239"/>
    </row>
    <row r="47" spans="1:12" ht="21.5" thickBot="1">
      <c r="A47" s="12"/>
      <c r="B47" s="12"/>
      <c r="C47" s="12"/>
      <c r="D47" s="12"/>
      <c r="E47" s="12"/>
      <c r="F47" s="29"/>
      <c r="G47" s="29"/>
      <c r="H47" s="30" t="s">
        <v>0</v>
      </c>
      <c r="I47" s="12"/>
      <c r="J47" s="12"/>
      <c r="K47" s="239"/>
      <c r="L47" s="239"/>
    </row>
    <row r="48" spans="1:12" ht="26" thickBot="1">
      <c r="A48" s="28" t="s">
        <v>44</v>
      </c>
      <c r="B48" s="12"/>
      <c r="C48" s="12"/>
      <c r="D48" s="12"/>
      <c r="E48" s="12"/>
      <c r="F48" s="12"/>
      <c r="G48" s="32" t="s">
        <v>305</v>
      </c>
      <c r="H48" s="12"/>
      <c r="I48" s="12"/>
      <c r="J48" s="12"/>
      <c r="K48" s="239"/>
      <c r="L48" s="239"/>
    </row>
    <row r="49" spans="1:12" ht="21.5" thickBot="1">
      <c r="A49" s="41" t="s">
        <v>0</v>
      </c>
      <c r="B49" s="41" t="s">
        <v>0</v>
      </c>
      <c r="C49" s="41" t="s">
        <v>0</v>
      </c>
      <c r="D49" s="12"/>
      <c r="E49" s="12"/>
      <c r="F49" s="34" t="s">
        <v>0</v>
      </c>
      <c r="G49" s="37" t="s">
        <v>458</v>
      </c>
      <c r="H49" s="34" t="s">
        <v>0</v>
      </c>
      <c r="I49" s="41" t="s">
        <v>0</v>
      </c>
      <c r="J49" s="12"/>
      <c r="K49" s="239"/>
      <c r="L49" s="239"/>
    </row>
    <row r="50" spans="1:12" ht="21">
      <c r="A50" s="239"/>
      <c r="B50" s="239"/>
      <c r="C50" s="239"/>
      <c r="D50" s="239"/>
      <c r="E50" s="239"/>
      <c r="F50" s="239"/>
      <c r="G50" s="239"/>
      <c r="H50" s="239"/>
      <c r="I50" s="239"/>
      <c r="J50" s="239"/>
      <c r="K50" s="239"/>
      <c r="L50" s="239"/>
    </row>
    <row r="51" spans="1:12" ht="21">
      <c r="A51" s="239"/>
      <c r="B51" s="239"/>
      <c r="C51" s="239"/>
      <c r="D51" s="239"/>
      <c r="E51" s="239"/>
      <c r="F51" s="239"/>
      <c r="G51" s="239"/>
      <c r="H51" s="239"/>
      <c r="I51" s="239"/>
      <c r="J51" s="239"/>
      <c r="K51" s="239"/>
      <c r="L51" s="239"/>
    </row>
    <row r="52" spans="1:12" ht="21">
      <c r="A52" s="239"/>
      <c r="B52" s="239"/>
      <c r="C52" s="239"/>
      <c r="D52" s="239"/>
      <c r="E52" s="239"/>
      <c r="F52" s="239"/>
      <c r="G52" s="239"/>
      <c r="H52" s="239"/>
      <c r="I52" s="239"/>
      <c r="J52" s="239"/>
      <c r="K52" s="239"/>
      <c r="L52" s="239"/>
    </row>
    <row r="53" spans="1:12" ht="17">
      <c r="A53" s="41"/>
      <c r="B53" s="41"/>
      <c r="C53" s="41"/>
      <c r="D53" s="12"/>
      <c r="E53" s="12"/>
      <c r="J53" s="12"/>
      <c r="K53" s="12"/>
      <c r="L53" s="12"/>
    </row>
    <row r="54" spans="1:12" ht="30">
      <c r="A54" s="233" t="s">
        <v>294</v>
      </c>
      <c r="B54" s="41"/>
      <c r="C54" s="235" t="s">
        <v>299</v>
      </c>
      <c r="D54" s="12"/>
      <c r="E54" s="12"/>
      <c r="J54" s="12"/>
      <c r="K54" s="12"/>
      <c r="L54" s="12"/>
    </row>
    <row r="55" spans="1:12" ht="30">
      <c r="A55" s="233" t="s">
        <v>298</v>
      </c>
      <c r="B55" s="41"/>
      <c r="C55" s="235" t="s">
        <v>304</v>
      </c>
      <c r="D55" s="12"/>
      <c r="E55" s="12"/>
      <c r="J55" s="12"/>
      <c r="K55" s="12"/>
      <c r="L55" s="12"/>
    </row>
    <row r="56" spans="1:12" ht="18.75" customHeight="1">
      <c r="A56" s="233"/>
      <c r="B56" s="41"/>
      <c r="C56" s="235"/>
      <c r="D56" s="12"/>
      <c r="E56" s="12"/>
      <c r="J56" s="12"/>
      <c r="K56" s="12"/>
      <c r="L56" s="12"/>
    </row>
    <row r="57" spans="1:12" ht="17.5">
      <c r="A57" s="234" t="s">
        <v>295</v>
      </c>
      <c r="B57" s="41"/>
      <c r="C57" s="41"/>
      <c r="D57" s="12"/>
      <c r="E57" s="12"/>
      <c r="J57" s="12"/>
      <c r="K57" s="12"/>
      <c r="L57" s="12"/>
    </row>
    <row r="58" spans="1:12" ht="17.5">
      <c r="A58" s="234" t="s">
        <v>296</v>
      </c>
      <c r="B58" s="41"/>
      <c r="C58" s="41"/>
      <c r="D58" s="12"/>
      <c r="E58" s="12"/>
      <c r="J58" s="12"/>
      <c r="K58" s="12"/>
      <c r="L58" s="12"/>
    </row>
    <row r="59" spans="1:12" ht="17.5">
      <c r="A59" s="234" t="s">
        <v>297</v>
      </c>
      <c r="B59" s="41"/>
      <c r="C59" s="41"/>
      <c r="D59" s="12"/>
      <c r="E59" s="12"/>
      <c r="J59" s="12"/>
      <c r="K59" s="12"/>
      <c r="L59" s="12"/>
    </row>
    <row r="65" spans="1:9" ht="30">
      <c r="A65" s="236" t="s">
        <v>303</v>
      </c>
      <c r="B65" s="110"/>
      <c r="C65" s="110"/>
      <c r="D65" s="110"/>
      <c r="E65" s="110"/>
      <c r="F65" s="110"/>
      <c r="G65" s="12"/>
      <c r="H65" s="12"/>
      <c r="I65" s="12"/>
    </row>
    <row r="66" spans="1:9" ht="17.5">
      <c r="A66" s="110"/>
      <c r="B66" s="110"/>
      <c r="C66" s="110"/>
      <c r="D66" s="110"/>
      <c r="E66" s="110"/>
      <c r="F66" s="110"/>
      <c r="G66" s="12"/>
      <c r="H66" s="12"/>
      <c r="I66" s="12"/>
    </row>
    <row r="67" spans="1:9" ht="18" thickBot="1">
      <c r="A67" s="237" t="s">
        <v>300</v>
      </c>
      <c r="B67" s="112"/>
      <c r="C67" s="112"/>
      <c r="D67" s="238" t="s">
        <v>302</v>
      </c>
      <c r="E67" s="112"/>
      <c r="F67" s="110"/>
      <c r="G67" s="12"/>
      <c r="H67" s="12"/>
      <c r="I67" s="12"/>
    </row>
    <row r="68" spans="1:9" ht="17.5">
      <c r="A68" s="110"/>
      <c r="B68" s="110"/>
      <c r="C68" s="110"/>
      <c r="D68" s="110" t="s">
        <v>301</v>
      </c>
      <c r="E68" s="110"/>
      <c r="F68" s="110"/>
      <c r="G68" s="12"/>
      <c r="H68" s="12"/>
      <c r="I68" s="12"/>
    </row>
    <row r="69" spans="1:9" ht="17.5">
      <c r="A69" s="110"/>
      <c r="B69" s="110"/>
      <c r="C69" s="110"/>
      <c r="D69" s="110"/>
      <c r="E69" s="110"/>
      <c r="F69" s="110"/>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t="s">
        <v>0</v>
      </c>
      <c r="B75" s="12"/>
      <c r="C75" s="12"/>
      <c r="D75" s="12"/>
      <c r="E75" s="12"/>
      <c r="F75" s="12"/>
      <c r="G75" s="12"/>
      <c r="H75" s="12"/>
      <c r="I75" s="12"/>
    </row>
    <row r="76" spans="1:9" ht="17">
      <c r="A76" s="12"/>
      <c r="B76" s="12"/>
      <c r="C76" s="12"/>
      <c r="D76" s="12"/>
      <c r="E76" s="12"/>
      <c r="F76" s="12"/>
      <c r="G76" s="12"/>
      <c r="H76" s="12"/>
      <c r="I76" s="12"/>
    </row>
  </sheetData>
  <pageMargins left="0.25" right="0.25" top="0.75" bottom="0.75" header="0.3" footer="0.3"/>
  <pageSetup scale="51" orientation="landscape" r:id="rId1"/>
  <rowBreaks count="1" manualBreakCount="1">
    <brk id="39"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4"/>
  <sheetViews>
    <sheetView view="pageBreakPreview" zoomScale="60" zoomScaleNormal="80" workbookViewId="0">
      <selection activeCell="I31" sqref="I31"/>
    </sheetView>
  </sheetViews>
  <sheetFormatPr defaultRowHeight="14.5"/>
  <cols>
    <col min="1" max="1" width="50.1796875" customWidth="1"/>
    <col min="2" max="2" width="17" customWidth="1"/>
    <col min="3" max="3" width="24.54296875" customWidth="1"/>
    <col min="4" max="4" width="16.81640625" customWidth="1"/>
    <col min="5" max="5" width="23.54296875" customWidth="1"/>
    <col min="6" max="6" width="22.81640625" customWidth="1"/>
    <col min="7" max="7" width="21.26953125" customWidth="1"/>
    <col min="8" max="8" width="19.7265625" customWidth="1"/>
    <col min="9" max="9" width="32.1796875" customWidth="1"/>
    <col min="10" max="10" width="14.1796875" bestFit="1" customWidth="1"/>
    <col min="12" max="12" width="10.54296875" customWidth="1"/>
  </cols>
  <sheetData>
    <row r="1" spans="1:9" ht="25.5">
      <c r="A1" s="24" t="s">
        <v>1</v>
      </c>
      <c r="B1" s="12"/>
      <c r="C1" s="12"/>
      <c r="D1" s="12"/>
      <c r="E1" s="12"/>
      <c r="F1" s="12"/>
      <c r="G1" s="12"/>
      <c r="H1" s="12"/>
      <c r="I1" s="12"/>
    </row>
    <row r="2" spans="1:9" ht="17.5">
      <c r="A2" s="25" t="s">
        <v>9</v>
      </c>
      <c r="B2" s="12"/>
      <c r="C2" s="12"/>
      <c r="D2" s="12"/>
      <c r="E2" s="12"/>
      <c r="F2" s="12"/>
      <c r="G2" s="12"/>
      <c r="H2" s="12"/>
      <c r="I2" s="12"/>
    </row>
    <row r="3" spans="1:9" ht="17">
      <c r="A3" s="26" t="s">
        <v>457</v>
      </c>
      <c r="B3" s="12"/>
      <c r="C3" s="12"/>
      <c r="D3" s="12"/>
      <c r="E3" s="12"/>
      <c r="F3" s="12"/>
      <c r="G3" s="12"/>
      <c r="H3" s="12"/>
      <c r="I3" s="12"/>
    </row>
    <row r="4" spans="1:9" ht="17">
      <c r="A4" s="26"/>
      <c r="B4" s="12"/>
      <c r="C4" s="12"/>
      <c r="D4" s="12"/>
      <c r="E4" s="12"/>
      <c r="F4" s="12"/>
      <c r="G4" s="12"/>
      <c r="H4" s="12"/>
      <c r="I4" s="12"/>
    </row>
    <row r="5" spans="1:9" ht="17">
      <c r="A5" s="26"/>
      <c r="B5" s="12"/>
      <c r="C5" s="12"/>
      <c r="D5" s="12"/>
      <c r="E5" s="12"/>
      <c r="F5" s="12"/>
      <c r="G5" s="12"/>
      <c r="H5" s="12"/>
      <c r="I5" s="12"/>
    </row>
    <row r="6" spans="1:9" ht="17">
      <c r="A6" s="26"/>
      <c r="B6" s="12"/>
      <c r="C6" s="12"/>
      <c r="D6" s="12"/>
      <c r="E6" s="12"/>
      <c r="F6" s="12"/>
      <c r="G6" s="12"/>
      <c r="H6" s="12"/>
      <c r="I6" s="12"/>
    </row>
    <row r="7" spans="1:9" ht="17.5" thickBot="1">
      <c r="A7" s="12"/>
      <c r="B7" s="12"/>
      <c r="C7" s="12"/>
      <c r="H7" s="27"/>
      <c r="I7" s="12"/>
    </row>
    <row r="8" spans="1:9" ht="21.5" thickBot="1">
      <c r="A8" s="267" t="str">
        <f>+'S&amp;D'!A12</f>
        <v>Electric Wholesale (non-regulated) Power Generator</v>
      </c>
      <c r="B8" s="197"/>
      <c r="C8" s="12"/>
      <c r="D8" s="29"/>
      <c r="E8" s="29"/>
      <c r="F8" s="29"/>
      <c r="H8" s="12"/>
      <c r="I8" s="12"/>
    </row>
    <row r="9" spans="1:9" ht="25.5">
      <c r="A9" s="31"/>
      <c r="B9" s="12"/>
      <c r="C9" s="12"/>
      <c r="D9" s="12"/>
      <c r="E9" s="32" t="s">
        <v>136</v>
      </c>
      <c r="F9" s="32"/>
      <c r="H9" s="12"/>
      <c r="I9" s="12"/>
    </row>
    <row r="10" spans="1:9" ht="21.5" thickBot="1">
      <c r="A10" s="31"/>
      <c r="B10" s="12"/>
      <c r="C10" s="12"/>
      <c r="D10" s="29"/>
      <c r="E10" s="37" t="s">
        <v>458</v>
      </c>
      <c r="F10" s="37"/>
      <c r="H10" s="12"/>
      <c r="I10" s="12"/>
    </row>
    <row r="11" spans="1:9" ht="21">
      <c r="A11" s="31"/>
      <c r="B11" s="12"/>
      <c r="I11" s="12"/>
    </row>
    <row r="12" spans="1:9" ht="17.5" thickBot="1">
      <c r="A12" s="34" t="s">
        <v>0</v>
      </c>
      <c r="B12" s="34" t="s">
        <v>0</v>
      </c>
      <c r="C12" s="34" t="s">
        <v>0</v>
      </c>
      <c r="D12" s="34" t="s">
        <v>0</v>
      </c>
      <c r="E12" s="34" t="s">
        <v>0</v>
      </c>
      <c r="F12" s="34"/>
      <c r="G12" s="34"/>
      <c r="H12" s="29"/>
      <c r="I12" s="29"/>
    </row>
    <row r="13" spans="1:9" ht="17.5">
      <c r="A13" s="91" t="s">
        <v>0</v>
      </c>
      <c r="B13" s="91" t="s">
        <v>3</v>
      </c>
      <c r="C13" s="91" t="s">
        <v>5</v>
      </c>
      <c r="D13" s="91" t="s">
        <v>21</v>
      </c>
      <c r="E13" s="183" t="s">
        <v>246</v>
      </c>
      <c r="F13" s="183" t="s">
        <v>346</v>
      </c>
      <c r="G13" s="91" t="s">
        <v>20</v>
      </c>
      <c r="H13" s="91" t="s">
        <v>160</v>
      </c>
      <c r="I13" s="91" t="s">
        <v>160</v>
      </c>
    </row>
    <row r="14" spans="1:9" ht="18" thickBot="1">
      <c r="A14" s="99" t="s">
        <v>2</v>
      </c>
      <c r="B14" s="99" t="s">
        <v>4</v>
      </c>
      <c r="C14" s="99" t="s">
        <v>6</v>
      </c>
      <c r="D14" s="99" t="s">
        <v>23</v>
      </c>
      <c r="E14" s="99" t="s">
        <v>347</v>
      </c>
      <c r="F14" s="99" t="s">
        <v>207</v>
      </c>
      <c r="G14" s="99" t="s">
        <v>22</v>
      </c>
      <c r="H14" s="99" t="s">
        <v>183</v>
      </c>
      <c r="I14" s="99" t="s">
        <v>132</v>
      </c>
    </row>
    <row r="15" spans="1:9" ht="15">
      <c r="A15" s="39" t="s">
        <v>7</v>
      </c>
      <c r="B15" s="39" t="s">
        <v>7</v>
      </c>
      <c r="C15" s="39" t="s">
        <v>7</v>
      </c>
      <c r="D15" s="39" t="s">
        <v>7</v>
      </c>
      <c r="E15" s="229" t="s">
        <v>459</v>
      </c>
      <c r="F15" s="229" t="s">
        <v>459</v>
      </c>
      <c r="G15" s="39" t="s">
        <v>7</v>
      </c>
      <c r="H15" s="39" t="s">
        <v>7</v>
      </c>
      <c r="I15" s="229" t="s">
        <v>459</v>
      </c>
    </row>
    <row r="16" spans="1:9" ht="17">
      <c r="A16" s="35"/>
      <c r="B16" s="35"/>
      <c r="C16" s="35"/>
      <c r="D16" s="35"/>
      <c r="G16" s="35"/>
      <c r="H16" s="35"/>
      <c r="I16" s="35"/>
    </row>
    <row r="17" spans="1:9" ht="17">
      <c r="A17" s="12"/>
      <c r="B17" s="12"/>
      <c r="C17" s="12"/>
      <c r="D17" s="12"/>
      <c r="G17" s="12"/>
      <c r="H17" s="12"/>
      <c r="I17" s="12"/>
    </row>
    <row r="18" spans="1:9" ht="20.25" customHeight="1">
      <c r="A18" s="64" t="str">
        <f>+'S&amp;D'!A22</f>
        <v>AES CORPORATION</v>
      </c>
      <c r="B18" s="91" t="str">
        <f>+'S&amp;D'!B22</f>
        <v>AES</v>
      </c>
      <c r="C18" s="91" t="str">
        <f>+'S&amp;D'!C22</f>
        <v>Power Electric</v>
      </c>
      <c r="D18" s="455">
        <v>0.38</v>
      </c>
      <c r="E18" s="139">
        <v>7.0000000000000007E-2</v>
      </c>
      <c r="F18" s="454" t="s">
        <v>527</v>
      </c>
      <c r="G18" s="91" t="s">
        <v>102</v>
      </c>
      <c r="H18" s="343">
        <v>1.1499999999999999</v>
      </c>
      <c r="I18" s="343">
        <v>1.1499999999999999</v>
      </c>
    </row>
    <row r="19" spans="1:9" ht="20.25" customHeight="1">
      <c r="A19" s="64" t="str">
        <f>+'S&amp;D'!A23</f>
        <v>DOMINION ENERGY INC</v>
      </c>
      <c r="B19" s="91" t="str">
        <f>+'S&amp;D'!B23</f>
        <v>D</v>
      </c>
      <c r="C19" s="91" t="str">
        <f>+'S&amp;D'!C23</f>
        <v>Electric - East</v>
      </c>
      <c r="D19" s="140">
        <v>0.16500000000000001</v>
      </c>
      <c r="E19" s="139">
        <v>8.5000000000000006E-2</v>
      </c>
      <c r="F19" s="139">
        <v>0.01</v>
      </c>
      <c r="G19" s="91" t="s">
        <v>26</v>
      </c>
      <c r="H19" s="343">
        <v>0.9</v>
      </c>
      <c r="I19" s="343">
        <v>0.9</v>
      </c>
    </row>
    <row r="20" spans="1:9" ht="20.25" customHeight="1">
      <c r="A20" s="64" t="str">
        <f>+'S&amp;D'!A24</f>
        <v>CONSTELLATION ENERGY GENERATION LLC</v>
      </c>
      <c r="B20" s="91" t="str">
        <f>+'S&amp;D'!B24</f>
        <v>CEG</v>
      </c>
      <c r="C20" s="91" t="str">
        <f>+'S&amp;D'!C24</f>
        <v>Power Electric</v>
      </c>
      <c r="D20" s="140">
        <v>0.15</v>
      </c>
      <c r="E20" s="139">
        <v>0.20499999999999999</v>
      </c>
      <c r="F20" s="139">
        <v>0.17</v>
      </c>
      <c r="G20" s="91" t="s">
        <v>26</v>
      </c>
      <c r="H20" s="343">
        <v>0.95</v>
      </c>
      <c r="I20" s="343">
        <v>0.95</v>
      </c>
    </row>
    <row r="21" spans="1:9" ht="20.25" customHeight="1">
      <c r="A21" s="64" t="str">
        <f>+'S&amp;D'!A25</f>
        <v>NEXTERA ENERGY INC</v>
      </c>
      <c r="B21" s="91" t="str">
        <f>+'S&amp;D'!B25</f>
        <v>NEE</v>
      </c>
      <c r="C21" s="91" t="str">
        <f>+'S&amp;D'!C25</f>
        <v>Electric - East</v>
      </c>
      <c r="D21" s="140">
        <v>0.18</v>
      </c>
      <c r="E21" s="139">
        <v>0.14000000000000001</v>
      </c>
      <c r="F21" s="139">
        <v>5.5E-2</v>
      </c>
      <c r="G21" s="91" t="s">
        <v>24</v>
      </c>
      <c r="H21" s="343">
        <v>1</v>
      </c>
      <c r="I21" s="343">
        <v>1</v>
      </c>
    </row>
    <row r="22" spans="1:9" ht="20.25" customHeight="1">
      <c r="A22" s="64" t="str">
        <f>+'S&amp;D'!A26</f>
        <v>NRG ENERGY</v>
      </c>
      <c r="B22" s="91" t="str">
        <f>+'S&amp;D'!B26</f>
        <v>NRG</v>
      </c>
      <c r="C22" s="91" t="str">
        <f>+'S&amp;D'!C26</f>
        <v>Power Electric</v>
      </c>
      <c r="D22" s="140">
        <v>0.27</v>
      </c>
      <c r="E22" s="139">
        <v>0.26500000000000001</v>
      </c>
      <c r="F22" s="139">
        <v>0.14499999999999999</v>
      </c>
      <c r="G22" s="91" t="s">
        <v>25</v>
      </c>
      <c r="H22" s="343">
        <v>1.1000000000000001</v>
      </c>
      <c r="I22" s="343">
        <v>1.1000000000000001</v>
      </c>
    </row>
    <row r="23" spans="1:9" ht="20.25" customHeight="1">
      <c r="A23" s="64" t="str">
        <f>+'S&amp;D'!A27</f>
        <v>SOUTHERN COMPANY</v>
      </c>
      <c r="B23" s="91" t="str">
        <f>+'S&amp;D'!B27</f>
        <v>SO</v>
      </c>
      <c r="C23" s="91" t="str">
        <f>+'S&amp;D'!C27</f>
        <v>Electric - East</v>
      </c>
      <c r="D23" s="140">
        <v>0.15</v>
      </c>
      <c r="E23" s="139">
        <v>0.13</v>
      </c>
      <c r="F23" s="139">
        <v>3.5000000000000003E-2</v>
      </c>
      <c r="G23" s="91" t="s">
        <v>24</v>
      </c>
      <c r="H23" s="343">
        <v>0.95</v>
      </c>
      <c r="I23" s="343">
        <v>0.95</v>
      </c>
    </row>
    <row r="24" spans="1:9" ht="20.25" customHeight="1" thickBot="1">
      <c r="A24" s="64" t="str">
        <f>+'S&amp;D'!A28</f>
        <v>VISTRA ENERGY CORPORATION</v>
      </c>
      <c r="B24" s="91" t="str">
        <f>+'S&amp;D'!B28</f>
        <v>VST</v>
      </c>
      <c r="C24" s="91" t="str">
        <f>+'S&amp;D'!C28</f>
        <v>Power Electric</v>
      </c>
      <c r="D24" s="140">
        <v>0.23</v>
      </c>
      <c r="E24" s="139">
        <v>0.255</v>
      </c>
      <c r="F24" s="139">
        <v>0.20499999999999999</v>
      </c>
      <c r="G24" s="91" t="s">
        <v>25</v>
      </c>
      <c r="H24" s="346">
        <v>1.05</v>
      </c>
      <c r="I24" s="346">
        <v>1.05</v>
      </c>
    </row>
    <row r="25" spans="1:9" ht="20.25" customHeight="1" thickTop="1">
      <c r="A25" s="110"/>
      <c r="B25" s="110"/>
      <c r="C25" s="4"/>
      <c r="D25" s="179" t="s">
        <v>0</v>
      </c>
      <c r="E25" s="4"/>
      <c r="F25" s="4"/>
      <c r="G25" s="119" t="s">
        <v>53</v>
      </c>
      <c r="H25" s="295">
        <f>MAX(H18:H24)</f>
        <v>1.1499999999999999</v>
      </c>
      <c r="I25" s="295">
        <f>MAX(I18:I24)</f>
        <v>1.1499999999999999</v>
      </c>
    </row>
    <row r="26" spans="1:9" ht="20.25" customHeight="1">
      <c r="A26" s="110"/>
      <c r="B26" s="110"/>
      <c r="C26" s="4"/>
      <c r="D26" s="179" t="s">
        <v>0</v>
      </c>
      <c r="E26" s="4"/>
      <c r="F26" s="4"/>
      <c r="G26" s="304" t="s">
        <v>54</v>
      </c>
      <c r="H26" s="321">
        <f>MIN(H18:H24)</f>
        <v>0.9</v>
      </c>
      <c r="I26" s="321">
        <f>MIN(I18:I24)</f>
        <v>0.9</v>
      </c>
    </row>
    <row r="27" spans="1:9" ht="20.25" customHeight="1">
      <c r="A27" s="110"/>
      <c r="B27" s="110"/>
      <c r="C27" s="4"/>
      <c r="D27" s="180" t="s">
        <v>0</v>
      </c>
      <c r="E27" s="4"/>
      <c r="F27" s="4"/>
      <c r="G27" s="119" t="s">
        <v>18</v>
      </c>
      <c r="H27" s="181">
        <f>MEDIAN(H18:H24)</f>
        <v>1</v>
      </c>
      <c r="I27" s="181">
        <f>MEDIAN(I18:I24)</f>
        <v>1</v>
      </c>
    </row>
    <row r="28" spans="1:9" ht="20.25" customHeight="1">
      <c r="A28" s="110"/>
      <c r="B28" s="110"/>
      <c r="C28" s="4"/>
      <c r="D28" s="122" t="s">
        <v>0</v>
      </c>
      <c r="E28" s="4"/>
      <c r="F28" s="4"/>
      <c r="G28" s="119" t="s">
        <v>412</v>
      </c>
      <c r="H28" s="182">
        <f>AVERAGE(H18:H24)</f>
        <v>1.0142857142857142</v>
      </c>
      <c r="I28" s="182">
        <f>AVERAGE(I18:I24)</f>
        <v>1.0142857142857142</v>
      </c>
    </row>
    <row r="29" spans="1:9" ht="20.25" customHeight="1" thickBot="1">
      <c r="A29" s="12"/>
      <c r="B29" s="12"/>
      <c r="C29" s="12"/>
      <c r="D29" s="12"/>
      <c r="G29" s="12"/>
      <c r="H29" s="12"/>
      <c r="I29" s="12"/>
    </row>
    <row r="30" spans="1:9" ht="20.25" customHeight="1" thickBot="1">
      <c r="A30" s="12"/>
      <c r="B30" s="12"/>
      <c r="C30" s="12"/>
      <c r="D30" s="12"/>
      <c r="G30" s="12"/>
      <c r="H30" s="203" t="s">
        <v>87</v>
      </c>
      <c r="I30" s="300">
        <v>1.01</v>
      </c>
    </row>
    <row r="33" spans="1:1" ht="17.5">
      <c r="A33" s="110" t="s">
        <v>348</v>
      </c>
    </row>
    <row r="34" spans="1:1" ht="17.5">
      <c r="A34" s="110" t="s">
        <v>349</v>
      </c>
    </row>
  </sheetData>
  <pageMargins left="0.25" right="0.25" top="0.75" bottom="0.75" header="0.3" footer="0.3"/>
  <pageSetup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30"/>
  <sheetViews>
    <sheetView view="pageBreakPreview" zoomScale="60" zoomScaleNormal="80" workbookViewId="0">
      <selection activeCell="I16" sqref="I16:I22"/>
    </sheetView>
  </sheetViews>
  <sheetFormatPr defaultRowHeight="14.5"/>
  <cols>
    <col min="1" max="1" width="56.26953125" customWidth="1"/>
    <col min="2" max="2" width="10.81640625" customWidth="1"/>
    <col min="3" max="3" width="23.7265625"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4" t="s">
        <v>1</v>
      </c>
      <c r="B1" s="12"/>
      <c r="C1" s="12"/>
      <c r="D1" s="12"/>
      <c r="E1" s="12"/>
      <c r="F1" s="12"/>
      <c r="G1" s="12"/>
      <c r="H1" s="12"/>
      <c r="I1" s="12"/>
      <c r="J1" s="12"/>
    </row>
    <row r="2" spans="1:11" ht="17.5">
      <c r="A2" s="25" t="s">
        <v>9</v>
      </c>
      <c r="B2" s="12"/>
      <c r="C2" s="12"/>
      <c r="D2" s="12"/>
      <c r="E2" s="12"/>
      <c r="F2" s="12"/>
      <c r="G2" s="12"/>
      <c r="H2" s="12"/>
      <c r="I2" s="12"/>
      <c r="J2" s="12"/>
    </row>
    <row r="3" spans="1:11" ht="17">
      <c r="A3" s="26" t="s">
        <v>457</v>
      </c>
      <c r="B3" s="12"/>
      <c r="C3" s="12"/>
      <c r="D3" s="12"/>
      <c r="E3" s="12"/>
      <c r="F3" s="12"/>
      <c r="G3" s="12"/>
      <c r="H3" s="12"/>
      <c r="I3" s="12"/>
      <c r="J3" s="12"/>
    </row>
    <row r="4" spans="1:11" ht="17">
      <c r="A4" s="26"/>
      <c r="B4" s="12"/>
      <c r="C4" s="12"/>
      <c r="D4" s="12"/>
      <c r="E4" s="12"/>
      <c r="F4" s="12"/>
      <c r="G4" s="12"/>
      <c r="H4" s="12"/>
      <c r="I4" s="12"/>
      <c r="J4" s="12"/>
    </row>
    <row r="5" spans="1:11" ht="17.5" thickBot="1">
      <c r="A5" s="12"/>
      <c r="B5" s="12"/>
      <c r="C5" s="12"/>
      <c r="D5" s="12"/>
      <c r="E5" s="12"/>
      <c r="F5" s="12"/>
      <c r="G5" s="27"/>
      <c r="H5" s="12"/>
      <c r="I5" s="12"/>
      <c r="J5" s="12"/>
    </row>
    <row r="6" spans="1:11" ht="21.5" thickBot="1">
      <c r="A6" s="267" t="str">
        <f>+'S&amp;D'!A12</f>
        <v>Electric Wholesale (non-regulated) Power Generator</v>
      </c>
      <c r="B6" s="197"/>
      <c r="C6" s="12"/>
      <c r="D6" s="29"/>
      <c r="E6" s="29"/>
      <c r="F6" s="30" t="s">
        <v>0</v>
      </c>
      <c r="G6" s="12"/>
      <c r="H6" s="12"/>
      <c r="I6" s="12"/>
      <c r="J6" s="12"/>
    </row>
    <row r="7" spans="1:11" ht="25.5">
      <c r="A7" s="31"/>
      <c r="B7" s="12"/>
      <c r="C7" s="12"/>
      <c r="D7" s="12"/>
      <c r="E7" s="32" t="s">
        <v>290</v>
      </c>
      <c r="F7" s="12"/>
      <c r="G7" s="12"/>
      <c r="H7" s="12"/>
      <c r="I7" s="12"/>
      <c r="J7" s="12"/>
    </row>
    <row r="8" spans="1:11" ht="21.5" thickBot="1">
      <c r="A8" s="31"/>
      <c r="B8" s="12"/>
      <c r="C8" s="12"/>
      <c r="D8" s="29"/>
      <c r="E8" s="37" t="s">
        <v>458</v>
      </c>
      <c r="F8" s="29"/>
      <c r="G8" s="12"/>
      <c r="H8" s="12"/>
      <c r="I8" s="12"/>
      <c r="J8" s="12"/>
    </row>
    <row r="9" spans="1:11" ht="17.5" thickBot="1">
      <c r="A9" s="34" t="s">
        <v>0</v>
      </c>
      <c r="B9" s="34" t="s">
        <v>0</v>
      </c>
      <c r="C9" s="34" t="s">
        <v>0</v>
      </c>
      <c r="D9" s="34" t="s">
        <v>0</v>
      </c>
      <c r="E9" s="34" t="s">
        <v>0</v>
      </c>
      <c r="F9" s="34"/>
      <c r="G9" s="29"/>
      <c r="H9" s="29"/>
      <c r="I9" s="29"/>
      <c r="J9" s="29"/>
      <c r="K9" s="152"/>
    </row>
    <row r="10" spans="1:11" ht="17">
      <c r="A10" s="35" t="s">
        <v>0</v>
      </c>
      <c r="B10" s="35" t="s">
        <v>3</v>
      </c>
      <c r="C10" s="35" t="s">
        <v>5</v>
      </c>
      <c r="D10" s="35" t="s">
        <v>179</v>
      </c>
      <c r="E10" s="35" t="s">
        <v>186</v>
      </c>
      <c r="F10" s="35" t="s">
        <v>186</v>
      </c>
      <c r="G10" s="35" t="s">
        <v>186</v>
      </c>
      <c r="H10" s="35" t="s">
        <v>186</v>
      </c>
      <c r="I10" s="35" t="s">
        <v>186</v>
      </c>
      <c r="J10" s="35" t="s">
        <v>186</v>
      </c>
      <c r="K10" s="35" t="s">
        <v>287</v>
      </c>
    </row>
    <row r="11" spans="1:11" ht="17">
      <c r="A11" s="35"/>
      <c r="B11" s="35" t="s">
        <v>4</v>
      </c>
      <c r="C11" s="35" t="s">
        <v>6</v>
      </c>
      <c r="D11" s="35" t="s">
        <v>28</v>
      </c>
      <c r="E11" s="35" t="s">
        <v>181</v>
      </c>
      <c r="F11" s="35" t="s">
        <v>133</v>
      </c>
      <c r="G11" s="35" t="s">
        <v>181</v>
      </c>
      <c r="H11" s="35" t="s">
        <v>133</v>
      </c>
      <c r="I11" s="35" t="s">
        <v>181</v>
      </c>
      <c r="J11" s="35" t="s">
        <v>133</v>
      </c>
      <c r="K11" s="35" t="s">
        <v>197</v>
      </c>
    </row>
    <row r="12" spans="1:11" ht="17.5" thickBot="1">
      <c r="A12" s="37" t="s">
        <v>2</v>
      </c>
      <c r="B12" s="37" t="s">
        <v>0</v>
      </c>
      <c r="C12" s="37" t="s">
        <v>0</v>
      </c>
      <c r="D12" s="37" t="s">
        <v>0</v>
      </c>
      <c r="E12" s="37" t="s">
        <v>183</v>
      </c>
      <c r="F12" s="37" t="s">
        <v>183</v>
      </c>
      <c r="G12" s="37" t="s">
        <v>285</v>
      </c>
      <c r="H12" s="37" t="s">
        <v>285</v>
      </c>
      <c r="I12" s="37" t="s">
        <v>286</v>
      </c>
      <c r="J12" s="37" t="s">
        <v>286</v>
      </c>
      <c r="K12" s="231" t="s">
        <v>288</v>
      </c>
    </row>
    <row r="13" spans="1:11" ht="15">
      <c r="A13" s="39" t="s">
        <v>7</v>
      </c>
      <c r="B13" s="39" t="s">
        <v>7</v>
      </c>
      <c r="C13" s="39" t="s">
        <v>7</v>
      </c>
      <c r="D13" s="40" t="s">
        <v>126</v>
      </c>
      <c r="E13" s="39" t="s">
        <v>7</v>
      </c>
      <c r="F13" s="39" t="s">
        <v>0</v>
      </c>
      <c r="G13" s="39" t="s">
        <v>7</v>
      </c>
      <c r="H13" s="39" t="s">
        <v>0</v>
      </c>
      <c r="I13" s="39" t="s">
        <v>7</v>
      </c>
      <c r="J13" s="39" t="s">
        <v>0</v>
      </c>
      <c r="K13" s="39" t="s">
        <v>0</v>
      </c>
    </row>
    <row r="14" spans="1:11" ht="17">
      <c r="A14" s="35"/>
      <c r="B14" s="35"/>
      <c r="C14" s="35"/>
      <c r="D14" s="35"/>
      <c r="E14" s="35"/>
      <c r="F14" s="35"/>
      <c r="G14" s="12"/>
      <c r="H14" s="12"/>
      <c r="I14" s="12"/>
      <c r="J14" s="12"/>
      <c r="K14" s="12"/>
    </row>
    <row r="15" spans="1:11" ht="17">
      <c r="A15" s="12"/>
      <c r="B15" s="12"/>
      <c r="C15" s="12"/>
      <c r="D15" s="12"/>
      <c r="E15" s="12"/>
      <c r="F15" s="12"/>
      <c r="G15" s="12"/>
      <c r="H15" s="12"/>
      <c r="I15" s="12"/>
      <c r="J15" s="12"/>
      <c r="K15" s="12"/>
    </row>
    <row r="16" spans="1:11" ht="17.5">
      <c r="A16" s="64" t="str">
        <f>+'S&amp;D'!A22</f>
        <v>AES CORPORATION</v>
      </c>
      <c r="B16" s="91" t="str">
        <f>+'S&amp;D'!B22</f>
        <v>AES</v>
      </c>
      <c r="C16" s="91" t="str">
        <f>+'S&amp;D'!C22</f>
        <v>Power Electric</v>
      </c>
      <c r="D16" s="61">
        <f>+'S&amp;D'!G22</f>
        <v>19.25</v>
      </c>
      <c r="E16" s="344">
        <v>0.5</v>
      </c>
      <c r="F16" s="55">
        <f>+E16/D16</f>
        <v>2.5974025974025976E-2</v>
      </c>
      <c r="G16" s="344">
        <v>0.7</v>
      </c>
      <c r="H16" s="55">
        <f>+G16/D16</f>
        <v>3.6363636363636362E-2</v>
      </c>
      <c r="I16" s="344">
        <v>1</v>
      </c>
      <c r="J16" s="55">
        <f>+I16/D16</f>
        <v>5.1948051948051951E-2</v>
      </c>
      <c r="K16" s="345">
        <f t="shared" ref="K16:K22" si="0">RATE(3,,-G16,I16)</f>
        <v>0.12624788044374052</v>
      </c>
    </row>
    <row r="17" spans="1:11" ht="17.5">
      <c r="A17" s="64" t="str">
        <f>+'S&amp;D'!A23</f>
        <v>DOMINION ENERGY INC</v>
      </c>
      <c r="B17" s="91" t="str">
        <f>+'S&amp;D'!B23</f>
        <v>D</v>
      </c>
      <c r="C17" s="91" t="str">
        <f>+'S&amp;D'!C23</f>
        <v>Electric - East</v>
      </c>
      <c r="D17" s="61">
        <f>+'S&amp;D'!G23</f>
        <v>47</v>
      </c>
      <c r="E17" s="344">
        <v>3</v>
      </c>
      <c r="F17" s="55">
        <f t="shared" ref="F17:F22" si="1">+E17/D17</f>
        <v>6.3829787234042548E-2</v>
      </c>
      <c r="G17" s="344">
        <v>3.25</v>
      </c>
      <c r="H17" s="55">
        <f t="shared" ref="H17:H22" si="2">+G17/D17</f>
        <v>6.9148936170212769E-2</v>
      </c>
      <c r="I17" s="344">
        <v>4</v>
      </c>
      <c r="J17" s="55">
        <f t="shared" ref="J17:J22" si="3">+I17/D17</f>
        <v>8.5106382978723402E-2</v>
      </c>
      <c r="K17" s="345">
        <f t="shared" si="0"/>
        <v>7.1664579674512466E-2</v>
      </c>
    </row>
    <row r="18" spans="1:11" ht="17.5">
      <c r="A18" s="64" t="str">
        <f>+'S&amp;D'!A24</f>
        <v>CONSTELLATION ENERGY GENERATION LLC</v>
      </c>
      <c r="B18" s="91" t="str">
        <f>+'S&amp;D'!B24</f>
        <v>CEG</v>
      </c>
      <c r="C18" s="91" t="str">
        <f>+'S&amp;D'!C24</f>
        <v>Power Electric</v>
      </c>
      <c r="D18" s="61">
        <f>+'S&amp;D'!G24</f>
        <v>116.89</v>
      </c>
      <c r="E18" s="344">
        <v>7.6</v>
      </c>
      <c r="F18" s="55">
        <f t="shared" si="1"/>
        <v>6.5018393361279833E-2</v>
      </c>
      <c r="G18" s="344">
        <v>8.35</v>
      </c>
      <c r="H18" s="55">
        <f t="shared" si="2"/>
        <v>7.143468217982718E-2</v>
      </c>
      <c r="I18" s="344">
        <v>11.1</v>
      </c>
      <c r="J18" s="55">
        <f t="shared" si="3"/>
        <v>9.4961074514500809E-2</v>
      </c>
      <c r="K18" s="345">
        <f t="shared" si="0"/>
        <v>9.9542872692853251E-2</v>
      </c>
    </row>
    <row r="19" spans="1:11" ht="17.5">
      <c r="A19" s="64" t="str">
        <f>+'S&amp;D'!A25</f>
        <v>NEXTERA ENERGY INC</v>
      </c>
      <c r="B19" s="91" t="str">
        <f>+'S&amp;D'!B25</f>
        <v>NEE</v>
      </c>
      <c r="C19" s="91" t="str">
        <f>+'S&amp;D'!C25</f>
        <v>Electric - East</v>
      </c>
      <c r="D19" s="61">
        <f>+'S&amp;D'!G25</f>
        <v>60.74</v>
      </c>
      <c r="E19" s="344">
        <v>3.4</v>
      </c>
      <c r="F19" s="55">
        <f t="shared" si="1"/>
        <v>5.5976292393809676E-2</v>
      </c>
      <c r="G19" s="344">
        <v>3.65</v>
      </c>
      <c r="H19" s="55">
        <f t="shared" si="2"/>
        <v>6.0092196246295686E-2</v>
      </c>
      <c r="I19" s="344">
        <v>4.55</v>
      </c>
      <c r="J19" s="55">
        <f t="shared" si="3"/>
        <v>7.4909450115245302E-2</v>
      </c>
      <c r="K19" s="345">
        <f t="shared" si="0"/>
        <v>7.6232685102546355E-2</v>
      </c>
    </row>
    <row r="20" spans="1:11" ht="17.5">
      <c r="A20" s="64" t="str">
        <f>+'S&amp;D'!A26</f>
        <v>NRG ENERGY</v>
      </c>
      <c r="B20" s="91" t="str">
        <f>+'S&amp;D'!B26</f>
        <v>NRG</v>
      </c>
      <c r="C20" s="91" t="str">
        <f>+'S&amp;D'!C26</f>
        <v>Power Electric</v>
      </c>
      <c r="D20" s="61">
        <f>+'S&amp;D'!G26</f>
        <v>51.7</v>
      </c>
      <c r="E20" s="344">
        <v>3.5</v>
      </c>
      <c r="F20" s="55">
        <f t="shared" si="1"/>
        <v>6.7698259187620888E-2</v>
      </c>
      <c r="G20" s="344">
        <v>4</v>
      </c>
      <c r="H20" s="55">
        <f t="shared" si="2"/>
        <v>7.7369439071566723E-2</v>
      </c>
      <c r="I20" s="344">
        <v>4.5999999999999996</v>
      </c>
      <c r="J20" s="55">
        <f t="shared" si="3"/>
        <v>8.8974854932301728E-2</v>
      </c>
      <c r="K20" s="345">
        <f t="shared" si="0"/>
        <v>4.7689553171647185E-2</v>
      </c>
    </row>
    <row r="21" spans="1:11" ht="17.5">
      <c r="A21" s="64" t="str">
        <f>+'S&amp;D'!A27</f>
        <v>SOUTHERN COMPANY</v>
      </c>
      <c r="B21" s="91" t="str">
        <f>+'S&amp;D'!B27</f>
        <v>SO</v>
      </c>
      <c r="C21" s="91" t="str">
        <f>+'S&amp;D'!C27</f>
        <v>Electric - East</v>
      </c>
      <c r="D21" s="61">
        <f>+'S&amp;D'!G27</f>
        <v>70.12</v>
      </c>
      <c r="E21" s="344">
        <v>4</v>
      </c>
      <c r="F21" s="55">
        <f t="shared" si="1"/>
        <v>5.7045065601825436E-2</v>
      </c>
      <c r="G21" s="344">
        <v>4.3</v>
      </c>
      <c r="H21" s="55">
        <f t="shared" si="2"/>
        <v>6.1323445521962346E-2</v>
      </c>
      <c r="I21" s="344">
        <v>5.15</v>
      </c>
      <c r="J21" s="55">
        <f t="shared" si="3"/>
        <v>7.3445521962350255E-2</v>
      </c>
      <c r="K21" s="345">
        <f t="shared" si="0"/>
        <v>6.1971653305991393E-2</v>
      </c>
    </row>
    <row r="22" spans="1:11" ht="17.5">
      <c r="A22" s="64" t="str">
        <f>+'S&amp;D'!A28</f>
        <v>VISTRA ENERGY CORPORATION</v>
      </c>
      <c r="B22" s="91" t="str">
        <f>+'S&amp;D'!B28</f>
        <v>VST</v>
      </c>
      <c r="C22" s="91" t="str">
        <f>+'S&amp;D'!C28</f>
        <v>Power Electric</v>
      </c>
      <c r="D22" s="61">
        <f>+'S&amp;D'!G28</f>
        <v>38.520000000000003</v>
      </c>
      <c r="E22" s="344">
        <v>4.2</v>
      </c>
      <c r="F22" s="55">
        <f t="shared" si="1"/>
        <v>0.10903426791277258</v>
      </c>
      <c r="G22" s="344">
        <v>4.5</v>
      </c>
      <c r="H22" s="55">
        <f t="shared" si="2"/>
        <v>0.11682242990654204</v>
      </c>
      <c r="I22" s="344">
        <v>7.1</v>
      </c>
      <c r="J22" s="55">
        <f t="shared" si="3"/>
        <v>0.18431983385254411</v>
      </c>
      <c r="K22" s="345">
        <f t="shared" si="0"/>
        <v>0.16416698364150253</v>
      </c>
    </row>
    <row r="23" spans="1:11" ht="17.5" thickBot="1">
      <c r="A23" s="12"/>
      <c r="B23" s="12"/>
      <c r="C23" s="44"/>
      <c r="D23" s="47"/>
      <c r="E23" s="47"/>
      <c r="F23" s="47"/>
      <c r="G23" s="47"/>
      <c r="H23" s="47"/>
      <c r="I23" s="47"/>
      <c r="J23" s="47"/>
      <c r="K23" s="47"/>
    </row>
    <row r="24" spans="1:11" ht="17.5" thickTop="1">
      <c r="A24" s="12"/>
      <c r="B24" s="12"/>
      <c r="D24" s="14" t="s">
        <v>53</v>
      </c>
      <c r="E24" s="16">
        <f>MAX(E16:E22)</f>
        <v>7.6</v>
      </c>
      <c r="F24" s="297">
        <f t="shared" ref="F24:K24" si="4">MAX(F16:F22)</f>
        <v>0.10903426791277258</v>
      </c>
      <c r="G24" s="16">
        <f t="shared" si="4"/>
        <v>8.35</v>
      </c>
      <c r="H24" s="297">
        <f t="shared" si="4"/>
        <v>0.11682242990654204</v>
      </c>
      <c r="I24" s="16">
        <f t="shared" si="4"/>
        <v>11.1</v>
      </c>
      <c r="J24" s="297">
        <f t="shared" si="4"/>
        <v>0.18431983385254411</v>
      </c>
      <c r="K24" s="297">
        <f t="shared" si="4"/>
        <v>0.16416698364150253</v>
      </c>
    </row>
    <row r="25" spans="1:11" ht="17">
      <c r="A25" s="12"/>
      <c r="B25" s="12"/>
      <c r="D25" s="14" t="s">
        <v>54</v>
      </c>
      <c r="E25" s="335">
        <f>MIN(E16:E22)</f>
        <v>0.5</v>
      </c>
      <c r="F25" s="298">
        <f t="shared" ref="F25:K25" si="5">MIN(F16:F22)</f>
        <v>2.5974025974025976E-2</v>
      </c>
      <c r="G25" s="335">
        <f t="shared" si="5"/>
        <v>0.7</v>
      </c>
      <c r="H25" s="298">
        <f t="shared" si="5"/>
        <v>3.6363636363636362E-2</v>
      </c>
      <c r="I25" s="335">
        <f t="shared" si="5"/>
        <v>1</v>
      </c>
      <c r="J25" s="298">
        <f t="shared" si="5"/>
        <v>5.1948051948051951E-2</v>
      </c>
      <c r="K25" s="298">
        <f t="shared" si="5"/>
        <v>4.7689553171647185E-2</v>
      </c>
    </row>
    <row r="26" spans="1:11" ht="17">
      <c r="A26" s="12"/>
      <c r="B26" s="12"/>
      <c r="D26" s="14" t="s">
        <v>18</v>
      </c>
      <c r="E26" s="17">
        <f t="shared" ref="E26:K26" si="6">MEDIAN(E16:E22)</f>
        <v>3.5</v>
      </c>
      <c r="F26" s="56">
        <f t="shared" si="6"/>
        <v>6.3829787234042548E-2</v>
      </c>
      <c r="G26" s="17">
        <f t="shared" si="6"/>
        <v>4</v>
      </c>
      <c r="H26" s="56">
        <f t="shared" si="6"/>
        <v>6.9148936170212769E-2</v>
      </c>
      <c r="I26" s="17">
        <f t="shared" si="6"/>
        <v>4.5999999999999996</v>
      </c>
      <c r="J26" s="56">
        <f t="shared" si="6"/>
        <v>8.5106382978723402E-2</v>
      </c>
      <c r="K26" s="56">
        <f t="shared" si="6"/>
        <v>7.6232685102546355E-2</v>
      </c>
    </row>
    <row r="27" spans="1:11" ht="17">
      <c r="A27" s="12"/>
      <c r="B27" s="12"/>
      <c r="D27" s="14" t="s">
        <v>412</v>
      </c>
      <c r="E27" s="21">
        <f t="shared" ref="E27:K27" si="7">AVERAGE(E16:E22)</f>
        <v>3.7428571428571429</v>
      </c>
      <c r="F27" s="58">
        <f t="shared" si="7"/>
        <v>6.3510870237910994E-2</v>
      </c>
      <c r="G27" s="21">
        <f t="shared" si="7"/>
        <v>4.1071428571428577</v>
      </c>
      <c r="H27" s="58">
        <f t="shared" si="7"/>
        <v>7.0364966494291872E-2</v>
      </c>
      <c r="I27" s="21">
        <f t="shared" si="7"/>
        <v>5.3571428571428568</v>
      </c>
      <c r="J27" s="58">
        <f t="shared" si="7"/>
        <v>9.3380738614816786E-2</v>
      </c>
      <c r="K27" s="58">
        <f t="shared" si="7"/>
        <v>9.2502315433256252E-2</v>
      </c>
    </row>
    <row r="28" spans="1:11" ht="17">
      <c r="A28" s="12"/>
      <c r="B28" s="12"/>
      <c r="D28" s="12"/>
      <c r="E28" s="12"/>
      <c r="F28" s="12"/>
      <c r="G28" s="12"/>
      <c r="H28" s="12"/>
      <c r="I28" s="12"/>
      <c r="J28" s="12"/>
      <c r="K28" s="12"/>
    </row>
    <row r="29" spans="1:11" ht="25.5">
      <c r="A29" s="12"/>
      <c r="B29" s="12"/>
      <c r="C29" s="12"/>
      <c r="D29" s="12"/>
      <c r="E29" s="12"/>
      <c r="F29" s="50" t="s">
        <v>0</v>
      </c>
      <c r="G29" s="65" t="s">
        <v>0</v>
      </c>
      <c r="H29" s="12"/>
      <c r="I29" s="12"/>
      <c r="J29" s="12"/>
      <c r="K29" s="12"/>
    </row>
    <row r="30" spans="1:11" ht="18.5">
      <c r="A30" s="232" t="s">
        <v>289</v>
      </c>
    </row>
  </sheetData>
  <pageMargins left="0.25" right="0.25" top="0.75" bottom="0.75" header="0.3" footer="0.3"/>
  <pageSetup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K30"/>
  <sheetViews>
    <sheetView view="pageBreakPreview" zoomScale="60" zoomScaleNormal="80" workbookViewId="0">
      <selection activeCell="K16" sqref="K16"/>
    </sheetView>
  </sheetViews>
  <sheetFormatPr defaultRowHeight="14.5"/>
  <cols>
    <col min="1" max="1" width="52.81640625" customWidth="1"/>
    <col min="2" max="2" width="15.26953125" customWidth="1"/>
    <col min="3" max="3" width="24.7265625"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4" t="s">
        <v>1</v>
      </c>
      <c r="B1" s="12"/>
      <c r="C1" s="12"/>
      <c r="D1" s="12"/>
      <c r="E1" s="12"/>
      <c r="F1" s="12"/>
      <c r="G1" s="12"/>
      <c r="H1" s="12"/>
      <c r="I1" s="12"/>
      <c r="J1" s="12"/>
    </row>
    <row r="2" spans="1:11" ht="17.5">
      <c r="A2" s="25" t="s">
        <v>9</v>
      </c>
      <c r="B2" s="12"/>
      <c r="C2" s="12"/>
      <c r="D2" s="12"/>
      <c r="E2" s="12"/>
      <c r="F2" s="12"/>
      <c r="G2" s="12"/>
      <c r="H2" s="12"/>
      <c r="I2" s="12"/>
      <c r="J2" s="12"/>
    </row>
    <row r="3" spans="1:11" ht="17">
      <c r="A3" s="26" t="s">
        <v>457</v>
      </c>
      <c r="B3" s="12"/>
      <c r="C3" s="12"/>
      <c r="D3" s="12"/>
      <c r="E3" s="12"/>
      <c r="F3" s="12"/>
      <c r="G3" s="12"/>
      <c r="H3" s="12"/>
      <c r="I3" s="12"/>
      <c r="J3" s="12"/>
    </row>
    <row r="4" spans="1:11" ht="17">
      <c r="A4" s="26"/>
      <c r="B4" s="12"/>
      <c r="C4" s="12"/>
      <c r="D4" s="12"/>
      <c r="E4" s="12"/>
      <c r="F4" s="12"/>
      <c r="G4" s="12"/>
      <c r="H4" s="12"/>
      <c r="I4" s="12"/>
      <c r="J4" s="12"/>
    </row>
    <row r="5" spans="1:11" ht="17.5" thickBot="1">
      <c r="A5" s="12"/>
      <c r="B5" s="12"/>
      <c r="C5" s="12"/>
      <c r="D5" s="12"/>
      <c r="E5" s="12"/>
      <c r="F5" s="12"/>
      <c r="G5" s="27"/>
      <c r="H5" s="12"/>
      <c r="I5" s="12"/>
      <c r="J5" s="12"/>
    </row>
    <row r="6" spans="1:11" ht="21.5" thickBot="1">
      <c r="A6" s="267" t="str">
        <f>+'S&amp;D'!A12</f>
        <v>Electric Wholesale (non-regulated) Power Generator</v>
      </c>
      <c r="B6" s="197"/>
      <c r="C6" s="12"/>
      <c r="D6" s="29"/>
      <c r="E6" s="29"/>
      <c r="F6" s="30" t="s">
        <v>0</v>
      </c>
      <c r="G6" s="12"/>
      <c r="H6" s="12"/>
      <c r="I6" s="12"/>
      <c r="J6" s="12"/>
    </row>
    <row r="7" spans="1:11" ht="25.5">
      <c r="A7" s="31"/>
      <c r="B7" s="12"/>
      <c r="C7" s="12"/>
      <c r="D7" s="12"/>
      <c r="E7" s="32" t="s">
        <v>184</v>
      </c>
      <c r="F7" s="12"/>
      <c r="G7" s="12"/>
      <c r="H7" s="12"/>
      <c r="I7" s="12"/>
      <c r="J7" s="12"/>
    </row>
    <row r="8" spans="1:11" ht="21.5" thickBot="1">
      <c r="A8" s="31"/>
      <c r="B8" s="12"/>
      <c r="C8" s="12"/>
      <c r="D8" s="29"/>
      <c r="E8" s="37" t="s">
        <v>458</v>
      </c>
      <c r="F8" s="29"/>
      <c r="G8" s="12"/>
      <c r="H8" s="12"/>
      <c r="I8" s="12"/>
      <c r="J8" s="12"/>
    </row>
    <row r="9" spans="1:11" ht="17.5" thickBot="1">
      <c r="A9" s="34" t="s">
        <v>0</v>
      </c>
      <c r="B9" s="34" t="s">
        <v>0</v>
      </c>
      <c r="C9" s="34" t="s">
        <v>0</v>
      </c>
      <c r="D9" s="34" t="s">
        <v>0</v>
      </c>
      <c r="E9" s="34" t="s">
        <v>0</v>
      </c>
      <c r="F9" s="34"/>
      <c r="G9" s="29"/>
      <c r="H9" s="29"/>
      <c r="I9" s="29"/>
      <c r="J9" s="29"/>
      <c r="K9" s="152"/>
    </row>
    <row r="10" spans="1:11" ht="17">
      <c r="A10" s="35" t="s">
        <v>0</v>
      </c>
      <c r="B10" s="35" t="s">
        <v>3</v>
      </c>
      <c r="C10" s="35" t="s">
        <v>5</v>
      </c>
      <c r="D10" s="35" t="s">
        <v>179</v>
      </c>
      <c r="E10" s="35" t="s">
        <v>180</v>
      </c>
      <c r="F10" s="35" t="s">
        <v>182</v>
      </c>
      <c r="G10" s="35" t="s">
        <v>180</v>
      </c>
      <c r="H10" s="35" t="s">
        <v>182</v>
      </c>
      <c r="I10" s="35" t="s">
        <v>180</v>
      </c>
      <c r="J10" s="35" t="s">
        <v>182</v>
      </c>
      <c r="K10" s="35" t="s">
        <v>287</v>
      </c>
    </row>
    <row r="11" spans="1:11" ht="17">
      <c r="A11" s="35"/>
      <c r="B11" s="35" t="s">
        <v>4</v>
      </c>
      <c r="C11" s="35" t="s">
        <v>6</v>
      </c>
      <c r="D11" s="35" t="s">
        <v>28</v>
      </c>
      <c r="E11" s="35" t="s">
        <v>181</v>
      </c>
      <c r="F11" s="35" t="s">
        <v>133</v>
      </c>
      <c r="G11" s="35" t="s">
        <v>181</v>
      </c>
      <c r="H11" s="35" t="s">
        <v>133</v>
      </c>
      <c r="I11" s="35" t="s">
        <v>181</v>
      </c>
      <c r="J11" s="35" t="s">
        <v>133</v>
      </c>
      <c r="K11" s="35" t="s">
        <v>197</v>
      </c>
    </row>
    <row r="12" spans="1:11" ht="17.5" thickBot="1">
      <c r="A12" s="37" t="s">
        <v>2</v>
      </c>
      <c r="B12" s="37" t="s">
        <v>0</v>
      </c>
      <c r="C12" s="37" t="s">
        <v>0</v>
      </c>
      <c r="D12" s="37" t="s">
        <v>0</v>
      </c>
      <c r="E12" s="37" t="s">
        <v>183</v>
      </c>
      <c r="F12" s="37" t="s">
        <v>183</v>
      </c>
      <c r="G12" s="37" t="s">
        <v>285</v>
      </c>
      <c r="H12" s="37" t="s">
        <v>285</v>
      </c>
      <c r="I12" s="37" t="s">
        <v>286</v>
      </c>
      <c r="J12" s="37" t="s">
        <v>286</v>
      </c>
      <c r="K12" s="231" t="s">
        <v>288</v>
      </c>
    </row>
    <row r="13" spans="1:11" ht="15">
      <c r="A13" s="39" t="s">
        <v>7</v>
      </c>
      <c r="B13" s="39" t="s">
        <v>7</v>
      </c>
      <c r="C13" s="39" t="s">
        <v>7</v>
      </c>
      <c r="D13" s="40" t="s">
        <v>126</v>
      </c>
      <c r="E13" s="39" t="s">
        <v>7</v>
      </c>
      <c r="F13" s="39" t="s">
        <v>0</v>
      </c>
      <c r="G13" s="39" t="s">
        <v>7</v>
      </c>
      <c r="H13" s="39" t="s">
        <v>0</v>
      </c>
      <c r="I13" s="39" t="s">
        <v>7</v>
      </c>
      <c r="J13" s="39" t="s">
        <v>0</v>
      </c>
      <c r="K13" s="39" t="s">
        <v>0</v>
      </c>
    </row>
    <row r="14" spans="1:11" ht="17">
      <c r="A14" s="35"/>
      <c r="B14" s="35"/>
      <c r="C14" s="35"/>
      <c r="D14" s="35"/>
      <c r="E14" s="35"/>
      <c r="F14" s="35"/>
      <c r="G14" s="12"/>
      <c r="H14" s="12"/>
      <c r="I14" s="12"/>
      <c r="J14" s="12"/>
      <c r="K14" s="12"/>
    </row>
    <row r="15" spans="1:11" ht="17">
      <c r="A15" s="12"/>
      <c r="B15" s="12"/>
      <c r="C15" s="12"/>
      <c r="D15" s="12"/>
      <c r="E15" s="12"/>
      <c r="F15" s="12"/>
      <c r="G15" s="12"/>
      <c r="H15" s="12"/>
      <c r="I15" s="12"/>
      <c r="J15" s="12"/>
      <c r="K15" s="12"/>
    </row>
    <row r="16" spans="1:11" ht="17.5">
      <c r="A16" s="64" t="str">
        <f>+'S&amp;D'!A22</f>
        <v>AES CORPORATION</v>
      </c>
      <c r="B16" s="91" t="str">
        <f>+'S&amp;D'!B22</f>
        <v>AES</v>
      </c>
      <c r="C16" s="91" t="str">
        <f>+'S&amp;D'!C22</f>
        <v>Power Electric</v>
      </c>
      <c r="D16" s="61">
        <f>+'S&amp;D'!G22</f>
        <v>19.25</v>
      </c>
      <c r="E16" s="63">
        <v>0.7</v>
      </c>
      <c r="F16" s="67">
        <f>+E16/D16</f>
        <v>3.6363636363636362E-2</v>
      </c>
      <c r="G16" s="63">
        <v>0.72</v>
      </c>
      <c r="H16" s="67">
        <f>+G16/D16</f>
        <v>3.7402597402597403E-2</v>
      </c>
      <c r="I16" s="63">
        <v>0.76</v>
      </c>
      <c r="J16" s="67">
        <f>+I16/D16</f>
        <v>3.9480519480519484E-2</v>
      </c>
      <c r="K16" s="230">
        <f>RATE(3,,-G16,I16)</f>
        <v>1.8185790714937679E-2</v>
      </c>
    </row>
    <row r="17" spans="1:11" ht="17.5">
      <c r="A17" s="64" t="str">
        <f>+'S&amp;D'!A23</f>
        <v>DOMINION ENERGY INC</v>
      </c>
      <c r="B17" s="91" t="str">
        <f>+'S&amp;D'!B23</f>
        <v>D</v>
      </c>
      <c r="C17" s="91" t="str">
        <f>+'S&amp;D'!C23</f>
        <v>Electric - East</v>
      </c>
      <c r="D17" s="61">
        <f>+'S&amp;D'!G23</f>
        <v>47</v>
      </c>
      <c r="E17" s="63">
        <v>2.67</v>
      </c>
      <c r="F17" s="67">
        <f t="shared" ref="F17:F22" si="0">+E17/D17</f>
        <v>5.6808510638297872E-2</v>
      </c>
      <c r="G17" s="63">
        <v>2.67</v>
      </c>
      <c r="H17" s="67">
        <f>+G17/D17</f>
        <v>5.6808510638297872E-2</v>
      </c>
      <c r="I17" s="63">
        <v>2.67</v>
      </c>
      <c r="J17" s="67">
        <f>+I17/D17</f>
        <v>5.6808510638297872E-2</v>
      </c>
      <c r="K17" s="230">
        <f>RATE(3,,-G17,I17)</f>
        <v>4.5847207891273409E-14</v>
      </c>
    </row>
    <row r="18" spans="1:11" ht="17.5">
      <c r="A18" s="64" t="str">
        <f>+'S&amp;D'!A24</f>
        <v>CONSTELLATION ENERGY GENERATION LLC</v>
      </c>
      <c r="B18" s="91" t="str">
        <f>+'S&amp;D'!B24</f>
        <v>CEG</v>
      </c>
      <c r="C18" s="91" t="str">
        <f>+'S&amp;D'!C24</f>
        <v>Power Electric</v>
      </c>
      <c r="D18" s="61">
        <f>+'S&amp;D'!G24</f>
        <v>116.89</v>
      </c>
      <c r="E18" s="63">
        <v>1.41</v>
      </c>
      <c r="F18" s="67">
        <f t="shared" si="0"/>
        <v>1.2062622978869021E-2</v>
      </c>
      <c r="G18" s="63">
        <v>1.55</v>
      </c>
      <c r="H18" s="67">
        <f t="shared" ref="H18:H22" si="1">+G18/D18</f>
        <v>1.3260330224997861E-2</v>
      </c>
      <c r="I18" s="63">
        <v>2.06</v>
      </c>
      <c r="J18" s="67">
        <f t="shared" ref="J18:J22" si="2">+I18/D18</f>
        <v>1.762340662161006E-2</v>
      </c>
      <c r="K18" s="230">
        <f t="shared" ref="K18:K22" si="3">RATE(3,,-G18,I18)</f>
        <v>9.945765497747544E-2</v>
      </c>
    </row>
    <row r="19" spans="1:11" ht="17.5">
      <c r="A19" s="64" t="str">
        <f>+'S&amp;D'!A25</f>
        <v>NEXTERA ENERGY INC</v>
      </c>
      <c r="B19" s="91" t="str">
        <f>+'S&amp;D'!B25</f>
        <v>NEE</v>
      </c>
      <c r="C19" s="91" t="str">
        <f>+'S&amp;D'!C25</f>
        <v>Electric - East</v>
      </c>
      <c r="D19" s="61">
        <f>+'S&amp;D'!G25</f>
        <v>60.74</v>
      </c>
      <c r="E19" s="63">
        <v>2.06</v>
      </c>
      <c r="F19" s="67">
        <f t="shared" si="0"/>
        <v>3.3915047744484686E-2</v>
      </c>
      <c r="G19" s="63">
        <v>2.25</v>
      </c>
      <c r="H19" s="67">
        <f t="shared" si="1"/>
        <v>3.7043134672374051E-2</v>
      </c>
      <c r="I19" s="63">
        <v>2.85</v>
      </c>
      <c r="J19" s="67">
        <f t="shared" si="2"/>
        <v>4.6921303918340471E-2</v>
      </c>
      <c r="K19" s="230">
        <f>RATE(3,,-G19,I19)</f>
        <v>8.1983855523205335E-2</v>
      </c>
    </row>
    <row r="20" spans="1:11" ht="17.5">
      <c r="A20" s="64" t="str">
        <f>+'S&amp;D'!A26</f>
        <v>NRG ENERGY</v>
      </c>
      <c r="B20" s="91" t="str">
        <f>+'S&amp;D'!B26</f>
        <v>NRG</v>
      </c>
      <c r="C20" s="91" t="str">
        <f>+'S&amp;D'!C26</f>
        <v>Power Electric</v>
      </c>
      <c r="D20" s="61">
        <f>+'S&amp;D'!G26</f>
        <v>51.7</v>
      </c>
      <c r="E20" s="63">
        <v>1.56</v>
      </c>
      <c r="F20" s="67">
        <f t="shared" si="0"/>
        <v>3.0174081237911026E-2</v>
      </c>
      <c r="G20" s="63">
        <v>1.6</v>
      </c>
      <c r="H20" s="67">
        <f t="shared" si="1"/>
        <v>3.0947775628626693E-2</v>
      </c>
      <c r="I20" s="63">
        <v>1.72</v>
      </c>
      <c r="J20" s="67">
        <f t="shared" si="2"/>
        <v>3.3268858800773689E-2</v>
      </c>
      <c r="K20" s="230">
        <f t="shared" si="3"/>
        <v>2.4399807259134158E-2</v>
      </c>
    </row>
    <row r="21" spans="1:11" ht="17.5">
      <c r="A21" s="64" t="str">
        <f>+'S&amp;D'!A27</f>
        <v>SOUTHERN COMPANY</v>
      </c>
      <c r="B21" s="91" t="str">
        <f>+'S&amp;D'!B27</f>
        <v>SO</v>
      </c>
      <c r="C21" s="91" t="str">
        <f>+'S&amp;D'!C27</f>
        <v>Electric - East</v>
      </c>
      <c r="D21" s="61">
        <f>+'S&amp;D'!G27</f>
        <v>70.12</v>
      </c>
      <c r="E21" s="63">
        <v>2.86</v>
      </c>
      <c r="F21" s="67">
        <f t="shared" si="0"/>
        <v>4.0787221905305183E-2</v>
      </c>
      <c r="G21" s="63">
        <v>2.94</v>
      </c>
      <c r="H21" s="67">
        <f t="shared" si="1"/>
        <v>4.1928123217341698E-2</v>
      </c>
      <c r="I21" s="63">
        <v>3.1</v>
      </c>
      <c r="J21" s="67">
        <f t="shared" si="2"/>
        <v>4.4209925841414713E-2</v>
      </c>
      <c r="K21" s="230">
        <f t="shared" si="3"/>
        <v>1.7821110959275945E-2</v>
      </c>
    </row>
    <row r="22" spans="1:11" ht="17.5">
      <c r="A22" s="64" t="str">
        <f>+'S&amp;D'!A28</f>
        <v>VISTRA ENERGY CORPORATION</v>
      </c>
      <c r="B22" s="91" t="str">
        <f>+'S&amp;D'!B28</f>
        <v>VST</v>
      </c>
      <c r="C22" s="91" t="str">
        <f>+'S&amp;D'!C28</f>
        <v>Power Electric</v>
      </c>
      <c r="D22" s="61">
        <f>+'S&amp;D'!G28</f>
        <v>38.520000000000003</v>
      </c>
      <c r="E22" s="63">
        <v>0.9</v>
      </c>
      <c r="F22" s="67">
        <f t="shared" si="0"/>
        <v>2.336448598130841E-2</v>
      </c>
      <c r="G22" s="63">
        <v>0.98</v>
      </c>
      <c r="H22" s="67">
        <f t="shared" si="1"/>
        <v>2.5441329179646935E-2</v>
      </c>
      <c r="I22" s="63">
        <v>1.3</v>
      </c>
      <c r="J22" s="67">
        <f t="shared" si="2"/>
        <v>3.374870197300104E-2</v>
      </c>
      <c r="K22" s="230">
        <f t="shared" si="3"/>
        <v>9.8767382997322628E-2</v>
      </c>
    </row>
    <row r="23" spans="1:11" ht="17.5" thickBot="1">
      <c r="A23" s="12"/>
      <c r="B23" s="12"/>
      <c r="C23" s="44"/>
      <c r="D23" s="47"/>
      <c r="E23" s="47"/>
      <c r="F23" s="47"/>
      <c r="G23" s="47"/>
      <c r="H23" s="47"/>
      <c r="I23" s="47"/>
      <c r="J23" s="47"/>
      <c r="K23" s="47"/>
    </row>
    <row r="24" spans="1:11" ht="17.5" thickTop="1">
      <c r="A24" s="12"/>
      <c r="B24" s="12"/>
      <c r="D24" s="14" t="s">
        <v>53</v>
      </c>
      <c r="E24" s="16">
        <f>MAX(E16:E22)</f>
        <v>2.86</v>
      </c>
      <c r="F24" s="297">
        <f t="shared" ref="F24:K24" si="4">MAX(F16:F22)</f>
        <v>5.6808510638297872E-2</v>
      </c>
      <c r="G24" s="16">
        <f t="shared" si="4"/>
        <v>2.94</v>
      </c>
      <c r="H24" s="297">
        <f t="shared" si="4"/>
        <v>5.6808510638297872E-2</v>
      </c>
      <c r="I24" s="16">
        <f t="shared" si="4"/>
        <v>3.1</v>
      </c>
      <c r="J24" s="297">
        <f t="shared" si="4"/>
        <v>5.6808510638297872E-2</v>
      </c>
      <c r="K24" s="297">
        <f t="shared" si="4"/>
        <v>9.945765497747544E-2</v>
      </c>
    </row>
    <row r="25" spans="1:11" ht="17">
      <c r="A25" s="12"/>
      <c r="B25" s="12"/>
      <c r="D25" s="14" t="s">
        <v>54</v>
      </c>
      <c r="E25" s="335">
        <f>MIN(E16:E22)</f>
        <v>0.7</v>
      </c>
      <c r="F25" s="298">
        <f t="shared" ref="F25:K25" si="5">MIN(F16:F22)</f>
        <v>1.2062622978869021E-2</v>
      </c>
      <c r="G25" s="335">
        <f t="shared" si="5"/>
        <v>0.72</v>
      </c>
      <c r="H25" s="298">
        <f t="shared" si="5"/>
        <v>1.3260330224997861E-2</v>
      </c>
      <c r="I25" s="335">
        <f t="shared" si="5"/>
        <v>0.76</v>
      </c>
      <c r="J25" s="298">
        <f t="shared" si="5"/>
        <v>1.762340662161006E-2</v>
      </c>
      <c r="K25" s="298">
        <f t="shared" si="5"/>
        <v>4.5847207891273409E-14</v>
      </c>
    </row>
    <row r="26" spans="1:11" ht="17">
      <c r="A26" s="12"/>
      <c r="B26" s="12"/>
      <c r="D26" s="14" t="s">
        <v>18</v>
      </c>
      <c r="E26" s="17">
        <f t="shared" ref="E26:K26" si="6">MEDIAN(E16:E22)</f>
        <v>1.56</v>
      </c>
      <c r="F26" s="56">
        <f t="shared" si="6"/>
        <v>3.3915047744484686E-2</v>
      </c>
      <c r="G26" s="17">
        <f t="shared" si="6"/>
        <v>1.6</v>
      </c>
      <c r="H26" s="56">
        <f t="shared" si="6"/>
        <v>3.7043134672374051E-2</v>
      </c>
      <c r="I26" s="17">
        <f t="shared" si="6"/>
        <v>2.06</v>
      </c>
      <c r="J26" s="56">
        <f t="shared" si="6"/>
        <v>3.9480519480519484E-2</v>
      </c>
      <c r="K26" s="56">
        <f t="shared" si="6"/>
        <v>2.4399807259134158E-2</v>
      </c>
    </row>
    <row r="27" spans="1:11" ht="17">
      <c r="A27" s="12"/>
      <c r="B27" s="12"/>
      <c r="D27" s="14" t="s">
        <v>412</v>
      </c>
      <c r="E27" s="21">
        <f t="shared" ref="E27:K27" si="7">AVERAGE(E16:E22)</f>
        <v>1.7371428571428571</v>
      </c>
      <c r="F27" s="58">
        <f t="shared" si="7"/>
        <v>3.3353658121401793E-2</v>
      </c>
      <c r="G27" s="21">
        <f t="shared" si="7"/>
        <v>1.8157142857142856</v>
      </c>
      <c r="H27" s="58">
        <f t="shared" si="7"/>
        <v>3.4690257280554644E-2</v>
      </c>
      <c r="I27" s="21">
        <f t="shared" si="7"/>
        <v>2.0657142857142858</v>
      </c>
      <c r="J27" s="58">
        <f t="shared" si="7"/>
        <v>3.8865889610565328E-2</v>
      </c>
      <c r="K27" s="58">
        <f t="shared" si="7"/>
        <v>4.8659371775913854E-2</v>
      </c>
    </row>
    <row r="28" spans="1:11" ht="17">
      <c r="A28" s="12"/>
      <c r="B28" s="12"/>
      <c r="C28" s="12"/>
      <c r="D28" s="12"/>
      <c r="E28" s="12"/>
      <c r="F28" s="12"/>
      <c r="G28" s="12"/>
      <c r="H28" s="12"/>
      <c r="I28" s="12"/>
      <c r="J28" s="12"/>
      <c r="K28" s="12"/>
    </row>
    <row r="29" spans="1:11" ht="25.5">
      <c r="A29" s="12"/>
      <c r="B29" s="12"/>
      <c r="C29" s="12"/>
      <c r="D29" s="12"/>
      <c r="E29" s="12"/>
      <c r="F29" s="50" t="s">
        <v>0</v>
      </c>
      <c r="G29" s="65" t="s">
        <v>0</v>
      </c>
      <c r="H29" s="12"/>
      <c r="I29" s="12"/>
      <c r="J29" s="12"/>
      <c r="K29" s="12"/>
    </row>
    <row r="30" spans="1:11" ht="18.5">
      <c r="A30" s="232" t="s">
        <v>289</v>
      </c>
    </row>
  </sheetData>
  <pageMargins left="0.25" right="0.25" top="0.75" bottom="0.75" header="0.3" footer="0.3"/>
  <pageSetup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CD99C54C01C8BC45B805DF7256220975" ma:contentTypeVersion="1" ma:contentTypeDescription="Upload an image." ma:contentTypeScope="" ma:versionID="f51725491132dd0a64f9fd5ab78ea23f">
  <xsd:schema xmlns:xsd="http://www.w3.org/2001/XMLSchema" xmlns:xs="http://www.w3.org/2001/XMLSchema" xmlns:p="http://schemas.microsoft.com/office/2006/metadata/properties" xmlns:ns1="http://schemas.microsoft.com/sharepoint/v3" xmlns:ns2="6E03B4ED-B723-45B9-840F-361B28E24C99" xmlns:ns3="http://schemas.microsoft.com/sharepoint/v3/fields" targetNamespace="http://schemas.microsoft.com/office/2006/metadata/properties" ma:root="true" ma:fieldsID="97c48875acb44c11a63d22310fa806dc" ns1:_="" ns2:_="" ns3:_="">
    <xsd:import namespace="http://schemas.microsoft.com/sharepoint/v3"/>
    <xsd:import namespace="6E03B4ED-B723-45B9-840F-361B28E24C9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03B4ED-B723-45B9-840F-361B28E24C99"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6E03B4ED-B723-45B9-840F-361B28E24C99"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C3DCDA48-10FE-4906-9A6A-7E3C7A0DE434}"/>
</file>

<file path=customXml/itemProps2.xml><?xml version="1.0" encoding="utf-8"?>
<ds:datastoreItem xmlns:ds="http://schemas.openxmlformats.org/officeDocument/2006/customXml" ds:itemID="{04E3FF18-E9CB-488F-B049-EFCEFAC330EB}"/>
</file>

<file path=customXml/itemProps3.xml><?xml version="1.0" encoding="utf-8"?>
<ds:datastoreItem xmlns:ds="http://schemas.openxmlformats.org/officeDocument/2006/customXml" ds:itemID="{A60F4A0E-A700-4D4A-9F55-C5D35D0CA6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Earnings</vt:lpstr>
      <vt:lpstr>Dividends </vt:lpstr>
      <vt:lpstr>Direct Debt</vt:lpstr>
      <vt:lpstr>Yield Debt</vt:lpstr>
      <vt:lpstr>Direct GCF</vt:lpstr>
      <vt:lpstr>Direct NOPAT</vt:lpstr>
      <vt:lpstr>Growth &amp; Inflation Rates</vt:lpstr>
      <vt:lpstr>Indicated Yield Equity Rate </vt:lpstr>
      <vt:lpstr>CAPM</vt:lpstr>
      <vt:lpstr>Single Stage Div Growth Model</vt:lpstr>
      <vt:lpstr>Two-Stage Dividend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 '!Print_Area</vt:lpstr>
      <vt:lpstr>'Maintenance CapEx'!Print_Area</vt:lpstr>
      <vt:lpstr>'Market to Book Ratios'!Print_Area</vt:lpstr>
      <vt:lpstr>Multiples!Print_Area</vt:lpstr>
      <vt:lpstr>'S&amp;D'!Print_Area</vt:lpstr>
      <vt:lpstr>'Single Stage Div Growth Model'!Print_Area</vt:lpstr>
      <vt:lpstr>'Two-Stage Dividend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Electric Wholesale</dc:title>
  <dc:creator>%USERNAME%</dc:creator>
  <cp:keywords/>
  <dc:description/>
  <cp:lastModifiedBy>Baker, Mike A (DOR)</cp:lastModifiedBy>
  <cp:lastPrinted>2023-05-30T15:23:54Z</cp:lastPrinted>
  <dcterms:created xsi:type="dcterms:W3CDTF">2016-02-12T19:29:24Z</dcterms:created>
  <dcterms:modified xsi:type="dcterms:W3CDTF">2024-07-24T22:22:52Z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0x0101009148F5A04DDD49CBA7127AADA5FB792B00AADE34325A8B49CDA8BB4DB53328F21400CD99C54C01C8BC45B805DF7256220975</vt:lpwstr>
  </property>
</Properties>
</file>