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1) In Progress\"/>
    </mc:Choice>
  </mc:AlternateContent>
  <xr:revisionPtr revIDLastSave="0" documentId="13_ncr:1_{CE681D9F-A6A9-499C-A7CD-3B85903DCB0A}" xr6:coauthVersionLast="47" xr6:coauthVersionMax="47" xr10:uidLastSave="{00000000-0000-0000-0000-000000000000}"/>
  <bookViews>
    <workbookView xWindow="-120" yWindow="-120" windowWidth="20730" windowHeight="11160" tabRatio="580" activeTab="1"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Dividends " sheetId="17" r:id="rId8"/>
    <sheet name="Earnings" sheetId="27" r:id="rId9"/>
    <sheet name="Direct Debt" sheetId="13" r:id="rId10"/>
    <sheet name="Yield Debt" sheetId="8" r:id="rId11"/>
    <sheet name="Direct GCF" sheetId="5" r:id="rId12"/>
    <sheet name="Direct NOPAT" sheetId="12" r:id="rId13"/>
    <sheet name="Growth &amp; Inflation Rates" sheetId="24" r:id="rId14"/>
    <sheet name="Indicated Yield Equity Rate " sheetId="33" r:id="rId15"/>
    <sheet name="CAPM" sheetId="34" r:id="rId16"/>
    <sheet name="Single Stage Div Growth Model" sheetId="19" r:id="rId17"/>
    <sheet name="Two-Stage Div Growth Model" sheetId="20" r:id="rId18"/>
    <sheet name="Multiples" sheetId="25" r:id="rId19"/>
    <sheet name="Info" sheetId="9" r:id="rId20"/>
  </sheets>
  <definedNames>
    <definedName name="_xlnm.Print_Area" localSheetId="6">'Beta for CAPM'!$A$1:$I$38</definedName>
    <definedName name="_xlnm.Print_Area" localSheetId="15">CAPM!$A$1:$H$86</definedName>
    <definedName name="_xlnm.Print_Area" localSheetId="0">'Cover Sheet'!$A$1:$I$37</definedName>
    <definedName name="_xlnm.Print_Area" localSheetId="2">'Direct CapRates'!$A$1:$H$66</definedName>
    <definedName name="_xlnm.Print_Area" localSheetId="9">'Direct Debt'!$A$1:$K$36</definedName>
    <definedName name="_xlnm.Print_Area" localSheetId="11">'Direct GCF'!$A$1:$N$40</definedName>
    <definedName name="_xlnm.Print_Area" localSheetId="12">'Direct NOPAT'!$A$1:$N$62</definedName>
    <definedName name="_xlnm.Print_Area" localSheetId="7">'Dividends '!$A$1:$K$32</definedName>
    <definedName name="_xlnm.Print_Area" localSheetId="8">Earnings!$A$1:$K$32</definedName>
    <definedName name="_xlnm.Print_Area" localSheetId="13">'Growth &amp; Inflation Rates'!$A$1:$H$118</definedName>
    <definedName name="_xlnm.Print_Area" localSheetId="14">'Indicated Yield Equity Rate '!$A$1:$F$57</definedName>
    <definedName name="_xlnm.Print_Area" localSheetId="5">'Maintenance CapEx'!$A$1:$L$77</definedName>
    <definedName name="_xlnm.Print_Area" localSheetId="4">'Market to Book Ratios'!$A$1:$G$62</definedName>
    <definedName name="_xlnm.Print_Area" localSheetId="18">Multiples!$A$1:$H$44</definedName>
    <definedName name="_xlnm.Print_Area" localSheetId="3">'S&amp;D'!$A$1:$L$76</definedName>
    <definedName name="_xlnm.Print_Area" localSheetId="16">'Single Stage Div Growth Model'!$A$1:$K$48</definedName>
    <definedName name="_xlnm.Print_Area" localSheetId="17">'Two-Stage Div Growth Model'!$A$1:$I$46</definedName>
    <definedName name="_xlnm.Print_Area" localSheetId="1">'Yield CapRate'!$A$1:$H$35</definedName>
    <definedName name="_xlnm.Print_Area" localSheetId="10">'Yield Debt'!$A$1:$M$61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7" i="33" l="1"/>
  <c r="D46" i="33"/>
  <c r="J34" i="12"/>
  <c r="I34" i="12"/>
  <c r="L30" i="11"/>
  <c r="L29" i="11"/>
  <c r="J47" i="3"/>
  <c r="J46" i="3"/>
  <c r="I47" i="3"/>
  <c r="I46" i="3"/>
  <c r="I25" i="8"/>
  <c r="I24" i="8"/>
  <c r="G25" i="8"/>
  <c r="G24" i="8"/>
  <c r="J25" i="8"/>
  <c r="J24" i="8"/>
  <c r="G44" i="3"/>
  <c r="F38" i="3"/>
  <c r="F44" i="3"/>
  <c r="I28" i="3"/>
  <c r="J28" i="3"/>
  <c r="I22" i="3"/>
  <c r="J22" i="3"/>
  <c r="G38" i="3" s="1"/>
  <c r="E28" i="29"/>
  <c r="E22" i="29"/>
  <c r="D26" i="11"/>
  <c r="G26" i="11"/>
  <c r="D20" i="11"/>
  <c r="E20" i="11"/>
  <c r="G20" i="11"/>
  <c r="C25" i="13"/>
  <c r="C19" i="13"/>
  <c r="G45" i="3"/>
  <c r="F45" i="3"/>
  <c r="J29" i="3"/>
  <c r="H29" i="3"/>
  <c r="F43" i="3"/>
  <c r="G43" i="3"/>
  <c r="J27" i="3"/>
  <c r="D42" i="3"/>
  <c r="D43" i="3"/>
  <c r="G42" i="3"/>
  <c r="F42" i="3"/>
  <c r="J26" i="3"/>
  <c r="D24" i="11"/>
  <c r="G41" i="3" l="1"/>
  <c r="J25" i="3"/>
  <c r="G39" i="3"/>
  <c r="G40" i="3" l="1"/>
  <c r="F39" i="3"/>
  <c r="J23" i="3"/>
  <c r="I23" i="3"/>
  <c r="H26" i="19" l="1"/>
  <c r="G26" i="19"/>
  <c r="H25" i="19"/>
  <c r="G25" i="19"/>
  <c r="E57" i="12"/>
  <c r="E56" i="12"/>
  <c r="K26" i="12"/>
  <c r="K25" i="12"/>
  <c r="E26" i="12"/>
  <c r="E25" i="12"/>
  <c r="J27" i="5"/>
  <c r="J26" i="5"/>
  <c r="D27" i="5"/>
  <c r="D26" i="5"/>
  <c r="H28" i="14"/>
  <c r="H26" i="14"/>
  <c r="I26" i="27"/>
  <c r="G26" i="27"/>
  <c r="I25" i="27"/>
  <c r="G25" i="27"/>
  <c r="E26" i="27"/>
  <c r="E25" i="27"/>
  <c r="I26" i="17"/>
  <c r="G26" i="17"/>
  <c r="I25" i="17"/>
  <c r="G25" i="17"/>
  <c r="E26" i="17"/>
  <c r="E25" i="17"/>
  <c r="I27" i="14"/>
  <c r="I26" i="14"/>
  <c r="I28" i="14"/>
  <c r="H27" i="14"/>
  <c r="E17" i="34" l="1"/>
  <c r="E19" i="34"/>
  <c r="E20" i="34"/>
  <c r="E21" i="34"/>
  <c r="E22" i="34"/>
  <c r="E24" i="34"/>
  <c r="E26" i="34"/>
  <c r="E28" i="34"/>
  <c r="E29" i="34"/>
  <c r="E31" i="34"/>
  <c r="E32" i="34"/>
  <c r="E33" i="34"/>
  <c r="E16" i="34"/>
  <c r="F93" i="24"/>
  <c r="F88" i="24"/>
  <c r="E88" i="24"/>
  <c r="F87" i="24"/>
  <c r="E87" i="24"/>
  <c r="D88" i="24"/>
  <c r="D87" i="24"/>
  <c r="E90" i="24" l="1"/>
  <c r="E89" i="24"/>
  <c r="D86" i="24"/>
  <c r="F86" i="24" s="1"/>
  <c r="D85" i="24"/>
  <c r="F85" i="24" s="1"/>
  <c r="D84" i="24"/>
  <c r="F84" i="24" s="1"/>
  <c r="D83" i="24"/>
  <c r="F83" i="24" s="1"/>
  <c r="D82" i="24"/>
  <c r="F82" i="24" s="1"/>
  <c r="D81" i="24"/>
  <c r="F81" i="24" s="1"/>
  <c r="D80" i="24"/>
  <c r="F80" i="24" s="1"/>
  <c r="D79" i="24"/>
  <c r="F79" i="24" s="1"/>
  <c r="D90" i="24" l="1"/>
  <c r="F90" i="24" s="1"/>
  <c r="D89" i="24"/>
  <c r="F89" i="24" s="1"/>
  <c r="D15" i="10" l="1"/>
  <c r="A46" i="34"/>
  <c r="F46" i="34"/>
  <c r="B46" i="34"/>
  <c r="E46" i="34" s="1"/>
  <c r="F58" i="34"/>
  <c r="B58" i="34"/>
  <c r="F48" i="34"/>
  <c r="B48" i="34"/>
  <c r="E48" i="34" s="1"/>
  <c r="B47" i="34"/>
  <c r="F47" i="34"/>
  <c r="A6" i="25"/>
  <c r="A6" i="20"/>
  <c r="A6" i="19"/>
  <c r="A6" i="34"/>
  <c r="A6" i="33"/>
  <c r="A7" i="24"/>
  <c r="A6" i="12"/>
  <c r="A6" i="5"/>
  <c r="A6" i="8"/>
  <c r="A6" i="13"/>
  <c r="A6" i="27"/>
  <c r="A6" i="17"/>
  <c r="A8" i="14"/>
  <c r="A8" i="11"/>
  <c r="A9" i="29"/>
  <c r="A16" i="6"/>
  <c r="D16" i="7"/>
  <c r="D48" i="10"/>
  <c r="C16" i="34"/>
  <c r="C42" i="34" s="1"/>
  <c r="F61" i="34"/>
  <c r="B61" i="34"/>
  <c r="E61" i="34" s="1"/>
  <c r="F59" i="34"/>
  <c r="B59" i="34"/>
  <c r="E59" i="34" s="1"/>
  <c r="F57" i="34"/>
  <c r="B57" i="34"/>
  <c r="E57" i="34" s="1"/>
  <c r="F55" i="34"/>
  <c r="B55" i="34"/>
  <c r="E55" i="34" s="1"/>
  <c r="F54" i="34"/>
  <c r="B54" i="34"/>
  <c r="E54" i="34" s="1"/>
  <c r="F52" i="34"/>
  <c r="B52" i="34"/>
  <c r="E52" i="34" s="1"/>
  <c r="F50" i="34"/>
  <c r="B50" i="34"/>
  <c r="E50" i="34" s="1"/>
  <c r="F45" i="34"/>
  <c r="B45" i="34"/>
  <c r="E45" i="34" s="1"/>
  <c r="F43" i="34"/>
  <c r="B43" i="34"/>
  <c r="E43" i="34" s="1"/>
  <c r="F42" i="34"/>
  <c r="B42" i="34"/>
  <c r="E42" i="34" s="1"/>
  <c r="C20" i="34" l="1"/>
  <c r="C21" i="34"/>
  <c r="C22" i="34"/>
  <c r="E58" i="34"/>
  <c r="E47" i="34"/>
  <c r="D42" i="34"/>
  <c r="G42" i="34" s="1"/>
  <c r="D28" i="33" s="1"/>
  <c r="D16" i="34"/>
  <c r="F16" i="34" s="1"/>
  <c r="C24" i="34"/>
  <c r="C19" i="34"/>
  <c r="C29" i="34"/>
  <c r="C26" i="34"/>
  <c r="C33" i="34"/>
  <c r="C59" i="34" s="1"/>
  <c r="C31" i="34"/>
  <c r="C17" i="34"/>
  <c r="C32" i="34" s="1"/>
  <c r="C28" i="34"/>
  <c r="D20" i="34" l="1"/>
  <c r="F20" i="34" s="1"/>
  <c r="D18" i="33" s="1"/>
  <c r="C46" i="34"/>
  <c r="D46" i="34" s="1"/>
  <c r="G46" i="34" s="1"/>
  <c r="D31" i="33" s="1"/>
  <c r="D32" i="34"/>
  <c r="F32" i="34" s="1"/>
  <c r="D26" i="33" s="1"/>
  <c r="C58" i="34"/>
  <c r="D58" i="34" s="1"/>
  <c r="G58" i="34" s="1"/>
  <c r="D39" i="33" s="1"/>
  <c r="D35" i="34"/>
  <c r="F35" i="34" s="1"/>
  <c r="C61" i="34"/>
  <c r="D22" i="34"/>
  <c r="F22" i="34" s="1"/>
  <c r="D20" i="33" s="1"/>
  <c r="C48" i="34"/>
  <c r="D48" i="34" s="1"/>
  <c r="G48" i="34" s="1"/>
  <c r="D33" i="33" s="1"/>
  <c r="C47" i="34"/>
  <c r="D47" i="34" s="1"/>
  <c r="G47" i="34" s="1"/>
  <c r="D32" i="33" s="1"/>
  <c r="D21" i="34"/>
  <c r="F21" i="34" s="1"/>
  <c r="D19" i="33" s="1"/>
  <c r="C43" i="34"/>
  <c r="D43" i="34" s="1"/>
  <c r="G43" i="34" s="1"/>
  <c r="D29" i="33" s="1"/>
  <c r="D17" i="34"/>
  <c r="F17" i="34" s="1"/>
  <c r="C57" i="34"/>
  <c r="D57" i="34" s="1"/>
  <c r="G57" i="34" s="1"/>
  <c r="D38" i="33" s="1"/>
  <c r="D31" i="34"/>
  <c r="F31" i="34" s="1"/>
  <c r="D25" i="33" s="1"/>
  <c r="D59" i="34"/>
  <c r="G59" i="34" s="1"/>
  <c r="D40" i="33" s="1"/>
  <c r="C55" i="34"/>
  <c r="D55" i="34" s="1"/>
  <c r="G55" i="34" s="1"/>
  <c r="D37" i="33" s="1"/>
  <c r="D29" i="34"/>
  <c r="F29" i="34" s="1"/>
  <c r="D61" i="34"/>
  <c r="G61" i="34" s="1"/>
  <c r="D33" i="34"/>
  <c r="F33" i="34" s="1"/>
  <c r="D27" i="33" s="1"/>
  <c r="C45" i="34"/>
  <c r="D45" i="34" s="1"/>
  <c r="G45" i="34" s="1"/>
  <c r="D30" i="33" s="1"/>
  <c r="D19" i="34"/>
  <c r="F19" i="34" s="1"/>
  <c r="C54" i="34"/>
  <c r="D54" i="34" s="1"/>
  <c r="G54" i="34" s="1"/>
  <c r="D36" i="33" s="1"/>
  <c r="D28" i="34"/>
  <c r="F28" i="34" s="1"/>
  <c r="C52" i="34"/>
  <c r="D52" i="34" s="1"/>
  <c r="G52" i="34" s="1"/>
  <c r="D35" i="33" s="1"/>
  <c r="D26" i="34"/>
  <c r="F26" i="34" s="1"/>
  <c r="D24" i="34"/>
  <c r="F24" i="34" s="1"/>
  <c r="C50" i="34"/>
  <c r="D50" i="34" s="1"/>
  <c r="G50" i="34" s="1"/>
  <c r="D34" i="33" s="1"/>
  <c r="J28" i="8" l="1"/>
  <c r="J27" i="8"/>
  <c r="K18" i="17"/>
  <c r="D23" i="7"/>
  <c r="D44" i="33"/>
  <c r="D43" i="33"/>
  <c r="D42" i="33"/>
  <c r="D41" i="33"/>
  <c r="D23" i="33" l="1"/>
  <c r="D15" i="33"/>
  <c r="D21" i="33" l="1"/>
  <c r="D22" i="33"/>
  <c r="D16" i="33"/>
  <c r="D17" i="33"/>
  <c r="D24" i="33"/>
  <c r="D50" i="33" l="1"/>
  <c r="D48" i="33"/>
  <c r="D49" i="33"/>
  <c r="E45" i="3" l="1"/>
  <c r="E43" i="3"/>
  <c r="E42" i="3"/>
  <c r="E41" i="3"/>
  <c r="E40" i="3"/>
  <c r="E39" i="3"/>
  <c r="E38" i="3"/>
  <c r="C29" i="29"/>
  <c r="C48" i="29" s="1"/>
  <c r="B29" i="29"/>
  <c r="B48" i="29" s="1"/>
  <c r="A29" i="29"/>
  <c r="A48" i="29" s="1"/>
  <c r="E48" i="29"/>
  <c r="F29" i="3"/>
  <c r="E44" i="3"/>
  <c r="F28" i="3"/>
  <c r="F27" i="3"/>
  <c r="F26" i="3"/>
  <c r="F25" i="3"/>
  <c r="F24" i="3"/>
  <c r="F23" i="3"/>
  <c r="F22" i="3"/>
  <c r="D48" i="29" l="1"/>
  <c r="F48" i="29" s="1"/>
  <c r="C27" i="11"/>
  <c r="C26" i="11"/>
  <c r="C25" i="11"/>
  <c r="C24" i="11"/>
  <c r="C23" i="11"/>
  <c r="C22" i="11"/>
  <c r="C21" i="11"/>
  <c r="C20" i="11"/>
  <c r="G24" i="24"/>
  <c r="F27" i="20" l="1"/>
  <c r="F23" i="20"/>
  <c r="F28" i="20"/>
  <c r="F26" i="20"/>
  <c r="F22" i="20"/>
  <c r="F24" i="20"/>
  <c r="F25" i="20"/>
  <c r="F21" i="20"/>
  <c r="A47" i="12"/>
  <c r="C47" i="12"/>
  <c r="D47" i="12"/>
  <c r="A48" i="12"/>
  <c r="C48" i="12"/>
  <c r="D48" i="12"/>
  <c r="A49" i="12"/>
  <c r="C49" i="12"/>
  <c r="D49" i="12"/>
  <c r="A50" i="12"/>
  <c r="C50" i="12"/>
  <c r="D50" i="12"/>
  <c r="A51" i="12"/>
  <c r="C51" i="12"/>
  <c r="D51" i="12"/>
  <c r="A52" i="12"/>
  <c r="C52" i="12"/>
  <c r="D52" i="12"/>
  <c r="A53" i="12"/>
  <c r="C53" i="12"/>
  <c r="D53" i="12"/>
  <c r="A54" i="12"/>
  <c r="C54" i="12"/>
  <c r="D54" i="12"/>
  <c r="E59" i="12" l="1"/>
  <c r="E58" i="12"/>
  <c r="F54" i="12"/>
  <c r="G54" i="12" s="1"/>
  <c r="F53" i="12"/>
  <c r="G53" i="12" s="1"/>
  <c r="F52" i="12"/>
  <c r="G52" i="12" s="1"/>
  <c r="F51" i="12"/>
  <c r="G51" i="12" s="1"/>
  <c r="F50" i="12"/>
  <c r="G50" i="12" s="1"/>
  <c r="F49" i="12"/>
  <c r="G49" i="12" s="1"/>
  <c r="F48" i="12"/>
  <c r="G48" i="12" s="1"/>
  <c r="F47" i="12"/>
  <c r="G47" i="12" l="1"/>
  <c r="F56" i="12"/>
  <c r="F57" i="12"/>
  <c r="F59" i="12"/>
  <c r="F58" i="12"/>
  <c r="G59" i="12"/>
  <c r="G58" i="12"/>
  <c r="G56" i="12" l="1"/>
  <c r="G57" i="12"/>
  <c r="D41" i="3"/>
  <c r="H41" i="3" s="1"/>
  <c r="D20" i="25"/>
  <c r="C20" i="25"/>
  <c r="B20" i="25"/>
  <c r="D19" i="25"/>
  <c r="C19" i="25"/>
  <c r="B19" i="25"/>
  <c r="D18" i="25"/>
  <c r="C18" i="25"/>
  <c r="B18" i="25"/>
  <c r="D17" i="25"/>
  <c r="C17" i="25"/>
  <c r="B17" i="25"/>
  <c r="D16" i="25"/>
  <c r="C16" i="25"/>
  <c r="B16" i="25"/>
  <c r="E25" i="20"/>
  <c r="C25" i="20"/>
  <c r="B25" i="20"/>
  <c r="A25" i="20"/>
  <c r="E24" i="20"/>
  <c r="C24" i="20"/>
  <c r="B24" i="20"/>
  <c r="A24" i="20"/>
  <c r="E23" i="20"/>
  <c r="C23" i="20"/>
  <c r="B23" i="20"/>
  <c r="A23" i="20"/>
  <c r="E22" i="20"/>
  <c r="C22" i="20"/>
  <c r="B22" i="20"/>
  <c r="A22" i="20"/>
  <c r="E21" i="20"/>
  <c r="C21" i="20"/>
  <c r="B21" i="20"/>
  <c r="A21" i="20"/>
  <c r="D21" i="19"/>
  <c r="C21" i="19"/>
  <c r="B21" i="19"/>
  <c r="A21" i="19"/>
  <c r="D20" i="19"/>
  <c r="C20" i="19"/>
  <c r="B20" i="19"/>
  <c r="A20" i="19"/>
  <c r="D19" i="19"/>
  <c r="C19" i="19"/>
  <c r="B19" i="19"/>
  <c r="A19" i="19"/>
  <c r="D18" i="19"/>
  <c r="C18" i="19"/>
  <c r="B18" i="19"/>
  <c r="A18" i="19"/>
  <c r="D17" i="19"/>
  <c r="C17" i="19"/>
  <c r="B17" i="19"/>
  <c r="A17" i="19"/>
  <c r="D20" i="12"/>
  <c r="J20" i="12" s="1"/>
  <c r="L20" i="12" s="1"/>
  <c r="M20" i="12" s="1"/>
  <c r="C20" i="12"/>
  <c r="I20" i="12" s="1"/>
  <c r="A20" i="12"/>
  <c r="D19" i="12"/>
  <c r="J19" i="12" s="1"/>
  <c r="L19" i="12" s="1"/>
  <c r="M19" i="12" s="1"/>
  <c r="C19" i="12"/>
  <c r="I19" i="12" s="1"/>
  <c r="A19" i="12"/>
  <c r="D18" i="12"/>
  <c r="J18" i="12" s="1"/>
  <c r="L18" i="12" s="1"/>
  <c r="M18" i="12" s="1"/>
  <c r="C18" i="12"/>
  <c r="I18" i="12" s="1"/>
  <c r="A18" i="12"/>
  <c r="D17" i="12"/>
  <c r="F17" i="12" s="1"/>
  <c r="G17" i="12" s="1"/>
  <c r="C17" i="12"/>
  <c r="I17" i="12" s="1"/>
  <c r="A17" i="12"/>
  <c r="D16" i="12"/>
  <c r="J16" i="12" s="1"/>
  <c r="L16" i="12" s="1"/>
  <c r="C16" i="12"/>
  <c r="I16" i="12" s="1"/>
  <c r="A16" i="12"/>
  <c r="C21" i="5"/>
  <c r="E21" i="5" s="1"/>
  <c r="F21" i="5" s="1"/>
  <c r="B21" i="5"/>
  <c r="H21" i="5" s="1"/>
  <c r="A21" i="5"/>
  <c r="C20" i="5"/>
  <c r="E20" i="5" s="1"/>
  <c r="F20" i="5" s="1"/>
  <c r="B20" i="5"/>
  <c r="H20" i="5" s="1"/>
  <c r="A20" i="5"/>
  <c r="C19" i="5"/>
  <c r="I19" i="5" s="1"/>
  <c r="L19" i="5" s="1"/>
  <c r="M19" i="5" s="1"/>
  <c r="B19" i="5"/>
  <c r="H19" i="5" s="1"/>
  <c r="A19" i="5"/>
  <c r="C18" i="5"/>
  <c r="I18" i="5" s="1"/>
  <c r="L18" i="5" s="1"/>
  <c r="M18" i="5" s="1"/>
  <c r="B18" i="5"/>
  <c r="H18" i="5" s="1"/>
  <c r="A18" i="5"/>
  <c r="C17" i="5"/>
  <c r="E17" i="5" s="1"/>
  <c r="B17" i="5"/>
  <c r="H17" i="5" s="1"/>
  <c r="A17" i="5"/>
  <c r="E19" i="8"/>
  <c r="D19" i="8"/>
  <c r="C19" i="8"/>
  <c r="B19" i="8"/>
  <c r="A19" i="8"/>
  <c r="E18" i="8"/>
  <c r="D18" i="8"/>
  <c r="C18" i="8"/>
  <c r="B18" i="8"/>
  <c r="A18" i="8"/>
  <c r="E17" i="8"/>
  <c r="D17" i="8"/>
  <c r="C17" i="8"/>
  <c r="B17" i="8"/>
  <c r="A17" i="8"/>
  <c r="E16" i="8"/>
  <c r="D16" i="8"/>
  <c r="C16" i="8"/>
  <c r="B16" i="8"/>
  <c r="A16" i="8"/>
  <c r="E15" i="8"/>
  <c r="D15" i="8"/>
  <c r="C15" i="8"/>
  <c r="B15" i="8"/>
  <c r="A15" i="8"/>
  <c r="B23" i="13"/>
  <c r="A23" i="13"/>
  <c r="B22" i="13"/>
  <c r="A22" i="13"/>
  <c r="B21" i="13"/>
  <c r="A21" i="13"/>
  <c r="B20" i="13"/>
  <c r="A20" i="13"/>
  <c r="B19" i="13"/>
  <c r="A19" i="13"/>
  <c r="K20" i="27"/>
  <c r="D20" i="27"/>
  <c r="J20" i="27" s="1"/>
  <c r="C20" i="27"/>
  <c r="B20" i="27"/>
  <c r="A20" i="27"/>
  <c r="K19" i="27"/>
  <c r="D19" i="27"/>
  <c r="J19" i="27" s="1"/>
  <c r="C19" i="27"/>
  <c r="B19" i="27"/>
  <c r="A19" i="27"/>
  <c r="K18" i="27"/>
  <c r="D18" i="27"/>
  <c r="J18" i="27" s="1"/>
  <c r="C18" i="27"/>
  <c r="B18" i="27"/>
  <c r="A18" i="27"/>
  <c r="K17" i="27"/>
  <c r="D17" i="27"/>
  <c r="J17" i="27" s="1"/>
  <c r="C17" i="27"/>
  <c r="B17" i="27"/>
  <c r="A17" i="27"/>
  <c r="K16" i="27"/>
  <c r="D16" i="27"/>
  <c r="J16" i="27" s="1"/>
  <c r="C16" i="27"/>
  <c r="B16" i="27"/>
  <c r="A16" i="27"/>
  <c r="K20" i="17"/>
  <c r="D20" i="17"/>
  <c r="J20" i="17" s="1"/>
  <c r="C20" i="17"/>
  <c r="B20" i="17"/>
  <c r="A20" i="17"/>
  <c r="K19" i="17"/>
  <c r="D19" i="17"/>
  <c r="J19" i="17" s="1"/>
  <c r="C19" i="17"/>
  <c r="B19" i="17"/>
  <c r="A19" i="17"/>
  <c r="D18" i="17"/>
  <c r="J18" i="17" s="1"/>
  <c r="C18" i="17"/>
  <c r="B18" i="17"/>
  <c r="A18" i="17"/>
  <c r="K17" i="17"/>
  <c r="D17" i="17"/>
  <c r="J17" i="17" s="1"/>
  <c r="C17" i="17"/>
  <c r="B17" i="17"/>
  <c r="A17" i="17"/>
  <c r="K16" i="17"/>
  <c r="D16" i="17"/>
  <c r="J16" i="17" s="1"/>
  <c r="C16" i="17"/>
  <c r="B16" i="17"/>
  <c r="A16" i="17"/>
  <c r="C22" i="14"/>
  <c r="B22" i="14"/>
  <c r="A22" i="14"/>
  <c r="C21" i="14"/>
  <c r="B21" i="14"/>
  <c r="A21" i="14"/>
  <c r="C20" i="14"/>
  <c r="B20" i="14"/>
  <c r="A20" i="14"/>
  <c r="C19" i="14"/>
  <c r="B19" i="14"/>
  <c r="A19" i="14"/>
  <c r="C18" i="14"/>
  <c r="B18" i="14"/>
  <c r="A18" i="14"/>
  <c r="F24" i="11"/>
  <c r="H24" i="11" s="1"/>
  <c r="I24" i="11" s="1"/>
  <c r="B24" i="11"/>
  <c r="A24" i="11"/>
  <c r="F23" i="11"/>
  <c r="H23" i="11" s="1"/>
  <c r="B23" i="11"/>
  <c r="A23" i="11"/>
  <c r="F22" i="11"/>
  <c r="H22" i="11" s="1"/>
  <c r="J22" i="11" s="1"/>
  <c r="B22" i="11"/>
  <c r="A22" i="11"/>
  <c r="F21" i="11"/>
  <c r="H21" i="11" s="1"/>
  <c r="B21" i="11"/>
  <c r="A21" i="11"/>
  <c r="F20" i="11"/>
  <c r="H20" i="11" s="1"/>
  <c r="B20" i="11"/>
  <c r="A20" i="11"/>
  <c r="C28" i="29"/>
  <c r="B28" i="29"/>
  <c r="A28" i="29"/>
  <c r="C27" i="29"/>
  <c r="B27" i="29"/>
  <c r="A27" i="29"/>
  <c r="C26" i="29"/>
  <c r="C45" i="29" s="1"/>
  <c r="B26" i="29"/>
  <c r="B45" i="29" s="1"/>
  <c r="A26" i="29"/>
  <c r="A45" i="29" s="1"/>
  <c r="C25" i="29"/>
  <c r="C44" i="29" s="1"/>
  <c r="B25" i="29"/>
  <c r="B44" i="29" s="1"/>
  <c r="A25" i="29"/>
  <c r="A44" i="29" s="1"/>
  <c r="C24" i="29"/>
  <c r="C43" i="29" s="1"/>
  <c r="B24" i="29"/>
  <c r="B43" i="29" s="1"/>
  <c r="A24" i="29"/>
  <c r="A43" i="29" s="1"/>
  <c r="C23" i="29"/>
  <c r="C42" i="29" s="1"/>
  <c r="B23" i="29"/>
  <c r="B42" i="29" s="1"/>
  <c r="A23" i="29"/>
  <c r="A42" i="29" s="1"/>
  <c r="C22" i="29"/>
  <c r="C41" i="29" s="1"/>
  <c r="B22" i="29"/>
  <c r="B41" i="29" s="1"/>
  <c r="A22" i="29"/>
  <c r="A41" i="29" s="1"/>
  <c r="D40" i="3"/>
  <c r="D39" i="3"/>
  <c r="D38" i="3"/>
  <c r="H38" i="3" s="1"/>
  <c r="G23" i="13"/>
  <c r="G22" i="13"/>
  <c r="E43" i="29"/>
  <c r="E42" i="29"/>
  <c r="C45" i="3"/>
  <c r="B45" i="3"/>
  <c r="A45" i="3"/>
  <c r="C44" i="3"/>
  <c r="B44" i="3"/>
  <c r="A44" i="3"/>
  <c r="C43" i="3"/>
  <c r="B43" i="3"/>
  <c r="A43" i="3"/>
  <c r="C42" i="3"/>
  <c r="B42" i="3"/>
  <c r="A42" i="3"/>
  <c r="C41" i="3"/>
  <c r="B41" i="3"/>
  <c r="A41" i="3"/>
  <c r="C40" i="3"/>
  <c r="B40" i="3"/>
  <c r="A40" i="3"/>
  <c r="C39" i="3"/>
  <c r="B39" i="3"/>
  <c r="A39" i="3"/>
  <c r="C38" i="3"/>
  <c r="B38" i="3"/>
  <c r="A38" i="3"/>
  <c r="M16" i="12" l="1"/>
  <c r="F17" i="5"/>
  <c r="E18" i="19"/>
  <c r="H39" i="3"/>
  <c r="E19" i="19"/>
  <c r="H40" i="3"/>
  <c r="I40" i="3" s="1"/>
  <c r="D26" i="29"/>
  <c r="F26" i="29" s="1"/>
  <c r="H42" i="3"/>
  <c r="F18" i="25"/>
  <c r="H18" i="25"/>
  <c r="F17" i="25"/>
  <c r="H17" i="25"/>
  <c r="F16" i="25"/>
  <c r="H16" i="25"/>
  <c r="F20" i="25"/>
  <c r="H20" i="25"/>
  <c r="F19" i="25"/>
  <c r="H19" i="25"/>
  <c r="J23" i="11"/>
  <c r="I22" i="11"/>
  <c r="K22" i="11" s="1"/>
  <c r="L22" i="11" s="1"/>
  <c r="I20" i="11"/>
  <c r="J24" i="11"/>
  <c r="K24" i="11" s="1"/>
  <c r="L24" i="11" s="1"/>
  <c r="F18" i="17"/>
  <c r="E44" i="29"/>
  <c r="G20" i="13"/>
  <c r="F19" i="13"/>
  <c r="H19" i="13" s="1"/>
  <c r="I19" i="13" s="1"/>
  <c r="D41" i="29"/>
  <c r="E45" i="29"/>
  <c r="F19" i="27"/>
  <c r="F17" i="17"/>
  <c r="F19" i="17"/>
  <c r="F17" i="27"/>
  <c r="G19" i="13"/>
  <c r="E41" i="29"/>
  <c r="G21" i="13"/>
  <c r="I41" i="3"/>
  <c r="F20" i="27"/>
  <c r="F18" i="12"/>
  <c r="G18" i="12" s="1"/>
  <c r="E18" i="5"/>
  <c r="F16" i="27"/>
  <c r="F20" i="17"/>
  <c r="F20" i="12"/>
  <c r="G20" i="12" s="1"/>
  <c r="F18" i="27"/>
  <c r="E19" i="5"/>
  <c r="F19" i="5" s="1"/>
  <c r="F16" i="17"/>
  <c r="F16" i="12"/>
  <c r="E20" i="19"/>
  <c r="D25" i="29"/>
  <c r="F25" i="29" s="1"/>
  <c r="D22" i="29"/>
  <c r="F22" i="29" s="1"/>
  <c r="D23" i="29"/>
  <c r="F23" i="29" s="1"/>
  <c r="D24" i="29"/>
  <c r="F24" i="29" s="1"/>
  <c r="E17" i="19"/>
  <c r="E21" i="19"/>
  <c r="F19" i="12"/>
  <c r="G19" i="12" s="1"/>
  <c r="J17" i="12"/>
  <c r="L17" i="12" s="1"/>
  <c r="M17" i="12" s="1"/>
  <c r="I20" i="5"/>
  <c r="L20" i="5" s="1"/>
  <c r="M20" i="5" s="1"/>
  <c r="I17" i="5"/>
  <c r="L17" i="5" s="1"/>
  <c r="I21" i="5"/>
  <c r="L21" i="5" s="1"/>
  <c r="M21" i="5" s="1"/>
  <c r="H16" i="27"/>
  <c r="H17" i="27"/>
  <c r="H18" i="27"/>
  <c r="H19" i="27"/>
  <c r="H20" i="27"/>
  <c r="H16" i="17"/>
  <c r="H17" i="17"/>
  <c r="H18" i="17"/>
  <c r="H19" i="17"/>
  <c r="H20" i="17"/>
  <c r="J20" i="11"/>
  <c r="I21" i="11"/>
  <c r="I23" i="11"/>
  <c r="J21" i="11"/>
  <c r="I38" i="3"/>
  <c r="M17" i="5" l="1"/>
  <c r="G16" i="12"/>
  <c r="F18" i="5"/>
  <c r="D24" i="20"/>
  <c r="F20" i="19"/>
  <c r="J20" i="19" s="1"/>
  <c r="F19" i="19"/>
  <c r="D23" i="20"/>
  <c r="D22" i="20"/>
  <c r="F18" i="19"/>
  <c r="J18" i="19" s="1"/>
  <c r="D25" i="20"/>
  <c r="F21" i="19"/>
  <c r="D21" i="20"/>
  <c r="F17" i="19"/>
  <c r="K23" i="11"/>
  <c r="L23" i="11" s="1"/>
  <c r="K20" i="11"/>
  <c r="L20" i="11" s="1"/>
  <c r="K21" i="11"/>
  <c r="L21" i="11" s="1"/>
  <c r="D43" i="29"/>
  <c r="F43" i="29" s="1"/>
  <c r="F21" i="13"/>
  <c r="F20" i="13"/>
  <c r="D42" i="29"/>
  <c r="F42" i="29" s="1"/>
  <c r="J19" i="13"/>
  <c r="D44" i="29"/>
  <c r="F44" i="29" s="1"/>
  <c r="F22" i="13"/>
  <c r="F23" i="13"/>
  <c r="D45" i="29"/>
  <c r="F45" i="29" s="1"/>
  <c r="I42" i="3"/>
  <c r="F41" i="29"/>
  <c r="J41" i="3"/>
  <c r="J38" i="3"/>
  <c r="J40" i="3"/>
  <c r="I19" i="19" l="1"/>
  <c r="I18" i="19"/>
  <c r="I20" i="19"/>
  <c r="J20" i="13"/>
  <c r="H20" i="13"/>
  <c r="I20" i="13" s="1"/>
  <c r="J42" i="3"/>
  <c r="I39" i="3"/>
  <c r="J39" i="3"/>
  <c r="J23" i="13"/>
  <c r="H23" i="13"/>
  <c r="I23" i="13" s="1"/>
  <c r="J21" i="13"/>
  <c r="H21" i="13"/>
  <c r="I21" i="13" s="1"/>
  <c r="H22" i="13"/>
  <c r="I22" i="13" s="1"/>
  <c r="J22" i="13"/>
  <c r="J21" i="19"/>
  <c r="I21" i="19"/>
  <c r="J17" i="19"/>
  <c r="I17" i="19"/>
  <c r="G28" i="8"/>
  <c r="G27" i="8"/>
  <c r="G26" i="8"/>
  <c r="J25" i="19" l="1"/>
  <c r="J26" i="19"/>
  <c r="E28" i="20"/>
  <c r="E27" i="20"/>
  <c r="E26" i="20"/>
  <c r="G24" i="13" l="1"/>
  <c r="G25" i="13"/>
  <c r="G26" i="13"/>
  <c r="D44" i="3"/>
  <c r="D28" i="29" s="1"/>
  <c r="F28" i="29" s="1"/>
  <c r="F26" i="13" l="1"/>
  <c r="F25" i="13"/>
  <c r="F24" i="13"/>
  <c r="D23" i="27" l="1"/>
  <c r="D22" i="27"/>
  <c r="D21" i="27"/>
  <c r="H21" i="27" s="1"/>
  <c r="C28" i="20"/>
  <c r="B28" i="20"/>
  <c r="A28" i="20"/>
  <c r="C27" i="20"/>
  <c r="B27" i="20"/>
  <c r="A27" i="20"/>
  <c r="C26" i="20"/>
  <c r="B26" i="20"/>
  <c r="A26" i="20"/>
  <c r="D23" i="17"/>
  <c r="D22" i="17"/>
  <c r="D21" i="17"/>
  <c r="H21" i="17" s="1"/>
  <c r="E23" i="19"/>
  <c r="D24" i="19"/>
  <c r="D23" i="19"/>
  <c r="D22" i="19"/>
  <c r="C24" i="19"/>
  <c r="B24" i="19"/>
  <c r="A24" i="19"/>
  <c r="C23" i="19"/>
  <c r="B23" i="19"/>
  <c r="A23" i="19"/>
  <c r="C22" i="19"/>
  <c r="B22" i="19"/>
  <c r="A22" i="19"/>
  <c r="A23" i="12"/>
  <c r="A22" i="12"/>
  <c r="A21" i="12"/>
  <c r="C23" i="12"/>
  <c r="I23" i="12" s="1"/>
  <c r="C22" i="12"/>
  <c r="I22" i="12" s="1"/>
  <c r="C21" i="12"/>
  <c r="I21" i="12" s="1"/>
  <c r="D23" i="12"/>
  <c r="D22" i="12"/>
  <c r="D21" i="12"/>
  <c r="C24" i="5"/>
  <c r="B24" i="5"/>
  <c r="H24" i="5" s="1"/>
  <c r="A24" i="5"/>
  <c r="C23" i="5"/>
  <c r="B23" i="5"/>
  <c r="H23" i="5" s="1"/>
  <c r="A23" i="5"/>
  <c r="C22" i="5"/>
  <c r="B22" i="5"/>
  <c r="H22" i="5" s="1"/>
  <c r="A22" i="5"/>
  <c r="D22" i="8"/>
  <c r="D21" i="8"/>
  <c r="D20" i="8"/>
  <c r="F22" i="19" l="1"/>
  <c r="D26" i="20"/>
  <c r="D23" i="25"/>
  <c r="H23" i="25" s="1"/>
  <c r="D22" i="25"/>
  <c r="H22" i="25" s="1"/>
  <c r="D21" i="25"/>
  <c r="H21" i="25" s="1"/>
  <c r="C23" i="25"/>
  <c r="B23" i="25"/>
  <c r="C22" i="25"/>
  <c r="B22" i="25"/>
  <c r="C21" i="25"/>
  <c r="B21" i="25"/>
  <c r="C22" i="8"/>
  <c r="B22" i="8"/>
  <c r="A22" i="8"/>
  <c r="C21" i="8"/>
  <c r="B21" i="8"/>
  <c r="A21" i="8"/>
  <c r="A20" i="8"/>
  <c r="B20" i="8"/>
  <c r="C20" i="8"/>
  <c r="B26" i="13"/>
  <c r="A26" i="13"/>
  <c r="B25" i="13"/>
  <c r="A25" i="13"/>
  <c r="B24" i="13"/>
  <c r="A24" i="13"/>
  <c r="C23" i="27"/>
  <c r="B23" i="27"/>
  <c r="A23" i="27"/>
  <c r="C22" i="27"/>
  <c r="B22" i="27"/>
  <c r="A22" i="27"/>
  <c r="C21" i="27"/>
  <c r="B21" i="27"/>
  <c r="A21" i="27"/>
  <c r="C23" i="17"/>
  <c r="B23" i="17"/>
  <c r="A23" i="17"/>
  <c r="C22" i="17"/>
  <c r="B22" i="17"/>
  <c r="A22" i="17"/>
  <c r="C21" i="17"/>
  <c r="B21" i="17"/>
  <c r="A21" i="17"/>
  <c r="H26" i="25" l="1"/>
  <c r="H25" i="25"/>
  <c r="C25" i="14"/>
  <c r="B25" i="14"/>
  <c r="A25" i="14"/>
  <c r="C24" i="14"/>
  <c r="B24" i="14"/>
  <c r="A24" i="14"/>
  <c r="C23" i="14"/>
  <c r="B23" i="14"/>
  <c r="A23" i="14"/>
  <c r="B26" i="11"/>
  <c r="A26" i="11"/>
  <c r="B25" i="11"/>
  <c r="A25" i="11"/>
  <c r="D47" i="29"/>
  <c r="E47" i="29"/>
  <c r="H44" i="3" l="1"/>
  <c r="I44" i="3" s="1"/>
  <c r="B27" i="11"/>
  <c r="A27" i="11"/>
  <c r="C47" i="29"/>
  <c r="B47" i="29"/>
  <c r="A47" i="29"/>
  <c r="C46" i="29"/>
  <c r="B46" i="29"/>
  <c r="A46" i="29"/>
  <c r="J44" i="3" l="1"/>
  <c r="G64" i="10"/>
  <c r="K21" i="17"/>
  <c r="B57" i="29"/>
  <c r="I28" i="27"/>
  <c r="G28" i="27"/>
  <c r="E28" i="27"/>
  <c r="I27" i="27"/>
  <c r="G27" i="27"/>
  <c r="E27" i="27"/>
  <c r="K23" i="27"/>
  <c r="J23" i="27"/>
  <c r="K22" i="27"/>
  <c r="F22" i="27"/>
  <c r="K21" i="27"/>
  <c r="K23" i="17"/>
  <c r="K22" i="17"/>
  <c r="I28" i="8"/>
  <c r="K25" i="27" l="1"/>
  <c r="K26" i="27"/>
  <c r="K25" i="17"/>
  <c r="K26" i="17"/>
  <c r="A24" i="24"/>
  <c r="A15" i="24"/>
  <c r="G25" i="20"/>
  <c r="H25" i="20" s="1"/>
  <c r="G21" i="20"/>
  <c r="H21" i="20" s="1"/>
  <c r="G22" i="20"/>
  <c r="H22" i="20" s="1"/>
  <c r="G24" i="20"/>
  <c r="H24" i="20" s="1"/>
  <c r="F21" i="27"/>
  <c r="J21" i="27"/>
  <c r="H23" i="27"/>
  <c r="K28" i="27"/>
  <c r="D16" i="24" s="1"/>
  <c r="H22" i="27"/>
  <c r="K27" i="27"/>
  <c r="D15" i="24" s="1"/>
  <c r="J22" i="27"/>
  <c r="F23" i="27"/>
  <c r="K27" i="17"/>
  <c r="C15" i="24" s="1"/>
  <c r="K28" i="17"/>
  <c r="C16" i="24" s="1"/>
  <c r="H30" i="20" l="1"/>
  <c r="H29" i="20"/>
  <c r="F26" i="27"/>
  <c r="F25" i="27"/>
  <c r="H25" i="27"/>
  <c r="H26" i="27"/>
  <c r="J26" i="27"/>
  <c r="J25" i="27"/>
  <c r="J28" i="27"/>
  <c r="J27" i="27"/>
  <c r="F28" i="27"/>
  <c r="F27" i="27"/>
  <c r="H28" i="27"/>
  <c r="H27" i="27"/>
  <c r="I28" i="17" l="1"/>
  <c r="I27" i="17"/>
  <c r="H24" i="24" l="1"/>
  <c r="D58" i="10"/>
  <c r="G31" i="10" l="1"/>
  <c r="F22" i="25"/>
  <c r="D25" i="10"/>
  <c r="H28" i="25" l="1"/>
  <c r="H27" i="25"/>
  <c r="G27" i="20"/>
  <c r="G26" i="20"/>
  <c r="G28" i="20"/>
  <c r="F21" i="25"/>
  <c r="F23" i="25"/>
  <c r="H28" i="19"/>
  <c r="G28" i="19"/>
  <c r="H27" i="19"/>
  <c r="G27" i="19"/>
  <c r="G28" i="17"/>
  <c r="G27" i="17"/>
  <c r="J23" i="17"/>
  <c r="J22" i="17"/>
  <c r="J21" i="17"/>
  <c r="E28" i="17"/>
  <c r="E27" i="17"/>
  <c r="I29" i="14"/>
  <c r="I27" i="8"/>
  <c r="I26" i="8"/>
  <c r="F27" i="11"/>
  <c r="H27" i="11" s="1"/>
  <c r="F26" i="11"/>
  <c r="H26" i="11" s="1"/>
  <c r="F25" i="11"/>
  <c r="H25" i="11" s="1"/>
  <c r="E22" i="8"/>
  <c r="E21" i="8"/>
  <c r="E20" i="8"/>
  <c r="I24" i="5"/>
  <c r="L24" i="5" s="1"/>
  <c r="I23" i="5"/>
  <c r="L23" i="5" s="1"/>
  <c r="I22" i="5"/>
  <c r="L22" i="5" s="1"/>
  <c r="D23" i="10"/>
  <c r="H33" i="5"/>
  <c r="D56" i="10" s="1"/>
  <c r="G33" i="5"/>
  <c r="H29" i="14"/>
  <c r="J26" i="13"/>
  <c r="J25" i="13"/>
  <c r="J24" i="13"/>
  <c r="H26" i="13"/>
  <c r="I26" i="13" s="1"/>
  <c r="H25" i="13"/>
  <c r="I25" i="13" s="1"/>
  <c r="H24" i="13"/>
  <c r="I24" i="13" s="1"/>
  <c r="K28" i="12"/>
  <c r="E28" i="12"/>
  <c r="K27" i="12"/>
  <c r="E27" i="12"/>
  <c r="F22" i="12"/>
  <c r="G22" i="12" s="1"/>
  <c r="J21" i="12"/>
  <c r="I32" i="13" l="1"/>
  <c r="J29" i="13"/>
  <c r="J28" i="13"/>
  <c r="L26" i="5"/>
  <c r="L27" i="5"/>
  <c r="F25" i="25"/>
  <c r="F26" i="25"/>
  <c r="I29" i="13"/>
  <c r="I28" i="13"/>
  <c r="J25" i="17"/>
  <c r="J26" i="17"/>
  <c r="J32" i="13"/>
  <c r="J31" i="13"/>
  <c r="I31" i="13"/>
  <c r="J26" i="11"/>
  <c r="I26" i="11"/>
  <c r="J25" i="11"/>
  <c r="I25" i="11"/>
  <c r="J28" i="17"/>
  <c r="J27" i="17"/>
  <c r="J30" i="13"/>
  <c r="I30" i="13"/>
  <c r="J22" i="12"/>
  <c r="F21" i="17"/>
  <c r="H22" i="17"/>
  <c r="F22" i="17"/>
  <c r="H23" i="17"/>
  <c r="F23" i="17"/>
  <c r="L21" i="12"/>
  <c r="J23" i="12"/>
  <c r="F28" i="25"/>
  <c r="F27" i="25"/>
  <c r="F23" i="12"/>
  <c r="G23" i="12" s="1"/>
  <c r="F21" i="12"/>
  <c r="G21" i="12" l="1"/>
  <c r="F25" i="12"/>
  <c r="F26" i="12"/>
  <c r="H25" i="17"/>
  <c r="M21" i="12"/>
  <c r="L25" i="12"/>
  <c r="L26" i="12"/>
  <c r="H26" i="17"/>
  <c r="F25" i="17"/>
  <c r="F26" i="17"/>
  <c r="D28" i="20"/>
  <c r="H28" i="20" s="1"/>
  <c r="F24" i="19"/>
  <c r="F23" i="19"/>
  <c r="D27" i="20"/>
  <c r="H27" i="20" s="1"/>
  <c r="H26" i="20"/>
  <c r="I22" i="19"/>
  <c r="K25" i="11"/>
  <c r="L25" i="11" s="1"/>
  <c r="K26" i="11"/>
  <c r="L26" i="11" s="1"/>
  <c r="L22" i="12"/>
  <c r="M22" i="12" s="1"/>
  <c r="F27" i="17"/>
  <c r="F28" i="17"/>
  <c r="L23" i="12"/>
  <c r="M23" i="12" s="1"/>
  <c r="H27" i="17"/>
  <c r="H28" i="17"/>
  <c r="G27" i="12"/>
  <c r="F28" i="12"/>
  <c r="F27" i="12"/>
  <c r="G28" i="12"/>
  <c r="J23" i="19" l="1"/>
  <c r="F26" i="19"/>
  <c r="F25" i="19"/>
  <c r="M26" i="12"/>
  <c r="M25" i="12"/>
  <c r="J24" i="19"/>
  <c r="I24" i="19"/>
  <c r="G25" i="12"/>
  <c r="G26" i="12"/>
  <c r="J22" i="19"/>
  <c r="I23" i="19"/>
  <c r="I25" i="19" s="1"/>
  <c r="H32" i="20"/>
  <c r="H31" i="20"/>
  <c r="L28" i="12"/>
  <c r="L27" i="12"/>
  <c r="F28" i="19"/>
  <c r="F27" i="19"/>
  <c r="M28" i="12"/>
  <c r="M27" i="12"/>
  <c r="I26" i="19" l="1"/>
  <c r="J28" i="19"/>
  <c r="J27" i="19"/>
  <c r="I28" i="19"/>
  <c r="I27" i="19"/>
  <c r="J29" i="5"/>
  <c r="J28" i="5"/>
  <c r="J27" i="11"/>
  <c r="I27" i="11"/>
  <c r="F56" i="10"/>
  <c r="C58" i="10"/>
  <c r="C56" i="10"/>
  <c r="F58" i="10"/>
  <c r="F25" i="10"/>
  <c r="C25" i="10"/>
  <c r="F23" i="10"/>
  <c r="C23" i="10"/>
  <c r="K27" i="11" l="1"/>
  <c r="L27" i="11" s="1"/>
  <c r="L31" i="11" s="1"/>
  <c r="G25" i="10"/>
  <c r="C27" i="10"/>
  <c r="C60" i="10"/>
  <c r="G23" i="10"/>
  <c r="G56" i="10"/>
  <c r="G58" i="10"/>
  <c r="E46" i="29"/>
  <c r="D46" i="29" l="1"/>
  <c r="F46" i="29" s="1"/>
  <c r="L32" i="11"/>
  <c r="G27" i="10"/>
  <c r="G60" i="10"/>
  <c r="M22" i="5"/>
  <c r="M23" i="5"/>
  <c r="M24" i="5"/>
  <c r="M26" i="5" l="1"/>
  <c r="M27" i="5"/>
  <c r="F47" i="29"/>
  <c r="L28" i="5"/>
  <c r="L29" i="5"/>
  <c r="F49" i="29" l="1"/>
  <c r="D57" i="29" s="1"/>
  <c r="M29" i="5"/>
  <c r="M28" i="5"/>
  <c r="D45" i="3" l="1"/>
  <c r="D29" i="29" s="1"/>
  <c r="F29" i="29" s="1"/>
  <c r="D27" i="29" l="1"/>
  <c r="F27" i="29" s="1"/>
  <c r="H43" i="3"/>
  <c r="J43" i="3" s="1"/>
  <c r="E24" i="19"/>
  <c r="E22" i="19"/>
  <c r="H45" i="3"/>
  <c r="J45" i="3" s="1"/>
  <c r="J48" i="3" l="1"/>
  <c r="C23" i="7"/>
  <c r="C56" i="29" s="1"/>
  <c r="C25" i="7"/>
  <c r="C57" i="29" s="1"/>
  <c r="E57" i="29" s="1"/>
  <c r="D25" i="7" l="1"/>
  <c r="J26" i="8" l="1"/>
  <c r="F30" i="29" l="1"/>
  <c r="D56" i="29" s="1"/>
  <c r="E56" i="29" s="1"/>
  <c r="E58" i="29" s="1"/>
  <c r="I45" i="3"/>
  <c r="D29" i="5" l="1"/>
  <c r="D28" i="5"/>
  <c r="I43" i="3" l="1"/>
  <c r="I48" i="3" s="1"/>
  <c r="J49" i="3" l="1"/>
  <c r="E24" i="5" l="1"/>
  <c r="F24" i="5" s="1"/>
  <c r="E23" i="5"/>
  <c r="F23" i="5" s="1"/>
  <c r="E22" i="5"/>
  <c r="E27" i="5" l="1"/>
  <c r="E26" i="5"/>
  <c r="F22" i="5"/>
  <c r="E28" i="5"/>
  <c r="E29" i="5"/>
  <c r="I49" i="3"/>
  <c r="F28" i="5"/>
  <c r="F26" i="5" l="1"/>
  <c r="F27" i="5"/>
  <c r="F23" i="7"/>
  <c r="G23" i="7" s="1"/>
  <c r="F29" i="5"/>
  <c r="C27" i="7"/>
  <c r="F25" i="7"/>
  <c r="G25" i="7" s="1"/>
  <c r="G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rev4175</author>
    <author>K Reaves</author>
    <author>rev4440</author>
    <author>REVT221</author>
    <author>rev4279</author>
    <author>rev3569</author>
    <author>rev3857</author>
  </authors>
  <commentList>
    <comment ref="G22" authorId="0" shapeId="0" xr:uid="{F016848F-BC9B-42F9-9A91-19D79C60664E}">
      <text>
        <r>
          <rPr>
            <b/>
            <sz val="9"/>
            <color indexed="81"/>
            <rFont val="Tahoma"/>
            <family val="2"/>
          </rPr>
          <t>rev4175:</t>
        </r>
        <r>
          <rPr>
            <sz val="9"/>
            <color indexed="81"/>
            <rFont val="Tahoma"/>
            <family val="2"/>
          </rPr>
          <t xml:space="preserve">
12/29/2023 Close</t>
        </r>
      </text>
    </comment>
    <comment ref="H22" authorId="1" shapeId="0" xr:uid="{B1DBA0A8-D873-4188-8C0D-FAD2137D8E92}">
      <text>
        <r>
          <rPr>
            <sz val="9"/>
            <color indexed="81"/>
            <rFont val="Tahoma"/>
            <family val="2"/>
          </rPr>
          <t>10K PG 106</t>
        </r>
      </text>
    </comment>
    <comment ref="I22" authorId="2" shapeId="0" xr:uid="{E7F26957-266A-4B66-95EA-02CFE194CB79}">
      <text>
        <r>
          <rPr>
            <sz val="9"/>
            <color indexed="81"/>
            <rFont val="Tahoma"/>
            <family val="2"/>
          </rPr>
          <t xml:space="preserve">10K Page 99
</t>
        </r>
      </text>
    </comment>
    <comment ref="J22" authorId="1" shapeId="0" xr:uid="{DF7164F9-040B-427F-AAD0-64B3ABC47EBA}">
      <text>
        <r>
          <rPr>
            <sz val="9"/>
            <color indexed="81"/>
            <rFont val="Tahoma"/>
            <family val="2"/>
          </rPr>
          <t>10K PG 106 PLUS  144 NOTE 17</t>
        </r>
      </text>
    </comment>
    <comment ref="G23" authorId="0" shapeId="0" xr:uid="{9099CD86-0BFA-40FC-9501-F8E48E22C643}">
      <text>
        <r>
          <rPr>
            <b/>
            <sz val="9"/>
            <color indexed="81"/>
            <rFont val="Tahoma"/>
            <family val="2"/>
          </rPr>
          <t>rev4175:</t>
        </r>
        <r>
          <rPr>
            <sz val="9"/>
            <color indexed="81"/>
            <rFont val="Tahoma"/>
            <family val="2"/>
          </rPr>
          <t xml:space="preserve">
12/29/2023 Close</t>
        </r>
      </text>
    </comment>
    <comment ref="H23" authorId="1" shapeId="0" xr:uid="{2D2AEECC-B99C-4148-9ACD-7785FE05833D}">
      <text>
        <r>
          <rPr>
            <sz val="9"/>
            <color indexed="81"/>
            <rFont val="Tahoma"/>
            <family val="2"/>
          </rPr>
          <t>10K PG F-5 (174)</t>
        </r>
      </text>
    </comment>
    <comment ref="I23" authorId="1" shapeId="0" xr:uid="{F218CC1C-B603-4303-B696-DC6C448A479B}">
      <text>
        <r>
          <rPr>
            <sz val="9"/>
            <color indexed="81"/>
            <rFont val="Tahoma"/>
            <family val="2"/>
          </rPr>
          <t>Page174 of PDF, 10-K
F-5  Subtract General partner book value of (2)</t>
        </r>
      </text>
    </comment>
    <comment ref="J23" authorId="1" shapeId="0" xr:uid="{175A4B6F-F3FC-43F6-8EA6-2D571D20CC29}">
      <text>
        <r>
          <rPr>
            <sz val="9"/>
            <color indexed="81"/>
            <rFont val="Tahoma"/>
            <family val="2"/>
          </rPr>
          <t>Page174 of PDF, 10-K
F-5</t>
        </r>
      </text>
    </comment>
    <comment ref="G24" authorId="0" shapeId="0" xr:uid="{5561F6D3-88B2-45EC-B229-C3112C3F1A23}">
      <text>
        <r>
          <rPr>
            <b/>
            <sz val="9"/>
            <color indexed="81"/>
            <rFont val="Tahoma"/>
            <family val="2"/>
          </rPr>
          <t>rev4175:</t>
        </r>
        <r>
          <rPr>
            <sz val="9"/>
            <color indexed="81"/>
            <rFont val="Tahoma"/>
            <family val="2"/>
          </rPr>
          <t xml:space="preserve">
12/29/2023 Close</t>
        </r>
      </text>
    </comment>
    <comment ref="H24" authorId="1" shapeId="0" xr:uid="{96E16874-370C-41F2-9F46-74292AEA2243}">
      <text>
        <r>
          <rPr>
            <sz val="9"/>
            <color indexed="81"/>
            <rFont val="Tahoma"/>
            <family val="2"/>
          </rPr>
          <t>10K PG 98</t>
        </r>
      </text>
    </comment>
    <comment ref="J24" authorId="1" shapeId="0" xr:uid="{CAF81E56-482D-47AD-9EBB-6CCB90C2E1DC}">
      <text>
        <r>
          <rPr>
            <sz val="9"/>
            <color indexed="81"/>
            <rFont val="Tahoma"/>
            <family val="2"/>
          </rPr>
          <t>10K PG 98</t>
        </r>
      </text>
    </comment>
    <comment ref="G25" authorId="0" shapeId="0" xr:uid="{F12551FC-E722-43F0-8431-38F737AFFE17}">
      <text>
        <r>
          <rPr>
            <b/>
            <sz val="9"/>
            <color indexed="81"/>
            <rFont val="Tahoma"/>
            <family val="2"/>
          </rPr>
          <t>rev4175:</t>
        </r>
        <r>
          <rPr>
            <sz val="9"/>
            <color indexed="81"/>
            <rFont val="Tahoma"/>
            <family val="2"/>
          </rPr>
          <t xml:space="preserve">
12/29/2023 Close</t>
        </r>
      </text>
    </comment>
    <comment ref="H25" authorId="3" shapeId="0" xr:uid="{4BAFD131-748E-4E0B-8C7E-D015E5536EBD}">
      <text>
        <r>
          <rPr>
            <sz val="9"/>
            <color indexed="81"/>
            <rFont val="Tahoma"/>
            <family val="2"/>
          </rPr>
          <t xml:space="preserve">10K PG F-4 (138)
</t>
        </r>
      </text>
    </comment>
    <comment ref="I25" authorId="3" shapeId="0" xr:uid="{710DDA56-08E0-4259-975F-8EF2754974CB}">
      <text>
        <r>
          <rPr>
            <sz val="9"/>
            <color indexed="81"/>
            <rFont val="Tahoma"/>
            <family val="2"/>
          </rPr>
          <t xml:space="preserve">10K PG F-4 (138)
</t>
        </r>
      </text>
    </comment>
    <comment ref="J25" authorId="3" shapeId="0" xr:uid="{707DA932-E2FF-4C3F-9474-ECA1270E33E0}">
      <text>
        <r>
          <rPr>
            <sz val="9"/>
            <color indexed="81"/>
            <rFont val="Tahoma"/>
            <family val="2"/>
          </rPr>
          <t xml:space="preserve">10K PG F-4 (138)
</t>
        </r>
      </text>
    </comment>
    <comment ref="G26" authorId="0" shapeId="0" xr:uid="{47254BDB-CB57-4341-BBEB-67070A759FA8}">
      <text>
        <r>
          <rPr>
            <b/>
            <sz val="9"/>
            <color indexed="81"/>
            <rFont val="Tahoma"/>
            <family val="2"/>
          </rPr>
          <t>rev4175:</t>
        </r>
        <r>
          <rPr>
            <sz val="9"/>
            <color indexed="81"/>
            <rFont val="Tahoma"/>
            <family val="2"/>
          </rPr>
          <t xml:space="preserve">
12/29/2023 Close</t>
        </r>
      </text>
    </comment>
    <comment ref="H26" authorId="1" shapeId="0" xr:uid="{1D46E3E0-FAF7-4AAC-ACFD-288104AB05AB}">
      <text>
        <r>
          <rPr>
            <sz val="9"/>
            <color indexed="81"/>
            <rFont val="Tahoma"/>
            <family val="2"/>
          </rPr>
          <t>10K PG 76</t>
        </r>
      </text>
    </comment>
    <comment ref="J26" authorId="1" shapeId="0" xr:uid="{C0B4D558-43C6-44FB-824A-E0F0D9220884}">
      <text>
        <r>
          <rPr>
            <sz val="9"/>
            <color indexed="81"/>
            <rFont val="Tahoma"/>
            <family val="2"/>
          </rPr>
          <t>10K PG 76</t>
        </r>
      </text>
    </comment>
    <comment ref="G27" authorId="0" shapeId="0" xr:uid="{84DCD940-8E66-48D1-B7D6-C8F770A5BDF7}">
      <text>
        <r>
          <rPr>
            <b/>
            <sz val="9"/>
            <color indexed="81"/>
            <rFont val="Tahoma"/>
            <family val="2"/>
          </rPr>
          <t>rev4175:</t>
        </r>
        <r>
          <rPr>
            <sz val="9"/>
            <color indexed="81"/>
            <rFont val="Tahoma"/>
            <family val="2"/>
          </rPr>
          <t xml:space="preserve">
12/29/2023 Close</t>
        </r>
      </text>
    </comment>
    <comment ref="H27" authorId="4" shapeId="0" xr:uid="{160EE73D-0666-4E7B-A055-6A6AB934DFDD}">
      <text>
        <r>
          <rPr>
            <b/>
            <sz val="9"/>
            <color indexed="81"/>
            <rFont val="Tahoma"/>
            <family val="2"/>
          </rPr>
          <t>rev4279:</t>
        </r>
        <r>
          <rPr>
            <sz val="9"/>
            <color indexed="81"/>
            <rFont val="Tahoma"/>
            <family val="2"/>
          </rPr>
          <t xml:space="preserve">
10K PG 64</t>
        </r>
      </text>
    </comment>
    <comment ref="J27" authorId="1" shapeId="0" xr:uid="{F016A7A3-002E-4E2B-8FEA-9593D59F27F3}">
      <text>
        <r>
          <rPr>
            <sz val="9"/>
            <color indexed="81"/>
            <rFont val="Tahoma"/>
            <family val="2"/>
          </rPr>
          <t>10K PG 64</t>
        </r>
      </text>
    </comment>
    <comment ref="G28" authorId="0" shapeId="0" xr:uid="{530A897C-EA65-4C3E-A7C7-D1ABA65B8573}">
      <text>
        <r>
          <rPr>
            <b/>
            <sz val="9"/>
            <color indexed="81"/>
            <rFont val="Tahoma"/>
            <family val="2"/>
          </rPr>
          <t>rev4175:</t>
        </r>
        <r>
          <rPr>
            <sz val="9"/>
            <color indexed="81"/>
            <rFont val="Tahoma"/>
            <family val="2"/>
          </rPr>
          <t xml:space="preserve">
12/29/2023 Close</t>
        </r>
      </text>
    </comment>
    <comment ref="H28" authorId="1" shapeId="0" xr:uid="{18CBAB58-59BB-40A6-BFDC-5403F8055F22}">
      <text>
        <r>
          <rPr>
            <sz val="9"/>
            <color indexed="81"/>
            <rFont val="Tahoma"/>
            <family val="2"/>
          </rPr>
          <t>FORM 40F PG 38</t>
        </r>
      </text>
    </comment>
    <comment ref="I28" authorId="1" shapeId="0" xr:uid="{3A36D537-E5C5-438B-818D-9FB0F3CE9503}">
      <text>
        <r>
          <rPr>
            <sz val="9"/>
            <color indexed="81"/>
            <rFont val="Tahoma"/>
            <family val="2"/>
          </rPr>
          <t>FORM 40F PG 38</t>
        </r>
      </text>
    </comment>
    <comment ref="J28" authorId="1" shapeId="0" xr:uid="{50A73848-D4A2-404D-8585-1F17E5E2904A}">
      <text>
        <r>
          <rPr>
            <sz val="9"/>
            <color indexed="81"/>
            <rFont val="Tahoma"/>
            <family val="2"/>
          </rPr>
          <t xml:space="preserve">10K Page 145 &amp; 189
</t>
        </r>
      </text>
    </comment>
    <comment ref="G29" authorId="0" shapeId="0" xr:uid="{95F27943-5180-4F72-B2BC-B40F3622C0E6}">
      <text>
        <r>
          <rPr>
            <b/>
            <sz val="9"/>
            <color indexed="81"/>
            <rFont val="Tahoma"/>
            <family val="2"/>
          </rPr>
          <t>rev4175:</t>
        </r>
        <r>
          <rPr>
            <sz val="9"/>
            <color indexed="81"/>
            <rFont val="Tahoma"/>
            <family val="2"/>
          </rPr>
          <t xml:space="preserve">
12/29/2023 Close</t>
        </r>
      </text>
    </comment>
    <comment ref="H29" authorId="2" shapeId="0" xr:uid="{B7DE7E69-BD28-406A-88FF-DC0984A094B9}">
      <text>
        <r>
          <rPr>
            <sz val="9"/>
            <color indexed="81"/>
            <rFont val="Tahoma"/>
            <family val="2"/>
          </rPr>
          <t>10K PG 81</t>
        </r>
      </text>
    </comment>
    <comment ref="I29" authorId="2" shapeId="0" xr:uid="{7A55D7D8-0423-4179-812B-EA581C6F8D54}">
      <text>
        <r>
          <rPr>
            <sz val="9"/>
            <color indexed="81"/>
            <rFont val="Tahoma"/>
            <family val="2"/>
          </rPr>
          <t>10K PG 81</t>
        </r>
      </text>
    </comment>
    <comment ref="J29" authorId="2" shapeId="0" xr:uid="{427C4E45-271D-41B1-B043-EF96CE2B57C7}">
      <text>
        <r>
          <rPr>
            <sz val="9"/>
            <color indexed="81"/>
            <rFont val="Tahoma"/>
            <family val="2"/>
          </rPr>
          <t>10K PG 81</t>
        </r>
      </text>
    </comment>
    <comment ref="F34" authorId="5" shapeId="0" xr:uid="{CEF678F7-6580-4CF3-AC8E-A803AFF27478}">
      <text>
        <r>
          <rPr>
            <b/>
            <sz val="11"/>
            <color indexed="81"/>
            <rFont val="Tahoma"/>
            <family val="2"/>
          </rPr>
          <t>rev3569:</t>
        </r>
        <r>
          <rPr>
            <sz val="11"/>
            <color indexed="81"/>
            <rFont val="Tahoma"/>
            <family val="2"/>
          </rPr>
          <t xml:space="preserve">
identify present value in 10K</t>
        </r>
      </text>
    </comment>
    <comment ref="F38" authorId="0" shapeId="0" xr:uid="{37BCC499-549B-4799-ABA9-6F6FC9BFCE57}">
      <text>
        <r>
          <rPr>
            <b/>
            <sz val="9"/>
            <color indexed="81"/>
            <rFont val="Tahoma"/>
            <family val="2"/>
          </rPr>
          <t>rev4175:</t>
        </r>
        <r>
          <rPr>
            <sz val="9"/>
            <color indexed="81"/>
            <rFont val="Tahoma"/>
            <family val="2"/>
          </rPr>
          <t xml:space="preserve">
10K PG 179 NOTE 26</t>
        </r>
      </text>
    </comment>
    <comment ref="G38" authorId="3" shapeId="0" xr:uid="{175B6987-1F90-4475-8600-13A4E6446C19}">
      <text>
        <r>
          <rPr>
            <sz val="9"/>
            <color indexed="81"/>
            <rFont val="Tahoma"/>
            <family val="2"/>
          </rPr>
          <t>10K PG 168</t>
        </r>
      </text>
    </comment>
    <comment ref="F39" authorId="1" shapeId="0" xr:uid="{D0120B8A-CC15-4E29-8CAA-5E160282CF9B}">
      <text>
        <r>
          <rPr>
            <sz val="9"/>
            <color indexed="81"/>
            <rFont val="Tahoma"/>
            <family val="2"/>
          </rPr>
          <t xml:space="preserve">Page171 of PDF, 10-K
F-4 &amp; F-60
</t>
        </r>
      </text>
    </comment>
    <comment ref="G39" authorId="3" shapeId="0" xr:uid="{BE4E6FD1-4BC6-4D2A-B35B-9737105F5721}">
      <text>
        <r>
          <rPr>
            <sz val="9"/>
            <color indexed="81"/>
            <rFont val="Tahoma"/>
            <family val="2"/>
          </rPr>
          <t>Page 188 of PDF, 10-K
F-19</t>
        </r>
      </text>
    </comment>
    <comment ref="F40" authorId="0" shapeId="0" xr:uid="{FC558506-0FC7-427F-BB9B-D65B1F83D750}">
      <text>
        <r>
          <rPr>
            <sz val="9"/>
            <color indexed="81"/>
            <rFont val="Tahoma"/>
            <family val="2"/>
          </rPr>
          <t>10K PG 119 NOTE 6</t>
        </r>
      </text>
    </comment>
    <comment ref="G40" authorId="3" shapeId="0" xr:uid="{02C85984-7092-4FE4-B5FA-655C741F56D0}">
      <text>
        <r>
          <rPr>
            <sz val="9"/>
            <color indexed="81"/>
            <rFont val="Tahoma"/>
            <family val="2"/>
          </rPr>
          <t>10K PG 140 NOTE 14</t>
        </r>
      </text>
    </comment>
    <comment ref="F41" authorId="0" shapeId="0" xr:uid="{BBAA9E09-0D15-42C7-84D1-F54EB79ACE6E}">
      <text>
        <r>
          <rPr>
            <sz val="9"/>
            <color indexed="81"/>
            <rFont val="Tahoma"/>
            <family val="2"/>
          </rPr>
          <t>10K PG F-64 (198)</t>
        </r>
      </text>
    </comment>
    <comment ref="G41" authorId="6" shapeId="0" xr:uid="{615D4BCA-D940-48FD-B625-42DEDE85B78C}">
      <text>
        <r>
          <rPr>
            <sz val="9"/>
            <color indexed="81"/>
            <rFont val="Tahoma"/>
            <family val="2"/>
          </rPr>
          <t xml:space="preserve">10K PG F-58 (192) NOTE 14
</t>
        </r>
      </text>
    </comment>
    <comment ref="F42" authorId="0" shapeId="0" xr:uid="{C04FBC3E-1943-4678-BBE2-CB9FE2A0B2A2}">
      <text>
        <r>
          <rPr>
            <sz val="9"/>
            <color indexed="81"/>
            <rFont val="Tahoma"/>
            <family val="2"/>
          </rPr>
          <t>10K PG 126 NOTE 17</t>
        </r>
      </text>
    </comment>
    <comment ref="G42" authorId="6" shapeId="0" xr:uid="{40102772-460C-4A55-8824-5E9B157AC933}">
      <text>
        <r>
          <rPr>
            <sz val="9"/>
            <color indexed="81"/>
            <rFont val="Tahoma"/>
            <family val="2"/>
          </rPr>
          <t xml:space="preserve">Page 66, 10-K
</t>
        </r>
      </text>
    </comment>
    <comment ref="F43" authorId="0" shapeId="0" xr:uid="{EC904E2E-8B1E-4E5D-AD50-C939792FEE1D}">
      <text>
        <r>
          <rPr>
            <sz val="9"/>
            <color indexed="81"/>
            <rFont val="Tahoma"/>
            <family val="2"/>
          </rPr>
          <t>10K PG 64 BALANCE SHEET</t>
        </r>
      </text>
    </comment>
    <comment ref="G43" authorId="6" shapeId="0" xr:uid="{6207CA7E-DB89-4567-82A8-840B487A89F7}">
      <text>
        <r>
          <rPr>
            <sz val="9"/>
            <color indexed="81"/>
            <rFont val="Tahoma"/>
            <family val="2"/>
          </rPr>
          <t>10K PG 80 NOTE D</t>
        </r>
      </text>
    </comment>
    <comment ref="F44" authorId="0" shapeId="0" xr:uid="{4DAF7545-1338-4A52-8F98-BA02D89B0A46}">
      <text>
        <r>
          <rPr>
            <sz val="9"/>
            <color indexed="81"/>
            <rFont val="Tahoma"/>
            <family val="2"/>
          </rPr>
          <t>10K PG 170 NOTE 11</t>
        </r>
      </text>
    </comment>
    <comment ref="G44" authorId="6" shapeId="0" xr:uid="{F161DC34-0BF6-4E0F-8EF9-64E69693EB94}">
      <text>
        <r>
          <rPr>
            <sz val="9"/>
            <color indexed="81"/>
            <rFont val="Tahoma"/>
            <family val="2"/>
          </rPr>
          <t>10K PG 213 NOTE 29</t>
        </r>
      </text>
    </comment>
    <comment ref="F45" authorId="0" shapeId="0" xr:uid="{938CB5D1-AA1F-4DD7-998C-265FF2779C6E}">
      <text>
        <r>
          <rPr>
            <sz val="9"/>
            <color indexed="81"/>
            <rFont val="Tahoma"/>
            <family val="2"/>
          </rPr>
          <t>10K PG 129 NOTE 13</t>
        </r>
      </text>
    </comment>
    <comment ref="G45" authorId="6" shapeId="0" xr:uid="{13036AC4-4814-48B7-8829-408F40C40614}">
      <text>
        <r>
          <rPr>
            <sz val="9"/>
            <color indexed="81"/>
            <rFont val="Tahoma"/>
            <family val="2"/>
          </rPr>
          <t>10K PG 131 NOTE 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 Reaves</author>
    <author>rev4175</author>
  </authors>
  <commentList>
    <comment ref="E22" authorId="0" shapeId="0" xr:uid="{B424D59E-5FB6-4A8E-B62F-20D36DBB9E9F}">
      <text>
        <r>
          <rPr>
            <sz val="9"/>
            <color indexed="81"/>
            <rFont val="Tahoma"/>
            <family val="2"/>
          </rPr>
          <t>Page 99 of PDF, 10-K</t>
        </r>
      </text>
    </comment>
    <comment ref="E23" authorId="1" shapeId="0" xr:uid="{95E3E26D-7006-4A9A-9D6E-31E1F02F9ECD}">
      <text>
        <r>
          <rPr>
            <sz val="9"/>
            <color indexed="81"/>
            <rFont val="Tahoma"/>
            <family val="2"/>
          </rPr>
          <t>10K PG F-5 (174)</t>
        </r>
      </text>
    </comment>
    <comment ref="E24" authorId="1" shapeId="0" xr:uid="{BCFB1858-EBC1-4C7C-BB0D-CBD311282F6D}">
      <text>
        <r>
          <rPr>
            <sz val="9"/>
            <color indexed="81"/>
            <rFont val="Tahoma"/>
            <family val="2"/>
          </rPr>
          <t>10K PG 98</t>
        </r>
      </text>
    </comment>
    <comment ref="E25" authorId="1" shapeId="0" xr:uid="{C56CC588-A8B7-46A6-B220-1166EB5B6E7B}">
      <text>
        <r>
          <rPr>
            <sz val="9"/>
            <color indexed="81"/>
            <rFont val="Tahoma"/>
            <family val="2"/>
          </rPr>
          <t>10K PG F-4 (138)</t>
        </r>
      </text>
    </comment>
    <comment ref="E26" authorId="1" shapeId="0" xr:uid="{B61EB772-4FFA-4584-8D39-AAA64E9A49AF}">
      <text>
        <r>
          <rPr>
            <sz val="9"/>
            <color indexed="81"/>
            <rFont val="Tahoma"/>
            <family val="2"/>
          </rPr>
          <t>10K PG 76</t>
        </r>
      </text>
    </comment>
    <comment ref="E27" authorId="1" shapeId="0" xr:uid="{FA64F227-AC4B-4C8B-9762-ACD9CEE1F45F}">
      <text>
        <r>
          <rPr>
            <sz val="9"/>
            <color indexed="81"/>
            <rFont val="Tahoma"/>
            <family val="2"/>
          </rPr>
          <t>10K PG 64</t>
        </r>
      </text>
    </comment>
    <comment ref="E28" authorId="1" shapeId="0" xr:uid="{B90450DE-D0B7-4AEA-A356-66A5A3AFE36D}">
      <text>
        <r>
          <rPr>
            <sz val="9"/>
            <color indexed="81"/>
            <rFont val="Tahoma"/>
            <family val="2"/>
          </rPr>
          <t>FORM 40F PG 38</t>
        </r>
      </text>
    </comment>
    <comment ref="E29" authorId="1" shapeId="0" xr:uid="{4932A4E4-CD15-4F7D-8180-DF0F8F2DCAD0}">
      <text>
        <r>
          <rPr>
            <sz val="9"/>
            <color indexed="81"/>
            <rFont val="Tahoma"/>
            <family val="2"/>
          </rPr>
          <t>10K PG 81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rev4175</author>
  </authors>
  <commentList>
    <comment ref="D20" authorId="0" shapeId="0" xr:uid="{C108BB93-1089-40BB-A594-762E9E81E0FE}">
      <text>
        <r>
          <rPr>
            <b/>
            <sz val="9"/>
            <color indexed="81"/>
            <rFont val="Tahoma"/>
            <family val="2"/>
          </rPr>
          <t>rev4175:</t>
        </r>
        <r>
          <rPr>
            <sz val="9"/>
            <color indexed="81"/>
            <rFont val="Tahoma"/>
            <family val="2"/>
          </rPr>
          <t xml:space="preserve">
10K Page 135 NOTE 11</t>
        </r>
      </text>
    </comment>
    <comment ref="G20" authorId="0" shapeId="0" xr:uid="{8CCD3577-990F-4537-9152-D1A7C8125AFD}">
      <text>
        <r>
          <rPr>
            <b/>
            <sz val="9"/>
            <color indexed="81"/>
            <rFont val="Tahoma"/>
            <family val="2"/>
          </rPr>
          <t>rev4175:</t>
        </r>
        <r>
          <rPr>
            <sz val="9"/>
            <color indexed="81"/>
            <rFont val="Tahoma"/>
            <family val="2"/>
          </rPr>
          <t xml:space="preserve">
10K PG 102</t>
        </r>
      </text>
    </comment>
    <comment ref="D21" authorId="0" shapeId="0" xr:uid="{20F14F72-8016-4AA2-A0C7-E80763A448DA}">
      <text>
        <r>
          <rPr>
            <sz val="9"/>
            <color indexed="81"/>
            <rFont val="Tahoma"/>
            <family val="2"/>
          </rPr>
          <t>10K PG F-4 (173)</t>
        </r>
      </text>
    </comment>
    <comment ref="G21" authorId="0" shapeId="0" xr:uid="{48F86D09-2DC7-480D-8949-DB5C67AC61FB}">
      <text>
        <r>
          <rPr>
            <sz val="9"/>
            <color indexed="81"/>
            <rFont val="Tahoma"/>
            <family val="2"/>
          </rPr>
          <t>10K PG F-6 (175)</t>
        </r>
      </text>
    </comment>
    <comment ref="D22" authorId="0" shapeId="0" xr:uid="{E1CFD104-7B0A-4148-BA53-D4616EDCA431}">
      <text>
        <r>
          <rPr>
            <sz val="9"/>
            <color indexed="81"/>
            <rFont val="Tahoma"/>
            <family val="2"/>
          </rPr>
          <t>10K PG 108 NOTE 2(H)</t>
        </r>
      </text>
    </comment>
    <comment ref="G22" authorId="0" shapeId="0" xr:uid="{77D1B24F-6166-4D48-AF54-08DB4A9F0AA6}">
      <text>
        <r>
          <rPr>
            <sz val="9"/>
            <color indexed="81"/>
            <rFont val="Tahoma"/>
            <family val="2"/>
          </rPr>
          <t>10K PG 99</t>
        </r>
      </text>
    </comment>
    <comment ref="D23" authorId="0" shapeId="0" xr:uid="{A479FAF7-17D4-4124-8AD7-9511582BEB75}">
      <text>
        <r>
          <rPr>
            <sz val="9"/>
            <color indexed="81"/>
            <rFont val="Tahoma"/>
            <family val="2"/>
          </rPr>
          <t>10K PG F-20 (154) NOTE 4</t>
        </r>
      </text>
    </comment>
    <comment ref="G23" authorId="0" shapeId="0" xr:uid="{3F6B4D1E-EF16-42B2-BB58-A47E430F329F}">
      <text>
        <r>
          <rPr>
            <sz val="9"/>
            <color indexed="81"/>
            <rFont val="Tahoma"/>
            <family val="2"/>
          </rPr>
          <t>10K PG 68</t>
        </r>
      </text>
    </comment>
    <comment ref="D24" authorId="0" shapeId="0" xr:uid="{2C774725-A512-49AC-8B0B-2CFF459B8C4F}">
      <text>
        <r>
          <rPr>
            <sz val="9"/>
            <color indexed="81"/>
            <rFont val="Tahoma"/>
            <family val="2"/>
          </rPr>
          <t>10K PG 97 NOTE 6</t>
        </r>
      </text>
    </comment>
    <comment ref="G24" authorId="0" shapeId="0" xr:uid="{F3470B42-251A-4CFB-8ED9-77BAA74326BF}">
      <text>
        <r>
          <rPr>
            <sz val="9"/>
            <color indexed="81"/>
            <rFont val="Tahoma"/>
            <family val="2"/>
          </rPr>
          <t>10K PG 74</t>
        </r>
      </text>
    </comment>
    <comment ref="D25" authorId="0" shapeId="0" xr:uid="{4E24EBDC-C283-4C35-A6B7-0BFDA5A0A011}">
      <text>
        <r>
          <rPr>
            <sz val="9"/>
            <color indexed="81"/>
            <rFont val="Tahoma"/>
            <family val="2"/>
          </rPr>
          <t>10K PG 64</t>
        </r>
      </text>
    </comment>
    <comment ref="G25" authorId="0" shapeId="0" xr:uid="{70FD876F-F71D-43B4-B936-4708D20AD329}">
      <text>
        <r>
          <rPr>
            <sz val="9"/>
            <color indexed="81"/>
            <rFont val="Tahoma"/>
            <family val="2"/>
          </rPr>
          <t>10K PG 62</t>
        </r>
      </text>
    </comment>
    <comment ref="D26" authorId="0" shapeId="0" xr:uid="{C6476CB2-387A-4430-AC9C-EBDD2271D56A}">
      <text>
        <r>
          <rPr>
            <sz val="9"/>
            <color indexed="81"/>
            <rFont val="Tahoma"/>
            <family val="2"/>
          </rPr>
          <t>FORM 40F PG 169</t>
        </r>
      </text>
    </comment>
    <comment ref="G26" authorId="0" shapeId="0" xr:uid="{99768A73-4ACA-4BE5-90EE-D6290F8B9843}">
      <text>
        <r>
          <rPr>
            <sz val="9"/>
            <color indexed="81"/>
            <rFont val="Tahoma"/>
            <family val="2"/>
          </rPr>
          <t>FORM 40F PG 140</t>
        </r>
      </text>
    </comment>
    <comment ref="D27" authorId="0" shapeId="0" xr:uid="{C8688DAB-D86F-4013-80A1-BA571BE41016}">
      <text>
        <r>
          <rPr>
            <sz val="9"/>
            <color indexed="81"/>
            <rFont val="Tahoma"/>
            <family val="2"/>
          </rPr>
          <t>10K PG 121 NOTE 9</t>
        </r>
      </text>
    </comment>
    <comment ref="G27" authorId="0" shapeId="0" xr:uid="{B344178F-7EC9-440A-8265-6F9BDF4D1F33}">
      <text>
        <r>
          <rPr>
            <sz val="9"/>
            <color indexed="81"/>
            <rFont val="Tahoma"/>
            <family val="2"/>
          </rPr>
          <t>10K PG 79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rev4175</author>
  </authors>
  <commentList>
    <comment ref="C19" authorId="0" shapeId="0" xr:uid="{A625B019-E4B9-48FF-AE6B-DDCF483221A1}">
      <text>
        <r>
          <rPr>
            <b/>
            <sz val="9"/>
            <color indexed="81"/>
            <rFont val="Tahoma"/>
            <family val="2"/>
          </rPr>
          <t>rev4175:</t>
        </r>
        <r>
          <rPr>
            <sz val="9"/>
            <color indexed="81"/>
            <rFont val="Tahoma"/>
            <family val="2"/>
          </rPr>
          <t xml:space="preserve">
10K PG 102</t>
        </r>
      </text>
    </comment>
    <comment ref="D19" authorId="0" shapeId="0" xr:uid="{4B559ACE-F8A1-45E7-9756-EC5A7B9C2E27}">
      <text>
        <r>
          <rPr>
            <b/>
            <sz val="9"/>
            <color indexed="81"/>
            <rFont val="Tahoma"/>
            <family val="2"/>
          </rPr>
          <t>rev4175:</t>
        </r>
        <r>
          <rPr>
            <sz val="9"/>
            <color indexed="81"/>
            <rFont val="Tahoma"/>
            <family val="2"/>
          </rPr>
          <t xml:space="preserve">
2023 Cap Rate Study</t>
        </r>
      </text>
    </comment>
    <comment ref="E19" authorId="0" shapeId="0" xr:uid="{B3A1B5E0-F24F-4D15-84C6-9D6768F8CDA5}">
      <text>
        <r>
          <rPr>
            <b/>
            <sz val="9"/>
            <color indexed="81"/>
            <rFont val="Tahoma"/>
            <family val="2"/>
          </rPr>
          <t>rev4175:</t>
        </r>
        <r>
          <rPr>
            <sz val="9"/>
            <color indexed="81"/>
            <rFont val="Tahoma"/>
            <family val="2"/>
          </rPr>
          <t xml:space="preserve">
2023 Cap Rate Study</t>
        </r>
      </text>
    </comment>
    <comment ref="C20" authorId="0" shapeId="0" xr:uid="{F4C48BE9-E0B6-4DA2-8A0A-D26224B3A094}">
      <text>
        <r>
          <rPr>
            <sz val="9"/>
            <color indexed="81"/>
            <rFont val="Tahoma"/>
            <family val="2"/>
          </rPr>
          <t>10K PG F-6 (175)</t>
        </r>
      </text>
    </comment>
    <comment ref="D20" authorId="0" shapeId="0" xr:uid="{2AE9C911-6125-4DBD-AC56-C0051DA1B1D2}">
      <text>
        <r>
          <rPr>
            <b/>
            <sz val="9"/>
            <color indexed="81"/>
            <rFont val="Tahoma"/>
            <family val="2"/>
          </rPr>
          <t>rev4175:</t>
        </r>
        <r>
          <rPr>
            <sz val="9"/>
            <color indexed="81"/>
            <rFont val="Tahoma"/>
            <family val="2"/>
          </rPr>
          <t xml:space="preserve">
2023 Cap Rate Study</t>
        </r>
      </text>
    </comment>
    <comment ref="E20" authorId="0" shapeId="0" xr:uid="{26A8F10A-4456-40BC-B628-46EB1DE9F3B8}">
      <text>
        <r>
          <rPr>
            <b/>
            <sz val="9"/>
            <color indexed="81"/>
            <rFont val="Tahoma"/>
            <family val="2"/>
          </rPr>
          <t>rev4175:</t>
        </r>
        <r>
          <rPr>
            <sz val="9"/>
            <color indexed="81"/>
            <rFont val="Tahoma"/>
            <family val="2"/>
          </rPr>
          <t xml:space="preserve">
2023 Cap Rate Study</t>
        </r>
      </text>
    </comment>
    <comment ref="C21" authorId="0" shapeId="0" xr:uid="{108CD8DF-E820-432A-8009-A1B7861D23AB}">
      <text>
        <r>
          <rPr>
            <b/>
            <sz val="9"/>
            <color indexed="81"/>
            <rFont val="Tahoma"/>
            <family val="2"/>
          </rPr>
          <t>rev4175:</t>
        </r>
        <r>
          <rPr>
            <sz val="9"/>
            <color indexed="81"/>
            <rFont val="Tahoma"/>
            <family val="2"/>
          </rPr>
          <t xml:space="preserve">
10K PG 99</t>
        </r>
      </text>
    </comment>
    <comment ref="D21" authorId="0" shapeId="0" xr:uid="{DA31EE41-848A-47AC-B69F-C766F3F2FBA7}">
      <text>
        <r>
          <rPr>
            <b/>
            <sz val="9"/>
            <color indexed="81"/>
            <rFont val="Tahoma"/>
            <family val="2"/>
          </rPr>
          <t>rev4175:</t>
        </r>
        <r>
          <rPr>
            <sz val="9"/>
            <color indexed="81"/>
            <rFont val="Tahoma"/>
            <family val="2"/>
          </rPr>
          <t xml:space="preserve">
2023 Cap Rate Study</t>
        </r>
      </text>
    </comment>
    <comment ref="E21" authorId="0" shapeId="0" xr:uid="{BDE2BBB7-7A34-47B2-B063-945B9EB4D6B6}">
      <text>
        <r>
          <rPr>
            <b/>
            <sz val="9"/>
            <color indexed="81"/>
            <rFont val="Tahoma"/>
            <family val="2"/>
          </rPr>
          <t>rev4175:</t>
        </r>
        <r>
          <rPr>
            <sz val="9"/>
            <color indexed="81"/>
            <rFont val="Tahoma"/>
            <family val="2"/>
          </rPr>
          <t xml:space="preserve">
2023 Cap Rate Study</t>
        </r>
      </text>
    </comment>
    <comment ref="C22" authorId="0" shapeId="0" xr:uid="{ECD84FB0-9C20-4BB2-8B83-74B0A73B0F69}">
      <text>
        <r>
          <rPr>
            <sz val="9"/>
            <color indexed="81"/>
            <rFont val="Tahoma"/>
            <family val="2"/>
          </rPr>
          <t>10K PG F-5 (139)</t>
        </r>
      </text>
    </comment>
    <comment ref="D22" authorId="0" shapeId="0" xr:uid="{6BAEB858-8098-4F3D-A3FB-770D1398E531}">
      <text>
        <r>
          <rPr>
            <b/>
            <sz val="9"/>
            <color indexed="81"/>
            <rFont val="Tahoma"/>
            <family val="2"/>
          </rPr>
          <t>rev4175:</t>
        </r>
        <r>
          <rPr>
            <sz val="9"/>
            <color indexed="81"/>
            <rFont val="Tahoma"/>
            <family val="2"/>
          </rPr>
          <t xml:space="preserve">
2023 Cap Rate Study</t>
        </r>
      </text>
    </comment>
    <comment ref="E22" authorId="0" shapeId="0" xr:uid="{269EC432-42A8-4EAE-B17A-145CDF2EE524}">
      <text>
        <r>
          <rPr>
            <b/>
            <sz val="9"/>
            <color indexed="81"/>
            <rFont val="Tahoma"/>
            <family val="2"/>
          </rPr>
          <t>rev4175:</t>
        </r>
        <r>
          <rPr>
            <sz val="9"/>
            <color indexed="81"/>
            <rFont val="Tahoma"/>
            <family val="2"/>
          </rPr>
          <t xml:space="preserve">
2023 Cap Rate Study</t>
        </r>
      </text>
    </comment>
    <comment ref="C23" authorId="0" shapeId="0" xr:uid="{D60A3801-71E7-487E-91B7-AACC02C9758A}">
      <text>
        <r>
          <rPr>
            <sz val="9"/>
            <color indexed="81"/>
            <rFont val="Tahoma"/>
            <family val="2"/>
          </rPr>
          <t>10K PG 74</t>
        </r>
      </text>
    </comment>
    <comment ref="D23" authorId="0" shapeId="0" xr:uid="{5B33C0A6-F5A5-4748-9DB6-91AC58FDA85F}">
      <text>
        <r>
          <rPr>
            <b/>
            <sz val="9"/>
            <color indexed="81"/>
            <rFont val="Tahoma"/>
            <family val="2"/>
          </rPr>
          <t>rev4175:</t>
        </r>
        <r>
          <rPr>
            <sz val="9"/>
            <color indexed="81"/>
            <rFont val="Tahoma"/>
            <family val="2"/>
          </rPr>
          <t xml:space="preserve">
2023 Cap Rate Study</t>
        </r>
      </text>
    </comment>
    <comment ref="E23" authorId="0" shapeId="0" xr:uid="{40B4AA97-724E-46A1-B367-7BA69D8D91A0}">
      <text>
        <r>
          <rPr>
            <b/>
            <sz val="9"/>
            <color indexed="81"/>
            <rFont val="Tahoma"/>
            <family val="2"/>
          </rPr>
          <t>rev4175:</t>
        </r>
        <r>
          <rPr>
            <sz val="9"/>
            <color indexed="81"/>
            <rFont val="Tahoma"/>
            <family val="2"/>
          </rPr>
          <t xml:space="preserve">
2023 Cap Rate Study</t>
        </r>
      </text>
    </comment>
    <comment ref="C24" authorId="0" shapeId="0" xr:uid="{9D3A5841-C020-47BA-AED2-E9E2FB0843F8}">
      <text>
        <r>
          <rPr>
            <sz val="9"/>
            <color indexed="81"/>
            <rFont val="Tahoma"/>
            <family val="2"/>
          </rPr>
          <t>10K PG 62</t>
        </r>
      </text>
    </comment>
    <comment ref="D24" authorId="0" shapeId="0" xr:uid="{C20E4523-ECA9-49EA-A987-7D40B483ED1B}">
      <text>
        <r>
          <rPr>
            <b/>
            <sz val="9"/>
            <color indexed="81"/>
            <rFont val="Tahoma"/>
            <family val="2"/>
          </rPr>
          <t>rev4175:</t>
        </r>
        <r>
          <rPr>
            <sz val="9"/>
            <color indexed="81"/>
            <rFont val="Tahoma"/>
            <family val="2"/>
          </rPr>
          <t xml:space="preserve">
2023 Cap Rate Study</t>
        </r>
      </text>
    </comment>
    <comment ref="E24" authorId="0" shapeId="0" xr:uid="{5901E9B8-BF84-4A08-AEAB-E9A188B64B41}">
      <text>
        <r>
          <rPr>
            <b/>
            <sz val="9"/>
            <color indexed="81"/>
            <rFont val="Tahoma"/>
            <family val="2"/>
          </rPr>
          <t>rev4175:</t>
        </r>
        <r>
          <rPr>
            <sz val="9"/>
            <color indexed="81"/>
            <rFont val="Tahoma"/>
            <family val="2"/>
          </rPr>
          <t xml:space="preserve">
2023 Cap Rate Study</t>
        </r>
      </text>
    </comment>
    <comment ref="C25" authorId="0" shapeId="0" xr:uid="{8D4CFFBC-6B8D-4D55-9275-66D63413318E}">
      <text>
        <r>
          <rPr>
            <sz val="9"/>
            <color indexed="81"/>
            <rFont val="Tahoma"/>
            <family val="2"/>
          </rPr>
          <t>FORM 40F PG 140</t>
        </r>
      </text>
    </comment>
    <comment ref="D25" authorId="0" shapeId="0" xr:uid="{0AD84F82-B07C-4FE1-B76A-F3EDD2E72E2A}">
      <text>
        <r>
          <rPr>
            <b/>
            <sz val="9"/>
            <color indexed="81"/>
            <rFont val="Tahoma"/>
            <family val="2"/>
          </rPr>
          <t>rev4175:</t>
        </r>
        <r>
          <rPr>
            <sz val="9"/>
            <color indexed="81"/>
            <rFont val="Tahoma"/>
            <family val="2"/>
          </rPr>
          <t xml:space="preserve">
2023 Cap Rate Study</t>
        </r>
      </text>
    </comment>
    <comment ref="E25" authorId="0" shapeId="0" xr:uid="{9D9B3C56-C882-4D84-881D-4CD70231F4B0}">
      <text>
        <r>
          <rPr>
            <b/>
            <sz val="9"/>
            <color indexed="81"/>
            <rFont val="Tahoma"/>
            <family val="2"/>
          </rPr>
          <t>rev4175:</t>
        </r>
        <r>
          <rPr>
            <sz val="9"/>
            <color indexed="81"/>
            <rFont val="Tahoma"/>
            <family val="2"/>
          </rPr>
          <t xml:space="preserve">
2023 Cap Rate Study</t>
        </r>
      </text>
    </comment>
    <comment ref="C26" authorId="0" shapeId="0" xr:uid="{5F5096D3-78C5-4CE3-AB5B-7B3EC9F69567}">
      <text>
        <r>
          <rPr>
            <sz val="9"/>
            <color indexed="81"/>
            <rFont val="Tahoma"/>
            <family val="2"/>
          </rPr>
          <t>10K PG 79</t>
        </r>
      </text>
    </comment>
    <comment ref="D26" authorId="0" shapeId="0" xr:uid="{B141EA51-F75E-4892-8ECB-B8E8591BD5DC}">
      <text>
        <r>
          <rPr>
            <b/>
            <sz val="9"/>
            <color indexed="81"/>
            <rFont val="Tahoma"/>
            <family val="2"/>
          </rPr>
          <t>rev4175:</t>
        </r>
        <r>
          <rPr>
            <sz val="9"/>
            <color indexed="81"/>
            <rFont val="Tahoma"/>
            <family val="2"/>
          </rPr>
          <t xml:space="preserve">
2023 Cap Rate Study</t>
        </r>
      </text>
    </comment>
    <comment ref="E26" authorId="0" shapeId="0" xr:uid="{AE4AD48A-1902-4AA5-AD0C-528733C8C07D}">
      <text>
        <r>
          <rPr>
            <b/>
            <sz val="9"/>
            <color indexed="81"/>
            <rFont val="Tahoma"/>
            <family val="2"/>
          </rPr>
          <t>rev4175:</t>
        </r>
        <r>
          <rPr>
            <sz val="9"/>
            <color indexed="81"/>
            <rFont val="Tahoma"/>
            <family val="2"/>
          </rPr>
          <t xml:space="preserve">
2023 Cap Rate Study</t>
        </r>
      </text>
    </comment>
  </commentList>
</comments>
</file>

<file path=xl/sharedStrings.xml><?xml version="1.0" encoding="utf-8"?>
<sst xmlns="http://schemas.openxmlformats.org/spreadsheetml/2006/main" count="1572" uniqueCount="515">
  <si>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</si>
  <si>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</si>
  <si>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</si>
  <si>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</si>
  <si>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</si>
  <si>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</si>
  <si>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</si>
  <si>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</si>
  <si>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</si>
  <si>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</si>
  <si>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</si>
  <si>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</si>
  <si>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</si>
  <si>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</si>
  <si>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</si>
  <si>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</si>
  <si>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</si>
  <si>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</si>
  <si>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</si>
  <si>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</si>
  <si>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</si>
  <si>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</si>
  <si>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</si>
  <si>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</si>
  <si>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</si>
  <si>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</si>
  <si>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</si>
  <si>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</si>
  <si>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</si>
  <si>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</si>
  <si>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</si>
  <si>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</si>
  <si>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</si>
  <si>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</si>
  <si>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</si>
  <si>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</si>
  <si>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</si>
  <si>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</si>
  <si>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</si>
  <si>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</si>
  <si>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</si>
  <si>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</si>
  <si>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</si>
  <si>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</si>
  <si>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A+</t>
  </si>
  <si>
    <t xml:space="preserve">  </t>
  </si>
  <si>
    <t>High</t>
  </si>
  <si>
    <t>Low</t>
  </si>
  <si>
    <t>Mergent Bond</t>
  </si>
  <si>
    <t>Rating</t>
  </si>
  <si>
    <t>Debt Rate</t>
  </si>
  <si>
    <t>S &amp; P</t>
  </si>
  <si>
    <t>% LT Debt &amp; Pref Stock</t>
  </si>
  <si>
    <t>Baa1</t>
  </si>
  <si>
    <t>Baa2</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</si>
  <si>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</si>
  <si>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</si>
  <si>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</si>
  <si>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</si>
  <si>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</si>
  <si>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</si>
  <si>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Book Value</t>
  </si>
  <si>
    <t>Shares Issued less Treasury</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</si>
  <si>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</si>
  <si>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</si>
  <si>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</si>
  <si>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</si>
  <si>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</si>
  <si>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</si>
  <si>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</si>
  <si>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</si>
  <si>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</si>
  <si>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</si>
  <si>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</si>
  <si>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</si>
  <si>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</si>
  <si>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</si>
  <si>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</si>
  <si>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</si>
  <si>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</si>
  <si>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</si>
  <si>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</si>
  <si>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</si>
  <si>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</si>
  <si>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</si>
  <si>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</si>
  <si>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</si>
  <si>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</si>
  <si>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</si>
  <si>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</si>
  <si>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</si>
  <si>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</si>
  <si>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</si>
  <si>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</si>
  <si>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</si>
  <si>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</si>
  <si>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</si>
  <si>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</si>
  <si>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</si>
  <si>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</si>
  <si>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</si>
  <si>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</si>
  <si>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</si>
  <si>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</si>
  <si>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</si>
  <si>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</si>
  <si>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</si>
  <si>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</si>
  <si>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</si>
  <si>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</si>
  <si>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</si>
  <si>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</si>
  <si>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</si>
  <si>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</si>
  <si>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</si>
  <si>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</si>
  <si>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</si>
  <si>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</si>
  <si>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</si>
  <si>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</si>
  <si>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</si>
  <si>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</si>
  <si>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</si>
  <si>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</si>
  <si>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</si>
  <si>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</si>
  <si>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</si>
  <si>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</si>
  <si>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</si>
  <si>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</si>
  <si>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</si>
  <si>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</si>
  <si>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</si>
  <si>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</si>
  <si>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</si>
  <si>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</si>
  <si>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</si>
  <si>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</si>
  <si>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</si>
  <si>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</si>
  <si>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</si>
  <si>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</si>
  <si>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</si>
  <si>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</si>
  <si>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</si>
  <si>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</si>
  <si>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</si>
  <si>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</si>
  <si>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</si>
  <si>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</si>
  <si>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</si>
  <si>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</si>
  <si>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</si>
  <si>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</si>
  <si>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xml:space="preserve">** Debt includes  LT Debt , Current portion of LT Debt, and Finance leases from 10K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</si>
  <si>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</si>
  <si>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</si>
  <si>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</si>
  <si>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</si>
  <si>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</si>
  <si>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</si>
  <si>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</si>
  <si>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</si>
  <si>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</si>
  <si>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</si>
  <si>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</si>
  <si>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</si>
  <si>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</si>
  <si>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</si>
  <si>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</si>
  <si>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</si>
  <si>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</si>
  <si>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</si>
  <si>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Earnings</t>
  </si>
  <si>
    <t>Equity</t>
  </si>
  <si>
    <t>Equity Rate</t>
  </si>
  <si>
    <t>(F+G)</t>
  </si>
  <si>
    <t>(F+H)</t>
  </si>
  <si>
    <t xml:space="preserve">Yield Equity Rate - DGM (Dividend Growth) &amp; DGM (Earnings Growth)  </t>
  </si>
  <si>
    <t>Dividend Yield</t>
  </si>
  <si>
    <t xml:space="preserve">Projected Short Term </t>
  </si>
  <si>
    <t>DGM - Earnings Growth Rate &gt;</t>
  </si>
  <si>
    <t>DGM - Dividend Growth Rate &gt;</t>
  </si>
  <si>
    <t>Yield Equity Rate - DGM (Two-Stage)</t>
  </si>
  <si>
    <t>Stable</t>
  </si>
  <si>
    <t>Growth Rate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</si>
  <si>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</si>
  <si>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</si>
  <si>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</si>
  <si>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</si>
  <si>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</si>
  <si>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</si>
  <si>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</si>
  <si>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</si>
  <si>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</si>
  <si>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</si>
  <si>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</si>
  <si>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</si>
  <si>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</si>
  <si>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</si>
  <si>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</si>
  <si>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</si>
  <si>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</si>
  <si>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</si>
  <si>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</si>
  <si>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</si>
  <si>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</si>
  <si>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</si>
  <si>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</si>
  <si>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</si>
  <si>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</si>
  <si>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</si>
  <si>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</si>
  <si>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</si>
  <si>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</si>
  <si>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</si>
  <si>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</si>
  <si>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</si>
  <si>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</si>
  <si>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</si>
  <si>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</si>
  <si>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</si>
  <si>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</si>
  <si>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</si>
  <si>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</si>
  <si>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</si>
  <si>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</si>
  <si>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</si>
  <si>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</si>
  <si>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</si>
  <si>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</si>
  <si>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</si>
  <si>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</si>
  <si>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</si>
  <si>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</si>
  <si>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</si>
  <si>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</si>
  <si>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</si>
  <si>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</si>
  <si>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</si>
  <si>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</si>
  <si>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</si>
  <si>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</si>
  <si>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r>
      <t xml:space="preserve">NOPAT CASH FLOW MULTIPLE &amp; EQUITY RATE </t>
    </r>
    <r>
      <rPr>
        <b/>
        <sz val="12"/>
        <color theme="1"/>
        <rFont val="Microsoft GothicNeo"/>
        <family val="2"/>
        <charset val="129"/>
      </rPr>
      <t>(LT 25-27 Yr Projected VL)</t>
    </r>
  </si>
  <si>
    <t>VL LT Projected NOI</t>
  </si>
  <si>
    <t>Indicated Rate of Debt &gt;</t>
  </si>
  <si>
    <t>Year End</t>
  </si>
  <si>
    <t>&amp; Finance Leases</t>
  </si>
  <si>
    <t>10K Income Statement</t>
  </si>
  <si>
    <t>10K Balance Sheet</t>
  </si>
  <si>
    <t>Indicated Rate of Equity Selected &gt;</t>
  </si>
  <si>
    <t>NOTE:</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</si>
  <si>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</si>
  <si>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</si>
  <si>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</si>
  <si>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</si>
  <si>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</si>
  <si>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</si>
  <si>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</si>
  <si>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</si>
  <si>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</si>
  <si>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</si>
  <si>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</si>
  <si>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</si>
  <si>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</si>
  <si>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</si>
  <si>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</si>
  <si>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</si>
  <si>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</si>
  <si>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</si>
  <si>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*Cornell, B. &amp; Gerger, R. (2017) Estimating Terminal Values with Inflation : The Inputs Matter - It is Not a Formulaic Exercise.  Business Valuation Review, Vol.36, Number 4, 117-123.</t>
  </si>
  <si>
    <t>C1  C2  C3</t>
  </si>
  <si>
    <t>MEDIAN GROWTH RATES</t>
  </si>
  <si>
    <t>SOURCE &gt;</t>
  </si>
  <si>
    <t>SOURCES &gt;</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</si>
  <si>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</si>
  <si>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</si>
  <si>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</si>
  <si>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</si>
  <si>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</si>
  <si>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</si>
  <si>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</si>
  <si>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</si>
  <si>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</si>
  <si>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</si>
  <si>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</si>
  <si>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</si>
  <si>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</si>
  <si>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</si>
  <si>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</si>
  <si>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</si>
  <si>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</si>
  <si>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</si>
  <si>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</si>
  <si>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</si>
  <si>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</si>
  <si>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</si>
  <si>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</si>
  <si>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</si>
  <si>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</si>
  <si>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</si>
  <si>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</si>
  <si>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</si>
  <si>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</si>
  <si>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</si>
  <si>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</si>
  <si>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</si>
  <si>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</si>
  <si>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</si>
  <si>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</si>
  <si>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</si>
  <si>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</si>
  <si>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</si>
  <si>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</si>
  <si>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</si>
  <si>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</si>
  <si>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</si>
  <si>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t>*** Market value of operating leases for all companies including the airlines and railroads</t>
  </si>
  <si>
    <t>Companies excluded from the study &gt;</t>
  </si>
  <si>
    <r>
      <t>K</t>
    </r>
    <r>
      <rPr>
        <b/>
        <sz val="10"/>
        <color theme="1"/>
        <rFont val="Microsoft GothicNeo"/>
        <family val="2"/>
        <charset val="129"/>
      </rPr>
      <t>E</t>
    </r>
    <r>
      <rPr>
        <b/>
        <sz val="16"/>
        <color theme="1"/>
        <rFont val="Microsoft GothicNeo"/>
        <family val="2"/>
        <charset val="129"/>
      </rPr>
      <t xml:space="preserve"> = (DY  X  (1+ .5(G)))  + .67(G1)  +  .33(g)</t>
    </r>
  </si>
  <si>
    <t>G   = Average growth rate</t>
  </si>
  <si>
    <t>G1 = Short term growth estimate</t>
  </si>
  <si>
    <t>DY = Dividend Yield     See ValueLine</t>
  </si>
  <si>
    <t>g   = Stable Growth - Nominal growth rate</t>
  </si>
  <si>
    <t>AA+</t>
  </si>
  <si>
    <t>AAA</t>
  </si>
  <si>
    <t>AA</t>
  </si>
  <si>
    <t>Obligations rated Aa are judged to be of high quality, with minimal risk.</t>
  </si>
  <si>
    <t>AA-</t>
  </si>
  <si>
    <t>BBB+</t>
  </si>
  <si>
    <t>BBB</t>
  </si>
  <si>
    <t>BBB-</t>
  </si>
  <si>
    <t>BB+</t>
  </si>
  <si>
    <t>BB</t>
  </si>
  <si>
    <t>BB-</t>
  </si>
  <si>
    <t>B-</t>
  </si>
  <si>
    <t>CCC+</t>
  </si>
  <si>
    <t>CCC</t>
  </si>
  <si>
    <t>CCC-</t>
  </si>
  <si>
    <t>CC</t>
  </si>
  <si>
    <t>Scale</t>
  </si>
  <si>
    <t>Retained to</t>
  </si>
  <si>
    <t>Shareholders Equity</t>
  </si>
  <si>
    <t>Retained to Common Equity -- Net profit less all common and preferred dividends divided by common equity including intangible assets, expressed as a percentage.  Also known as the plowback ratio.</t>
  </si>
  <si>
    <t>Return on Shareholders Equity -- Annual net profit divided by year-end shareholders equity, expressed as a percentage.</t>
  </si>
  <si>
    <t>Ca1</t>
  </si>
  <si>
    <t>Ca2</t>
  </si>
  <si>
    <t>Ca3</t>
  </si>
  <si>
    <t>CC+</t>
  </si>
  <si>
    <t>CC-</t>
  </si>
  <si>
    <t>AAA-</t>
  </si>
  <si>
    <t>AAA+</t>
  </si>
  <si>
    <t>Aaa1</t>
  </si>
  <si>
    <t>Aaa2</t>
  </si>
  <si>
    <t>Aaa3</t>
  </si>
  <si>
    <t>Share</t>
  </si>
  <si>
    <t>Gross Revenues</t>
  </si>
  <si>
    <t>NOPAT Earnings</t>
  </si>
  <si>
    <t>The purpose of this ratio is to test whether the market price is worth more (or less) than the cost of the assets.</t>
  </si>
  <si>
    <t>If the result is greater than one(1), it indicates the market value exceeds book value and can often be used as a sign of competent management.</t>
  </si>
  <si>
    <t>The higher the return on revenue the higher the price to revenue will be.</t>
  </si>
  <si>
    <t>Cash flow is typically defined to be net income plus depreciation and amortization.</t>
  </si>
  <si>
    <t xml:space="preserve">This measure is considered relevant for companies with high non-cash charges reflected in the income statement.  Non-cash charges include depreciation &amp; amortization, goodwill impairments, asset write downs, </t>
  </si>
  <si>
    <t>stock based compensation, and deferred income taxes and investment tax credits.</t>
  </si>
  <si>
    <t>P/E Ratio - Long Term Projection NOPAT</t>
  </si>
  <si>
    <t>CS+LTD +PS + OL</t>
  </si>
  <si>
    <t>&amp; Op Leases</t>
  </si>
  <si>
    <t xml:space="preserve">For rate based companies, the maximum allowed  'rate of return' established by state regulators is not comparable (a mismatch) to the 'cost of equity' calculated above.   </t>
  </si>
  <si>
    <t>Earnings Growth = DY + EG</t>
  </si>
  <si>
    <t>Dividend Growth = DY + DG</t>
  </si>
  <si>
    <t>EG = Earnings Growth</t>
  </si>
  <si>
    <t>DG = Dividend Growth</t>
  </si>
  <si>
    <t>DY = Dividend Yield</t>
  </si>
  <si>
    <t>G = Projected Growth (Earnings Per Share 5 Yr Growth Rate)</t>
  </si>
  <si>
    <t>G = Projected Growth (Div. 5 Yr Growth Rate)</t>
  </si>
  <si>
    <t>Pipeline MLPs</t>
  </si>
  <si>
    <t>Energy Transfer LP</t>
  </si>
  <si>
    <t>ET</t>
  </si>
  <si>
    <t>Enterprise Products Partnership LP</t>
  </si>
  <si>
    <t>EPD</t>
  </si>
  <si>
    <t>Companies to consider in the study &gt;</t>
  </si>
  <si>
    <t>General Partner Units</t>
  </si>
  <si>
    <t>C+</t>
  </si>
  <si>
    <t>Gross Book Value Equity</t>
  </si>
  <si>
    <t>GROSS REVENUE &amp; GROSS BOOK (EQUITY) MULTIPLES</t>
  </si>
  <si>
    <t>Multiple *</t>
  </si>
  <si>
    <t>* This multiple is applicable to service type companies, or those with few assets.  These companies sell at prices related to their revenues.</t>
  </si>
  <si>
    <t>** The book value, or common equity, per share is total owners' equity minus preferred stock divided by the number of common shares outstanding.</t>
  </si>
  <si>
    <t xml:space="preserve">Property, Plant &amp; Equipment includes CWIP, but should exclude intangibles and the associated amortization.  </t>
  </si>
  <si>
    <t>Common Total Equity excludes 'noncontrolling interests' equity value.</t>
  </si>
  <si>
    <t xml:space="preserve">http://www.federalreserve.gov/Releases/H15/Current/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</si>
  <si>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</si>
  <si>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</si>
  <si>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</si>
  <si>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</si>
  <si>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Mergent Rating</t>
  </si>
  <si>
    <t>Projected 1 Yr</t>
  </si>
  <si>
    <t>Earnings Per Share Growth Rate</t>
  </si>
  <si>
    <t>Estimated 20-22 to 26-28</t>
  </si>
  <si>
    <t>Enbridge Inc</t>
  </si>
  <si>
    <t>ENB.TO</t>
  </si>
  <si>
    <t>Oil &amp; Gas Distribution</t>
  </si>
  <si>
    <t>Enlink Midstream LLC</t>
  </si>
  <si>
    <t>ENLC</t>
  </si>
  <si>
    <t>Kinder Morgan Inc</t>
  </si>
  <si>
    <t>KMI</t>
  </si>
  <si>
    <t>ONEOK Inc</t>
  </si>
  <si>
    <t>OKE</t>
  </si>
  <si>
    <t>TC Energy Corp</t>
  </si>
  <si>
    <t>TRP</t>
  </si>
  <si>
    <t>Williams Companys Inc</t>
  </si>
  <si>
    <t>WMB</t>
  </si>
  <si>
    <t>Antero Midstream Corp (AM) - This company is engaged in gas gathering, processing, well clean-up, compression, and well completion operations</t>
  </si>
  <si>
    <t>Clean Energy Fuels (CLNE) - Provides compressed gas to service stations and gas leased vehicles.</t>
  </si>
  <si>
    <t>Pembina Pipeline (PPL.TO) Candian location.  Does have pipelines for gas &amp; oil tranportation in western Canada.</t>
  </si>
  <si>
    <t>World Fuel Services (INT) - This company sells marine and aviation fuel products.</t>
  </si>
  <si>
    <t>Companies added to the study &gt;</t>
  </si>
  <si>
    <t>Cheniere Energy - LNG business.  Pipelines in the Gulf coast area</t>
  </si>
  <si>
    <t>Per Share  or Unit**</t>
  </si>
  <si>
    <t>US Dollars</t>
  </si>
  <si>
    <t xml:space="preserve">Risk Free Rate (Rf) </t>
  </si>
  <si>
    <t>CAPM - Ex Ante, Three Stage - V1</t>
  </si>
  <si>
    <t>CAPM - Ex Ante, Three Stage - V2</t>
  </si>
  <si>
    <t>Empirical CAPM - Ex Ante, Three Stage - V1</t>
  </si>
  <si>
    <t>Empirical CAPM - Ex Ante, Three Stage - V2</t>
  </si>
  <si>
    <t>Three Stage Ex Ante  Version 1  (1) (2)</t>
  </si>
  <si>
    <t>Three Stage Ex Ante  Version 2   (1) (2)</t>
  </si>
  <si>
    <t>Harmonic Mean</t>
  </si>
  <si>
    <t>Mean</t>
  </si>
  <si>
    <t xml:space="preserve">S&amp;P Rating </t>
  </si>
  <si>
    <t>A market to book ratio over one would be an indication of no obsolescence.</t>
  </si>
  <si>
    <t>S&amp;P Global Market Intelligence (9)</t>
  </si>
  <si>
    <t xml:space="preserve">(1) &amp; (2) Three Stage Dividend Growth Model, S&amp;P 500.  The Three Stage Ex Ante calculations were performed by Minnesota and Montana.  The Equity risk premiums are shown above.  </t>
  </si>
  <si>
    <t>http://pages.stern.nyu.edu/~adamodar/New_Home_Page/datacurrent.html</t>
  </si>
  <si>
    <t>https://www.richmondfed.org/research/national_economy/cfo_survey</t>
  </si>
  <si>
    <t>https://www.bvresources.com/products/faqs/cost-of-capital-professional</t>
  </si>
  <si>
    <t>https://simplywall.st/stocks/us/transportation</t>
  </si>
  <si>
    <t>Natural Gas Transmission Pipeline Carrier</t>
  </si>
  <si>
    <t>Damodaran Implied ERP Ex Ante   Trailing 12 mo Cash Yield (3)</t>
  </si>
  <si>
    <t>Damodaran Implied ERP Ex Ante   Net Cash Yield (3)</t>
  </si>
  <si>
    <t>Damodaran Implied ERP Ex Ante   Norm. Earnings &amp; Payout (3)</t>
  </si>
  <si>
    <t>KROLL Ex Post  - ERP Historical (8)</t>
  </si>
  <si>
    <t>KROLL Ex Post - ERP Supply Side (8)</t>
  </si>
  <si>
    <t>KROLL Ex Ante - ERP Conditional (8)</t>
  </si>
  <si>
    <t>CAPM - Ex Ante  Damodaran 12 Mo Cash Yield</t>
  </si>
  <si>
    <t>CAPM - Ex Ante  Damodaran Net Cash Yield</t>
  </si>
  <si>
    <t>CAPM - Ex Ante  Damodaran NEP</t>
  </si>
  <si>
    <t>CAPM - Ex Post KROLL ERP Historical</t>
  </si>
  <si>
    <t>CAPM - Ex Post  KROLL ERP Supply Side</t>
  </si>
  <si>
    <t>CAPM - Ex Ante  KROLL ERP Conditional</t>
  </si>
  <si>
    <t>Empirical CAPM - Ex Ante  Damodaran 12 Mo Cash Yield</t>
  </si>
  <si>
    <t>Empirical CAPM - Ex Ante  Damodaran Net Cash Yield</t>
  </si>
  <si>
    <t>Empirical CAPM - Ex Ante  Damodaran NEP</t>
  </si>
  <si>
    <t>Empirical CAPM - Ex Post KROLL ERP Historical</t>
  </si>
  <si>
    <t>Empirical CAPM - Ex Post  KROLL ERP Supply Side</t>
  </si>
  <si>
    <t>Empirical CAPM - Ex Ante  KROLL ERP Conditional</t>
  </si>
  <si>
    <t>Damodaran Implied ERP Ex Ante   Avg CF Yield Last 10 Yrs (3)</t>
  </si>
  <si>
    <t>P. Fernandez, T. Garcia de Santos &amp; J.F.Acin  (5)</t>
  </si>
  <si>
    <t>CAPM - Ex Ante  Damodaran Avg CF Yield Last 10 Yrs</t>
  </si>
  <si>
    <t>Empirical CAPM - Ex Ante  Damodaran Avg CF Yield Last 10 Yrs</t>
  </si>
  <si>
    <t>The Trading Economics projects the U.S. GDP annual growth rate for 2025</t>
  </si>
  <si>
    <t xml:space="preserve">Trading Economics, United States Full Year GDP Growth Rate Forecast  </t>
  </si>
  <si>
    <t>To calculate the inflation rate, compare the inflation-indexed securities to the non-inflation indexed securities. The difference between the securities (using the 10-year, 20-year, and 30- year constant securities) provides the inflation rate.</t>
  </si>
  <si>
    <t>Federal Reserve Bank of Philadelphia  /Survey of Professional Forecasters  Mean (3)</t>
  </si>
  <si>
    <t xml:space="preserve">Congressional Budget Office Real Economic Projections (4)  </t>
  </si>
  <si>
    <t>https://www.cbo.gov/system/files/2021-02/56970-Outlook.p</t>
  </si>
  <si>
    <t>2024 CAPITALIZATION RATE STUDY</t>
  </si>
  <si>
    <t>2024 Tax Year</t>
  </si>
  <si>
    <t>YEAR END 12/31/2023</t>
  </si>
  <si>
    <t>Vl Projected 2024</t>
  </si>
  <si>
    <t>Dec. 31, 2023</t>
  </si>
  <si>
    <t>The market yield on 20 year US Treasury  Jan 2, 2024</t>
  </si>
  <si>
    <t>Board of Governors of the Federal Reserve System, H.15, Selected Interest Rates, Market Yield on U.S. Treasury Securities 20-year constant maturity quoted on investment bases, daily observations as of Jan 2, 2024.</t>
  </si>
  <si>
    <t>Board of Governors of the Federal Reserve System, Economic projections of Federal Reserve Board members and Federal Reserve Bank presidents under their individual assessments of projected appropriate monetary policy. December 2023</t>
  </si>
  <si>
    <t>https://www.federalreserve.gov/monetarypolicy/files/fomcprojtabl20231213.pdf</t>
  </si>
  <si>
    <r>
      <t xml:space="preserve">1.60% </t>
    </r>
    <r>
      <rPr>
        <b/>
        <sz val="14"/>
        <color theme="1"/>
        <rFont val="Microsoft GothicNeo"/>
        <family val="2"/>
        <charset val="129"/>
      </rPr>
      <t>in 2024</t>
    </r>
    <r>
      <rPr>
        <b/>
        <sz val="18"/>
        <color theme="1"/>
        <rFont val="Microsoft GothicNeo"/>
        <family val="2"/>
        <charset val="129"/>
      </rPr>
      <t xml:space="preserve">   &amp;  1.70%</t>
    </r>
    <r>
      <rPr>
        <b/>
        <sz val="14"/>
        <color theme="1"/>
        <rFont val="Microsoft GothicNeo"/>
        <family val="2"/>
        <charset val="129"/>
      </rPr>
      <t xml:space="preserve"> in 2025 </t>
    </r>
  </si>
  <si>
    <t>World Bank Group Flagship Report, Global Economic Prospects. January 2024-25. Page 4.</t>
  </si>
  <si>
    <r>
      <t xml:space="preserve">1.5% in </t>
    </r>
    <r>
      <rPr>
        <b/>
        <sz val="14"/>
        <rFont val="Microsoft GothicNeo"/>
        <family val="2"/>
        <charset val="129"/>
      </rPr>
      <t>2024</t>
    </r>
    <r>
      <rPr>
        <b/>
        <sz val="18"/>
        <rFont val="Microsoft GothicNeo"/>
        <family val="2"/>
        <charset val="129"/>
      </rPr>
      <t xml:space="preserve">  &amp;  2.2% in </t>
    </r>
    <r>
      <rPr>
        <b/>
        <sz val="14"/>
        <rFont val="Microsoft GothicNeo"/>
        <family val="2"/>
        <charset val="129"/>
      </rPr>
      <t>2025&amp;2026</t>
    </r>
  </si>
  <si>
    <t>The Congressional Budget Office projects the U.S. GDP annual growth rates</t>
  </si>
  <si>
    <r>
      <t xml:space="preserve">2.1% </t>
    </r>
    <r>
      <rPr>
        <b/>
        <sz val="14"/>
        <rFont val="Microsoft GothicNeo"/>
        <family val="2"/>
        <charset val="129"/>
      </rPr>
      <t>2027 to 2028</t>
    </r>
    <r>
      <rPr>
        <b/>
        <sz val="18"/>
        <rFont val="Microsoft GothicNeo"/>
        <family val="2"/>
        <charset val="129"/>
      </rPr>
      <t xml:space="preserve">  &amp;  1.9% </t>
    </r>
    <r>
      <rPr>
        <b/>
        <sz val="14"/>
        <rFont val="Microsoft GothicNeo"/>
        <family val="2"/>
        <charset val="129"/>
      </rPr>
      <t>2029 to 2034</t>
    </r>
  </si>
  <si>
    <t>https://www.cbo.gov/publication/59933</t>
  </si>
  <si>
    <t xml:space="preserve">Federal Reserve Bank of Philadelphia - The Livingston Survey - Inflation Mean (measured by the CPI over next 10 years) Dec. 2023  Table 3   Page 8  (2) </t>
  </si>
  <si>
    <t xml:space="preserve">Federal Reserve Bank of Philadelphia - The Livingston Survey - Inflation Median (measured by the CPI over next 10 years) Dec. 2023  Table 3  Page 8  (2)  </t>
  </si>
  <si>
    <t>Congressional Budget Office  Average % change Yr to Yr  2024-2034  Table2-1  (4)</t>
  </si>
  <si>
    <t>5 Yr  Jan 2 2024</t>
  </si>
  <si>
    <t>3.93 - 1.76 = 2.17</t>
  </si>
  <si>
    <t>10 Yr  Jan 2 2024</t>
  </si>
  <si>
    <t>3.95 - 1.74 = 2.21</t>
  </si>
  <si>
    <t>20 Yr  Jan 2 2024</t>
  </si>
  <si>
    <t>4.25 - 1.84 = 2.41</t>
  </si>
  <si>
    <t>30 Yr  Jan 2 2024</t>
  </si>
  <si>
    <t>4.08 - 1.91 = 2.17</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</si>
  <si>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</si>
  <si>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</si>
  <si>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</si>
  <si>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</si>
  <si>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</si>
  <si>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</si>
  <si>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</si>
  <si>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 xml:space="preserve">(5) Board of Governors of the Federal Reserve System, Economic projections of Federal Reserve Board members and Federal Reserve Bank presidents under their individual assessments of projected appropriate monetary policy. December 2023 </t>
  </si>
  <si>
    <t>(3) Implied Equity Risk Premium on January 5, 2024 as determined by Dr. Aswath Damodaran</t>
  </si>
  <si>
    <t xml:space="preserve">(4) The CFO Survey (2023). Data &amp; Results December 20, 2023. Mean average annual S&amp;P return over next ten years (8.9%) less annual yield on 10‐year Treasury Bonds (3.96%). </t>
  </si>
  <si>
    <t>(5) Fernandez, P., Garcia D., &amp; Acin, J. F. (2023). Survey: Market Risk Premium and Risk‐Free Rate used for 80 countries in 2023. SSRN Electronic Journal.</t>
  </si>
  <si>
    <t>https://papers.ssrn.com/sol3/papers.cfm?abstract_id=4407839</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</si>
  <si>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</si>
  <si>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</si>
  <si>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</si>
  <si>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Daily Tresury Par Real Yield Curve Rates  Jan 2 (1)</t>
  </si>
  <si>
    <t>nmf</t>
  </si>
  <si>
    <t>nil</t>
  </si>
  <si>
    <t xml:space="preserve">DCP Midstream (DCP) - Company sold to Philips 66 </t>
  </si>
  <si>
    <t>Canadian Conversion = .7453 USD</t>
  </si>
  <si>
    <t>Corporate                          December Avg</t>
  </si>
  <si>
    <t>Utility                                                December Avg</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</si>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</sst>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_(* #,##0.000_);_(* \(#,##0.000\);_(* &quot;-&quot;??_);_(@_)"/>
    <numFmt numFmtId="168" formatCode="0.000%"/>
  </numFmts>
  <fonts count="72">
    <font>
      <sz val="11"/>
      <color theme="1"/>
      <name val="Calibri"/>
      <family val="2"/>
      <scheme val="minor"/>
    </font>
    <font>
      <sz val="11"/>
      <color theme="1"/>
      <name val="Calibri"/>
      <family val="2"/>
      <scheme val="minor"/>
    </font>
    <font>
      <b/>
      <sz val="12"/>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26"/>
      <color theme="1"/>
      <name val="Calibri"/>
      <family val="2"/>
      <scheme val="minor"/>
    </font>
    <font>
      <sz val="26"/>
      <color theme="1"/>
      <name val="Calibri"/>
      <family val="2"/>
      <scheme val="minor"/>
    </font>
    <font>
      <b/>
      <sz val="11"/>
      <name val="Calibri"/>
      <family val="2"/>
      <scheme val="minor"/>
    </font>
    <font>
      <sz val="9"/>
      <color indexed="81"/>
      <name val="Tahoma"/>
      <family val="2"/>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6"/>
      <name val="Microsoft GothicNeo"/>
      <family val="2"/>
      <charset val="129"/>
    </font>
    <font>
      <b/>
      <sz val="16"/>
      <color rgb="FFFF0000"/>
      <name val="Microsoft GothicNeo"/>
      <family val="2"/>
      <charset val="129"/>
    </font>
    <font>
      <i/>
      <sz val="11"/>
      <color theme="1"/>
      <name val="Microsoft GothicNeo"/>
      <family val="2"/>
      <charset val="129"/>
    </font>
    <font>
      <sz val="12"/>
      <color rgb="FFFF0000"/>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b/>
      <i/>
      <sz val="18"/>
      <color rgb="FF0000CC"/>
      <name val="Microsoft GothicNeo"/>
      <family val="2"/>
      <charset val="129"/>
    </font>
    <font>
      <sz val="12"/>
      <color rgb="FF000000"/>
      <name val="Microsoft GothicNeo"/>
      <family val="2"/>
      <charset val="129"/>
    </font>
    <font>
      <b/>
      <sz val="9"/>
      <color indexed="81"/>
      <name val="Tahoma"/>
      <family val="2"/>
    </font>
    <font>
      <sz val="11"/>
      <name val="Calibri"/>
      <family val="2"/>
      <scheme val="minor"/>
    </font>
    <font>
      <b/>
      <sz val="12"/>
      <color rgb="FF000000"/>
      <name val="Microsoft GothicNeo"/>
      <family val="2"/>
      <charset val="129"/>
    </font>
    <font>
      <b/>
      <i/>
      <sz val="14"/>
      <color theme="1"/>
      <name val="Calibri"/>
      <family val="2"/>
      <scheme val="minor"/>
    </font>
    <font>
      <b/>
      <sz val="9"/>
      <name val="Microsoft GothicNeo"/>
      <family val="2"/>
      <charset val="129"/>
    </font>
    <font>
      <i/>
      <sz val="12"/>
      <color theme="1"/>
      <name val="Microsoft GothicNeo"/>
      <family val="2"/>
      <charset val="129"/>
    </font>
    <font>
      <b/>
      <sz val="11"/>
      <color rgb="FFE26B0A"/>
      <name val="Microsoft GothicNeo"/>
      <family val="2"/>
      <charset val="129"/>
    </font>
    <font>
      <b/>
      <sz val="18"/>
      <name val="Microsoft GothicNeo"/>
      <family val="2"/>
      <charset val="129"/>
    </font>
    <font>
      <sz val="11"/>
      <color rgb="FF0000CC"/>
      <name val="Microsoft GothicNeo"/>
      <family val="2"/>
      <charset val="129"/>
    </font>
    <font>
      <b/>
      <sz val="12"/>
      <color rgb="FF0000CC"/>
      <name val="Microsoft GothicNeo"/>
      <family val="2"/>
      <charset val="129"/>
    </font>
    <font>
      <sz val="11"/>
      <name val="Microsoft GothicNeo Light"/>
      <family val="2"/>
      <charset val="129"/>
    </font>
  </fonts>
  <fills count="5">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s>
  <borders count="42">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7" fillId="0" borderId="0"/>
    <xf numFmtId="0" fontId="17" fillId="0" borderId="0"/>
    <xf numFmtId="0" fontId="18" fillId="0" borderId="0" applyNumberFormat="0" applyFill="0" applyBorder="0" applyAlignment="0" applyProtection="0"/>
  </cellStyleXfs>
  <cellXfs count="468">
    <xf numFmtId="0" fontId="0" fillId="0" borderId="0" xfId="0"/>
    <xf numFmtId="0" fontId="2" fillId="0" borderId="0" xfId="0" applyFont="1"/>
    <xf numFmtId="0" fontId="3" fillId="0" borderId="0" xfId="0" applyFont="1"/>
    <xf numFmtId="164" fontId="3" fillId="0" borderId="0" xfId="1" applyNumberFormat="1" applyFont="1"/>
    <xf numFmtId="0" fontId="4" fillId="0" borderId="0" xfId="0" applyFont="1"/>
    <xf numFmtId="0" fontId="2"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3" fontId="2" fillId="0" borderId="0" xfId="0" applyNumberFormat="1" applyFont="1"/>
    <xf numFmtId="0" fontId="19" fillId="0" borderId="0" xfId="0" applyFont="1"/>
    <xf numFmtId="0" fontId="19" fillId="0" borderId="0" xfId="0" applyFont="1" applyAlignment="1">
      <alignment horizontal="center"/>
    </xf>
    <xf numFmtId="0" fontId="21" fillId="0" borderId="0" xfId="0" applyFont="1" applyAlignment="1">
      <alignment horizontal="right"/>
    </xf>
    <xf numFmtId="43" fontId="22" fillId="0" borderId="0" xfId="1" applyFont="1" applyAlignment="1">
      <alignment horizontal="right" vertical="center"/>
    </xf>
    <xf numFmtId="43" fontId="22" fillId="0" borderId="0" xfId="1" applyFont="1" applyFill="1" applyAlignment="1">
      <alignment horizontal="right" vertical="center"/>
    </xf>
    <xf numFmtId="43" fontId="21" fillId="0" borderId="0" xfId="1" applyFont="1" applyFill="1" applyAlignment="1">
      <alignment horizontal="right"/>
    </xf>
    <xf numFmtId="43" fontId="21" fillId="0" borderId="0" xfId="1" applyFont="1" applyFill="1" applyAlignment="1">
      <alignment horizontal="center"/>
    </xf>
    <xf numFmtId="43" fontId="21" fillId="0" borderId="0" xfId="1" applyFont="1" applyFill="1" applyAlignment="1">
      <alignment horizontal="center" vertical="center"/>
    </xf>
    <xf numFmtId="43" fontId="21" fillId="0" borderId="0" xfId="1" applyFont="1" applyFill="1" applyBorder="1" applyAlignment="1">
      <alignment horizontal="center" vertical="center"/>
    </xf>
    <xf numFmtId="43" fontId="21" fillId="0" borderId="0" xfId="1" applyFont="1" applyFill="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15" xfId="0" applyFont="1" applyBorder="1"/>
    <xf numFmtId="0" fontId="19" fillId="0" borderId="2" xfId="0" applyFont="1" applyBorder="1"/>
    <xf numFmtId="0" fontId="27" fillId="0" borderId="2" xfId="0" applyFont="1" applyBorder="1"/>
    <xf numFmtId="0" fontId="28" fillId="0" borderId="0" xfId="0" applyFont="1"/>
    <xf numFmtId="0" fontId="24" fillId="0" borderId="0" xfId="0" applyFont="1" applyAlignment="1">
      <alignment horizontal="center"/>
    </xf>
    <xf numFmtId="0" fontId="29" fillId="0" borderId="2" xfId="0" applyFont="1" applyBorder="1" applyAlignment="1">
      <alignment horizontal="center"/>
    </xf>
    <xf numFmtId="0" fontId="30" fillId="0" borderId="2" xfId="0" applyFont="1" applyBorder="1" applyAlignment="1">
      <alignment horizontal="center"/>
    </xf>
    <xf numFmtId="0" fontId="21" fillId="0" borderId="0" xfId="0" applyFont="1" applyAlignment="1">
      <alignment horizontal="center"/>
    </xf>
    <xf numFmtId="0" fontId="29" fillId="0" borderId="0" xfId="0" applyFont="1" applyAlignment="1">
      <alignment horizontal="center"/>
    </xf>
    <xf numFmtId="0" fontId="21" fillId="0" borderId="2" xfId="0" applyFont="1" applyBorder="1" applyAlignment="1">
      <alignment horizontal="center"/>
    </xf>
    <xf numFmtId="0" fontId="31" fillId="0" borderId="2" xfId="0" applyFont="1" applyBorder="1" applyAlignment="1">
      <alignment horizontal="center"/>
    </xf>
    <xf numFmtId="0" fontId="30" fillId="0" borderId="1" xfId="0" applyFont="1" applyBorder="1" applyAlignment="1">
      <alignment horizontal="center"/>
    </xf>
    <xf numFmtId="0" fontId="32" fillId="0" borderId="1" xfId="0" applyFont="1" applyBorder="1" applyAlignment="1">
      <alignment horizontal="center"/>
    </xf>
    <xf numFmtId="0" fontId="30" fillId="0" borderId="0" xfId="0" applyFont="1" applyAlignment="1">
      <alignment horizontal="center"/>
    </xf>
    <xf numFmtId="0" fontId="33" fillId="0" borderId="2" xfId="0" applyFont="1" applyBorder="1" applyAlignment="1">
      <alignment horizontal="center"/>
    </xf>
    <xf numFmtId="0" fontId="35" fillId="0" borderId="1" xfId="0" applyFont="1" applyBorder="1" applyAlignment="1">
      <alignment horizontal="center"/>
    </xf>
    <xf numFmtId="0" fontId="21" fillId="0" borderId="0" xfId="0" applyFont="1"/>
    <xf numFmtId="166" fontId="22" fillId="0" borderId="0" xfId="1" applyNumberFormat="1" applyFont="1" applyFill="1" applyAlignment="1">
      <alignment horizontal="center"/>
    </xf>
    <xf numFmtId="166" fontId="22" fillId="0" borderId="0" xfId="1" applyNumberFormat="1" applyFont="1" applyFill="1"/>
    <xf numFmtId="0" fontId="21" fillId="0" borderId="4" xfId="0" applyFont="1" applyBorder="1"/>
    <xf numFmtId="0" fontId="22" fillId="0" borderId="0" xfId="0" applyFont="1" applyAlignment="1">
      <alignment horizontal="center" vertical="center"/>
    </xf>
    <xf numFmtId="166" fontId="21" fillId="0" borderId="0" xfId="1" applyNumberFormat="1" applyFont="1" applyFill="1" applyAlignment="1">
      <alignment horizontal="center"/>
    </xf>
    <xf numFmtId="0" fontId="24" fillId="0" borderId="0" xfId="0" applyFont="1" applyAlignment="1">
      <alignment horizontal="right"/>
    </xf>
    <xf numFmtId="10" fontId="21" fillId="0" borderId="0" xfId="2" applyNumberFormat="1" applyFont="1" applyFill="1" applyAlignment="1">
      <alignment horizontal="center" vertical="center"/>
    </xf>
    <xf numFmtId="10" fontId="21" fillId="0" borderId="0" xfId="2" applyNumberFormat="1" applyFont="1" applyFill="1" applyBorder="1" applyAlignment="1">
      <alignment horizontal="center" vertical="center"/>
    </xf>
    <xf numFmtId="10" fontId="22" fillId="0" borderId="0" xfId="2" applyNumberFormat="1" applyFont="1" applyAlignment="1">
      <alignment horizontal="right" vertical="center"/>
    </xf>
    <xf numFmtId="10" fontId="22" fillId="0" borderId="0" xfId="2" applyNumberFormat="1" applyFont="1" applyFill="1" applyAlignment="1">
      <alignment horizontal="right"/>
    </xf>
    <xf numFmtId="10" fontId="21" fillId="0" borderId="0" xfId="2" applyNumberFormat="1" applyFont="1" applyFill="1" applyAlignment="1">
      <alignment horizontal="right"/>
    </xf>
    <xf numFmtId="10" fontId="21" fillId="0" borderId="0" xfId="2" applyNumberFormat="1" applyFont="1" applyFill="1" applyAlignment="1">
      <alignment horizontal="center"/>
    </xf>
    <xf numFmtId="10" fontId="21" fillId="0" borderId="0" xfId="2" applyNumberFormat="1" applyFont="1" applyFill="1"/>
    <xf numFmtId="0" fontId="19" fillId="2" borderId="19" xfId="0" applyFont="1" applyFill="1" applyBorder="1" applyAlignment="1">
      <alignment horizontal="center"/>
    </xf>
    <xf numFmtId="0" fontId="19" fillId="2" borderId="21" xfId="0" applyFont="1" applyFill="1" applyBorder="1" applyAlignment="1">
      <alignment horizontal="center"/>
    </xf>
    <xf numFmtId="2" fontId="38" fillId="0" borderId="0" xfId="0" applyNumberFormat="1" applyFont="1" applyAlignment="1">
      <alignment horizontal="center"/>
    </xf>
    <xf numFmtId="164" fontId="38" fillId="0" borderId="0" xfId="1" applyNumberFormat="1" applyFont="1" applyAlignment="1"/>
    <xf numFmtId="2" fontId="22" fillId="0" borderId="0" xfId="0" applyNumberFormat="1" applyFont="1" applyAlignment="1">
      <alignment horizontal="center"/>
    </xf>
    <xf numFmtId="0" fontId="34" fillId="0" borderId="0" xfId="0" applyFont="1"/>
    <xf numFmtId="43" fontId="24" fillId="0" borderId="0" xfId="1" applyFont="1" applyFill="1"/>
    <xf numFmtId="2" fontId="38" fillId="0" borderId="4" xfId="0" applyNumberFormat="1" applyFont="1" applyBorder="1" applyAlignment="1">
      <alignment horizontal="center"/>
    </xf>
    <xf numFmtId="10" fontId="22" fillId="0" borderId="0" xfId="2" applyNumberFormat="1" applyFont="1" applyFill="1" applyAlignment="1">
      <alignment horizontal="center"/>
    </xf>
    <xf numFmtId="0" fontId="19" fillId="0" borderId="2" xfId="0" applyFont="1" applyBorder="1" applyAlignment="1">
      <alignment horizontal="center"/>
    </xf>
    <xf numFmtId="0" fontId="31" fillId="0" borderId="16" xfId="0" applyFont="1" applyBorder="1" applyAlignment="1">
      <alignment horizontal="center"/>
    </xf>
    <xf numFmtId="0" fontId="24" fillId="0" borderId="0" xfId="0" applyFont="1" applyAlignment="1">
      <alignment horizontal="center" vertical="center"/>
    </xf>
    <xf numFmtId="0" fontId="19" fillId="0" borderId="4" xfId="0" applyFont="1" applyBorder="1"/>
    <xf numFmtId="2" fontId="22" fillId="0" borderId="0" xfId="0" applyNumberFormat="1" applyFont="1" applyAlignment="1">
      <alignment horizontal="right" vertical="center"/>
    </xf>
    <xf numFmtId="2" fontId="21" fillId="0" borderId="0" xfId="0" applyNumberFormat="1" applyFont="1" applyAlignment="1">
      <alignment horizontal="right"/>
    </xf>
    <xf numFmtId="10" fontId="21" fillId="0" borderId="0" xfId="0" applyNumberFormat="1" applyFont="1"/>
    <xf numFmtId="0" fontId="39" fillId="0" borderId="0" xfId="0" applyFont="1" applyAlignment="1">
      <alignment horizontal="center"/>
    </xf>
    <xf numFmtId="0" fontId="40" fillId="0" borderId="0" xfId="0" applyFont="1"/>
    <xf numFmtId="0" fontId="41" fillId="0" borderId="16" xfId="0" applyFont="1" applyBorder="1" applyAlignment="1">
      <alignment horizontal="center"/>
    </xf>
    <xf numFmtId="0" fontId="36" fillId="0" borderId="0" xfId="0" applyFont="1" applyAlignment="1">
      <alignment horizontal="right"/>
    </xf>
    <xf numFmtId="0" fontId="28" fillId="0" borderId="0" xfId="0" applyFont="1" applyAlignment="1">
      <alignment horizontal="center"/>
    </xf>
    <xf numFmtId="0" fontId="21" fillId="0" borderId="23" xfId="0" applyFont="1" applyBorder="1" applyAlignment="1">
      <alignment horizontal="center"/>
    </xf>
    <xf numFmtId="0" fontId="21" fillId="0" borderId="9" xfId="0" applyFont="1" applyBorder="1" applyAlignment="1">
      <alignment horizontal="center"/>
    </xf>
    <xf numFmtId="0" fontId="21" fillId="0" borderId="3" xfId="0" applyFont="1" applyBorder="1" applyAlignment="1">
      <alignment horizontal="center"/>
    </xf>
    <xf numFmtId="10" fontId="21" fillId="0" borderId="0" xfId="2" applyNumberFormat="1" applyFont="1"/>
    <xf numFmtId="10" fontId="21" fillId="0" borderId="0" xfId="1" applyNumberFormat="1" applyFont="1" applyFill="1"/>
    <xf numFmtId="10" fontId="43" fillId="0" borderId="0" xfId="2" applyNumberFormat="1" applyFont="1" applyFill="1" applyAlignment="1">
      <alignment horizontal="center"/>
    </xf>
    <xf numFmtId="164" fontId="21" fillId="0" borderId="0" xfId="1" applyNumberFormat="1" applyFont="1"/>
    <xf numFmtId="0" fontId="19" fillId="0" borderId="0" xfId="0" applyFont="1" applyAlignment="1">
      <alignment horizontal="left"/>
    </xf>
    <xf numFmtId="0" fontId="21" fillId="0" borderId="2" xfId="0" applyFont="1" applyBorder="1"/>
    <xf numFmtId="0" fontId="34" fillId="0" borderId="7" xfId="0" applyFont="1" applyBorder="1" applyAlignment="1">
      <alignment horizontal="center"/>
    </xf>
    <xf numFmtId="0" fontId="34" fillId="0" borderId="9" xfId="0" applyFont="1" applyBorder="1" applyAlignment="1">
      <alignment horizontal="center"/>
    </xf>
    <xf numFmtId="0" fontId="34" fillId="0" borderId="0" xfId="0" applyFont="1" applyAlignment="1">
      <alignment horizontal="center"/>
    </xf>
    <xf numFmtId="15" fontId="34" fillId="0" borderId="9" xfId="0" applyNumberFormat="1" applyFont="1" applyBorder="1" applyAlignment="1">
      <alignment horizontal="center"/>
    </xf>
    <xf numFmtId="15" fontId="34" fillId="0" borderId="0" xfId="0" quotePrefix="1" applyNumberFormat="1" applyFont="1" applyAlignment="1">
      <alignment horizontal="center"/>
    </xf>
    <xf numFmtId="0" fontId="22" fillId="0" borderId="9" xfId="0" applyFont="1" applyBorder="1" applyAlignment="1">
      <alignment horizontal="center"/>
    </xf>
    <xf numFmtId="0" fontId="38" fillId="0" borderId="9" xfId="0" applyFont="1" applyBorder="1" applyAlignment="1">
      <alignment horizontal="center"/>
    </xf>
    <xf numFmtId="0" fontId="34" fillId="0" borderId="8" xfId="0" applyFont="1" applyBorder="1" applyAlignment="1">
      <alignment horizontal="center"/>
    </xf>
    <xf numFmtId="0" fontId="34" fillId="0" borderId="3" xfId="0" applyFont="1" applyBorder="1" applyAlignment="1">
      <alignment horizontal="center"/>
    </xf>
    <xf numFmtId="0" fontId="34" fillId="0" borderId="2" xfId="0" applyFont="1" applyBorder="1" applyAlignment="1">
      <alignment horizontal="center"/>
    </xf>
    <xf numFmtId="0" fontId="35" fillId="0" borderId="3" xfId="0" applyFont="1" applyBorder="1" applyAlignment="1">
      <alignment horizontal="center"/>
    </xf>
    <xf numFmtId="0" fontId="35" fillId="0" borderId="2" xfId="0" applyFont="1" applyBorder="1" applyAlignment="1">
      <alignment horizontal="center"/>
    </xf>
    <xf numFmtId="0" fontId="35" fillId="0" borderId="10" xfId="0" applyFont="1" applyBorder="1" applyAlignment="1">
      <alignment horizontal="center"/>
    </xf>
    <xf numFmtId="0" fontId="34" fillId="0" borderId="9" xfId="0" applyFont="1" applyBorder="1"/>
    <xf numFmtId="0" fontId="34" fillId="0" borderId="7" xfId="0" applyFont="1" applyBorder="1"/>
    <xf numFmtId="0" fontId="38" fillId="0" borderId="0" xfId="0" applyFont="1" applyAlignment="1">
      <alignment horizontal="center"/>
    </xf>
    <xf numFmtId="2" fontId="38" fillId="0" borderId="9" xfId="0" applyNumberFormat="1" applyFont="1" applyBorder="1" applyAlignment="1">
      <alignment horizontal="center"/>
    </xf>
    <xf numFmtId="3" fontId="38" fillId="0" borderId="0" xfId="0" applyNumberFormat="1" applyFont="1"/>
    <xf numFmtId="0" fontId="37" fillId="0" borderId="0" xfId="0" applyFont="1"/>
    <xf numFmtId="0" fontId="45" fillId="0" borderId="2" xfId="0" applyFont="1" applyBorder="1"/>
    <xf numFmtId="0" fontId="37" fillId="0" borderId="2" xfId="0" applyFont="1" applyBorder="1"/>
    <xf numFmtId="0" fontId="37" fillId="0" borderId="5" xfId="0" applyFont="1" applyBorder="1"/>
    <xf numFmtId="0" fontId="37" fillId="0" borderId="6" xfId="0" applyFont="1" applyBorder="1"/>
    <xf numFmtId="15" fontId="34" fillId="0" borderId="6" xfId="0" quotePrefix="1" applyNumberFormat="1" applyFont="1" applyBorder="1" applyAlignment="1">
      <alignment horizontal="center"/>
    </xf>
    <xf numFmtId="0" fontId="19" fillId="0" borderId="6" xfId="0" applyFont="1" applyBorder="1"/>
    <xf numFmtId="0" fontId="37" fillId="0" borderId="11" xfId="0" applyFont="1" applyBorder="1"/>
    <xf numFmtId="0" fontId="38" fillId="0" borderId="12" xfId="0" applyFont="1" applyBorder="1" applyAlignment="1">
      <alignment horizontal="center"/>
    </xf>
    <xf numFmtId="0" fontId="34" fillId="0" borderId="13" xfId="0" applyFont="1" applyBorder="1" applyAlignment="1">
      <alignment horizontal="center"/>
    </xf>
    <xf numFmtId="0" fontId="35" fillId="0" borderId="14" xfId="0" applyFont="1" applyBorder="1" applyAlignment="1">
      <alignment horizontal="center"/>
    </xf>
    <xf numFmtId="0" fontId="34" fillId="0" borderId="12" xfId="0" applyFont="1" applyBorder="1"/>
    <xf numFmtId="164" fontId="38" fillId="0" borderId="0" xfId="1" applyNumberFormat="1" applyFont="1" applyFill="1" applyBorder="1"/>
    <xf numFmtId="10" fontId="38" fillId="0" borderId="0" xfId="2" applyNumberFormat="1" applyFont="1" applyFill="1" applyBorder="1"/>
    <xf numFmtId="10" fontId="38" fillId="0" borderId="12" xfId="2" applyNumberFormat="1" applyFont="1" applyFill="1" applyBorder="1"/>
    <xf numFmtId="0" fontId="37" fillId="0" borderId="8" xfId="0" applyFont="1" applyBorder="1"/>
    <xf numFmtId="0" fontId="37" fillId="0" borderId="13" xfId="0" applyFont="1" applyBorder="1"/>
    <xf numFmtId="0" fontId="34" fillId="0" borderId="0" xfId="0" applyFont="1" applyAlignment="1">
      <alignment horizontal="right"/>
    </xf>
    <xf numFmtId="164" fontId="21" fillId="0" borderId="0" xfId="0" applyNumberFormat="1" applyFont="1"/>
    <xf numFmtId="10" fontId="34" fillId="0" borderId="0" xfId="0" applyNumberFormat="1" applyFont="1" applyAlignment="1">
      <alignment horizontal="right"/>
    </xf>
    <xf numFmtId="10" fontId="34" fillId="0" borderId="0" xfId="2" applyNumberFormat="1" applyFont="1" applyFill="1"/>
    <xf numFmtId="10" fontId="34" fillId="0" borderId="0" xfId="2" applyNumberFormat="1" applyFont="1"/>
    <xf numFmtId="2" fontId="19" fillId="0" borderId="0" xfId="0" applyNumberFormat="1" applyFont="1"/>
    <xf numFmtId="0" fontId="21" fillId="0" borderId="1" xfId="0" applyFont="1" applyBorder="1" applyAlignment="1">
      <alignment horizontal="center"/>
    </xf>
    <xf numFmtId="0" fontId="28" fillId="0" borderId="0" xfId="0" applyFont="1" applyAlignment="1">
      <alignment horizontal="right"/>
    </xf>
    <xf numFmtId="0" fontId="22" fillId="0" borderId="0" xfId="0" applyFont="1"/>
    <xf numFmtId="0" fontId="20" fillId="0" borderId="0" xfId="0" applyFont="1"/>
    <xf numFmtId="0" fontId="20" fillId="0" borderId="0" xfId="0" applyFont="1" applyAlignment="1">
      <alignment horizontal="left"/>
    </xf>
    <xf numFmtId="0" fontId="47" fillId="0" borderId="0" xfId="6" applyFont="1" applyFill="1" applyAlignment="1" applyProtection="1">
      <alignment horizontal="left" vertical="top"/>
    </xf>
    <xf numFmtId="0" fontId="20" fillId="0" borderId="0" xfId="0" applyFont="1" applyAlignment="1">
      <alignment horizontal="left" vertical="top"/>
    </xf>
    <xf numFmtId="0" fontId="20" fillId="0" borderId="0" xfId="0" applyFont="1" applyAlignment="1">
      <alignment vertical="top"/>
    </xf>
    <xf numFmtId="0" fontId="48" fillId="0" borderId="0" xfId="0" applyFont="1" applyAlignment="1">
      <alignment horizontal="left" vertical="top"/>
    </xf>
    <xf numFmtId="0" fontId="48" fillId="0" borderId="0" xfId="0" applyFont="1"/>
    <xf numFmtId="165" fontId="21" fillId="0" borderId="0" xfId="3" applyNumberFormat="1" applyFont="1" applyFill="1" applyAlignment="1">
      <alignment horizontal="center"/>
    </xf>
    <xf numFmtId="164" fontId="22" fillId="0" borderId="0" xfId="1" applyNumberFormat="1" applyFont="1" applyFill="1"/>
    <xf numFmtId="10" fontId="22" fillId="0" borderId="0" xfId="2" applyNumberFormat="1" applyFont="1" applyFill="1"/>
    <xf numFmtId="0" fontId="28" fillId="0" borderId="2" xfId="0" applyFont="1" applyBorder="1" applyAlignment="1">
      <alignment horizontal="center"/>
    </xf>
    <xf numFmtId="10" fontId="38" fillId="0" borderId="0" xfId="2" applyNumberFormat="1" applyFont="1" applyFill="1" applyAlignment="1">
      <alignment horizontal="center"/>
    </xf>
    <xf numFmtId="10" fontId="38" fillId="0" borderId="0" xfId="2" applyNumberFormat="1" applyFont="1" applyFill="1"/>
    <xf numFmtId="2" fontId="49" fillId="0" borderId="0" xfId="0" applyNumberFormat="1" applyFont="1" applyAlignment="1">
      <alignment horizontal="center"/>
    </xf>
    <xf numFmtId="2" fontId="34" fillId="0" borderId="2" xfId="0" applyNumberFormat="1" applyFont="1" applyBorder="1" applyAlignment="1">
      <alignment horizontal="center"/>
    </xf>
    <xf numFmtId="10" fontId="34" fillId="0" borderId="2" xfId="2" applyNumberFormat="1" applyFont="1" applyBorder="1"/>
    <xf numFmtId="10" fontId="34" fillId="0" borderId="0" xfId="0" applyNumberFormat="1" applyFont="1" applyAlignment="1">
      <alignment horizontal="center"/>
    </xf>
    <xf numFmtId="2" fontId="34" fillId="0" borderId="0" xfId="0" applyNumberFormat="1" applyFont="1" applyAlignment="1">
      <alignment horizontal="center"/>
    </xf>
    <xf numFmtId="0" fontId="38" fillId="0" borderId="0" xfId="0" applyFont="1"/>
    <xf numFmtId="0" fontId="34" fillId="0" borderId="0" xfId="0" applyFont="1" applyAlignment="1">
      <alignment horizontal="left"/>
    </xf>
    <xf numFmtId="10" fontId="19" fillId="0" borderId="0" xfId="0" applyNumberFormat="1" applyFont="1"/>
    <xf numFmtId="0" fontId="18" fillId="0" borderId="0" xfId="6"/>
    <xf numFmtId="0" fontId="21" fillId="0" borderId="0" xfId="0" applyFont="1" applyAlignment="1">
      <alignment horizontal="left"/>
    </xf>
    <xf numFmtId="0" fontId="50" fillId="0" borderId="2" xfId="0" applyFont="1" applyBorder="1"/>
    <xf numFmtId="0" fontId="0" fillId="0" borderId="2" xfId="0" applyBorder="1"/>
    <xf numFmtId="0" fontId="28" fillId="0" borderId="2" xfId="0" applyFont="1" applyBorder="1"/>
    <xf numFmtId="0" fontId="19" fillId="0" borderId="5" xfId="0" applyFont="1" applyBorder="1"/>
    <xf numFmtId="0" fontId="19" fillId="0" borderId="11" xfId="0" applyFont="1" applyBorder="1"/>
    <xf numFmtId="0" fontId="21" fillId="0" borderId="8" xfId="0" applyFont="1" applyBorder="1" applyAlignment="1">
      <alignment horizontal="center" vertical="center"/>
    </xf>
    <xf numFmtId="0" fontId="28" fillId="0" borderId="33" xfId="0" applyFont="1" applyBorder="1" applyAlignment="1">
      <alignment horizontal="center" vertical="center" wrapText="1"/>
    </xf>
    <xf numFmtId="0" fontId="28" fillId="0" borderId="15" xfId="0" applyFont="1" applyBorder="1" applyAlignment="1">
      <alignment horizontal="center" vertical="center"/>
    </xf>
    <xf numFmtId="0" fontId="28" fillId="0" borderId="15" xfId="0" applyFont="1" applyBorder="1" applyAlignment="1">
      <alignment horizontal="center" vertical="center" wrapText="1"/>
    </xf>
    <xf numFmtId="0" fontId="28" fillId="0" borderId="31" xfId="0" applyFont="1" applyBorder="1" applyAlignment="1">
      <alignment horizontal="center" vertical="center"/>
    </xf>
    <xf numFmtId="0" fontId="34" fillId="0" borderId="15" xfId="0" applyFont="1" applyBorder="1" applyAlignment="1">
      <alignment horizontal="center" vertical="center"/>
    </xf>
    <xf numFmtId="0" fontId="51" fillId="0" borderId="0" xfId="0" applyFont="1"/>
    <xf numFmtId="0" fontId="28" fillId="0" borderId="7" xfId="0" applyFont="1" applyBorder="1" applyAlignment="1">
      <alignment horizontal="center" vertical="center"/>
    </xf>
    <xf numFmtId="0" fontId="34" fillId="0" borderId="2" xfId="0" applyFont="1" applyBorder="1" applyAlignment="1">
      <alignment horizontal="center" vertical="center"/>
    </xf>
    <xf numFmtId="0" fontId="50" fillId="0" borderId="32" xfId="0" applyFont="1" applyBorder="1"/>
    <xf numFmtId="0" fontId="19" fillId="0" borderId="26" xfId="0" applyFont="1" applyBorder="1"/>
    <xf numFmtId="0" fontId="19" fillId="0" borderId="25" xfId="0" applyFont="1" applyBorder="1"/>
    <xf numFmtId="0" fontId="34" fillId="0" borderId="28" xfId="0" applyFont="1" applyBorder="1"/>
    <xf numFmtId="0" fontId="34" fillId="0" borderId="30" xfId="0" applyFont="1" applyBorder="1"/>
    <xf numFmtId="10" fontId="38" fillId="0" borderId="24" xfId="2" applyNumberFormat="1" applyFont="1" applyFill="1" applyBorder="1" applyAlignment="1">
      <alignment horizontal="center"/>
    </xf>
    <xf numFmtId="0" fontId="34" fillId="0" borderId="19" xfId="0" applyFont="1" applyBorder="1"/>
    <xf numFmtId="10" fontId="38" fillId="0" borderId="25" xfId="2" applyNumberFormat="1" applyFont="1" applyFill="1" applyBorder="1" applyAlignment="1">
      <alignment horizontal="center"/>
    </xf>
    <xf numFmtId="0" fontId="34" fillId="0" borderId="21" xfId="0" applyFont="1" applyBorder="1"/>
    <xf numFmtId="0" fontId="34" fillId="0" borderId="1" xfId="0" applyFont="1" applyBorder="1"/>
    <xf numFmtId="10" fontId="38" fillId="0" borderId="26" xfId="2" applyNumberFormat="1" applyFont="1" applyFill="1" applyBorder="1" applyAlignment="1">
      <alignment horizontal="center"/>
    </xf>
    <xf numFmtId="10" fontId="38" fillId="0" borderId="25" xfId="2" applyNumberFormat="1" applyFont="1" applyBorder="1" applyAlignment="1">
      <alignment horizontal="center" vertical="center"/>
    </xf>
    <xf numFmtId="10" fontId="34" fillId="0" borderId="24" xfId="2" applyNumberFormat="1" applyFont="1" applyFill="1" applyBorder="1" applyAlignment="1">
      <alignment horizontal="center"/>
    </xf>
    <xf numFmtId="10" fontId="34" fillId="0" borderId="26" xfId="2" applyNumberFormat="1" applyFont="1" applyFill="1" applyBorder="1" applyAlignment="1">
      <alignment horizontal="center"/>
    </xf>
    <xf numFmtId="10" fontId="38" fillId="0" borderId="0" xfId="2" applyNumberFormat="1" applyFont="1" applyAlignment="1">
      <alignment horizontal="right" vertical="center"/>
    </xf>
    <xf numFmtId="43" fontId="38" fillId="0" borderId="0" xfId="1" applyFont="1" applyAlignment="1">
      <alignment horizontal="right" vertical="center"/>
    </xf>
    <xf numFmtId="43" fontId="38" fillId="0" borderId="0" xfId="1" applyFont="1" applyFill="1" applyAlignment="1">
      <alignment horizontal="right" vertical="center"/>
    </xf>
    <xf numFmtId="10" fontId="34" fillId="0" borderId="0" xfId="2" applyNumberFormat="1" applyFont="1" applyFill="1" applyAlignment="1">
      <alignment horizontal="right"/>
    </xf>
    <xf numFmtId="43" fontId="34" fillId="0" borderId="0" xfId="1" applyFont="1" applyFill="1" applyAlignment="1">
      <alignment horizontal="right"/>
    </xf>
    <xf numFmtId="43" fontId="34" fillId="0" borderId="0" xfId="1" applyFont="1" applyFill="1"/>
    <xf numFmtId="0" fontId="34" fillId="0" borderId="0" xfId="0" applyFont="1" applyAlignment="1">
      <alignment horizontal="center" vertical="center"/>
    </xf>
    <xf numFmtId="0" fontId="22" fillId="0" borderId="24" xfId="0" applyFont="1" applyBorder="1" applyAlignment="1">
      <alignment horizontal="center"/>
    </xf>
    <xf numFmtId="0" fontId="22" fillId="0" borderId="26" xfId="0" applyFont="1" applyBorder="1" applyAlignment="1">
      <alignment horizontal="center"/>
    </xf>
    <xf numFmtId="44" fontId="38" fillId="0" borderId="0" xfId="3" applyFont="1" applyAlignment="1">
      <alignment horizontal="center"/>
    </xf>
    <xf numFmtId="165" fontId="21" fillId="0" borderId="0" xfId="0" applyNumberFormat="1" applyFont="1" applyAlignment="1">
      <alignment horizontal="center"/>
    </xf>
    <xf numFmtId="0" fontId="29" fillId="0" borderId="0" xfId="0" applyFont="1"/>
    <xf numFmtId="0" fontId="33" fillId="0" borderId="0" xfId="0" applyFont="1"/>
    <xf numFmtId="0" fontId="21" fillId="0" borderId="0" xfId="0" applyFont="1" applyAlignment="1">
      <alignment horizontal="right" vertical="center"/>
    </xf>
    <xf numFmtId="0" fontId="44" fillId="0" borderId="0" xfId="0" applyFont="1"/>
    <xf numFmtId="0" fontId="0" fillId="0" borderId="33" xfId="0" applyBorder="1"/>
    <xf numFmtId="0" fontId="19" fillId="0" borderId="31" xfId="0" applyFont="1" applyBorder="1"/>
    <xf numFmtId="0" fontId="24" fillId="0" borderId="33" xfId="0" applyFont="1" applyBorder="1" applyAlignment="1">
      <alignment horizontal="right"/>
    </xf>
    <xf numFmtId="0" fontId="23" fillId="0" borderId="31" xfId="0" applyFont="1" applyBorder="1"/>
    <xf numFmtId="0" fontId="23" fillId="0" borderId="33" xfId="0" applyFont="1" applyBorder="1" applyAlignment="1">
      <alignment horizontal="right"/>
    </xf>
    <xf numFmtId="0" fontId="23" fillId="0" borderId="33" xfId="0" applyFont="1" applyBorder="1"/>
    <xf numFmtId="0" fontId="19" fillId="0" borderId="33" xfId="0" applyFont="1" applyBorder="1"/>
    <xf numFmtId="0" fontId="34" fillId="0" borderId="7" xfId="0" applyFont="1" applyBorder="1" applyAlignment="1">
      <alignment horizontal="center" vertical="center"/>
    </xf>
    <xf numFmtId="10" fontId="34" fillId="0" borderId="0" xfId="2" applyNumberFormat="1" applyFont="1" applyBorder="1" applyAlignment="1">
      <alignment horizontal="center" vertical="center"/>
    </xf>
    <xf numFmtId="10" fontId="34" fillId="0" borderId="12" xfId="2" applyNumberFormat="1" applyFont="1" applyBorder="1" applyAlignment="1">
      <alignment horizontal="center" vertical="center"/>
    </xf>
    <xf numFmtId="0" fontId="37" fillId="0" borderId="7" xfId="0" applyFont="1" applyBorder="1"/>
    <xf numFmtId="0" fontId="37" fillId="0" borderId="12" xfId="0" applyFont="1" applyBorder="1"/>
    <xf numFmtId="0" fontId="0" fillId="3" borderId="0" xfId="0" applyFill="1"/>
    <xf numFmtId="0" fontId="24" fillId="0" borderId="15" xfId="0" applyFont="1" applyBorder="1" applyAlignment="1">
      <alignment horizontal="center" vertical="center"/>
    </xf>
    <xf numFmtId="0" fontId="53" fillId="0" borderId="0" xfId="0" applyFont="1"/>
    <xf numFmtId="0" fontId="24" fillId="0" borderId="15" xfId="0" applyFont="1" applyBorder="1" applyAlignment="1">
      <alignment horizontal="right"/>
    </xf>
    <xf numFmtId="2" fontId="34" fillId="0" borderId="15" xfId="0" applyNumberFormat="1" applyFont="1" applyBorder="1" applyAlignment="1">
      <alignment horizontal="center"/>
    </xf>
    <xf numFmtId="43" fontId="34" fillId="0" borderId="0" xfId="1" applyFont="1" applyBorder="1" applyAlignment="1">
      <alignment horizontal="center" vertical="center"/>
    </xf>
    <xf numFmtId="43" fontId="34" fillId="0" borderId="0" xfId="1" applyFont="1" applyBorder="1" applyAlignment="1">
      <alignment vertical="center"/>
    </xf>
    <xf numFmtId="10" fontId="34" fillId="0" borderId="0" xfId="2" applyNumberFormat="1" applyFont="1" applyBorder="1" applyAlignment="1">
      <alignment vertical="center"/>
    </xf>
    <xf numFmtId="10" fontId="0" fillId="0" borderId="0" xfId="2" applyNumberFormat="1" applyFont="1"/>
    <xf numFmtId="10" fontId="34" fillId="0" borderId="0" xfId="2" applyNumberFormat="1" applyFont="1" applyFill="1" applyBorder="1" applyAlignment="1">
      <alignment horizontal="center" vertical="center"/>
    </xf>
    <xf numFmtId="0" fontId="34" fillId="0" borderId="29" xfId="0" applyFont="1" applyBorder="1"/>
    <xf numFmtId="0" fontId="34" fillId="0" borderId="20" xfId="0" applyFont="1" applyBorder="1"/>
    <xf numFmtId="0" fontId="34" fillId="0" borderId="22" xfId="0" applyFont="1" applyBorder="1"/>
    <xf numFmtId="0" fontId="19" fillId="0" borderId="23" xfId="0" applyFont="1" applyBorder="1"/>
    <xf numFmtId="10" fontId="28" fillId="0" borderId="3" xfId="2" applyNumberFormat="1" applyFont="1" applyBorder="1" applyAlignment="1">
      <alignment horizontal="center" vertical="center"/>
    </xf>
    <xf numFmtId="10" fontId="23" fillId="0" borderId="0" xfId="2" applyNumberFormat="1" applyFont="1" applyAlignment="1">
      <alignment horizontal="center"/>
    </xf>
    <xf numFmtId="0" fontId="54" fillId="0" borderId="0" xfId="0" applyFont="1"/>
    <xf numFmtId="0" fontId="31" fillId="0" borderId="0" xfId="0" applyFont="1"/>
    <xf numFmtId="164" fontId="21" fillId="0" borderId="0" xfId="1" applyNumberFormat="1" applyFont="1" applyFill="1" applyAlignment="1">
      <alignment horizontal="center"/>
    </xf>
    <xf numFmtId="164" fontId="21" fillId="0" borderId="0" xfId="1" applyNumberFormat="1" applyFont="1" applyFill="1" applyAlignment="1"/>
    <xf numFmtId="2" fontId="24" fillId="0" borderId="15" xfId="0" applyNumberFormat="1" applyFont="1" applyBorder="1" applyAlignment="1">
      <alignment horizontal="center"/>
    </xf>
    <xf numFmtId="10" fontId="24" fillId="0" borderId="15" xfId="2" applyNumberFormat="1" applyFont="1" applyBorder="1" applyAlignment="1">
      <alignment horizontal="center"/>
    </xf>
    <xf numFmtId="2" fontId="24" fillId="0" borderId="15" xfId="0" applyNumberFormat="1" applyFont="1" applyBorder="1" applyAlignment="1">
      <alignment horizontal="center" vertical="center"/>
    </xf>
    <xf numFmtId="10" fontId="24" fillId="0" borderId="15" xfId="2" applyNumberFormat="1" applyFont="1" applyBorder="1" applyAlignment="1">
      <alignment horizontal="center" vertical="center"/>
    </xf>
    <xf numFmtId="10" fontId="38" fillId="0" borderId="26" xfId="2" applyNumberFormat="1" applyFont="1" applyBorder="1" applyAlignment="1">
      <alignment horizontal="center" vertical="center"/>
    </xf>
    <xf numFmtId="0" fontId="21" fillId="0" borderId="0" xfId="0" applyFont="1" applyAlignment="1">
      <alignment horizontal="center" vertical="center"/>
    </xf>
    <xf numFmtId="10" fontId="28" fillId="0" borderId="0" xfId="2" applyNumberFormat="1" applyFont="1" applyBorder="1" applyAlignment="1">
      <alignment horizontal="center" vertical="center"/>
    </xf>
    <xf numFmtId="0" fontId="28" fillId="0" borderId="8" xfId="0" applyFont="1" applyBorder="1" applyAlignment="1">
      <alignment horizontal="right" vertical="center"/>
    </xf>
    <xf numFmtId="0" fontId="30" fillId="0" borderId="16" xfId="0" applyFont="1" applyBorder="1" applyAlignment="1">
      <alignment horizontal="center"/>
    </xf>
    <xf numFmtId="0" fontId="21" fillId="0" borderId="2" xfId="0" quotePrefix="1" applyFont="1" applyBorder="1" applyAlignment="1">
      <alignment horizontal="center"/>
    </xf>
    <xf numFmtId="0" fontId="6" fillId="0" borderId="0" xfId="0" applyFont="1"/>
    <xf numFmtId="0" fontId="55" fillId="0" borderId="0" xfId="0" applyFont="1" applyAlignment="1">
      <alignment horizontal="center"/>
    </xf>
    <xf numFmtId="0" fontId="37" fillId="0" borderId="0" xfId="0" applyFont="1" applyAlignment="1">
      <alignment horizontal="left"/>
    </xf>
    <xf numFmtId="0" fontId="52" fillId="0" borderId="0" xfId="0" applyFont="1" applyAlignment="1">
      <alignment horizontal="left"/>
    </xf>
    <xf numFmtId="0" fontId="56" fillId="0" borderId="0" xfId="0" applyFont="1"/>
    <xf numFmtId="0" fontId="37" fillId="0" borderId="0" xfId="0" applyFont="1" applyAlignment="1">
      <alignment horizontal="right"/>
    </xf>
    <xf numFmtId="0" fontId="37" fillId="0" borderId="2" xfId="0" applyFont="1" applyBorder="1" applyAlignment="1">
      <alignment horizontal="center"/>
    </xf>
    <xf numFmtId="0" fontId="52" fillId="0" borderId="0" xfId="0" applyFont="1"/>
    <xf numFmtId="10" fontId="28" fillId="0" borderId="9" xfId="2" applyNumberFormat="1" applyFont="1" applyFill="1" applyBorder="1" applyAlignment="1">
      <alignment horizontal="center" vertical="center"/>
    </xf>
    <xf numFmtId="43" fontId="24" fillId="0" borderId="15" xfId="1" applyFont="1" applyBorder="1" applyAlignment="1">
      <alignment horizontal="center" vertical="center"/>
    </xf>
    <xf numFmtId="167" fontId="38" fillId="0" borderId="15" xfId="1" applyNumberFormat="1" applyFont="1" applyFill="1" applyBorder="1"/>
    <xf numFmtId="15" fontId="34" fillId="0" borderId="23" xfId="0" applyNumberFormat="1" applyFont="1" applyBorder="1" applyAlignment="1">
      <alignment horizontal="center"/>
    </xf>
    <xf numFmtId="15" fontId="34" fillId="0" borderId="11" xfId="0" applyNumberFormat="1" applyFont="1" applyBorder="1" applyAlignment="1">
      <alignment horizontal="center"/>
    </xf>
    <xf numFmtId="15" fontId="34" fillId="0" borderId="12" xfId="0" applyNumberFormat="1" applyFont="1" applyBorder="1" applyAlignment="1">
      <alignment horizontal="center"/>
    </xf>
    <xf numFmtId="0" fontId="34" fillId="0" borderId="12" xfId="0" applyFont="1" applyBorder="1" applyAlignment="1">
      <alignment horizontal="center"/>
    </xf>
    <xf numFmtId="0" fontId="51" fillId="0" borderId="0" xfId="0" applyFont="1" applyAlignment="1">
      <alignment horizontal="center" vertical="center"/>
    </xf>
    <xf numFmtId="0" fontId="51" fillId="0" borderId="1" xfId="0" applyFont="1" applyBorder="1" applyAlignment="1">
      <alignment horizontal="center" vertical="center"/>
    </xf>
    <xf numFmtId="0" fontId="0" fillId="0" borderId="1" xfId="0" applyBorder="1"/>
    <xf numFmtId="0" fontId="34" fillId="0" borderId="1" xfId="0" applyFont="1" applyBorder="1" applyAlignment="1">
      <alignment horizontal="center"/>
    </xf>
    <xf numFmtId="10" fontId="38" fillId="0" borderId="1" xfId="2" applyNumberFormat="1" applyFont="1" applyFill="1" applyBorder="1" applyAlignment="1">
      <alignment horizontal="center"/>
    </xf>
    <xf numFmtId="43" fontId="38" fillId="0" borderId="1" xfId="1" applyFont="1" applyFill="1" applyBorder="1" applyAlignment="1">
      <alignment horizontal="center"/>
    </xf>
    <xf numFmtId="43" fontId="38" fillId="0" borderId="0" xfId="1" applyFont="1" applyAlignment="1">
      <alignment horizontal="center"/>
    </xf>
    <xf numFmtId="43" fontId="38" fillId="0" borderId="0" xfId="1" applyFont="1" applyFill="1" applyAlignment="1">
      <alignment horizontal="center"/>
    </xf>
    <xf numFmtId="0" fontId="51" fillId="0" borderId="0" xfId="0" applyFont="1" applyAlignment="1">
      <alignment horizontal="right"/>
    </xf>
    <xf numFmtId="43" fontId="51" fillId="0" borderId="0" xfId="0" applyNumberFormat="1" applyFont="1"/>
    <xf numFmtId="2" fontId="51" fillId="0" borderId="0" xfId="0" applyNumberFormat="1" applyFont="1"/>
    <xf numFmtId="0" fontId="34" fillId="0" borderId="5" xfId="0" applyFont="1" applyBorder="1" applyAlignment="1">
      <alignment horizontal="center"/>
    </xf>
    <xf numFmtId="0" fontId="34" fillId="0" borderId="23" xfId="0" applyFont="1" applyBorder="1" applyAlignment="1">
      <alignment horizontal="center"/>
    </xf>
    <xf numFmtId="0" fontId="34" fillId="0" borderId="6" xfId="0" applyFont="1" applyBorder="1" applyAlignment="1">
      <alignment horizontal="center"/>
    </xf>
    <xf numFmtId="164" fontId="38" fillId="0" borderId="9" xfId="1" applyNumberFormat="1" applyFont="1" applyFill="1" applyBorder="1" applyAlignment="1">
      <alignment horizontal="center"/>
    </xf>
    <xf numFmtId="164" fontId="38" fillId="0" borderId="12" xfId="1" applyNumberFormat="1" applyFont="1" applyFill="1" applyBorder="1" applyAlignment="1">
      <alignment horizontal="center"/>
    </xf>
    <xf numFmtId="168" fontId="21" fillId="0" borderId="25" xfId="0" applyNumberFormat="1" applyFont="1" applyBorder="1" applyAlignment="1">
      <alignment horizontal="center" vertical="center"/>
    </xf>
    <xf numFmtId="0" fontId="22" fillId="0" borderId="0" xfId="0" applyFont="1" applyAlignment="1">
      <alignment horizontal="center"/>
    </xf>
    <xf numFmtId="10" fontId="38" fillId="0" borderId="0" xfId="2" applyNumberFormat="1" applyFont="1" applyFill="1" applyBorder="1" applyAlignment="1">
      <alignment horizontal="center"/>
    </xf>
    <xf numFmtId="10" fontId="38" fillId="0" borderId="0" xfId="2" applyNumberFormat="1" applyFont="1" applyBorder="1" applyAlignment="1">
      <alignment horizontal="center" vertical="center"/>
    </xf>
    <xf numFmtId="10" fontId="28" fillId="0" borderId="3" xfId="2" applyNumberFormat="1" applyFont="1" applyFill="1" applyBorder="1" applyAlignment="1">
      <alignment horizontal="center" vertical="center"/>
    </xf>
    <xf numFmtId="0" fontId="24" fillId="0" borderId="18" xfId="0" applyFont="1" applyBorder="1" applyAlignment="1">
      <alignment horizontal="center" vertical="center"/>
    </xf>
    <xf numFmtId="0" fontId="28" fillId="0" borderId="31" xfId="0" applyFont="1" applyBorder="1"/>
    <xf numFmtId="0" fontId="19" fillId="0" borderId="32" xfId="0" applyFont="1" applyBorder="1"/>
    <xf numFmtId="0" fontId="34" fillId="0" borderId="31" xfId="0" applyFont="1" applyBorder="1"/>
    <xf numFmtId="0" fontId="34" fillId="0" borderId="33" xfId="0" applyFont="1" applyBorder="1"/>
    <xf numFmtId="15" fontId="34" fillId="0" borderId="6" xfId="0" applyNumberFormat="1" applyFont="1" applyBorder="1" applyAlignment="1">
      <alignment horizontal="center"/>
    </xf>
    <xf numFmtId="15" fontId="34" fillId="0" borderId="0" xfId="0" applyNumberFormat="1" applyFont="1" applyAlignment="1">
      <alignment horizontal="center"/>
    </xf>
    <xf numFmtId="0" fontId="59" fillId="0" borderId="0" xfId="0" applyFont="1"/>
    <xf numFmtId="0" fontId="34" fillId="0" borderId="11" xfId="0" applyFont="1" applyBorder="1" applyAlignment="1">
      <alignment horizontal="center"/>
    </xf>
    <xf numFmtId="0" fontId="35" fillId="0" borderId="34" xfId="0" applyFont="1" applyBorder="1" applyAlignment="1">
      <alignment horizontal="center"/>
    </xf>
    <xf numFmtId="10" fontId="36" fillId="0" borderId="0" xfId="2" applyNumberFormat="1" applyFont="1" applyFill="1" applyBorder="1"/>
    <xf numFmtId="0" fontId="38" fillId="2" borderId="19" xfId="0" applyFont="1" applyFill="1" applyBorder="1"/>
    <xf numFmtId="0" fontId="60" fillId="0" borderId="0" xfId="0" applyFont="1" applyAlignment="1">
      <alignment horizontal="left" vertical="top" wrapText="1"/>
    </xf>
    <xf numFmtId="0" fontId="37" fillId="0" borderId="0" xfId="0" applyFont="1" applyAlignment="1">
      <alignment horizontal="left" vertical="center"/>
    </xf>
    <xf numFmtId="0" fontId="28" fillId="0" borderId="27" xfId="0" applyFont="1" applyBorder="1" applyAlignment="1">
      <alignment horizontal="center"/>
    </xf>
    <xf numFmtId="0" fontId="37" fillId="2" borderId="25" xfId="0" applyFont="1" applyFill="1" applyBorder="1" applyAlignment="1">
      <alignment horizontal="center"/>
    </xf>
    <xf numFmtId="0" fontId="19" fillId="2" borderId="25" xfId="0" applyFont="1" applyFill="1" applyBorder="1" applyAlignment="1">
      <alignment horizontal="center"/>
    </xf>
    <xf numFmtId="0" fontId="37" fillId="2" borderId="26" xfId="0" applyFont="1" applyFill="1" applyBorder="1" applyAlignment="1">
      <alignment horizontal="center"/>
    </xf>
    <xf numFmtId="0" fontId="19" fillId="2" borderId="26" xfId="0" applyFont="1" applyFill="1" applyBorder="1" applyAlignment="1">
      <alignment horizontal="center"/>
    </xf>
    <xf numFmtId="43" fontId="24" fillId="0" borderId="0" xfId="1" applyFont="1" applyFill="1" applyBorder="1" applyAlignment="1">
      <alignment horizontal="center" vertical="center"/>
    </xf>
    <xf numFmtId="0" fontId="19" fillId="2" borderId="28" xfId="0" applyFont="1" applyFill="1" applyBorder="1" applyAlignment="1">
      <alignment horizontal="center"/>
    </xf>
    <xf numFmtId="0" fontId="19" fillId="2" borderId="29" xfId="0" applyFont="1" applyFill="1" applyBorder="1" applyAlignment="1">
      <alignment horizontal="center"/>
    </xf>
    <xf numFmtId="0" fontId="19" fillId="2" borderId="20" xfId="0" applyFont="1" applyFill="1" applyBorder="1" applyAlignment="1">
      <alignment horizontal="center"/>
    </xf>
    <xf numFmtId="0" fontId="19" fillId="2" borderId="22" xfId="0" applyFont="1" applyFill="1" applyBorder="1" applyAlignment="1">
      <alignment horizontal="center"/>
    </xf>
    <xf numFmtId="0" fontId="37" fillId="2" borderId="24" xfId="0" applyFont="1" applyFill="1" applyBorder="1" applyAlignment="1">
      <alignment horizontal="center"/>
    </xf>
    <xf numFmtId="1" fontId="22" fillId="0" borderId="0" xfId="0" applyNumberFormat="1" applyFont="1" applyAlignment="1">
      <alignment horizontal="center"/>
    </xf>
    <xf numFmtId="164" fontId="22" fillId="0" borderId="0" xfId="1" applyNumberFormat="1" applyFont="1" applyFill="1" applyAlignment="1">
      <alignment horizontal="center"/>
    </xf>
    <xf numFmtId="164" fontId="22" fillId="0" borderId="1" xfId="1" applyNumberFormat="1" applyFont="1" applyFill="1" applyBorder="1" applyAlignment="1">
      <alignment horizontal="center"/>
    </xf>
    <xf numFmtId="0" fontId="40" fillId="0" borderId="13" xfId="0" applyFont="1" applyBorder="1" applyAlignment="1">
      <alignment horizontal="center"/>
    </xf>
    <xf numFmtId="0" fontId="40" fillId="0" borderId="3" xfId="0" applyFont="1" applyBorder="1" applyAlignment="1">
      <alignment horizontal="center"/>
    </xf>
    <xf numFmtId="0" fontId="35" fillId="0" borderId="35" xfId="0" applyFont="1" applyBorder="1" applyAlignment="1">
      <alignment horizontal="center"/>
    </xf>
    <xf numFmtId="0" fontId="35" fillId="0" borderId="16" xfId="0" applyFont="1" applyBorder="1" applyAlignment="1">
      <alignment horizontal="center"/>
    </xf>
    <xf numFmtId="0" fontId="0" fillId="0" borderId="8" xfId="0" applyBorder="1"/>
    <xf numFmtId="0" fontId="0" fillId="0" borderId="13" xfId="0" applyBorder="1"/>
    <xf numFmtId="0" fontId="34" fillId="0" borderId="15" xfId="0" applyFont="1" applyBorder="1" applyAlignment="1">
      <alignment horizontal="right"/>
    </xf>
    <xf numFmtId="0" fontId="34" fillId="0" borderId="8" xfId="0" applyFont="1" applyBorder="1"/>
    <xf numFmtId="164" fontId="38" fillId="0" borderId="3" xfId="1" applyNumberFormat="1" applyFont="1" applyFill="1" applyBorder="1" applyAlignment="1">
      <alignment horizontal="center"/>
    </xf>
    <xf numFmtId="2" fontId="15" fillId="0" borderId="4" xfId="0" applyNumberFormat="1" applyFont="1" applyBorder="1" applyAlignment="1">
      <alignment horizontal="center"/>
    </xf>
    <xf numFmtId="0" fontId="35" fillId="0" borderId="36" xfId="0" applyFont="1" applyBorder="1" applyAlignment="1">
      <alignment horizontal="center"/>
    </xf>
    <xf numFmtId="164" fontId="0" fillId="0" borderId="0" xfId="1" applyNumberFormat="1" applyFont="1"/>
    <xf numFmtId="164" fontId="21" fillId="0" borderId="0" xfId="0" applyNumberFormat="1" applyFont="1" applyAlignment="1">
      <alignment horizontal="right"/>
    </xf>
    <xf numFmtId="10" fontId="38" fillId="0" borderId="15" xfId="2" applyNumberFormat="1" applyFont="1" applyFill="1" applyBorder="1"/>
    <xf numFmtId="43" fontId="24" fillId="0" borderId="15" xfId="1" applyFont="1" applyFill="1" applyBorder="1" applyAlignment="1">
      <alignment horizontal="center" vertical="center"/>
    </xf>
    <xf numFmtId="0" fontId="0" fillId="0" borderId="6" xfId="0" applyBorder="1"/>
    <xf numFmtId="10" fontId="22" fillId="0" borderId="0" xfId="2" applyNumberFormat="1" applyFont="1" applyFill="1" applyAlignment="1">
      <alignment horizontal="center" vertical="center"/>
    </xf>
    <xf numFmtId="10" fontId="22" fillId="0" borderId="1" xfId="2" applyNumberFormat="1" applyFont="1" applyFill="1" applyBorder="1" applyAlignment="1">
      <alignment horizontal="center" vertical="center"/>
    </xf>
    <xf numFmtId="166" fontId="22" fillId="0" borderId="0" xfId="1" applyNumberFormat="1" applyFont="1" applyFill="1" applyAlignment="1">
      <alignment horizontal="center" vertical="center"/>
    </xf>
    <xf numFmtId="10" fontId="22" fillId="0" borderId="0" xfId="2" applyNumberFormat="1" applyFont="1" applyFill="1" applyAlignment="1">
      <alignment horizontal="right" vertical="center"/>
    </xf>
    <xf numFmtId="0" fontId="36" fillId="0" borderId="17" xfId="0" applyFont="1" applyBorder="1"/>
    <xf numFmtId="10" fontId="36" fillId="0" borderId="27" xfId="2" applyNumberFormat="1" applyFont="1" applyFill="1" applyBorder="1"/>
    <xf numFmtId="43" fontId="36" fillId="0" borderId="27" xfId="1" applyFont="1" applyFill="1" applyBorder="1"/>
    <xf numFmtId="0" fontId="36" fillId="0" borderId="27" xfId="0" applyFont="1" applyBorder="1"/>
    <xf numFmtId="2" fontId="36" fillId="0" borderId="27" xfId="0" applyNumberFormat="1" applyFont="1" applyBorder="1"/>
    <xf numFmtId="10" fontId="21" fillId="0" borderId="0" xfId="2" applyNumberFormat="1" applyFont="1" applyFill="1" applyAlignment="1">
      <alignment horizontal="right" vertical="center"/>
    </xf>
    <xf numFmtId="10" fontId="21" fillId="0" borderId="0" xfId="2" applyNumberFormat="1" applyFont="1" applyFill="1" applyBorder="1" applyAlignment="1">
      <alignment horizontal="right" vertical="center"/>
    </xf>
    <xf numFmtId="10" fontId="23" fillId="0" borderId="15" xfId="2" applyNumberFormat="1" applyFont="1" applyFill="1" applyBorder="1"/>
    <xf numFmtId="44" fontId="22" fillId="0" borderId="0" xfId="3" applyFont="1" applyFill="1" applyAlignment="1">
      <alignment horizontal="center"/>
    </xf>
    <xf numFmtId="10" fontId="23" fillId="0" borderId="15" xfId="2" applyNumberFormat="1" applyFont="1" applyFill="1" applyBorder="1" applyAlignment="1">
      <alignment horizontal="center"/>
    </xf>
    <xf numFmtId="0" fontId="62" fillId="0" borderId="0" xfId="0" applyFont="1"/>
    <xf numFmtId="0" fontId="19" fillId="0" borderId="22" xfId="0" applyFont="1" applyBorder="1"/>
    <xf numFmtId="0" fontId="0" fillId="0" borderId="32" xfId="0" applyBorder="1"/>
    <xf numFmtId="10" fontId="22" fillId="0" borderId="0" xfId="2" applyNumberFormat="1" applyFont="1" applyAlignment="1">
      <alignment horizontal="right"/>
    </xf>
    <xf numFmtId="0" fontId="15" fillId="0" borderId="0" xfId="0" applyFont="1" applyAlignment="1">
      <alignment horizontal="center"/>
    </xf>
    <xf numFmtId="3" fontId="38" fillId="0" borderId="3" xfId="0" applyNumberFormat="1" applyFont="1" applyBorder="1"/>
    <xf numFmtId="3" fontId="38" fillId="0" borderId="13" xfId="0" applyNumberFormat="1" applyFont="1" applyBorder="1"/>
    <xf numFmtId="3" fontId="38" fillId="0" borderId="9" xfId="0" applyNumberFormat="1" applyFont="1" applyBorder="1"/>
    <xf numFmtId="3" fontId="38" fillId="0" borderId="12" xfId="0" applyNumberFormat="1" applyFont="1" applyBorder="1"/>
    <xf numFmtId="164" fontId="22" fillId="0" borderId="0" xfId="1" applyNumberFormat="1" applyFont="1" applyFill="1" applyAlignment="1"/>
    <xf numFmtId="164" fontId="22" fillId="0" borderId="1" xfId="1" applyNumberFormat="1" applyFont="1" applyFill="1" applyBorder="1" applyAlignment="1"/>
    <xf numFmtId="43" fontId="22" fillId="0" borderId="1" xfId="1" applyFont="1" applyFill="1" applyBorder="1" applyAlignment="1">
      <alignment horizontal="right" vertical="center"/>
    </xf>
    <xf numFmtId="10" fontId="22" fillId="0" borderId="1" xfId="2" applyNumberFormat="1" applyFont="1" applyFill="1" applyBorder="1" applyAlignment="1">
      <alignment horizontal="right" vertical="center"/>
    </xf>
    <xf numFmtId="43" fontId="38" fillId="0" borderId="1" xfId="1" applyFont="1" applyBorder="1" applyAlignment="1">
      <alignment horizontal="right" vertical="center"/>
    </xf>
    <xf numFmtId="43" fontId="38" fillId="0" borderId="1" xfId="1" applyFont="1" applyFill="1" applyBorder="1" applyAlignment="1">
      <alignment horizontal="right" vertical="center"/>
    </xf>
    <xf numFmtId="0" fontId="21" fillId="0" borderId="1" xfId="0" applyFont="1" applyBorder="1" applyAlignment="1">
      <alignment horizontal="right"/>
    </xf>
    <xf numFmtId="10" fontId="22" fillId="0" borderId="1" xfId="2" applyNumberFormat="1" applyFont="1" applyBorder="1" applyAlignment="1">
      <alignment horizontal="right" vertical="center"/>
    </xf>
    <xf numFmtId="0" fontId="34" fillId="0" borderId="1" xfId="0" applyFont="1" applyBorder="1" applyAlignment="1">
      <alignment horizontal="right"/>
    </xf>
    <xf numFmtId="166" fontId="22" fillId="0" borderId="1" xfId="1" applyNumberFormat="1" applyFont="1" applyFill="1" applyBorder="1" applyAlignment="1">
      <alignment horizontal="center" vertical="center"/>
    </xf>
    <xf numFmtId="2" fontId="22" fillId="0" borderId="1" xfId="0" applyNumberFormat="1" applyFont="1" applyBorder="1" applyAlignment="1">
      <alignment horizontal="right" vertical="center"/>
    </xf>
    <xf numFmtId="0" fontId="28" fillId="0" borderId="8" xfId="0" applyFont="1" applyBorder="1" applyAlignment="1">
      <alignment horizontal="center" vertical="center"/>
    </xf>
    <xf numFmtId="0" fontId="19" fillId="0" borderId="0" xfId="0" applyFont="1" applyAlignment="1">
      <alignment horizontal="right"/>
    </xf>
    <xf numFmtId="10" fontId="28" fillId="0" borderId="0" xfId="2" applyNumberFormat="1" applyFont="1" applyFill="1" applyBorder="1" applyAlignment="1">
      <alignment horizontal="center" vertical="center"/>
    </xf>
    <xf numFmtId="10" fontId="28" fillId="0" borderId="2" xfId="2" applyNumberFormat="1" applyFont="1" applyBorder="1" applyAlignment="1">
      <alignment horizontal="center" vertical="center"/>
    </xf>
    <xf numFmtId="0" fontId="19" fillId="0" borderId="20" xfId="0" applyFont="1" applyBorder="1"/>
    <xf numFmtId="168" fontId="21" fillId="0" borderId="20" xfId="0" applyNumberFormat="1" applyFont="1" applyBorder="1" applyAlignment="1">
      <alignment horizontal="center" vertical="center"/>
    </xf>
    <xf numFmtId="10" fontId="28" fillId="0" borderId="0" xfId="2" applyNumberFormat="1" applyFont="1" applyAlignment="1">
      <alignment horizontal="left"/>
    </xf>
    <xf numFmtId="10" fontId="23" fillId="0" borderId="0" xfId="2" applyNumberFormat="1" applyFont="1" applyFill="1" applyAlignment="1">
      <alignment horizontal="center"/>
    </xf>
    <xf numFmtId="0" fontId="64" fillId="0" borderId="0" xfId="0" applyFont="1"/>
    <xf numFmtId="10" fontId="34" fillId="0" borderId="25" xfId="2" applyNumberFormat="1" applyFont="1" applyFill="1" applyBorder="1" applyAlignment="1">
      <alignment horizontal="center"/>
    </xf>
    <xf numFmtId="10" fontId="46" fillId="0" borderId="15" xfId="2" applyNumberFormat="1" applyFont="1" applyFill="1" applyBorder="1" applyAlignment="1">
      <alignment horizontal="center"/>
    </xf>
    <xf numFmtId="0" fontId="38" fillId="0" borderId="7" xfId="0" applyFont="1" applyBorder="1"/>
    <xf numFmtId="3" fontId="63" fillId="0" borderId="0" xfId="0" applyNumberFormat="1" applyFont="1"/>
    <xf numFmtId="0" fontId="38" fillId="0" borderId="8" xfId="0" applyFont="1" applyBorder="1"/>
    <xf numFmtId="0" fontId="22" fillId="0" borderId="3" xfId="0" applyFont="1" applyBorder="1" applyAlignment="1">
      <alignment horizontal="center"/>
    </xf>
    <xf numFmtId="3" fontId="38" fillId="0" borderId="2" xfId="0" applyNumberFormat="1" applyFont="1" applyBorder="1"/>
    <xf numFmtId="164" fontId="38" fillId="0" borderId="2" xfId="1" applyNumberFormat="1" applyFont="1" applyFill="1" applyBorder="1"/>
    <xf numFmtId="10" fontId="38" fillId="0" borderId="2" xfId="2" applyNumberFormat="1" applyFont="1" applyFill="1" applyBorder="1"/>
    <xf numFmtId="10" fontId="38" fillId="0" borderId="13" xfId="2" applyNumberFormat="1" applyFont="1" applyFill="1" applyBorder="1"/>
    <xf numFmtId="0" fontId="20" fillId="0" borderId="19" xfId="0" applyFont="1" applyBorder="1"/>
    <xf numFmtId="0" fontId="34" fillId="0" borderId="37" xfId="0" applyFont="1" applyBorder="1" applyAlignment="1">
      <alignment horizontal="center"/>
    </xf>
    <xf numFmtId="10" fontId="22" fillId="0" borderId="4" xfId="2" applyNumberFormat="1" applyFont="1" applyFill="1" applyBorder="1" applyAlignment="1">
      <alignment horizontal="center"/>
    </xf>
    <xf numFmtId="10" fontId="49" fillId="0" borderId="0" xfId="2" applyNumberFormat="1" applyFont="1" applyFill="1" applyBorder="1" applyAlignment="1">
      <alignment horizontal="center"/>
    </xf>
    <xf numFmtId="10" fontId="27" fillId="0" borderId="0" xfId="2" applyNumberFormat="1" applyFont="1" applyFill="1" applyAlignment="1">
      <alignment horizontal="center"/>
    </xf>
    <xf numFmtId="2" fontId="38" fillId="0" borderId="3" xfId="0" applyNumberFormat="1" applyFont="1" applyBorder="1" applyAlignment="1">
      <alignment horizontal="center"/>
    </xf>
    <xf numFmtId="164" fontId="38" fillId="0" borderId="13" xfId="1" applyNumberFormat="1" applyFont="1" applyFill="1" applyBorder="1" applyAlignment="1">
      <alignment horizontal="center"/>
    </xf>
    <xf numFmtId="0" fontId="66" fillId="0" borderId="3" xfId="0" applyFont="1" applyBorder="1" applyAlignment="1">
      <alignment horizontal="center"/>
    </xf>
    <xf numFmtId="3" fontId="63" fillId="0" borderId="12" xfId="0" applyNumberFormat="1" applyFont="1" applyBorder="1" applyAlignment="1">
      <alignment horizontal="right" vertical="center" wrapText="1"/>
    </xf>
    <xf numFmtId="10" fontId="34" fillId="0" borderId="1" xfId="2" applyNumberFormat="1" applyFont="1" applyFill="1" applyBorder="1"/>
    <xf numFmtId="2" fontId="22" fillId="0" borderId="0" xfId="0" applyNumberFormat="1" applyFont="1" applyAlignment="1">
      <alignment horizontal="right"/>
    </xf>
    <xf numFmtId="0" fontId="19" fillId="0" borderId="4" xfId="0" applyFont="1" applyBorder="1" applyAlignment="1">
      <alignment horizontal="right"/>
    </xf>
    <xf numFmtId="0" fontId="28" fillId="0" borderId="3" xfId="0" applyFont="1" applyBorder="1" applyAlignment="1">
      <alignment horizontal="center"/>
    </xf>
    <xf numFmtId="0" fontId="34" fillId="4" borderId="38" xfId="0" applyFont="1" applyFill="1" applyBorder="1"/>
    <xf numFmtId="10" fontId="38" fillId="4" borderId="38" xfId="2" applyNumberFormat="1" applyFont="1" applyFill="1" applyBorder="1" applyAlignment="1">
      <alignment horizontal="center"/>
    </xf>
    <xf numFmtId="0" fontId="19" fillId="0" borderId="19" xfId="0" applyFont="1" applyBorder="1"/>
    <xf numFmtId="0" fontId="34" fillId="4" borderId="19" xfId="0" applyFont="1" applyFill="1" applyBorder="1"/>
    <xf numFmtId="10" fontId="38" fillId="4" borderId="19" xfId="2" applyNumberFormat="1" applyFont="1" applyFill="1" applyBorder="1" applyAlignment="1">
      <alignment horizontal="center"/>
    </xf>
    <xf numFmtId="0" fontId="38" fillId="4" borderId="19" xfId="0" applyFont="1" applyFill="1" applyBorder="1"/>
    <xf numFmtId="10" fontId="19" fillId="0" borderId="19" xfId="2" applyNumberFormat="1" applyFont="1" applyFill="1" applyBorder="1"/>
    <xf numFmtId="10" fontId="19" fillId="0" borderId="19" xfId="0" applyNumberFormat="1" applyFont="1" applyBorder="1"/>
    <xf numFmtId="0" fontId="38" fillId="2" borderId="21" xfId="0" applyFont="1" applyFill="1" applyBorder="1"/>
    <xf numFmtId="10" fontId="38" fillId="2" borderId="26" xfId="2" applyNumberFormat="1" applyFont="1" applyFill="1" applyBorder="1" applyAlignment="1">
      <alignment horizontal="center"/>
    </xf>
    <xf numFmtId="0" fontId="38" fillId="0" borderId="17" xfId="0" applyFont="1" applyBorder="1"/>
    <xf numFmtId="10" fontId="38" fillId="0" borderId="27" xfId="2" applyNumberFormat="1" applyFont="1" applyFill="1" applyBorder="1" applyAlignment="1">
      <alignment horizontal="center"/>
    </xf>
    <xf numFmtId="2" fontId="38" fillId="0" borderId="0" xfId="0" applyNumberFormat="1" applyFont="1" applyAlignment="1">
      <alignment horizontal="right"/>
    </xf>
    <xf numFmtId="2" fontId="38" fillId="0" borderId="4" xfId="0" applyNumberFormat="1" applyFont="1" applyBorder="1" applyAlignment="1">
      <alignment horizontal="right"/>
    </xf>
    <xf numFmtId="10" fontId="67" fillId="0" borderId="0" xfId="2" applyNumberFormat="1" applyFont="1" applyFill="1" applyAlignment="1">
      <alignment horizontal="right"/>
    </xf>
    <xf numFmtId="10" fontId="21" fillId="0" borderId="0" xfId="0" applyNumberFormat="1" applyFont="1" applyAlignment="1">
      <alignment horizontal="right"/>
    </xf>
    <xf numFmtId="2" fontId="15" fillId="0" borderId="0" xfId="0" applyNumberFormat="1" applyFont="1" applyAlignment="1">
      <alignment horizontal="right"/>
    </xf>
    <xf numFmtId="0" fontId="19" fillId="0" borderId="8" xfId="0" applyFont="1" applyBorder="1"/>
    <xf numFmtId="0" fontId="19" fillId="0" borderId="13" xfId="0" applyFont="1" applyBorder="1"/>
    <xf numFmtId="10" fontId="38" fillId="2" borderId="19" xfId="2" applyNumberFormat="1" applyFont="1" applyFill="1" applyBorder="1" applyAlignment="1">
      <alignment horizontal="center"/>
    </xf>
    <xf numFmtId="0" fontId="34" fillId="4" borderId="25" xfId="0" applyFont="1" applyFill="1" applyBorder="1"/>
    <xf numFmtId="10" fontId="42" fillId="0" borderId="0" xfId="2" applyNumberFormat="1" applyFont="1" applyFill="1" applyBorder="1" applyAlignment="1">
      <alignment horizontal="center"/>
    </xf>
    <xf numFmtId="10" fontId="24" fillId="0" borderId="15" xfId="2" applyNumberFormat="1" applyFont="1" applyFill="1" applyBorder="1" applyAlignment="1">
      <alignment horizontal="center" vertical="center"/>
    </xf>
    <xf numFmtId="0" fontId="36" fillId="0" borderId="15" xfId="0" applyFont="1" applyBorder="1" applyAlignment="1">
      <alignment horizontal="center"/>
    </xf>
    <xf numFmtId="10" fontId="24" fillId="0" borderId="15" xfId="2" applyNumberFormat="1" applyFont="1" applyFill="1" applyBorder="1" applyAlignment="1">
      <alignment horizontal="center"/>
    </xf>
    <xf numFmtId="0" fontId="37" fillId="2" borderId="0" xfId="0" applyFont="1" applyFill="1" applyAlignment="1">
      <alignment horizontal="center"/>
    </xf>
    <xf numFmtId="0" fontId="19" fillId="2" borderId="39" xfId="0" applyFont="1" applyFill="1" applyBorder="1" applyAlignment="1">
      <alignment horizontal="center"/>
    </xf>
    <xf numFmtId="0" fontId="37" fillId="2" borderId="1" xfId="0" applyFont="1" applyFill="1" applyBorder="1" applyAlignment="1">
      <alignment horizontal="center"/>
    </xf>
    <xf numFmtId="0" fontId="37" fillId="2" borderId="28" xfId="0" applyFont="1" applyFill="1" applyBorder="1" applyAlignment="1">
      <alignment horizontal="center"/>
    </xf>
    <xf numFmtId="0" fontId="37" fillId="2" borderId="19" xfId="0" applyFont="1" applyFill="1" applyBorder="1" applyAlignment="1">
      <alignment horizontal="center"/>
    </xf>
    <xf numFmtId="0" fontId="37" fillId="2" borderId="21" xfId="0" applyFont="1" applyFill="1" applyBorder="1" applyAlignment="1">
      <alignment horizontal="center"/>
    </xf>
    <xf numFmtId="166" fontId="28" fillId="0" borderId="15" xfId="1" applyNumberFormat="1" applyFont="1" applyFill="1" applyBorder="1" applyAlignment="1">
      <alignment horizontal="center"/>
    </xf>
    <xf numFmtId="165" fontId="22" fillId="0" borderId="0" xfId="3" applyNumberFormat="1" applyFont="1" applyFill="1" applyAlignment="1">
      <alignment horizontal="center"/>
    </xf>
    <xf numFmtId="165" fontId="22" fillId="0" borderId="0" xfId="3" applyNumberFormat="1" applyFont="1" applyFill="1" applyAlignment="1">
      <alignment horizontal="right"/>
    </xf>
    <xf numFmtId="10" fontId="24" fillId="0" borderId="31" xfId="2" applyNumberFormat="1" applyFont="1" applyFill="1" applyBorder="1" applyAlignment="1">
      <alignment horizontal="right"/>
    </xf>
    <xf numFmtId="10" fontId="24" fillId="0" borderId="33" xfId="0" applyNumberFormat="1" applyFont="1" applyBorder="1"/>
    <xf numFmtId="10" fontId="68" fillId="0" borderId="0" xfId="2" applyNumberFormat="1" applyFont="1" applyFill="1" applyAlignment="1">
      <alignment horizontal="center"/>
    </xf>
    <xf numFmtId="10" fontId="42" fillId="0" borderId="15" xfId="2" applyNumberFormat="1" applyFont="1" applyFill="1" applyBorder="1" applyAlignment="1">
      <alignment horizontal="center"/>
    </xf>
    <xf numFmtId="0" fontId="0" fillId="0" borderId="19" xfId="0" applyBorder="1"/>
    <xf numFmtId="10" fontId="68" fillId="0" borderId="0" xfId="2" applyNumberFormat="1" applyFont="1" applyAlignment="1">
      <alignment horizontal="center"/>
    </xf>
    <xf numFmtId="0" fontId="46" fillId="0" borderId="0" xfId="0" applyFont="1"/>
    <xf numFmtId="0" fontId="22" fillId="0" borderId="28" xfId="0" applyFont="1" applyBorder="1" applyAlignment="1">
      <alignment horizontal="right"/>
    </xf>
    <xf numFmtId="0" fontId="22" fillId="0" borderId="29" xfId="0" applyFont="1" applyBorder="1" applyAlignment="1">
      <alignment horizontal="left"/>
    </xf>
    <xf numFmtId="0" fontId="22" fillId="0" borderId="19" xfId="0" applyFont="1" applyBorder="1" applyAlignment="1">
      <alignment horizontal="right"/>
    </xf>
    <xf numFmtId="0" fontId="22" fillId="0" borderId="20" xfId="0" applyFont="1" applyBorder="1" applyAlignment="1">
      <alignment horizontal="left"/>
    </xf>
    <xf numFmtId="0" fontId="22" fillId="0" borderId="21" xfId="0" applyFont="1" applyBorder="1" applyAlignment="1">
      <alignment horizontal="right"/>
    </xf>
    <xf numFmtId="0" fontId="22" fillId="0" borderId="22" xfId="0" applyFont="1" applyBorder="1" applyAlignment="1">
      <alignment horizontal="left"/>
    </xf>
    <xf numFmtId="10" fontId="28" fillId="0" borderId="15" xfId="2" applyNumberFormat="1" applyFont="1" applyFill="1" applyBorder="1" applyAlignment="1">
      <alignment horizontal="center"/>
    </xf>
    <xf numFmtId="0" fontId="47" fillId="0" borderId="0" xfId="6" applyFont="1"/>
    <xf numFmtId="0" fontId="47" fillId="0" borderId="0" xfId="6" applyFont="1" applyFill="1" applyAlignment="1" applyProtection="1"/>
    <xf numFmtId="0" fontId="69" fillId="0" borderId="0" xfId="0" applyFont="1" applyAlignment="1">
      <alignment horizontal="right"/>
    </xf>
    <xf numFmtId="0" fontId="71" fillId="0" borderId="29" xfId="0" applyFont="1" applyBorder="1" applyAlignment="1">
      <alignment horizontal="left"/>
    </xf>
    <xf numFmtId="0" fontId="71" fillId="0" borderId="20" xfId="0" applyFont="1" applyBorder="1" applyAlignment="1">
      <alignment horizontal="left"/>
    </xf>
    <xf numFmtId="0" fontId="71" fillId="0" borderId="22" xfId="0" applyFont="1" applyBorder="1" applyAlignment="1">
      <alignment horizontal="left"/>
    </xf>
    <xf numFmtId="0" fontId="70" fillId="0" borderId="7" xfId="0" applyFont="1" applyBorder="1" applyAlignment="1">
      <alignment horizontal="center" vertical="center"/>
    </xf>
    <xf numFmtId="10" fontId="70" fillId="0" borderId="0" xfId="2" applyNumberFormat="1" applyFont="1" applyFill="1" applyBorder="1" applyAlignment="1">
      <alignment horizontal="center" vertical="center"/>
    </xf>
    <xf numFmtId="0" fontId="28" fillId="2" borderId="24" xfId="0" applyFont="1" applyFill="1" applyBorder="1" applyAlignment="1">
      <alignment horizontal="center"/>
    </xf>
    <xf numFmtId="10" fontId="22" fillId="2" borderId="23" xfId="2" applyNumberFormat="1" applyFont="1" applyFill="1" applyBorder="1" applyAlignment="1">
      <alignment horizontal="center"/>
    </xf>
    <xf numFmtId="10" fontId="22" fillId="2" borderId="9" xfId="2" applyNumberFormat="1" applyFont="1" applyFill="1" applyBorder="1" applyAlignment="1">
      <alignment horizontal="center"/>
    </xf>
    <xf numFmtId="10" fontId="22" fillId="2" borderId="3" xfId="2" applyNumberFormat="1" applyFont="1" applyFill="1" applyBorder="1" applyAlignment="1">
      <alignment horizontal="center"/>
    </xf>
    <xf numFmtId="10" fontId="22" fillId="2" borderId="3" xfId="1" applyNumberFormat="1" applyFont="1" applyFill="1" applyBorder="1" applyAlignment="1">
      <alignment horizontal="center"/>
    </xf>
    <xf numFmtId="10" fontId="22" fillId="2" borderId="23" xfId="1" applyNumberFormat="1" applyFont="1" applyFill="1" applyBorder="1" applyAlignment="1">
      <alignment horizontal="center"/>
    </xf>
    <xf numFmtId="10" fontId="22" fillId="2" borderId="9" xfId="1" applyNumberFormat="1" applyFont="1" applyFill="1" applyBorder="1" applyAlignment="1">
      <alignment horizontal="center"/>
    </xf>
    <xf numFmtId="0" fontId="19" fillId="2" borderId="40" xfId="0" applyFont="1" applyFill="1" applyBorder="1" applyAlignment="1">
      <alignment horizontal="center"/>
    </xf>
    <xf numFmtId="0" fontId="62" fillId="2" borderId="23" xfId="0" applyFont="1" applyFill="1" applyBorder="1"/>
    <xf numFmtId="0" fontId="19" fillId="2" borderId="41" xfId="0" applyFont="1" applyFill="1" applyBorder="1" applyAlignment="1">
      <alignment horizontal="center"/>
    </xf>
    <xf numFmtId="0" fontId="62" fillId="2" borderId="9" xfId="0" applyFont="1" applyFill="1" applyBorder="1"/>
    <xf numFmtId="0" fontId="62" fillId="2" borderId="3" xfId="0" applyFont="1" applyFill="1" applyBorder="1"/>
    <xf numFmtId="0" fontId="62" fillId="2" borderId="15" xfId="0" applyFont="1" applyFill="1" applyBorder="1"/>
    <xf numFmtId="10" fontId="22" fillId="0" borderId="1" xfId="1" applyNumberFormat="1" applyFont="1" applyFill="1" applyBorder="1" applyAlignment="1"/>
    <xf numFmtId="10" fontId="22" fillId="0" borderId="0" xfId="1" applyNumberFormat="1" applyFont="1" applyFill="1" applyAlignment="1">
      <alignment horizontal="right"/>
    </xf>
    <xf numFmtId="0" fontId="65" fillId="2" borderId="23" xfId="0" applyFont="1" applyFill="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20" fillId="0" borderId="0" xfId="0" applyFont="1" applyAlignment="1">
      <alignment horizontal="left" vertical="top"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0000CC"/>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177799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190499</xdr:rowOff>
    </xdr:from>
    <xdr:to>
      <xdr:col>9</xdr:col>
      <xdr:colOff>447675</xdr:colOff>
      <xdr:row>41</xdr:row>
      <xdr:rowOff>161570</xdr:rowOff>
    </xdr:to>
    <xdr:pic>
      <xdr:nvPicPr>
        <xdr:cNvPr id="3" name="Picture 2">
          <a:extLst>
            <a:ext uri="{FF2B5EF4-FFF2-40B4-BE49-F238E27FC236}">
              <a16:creationId xmlns:a16="http://schemas.microsoft.com/office/drawing/2014/main" id="{E52BDF22-254E-E106-E869-EE2504ACDBCF}"/>
            </a:ext>
          </a:extLst>
        </xdr:cNvPr>
        <xdr:cNvPicPr>
          <a:picLocks noChangeAspect="1"/>
        </xdr:cNvPicPr>
      </xdr:nvPicPr>
      <xdr:blipFill>
        <a:blip xmlns:r="http://schemas.openxmlformats.org/officeDocument/2006/relationships" r:embed="rId1"/>
        <a:stretch>
          <a:fillRect/>
        </a:stretch>
      </xdr:blipFill>
      <xdr:spPr>
        <a:xfrm>
          <a:off x="0" y="190499"/>
          <a:ext cx="5934075" cy="7781571"/>
        </a:xfrm>
        <a:prstGeom prst="rect">
          <a:avLst/>
        </a:prstGeom>
      </xdr:spPr>
    </xdr:pic>
    <xdr:clientData/>
  </xdr:twoCellAnchor>
  <xdr:twoCellAnchor editAs="oneCell">
    <xdr:from>
      <xdr:col>10</xdr:col>
      <xdr:colOff>581025</xdr:colOff>
      <xdr:row>0</xdr:row>
      <xdr:rowOff>171450</xdr:rowOff>
    </xdr:from>
    <xdr:to>
      <xdr:col>20</xdr:col>
      <xdr:colOff>381000</xdr:colOff>
      <xdr:row>41</xdr:row>
      <xdr:rowOff>96310</xdr:rowOff>
    </xdr:to>
    <xdr:pic>
      <xdr:nvPicPr>
        <xdr:cNvPr id="6" name="Picture 5">
          <a:extLst>
            <a:ext uri="{FF2B5EF4-FFF2-40B4-BE49-F238E27FC236}">
              <a16:creationId xmlns:a16="http://schemas.microsoft.com/office/drawing/2014/main" id="{B9A73875-C5A7-AEA4-99B1-8258F09D7E6E}"/>
            </a:ext>
          </a:extLst>
        </xdr:cNvPr>
        <xdr:cNvPicPr>
          <a:picLocks noChangeAspect="1"/>
        </xdr:cNvPicPr>
      </xdr:nvPicPr>
      <xdr:blipFill>
        <a:blip xmlns:r="http://schemas.openxmlformats.org/officeDocument/2006/relationships" r:embed="rId2"/>
        <a:stretch>
          <a:fillRect/>
        </a:stretch>
      </xdr:blipFill>
      <xdr:spPr>
        <a:xfrm>
          <a:off x="6677025" y="171450"/>
          <a:ext cx="5895975" cy="77353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philadelphiafed.org/research-and-data/real-time-center/livingston-survey" TargetMode="External"/><Relationship Id="rId13" Type="http://schemas.openxmlformats.org/officeDocument/2006/relationships/hyperlink" Target="https://www.federalreserve.gov/monetarypolicy/files/fomcprojtabl20231213.pdf" TargetMode="External"/><Relationship Id="rId3" Type="http://schemas.openxmlformats.org/officeDocument/2006/relationships/hyperlink" Target="http://www.worldbank.org/en/publication/global-economic-prospects" TargetMode="External"/><Relationship Id="rId7" Type="http://schemas.openxmlformats.org/officeDocument/2006/relationships/hyperlink" Target="https://www.philadelphiafed.org/surveys-and-data/real-time-data-research/survey-of-professional-forecasters" TargetMode="External"/><Relationship Id="rId12" Type="http://schemas.openxmlformats.org/officeDocument/2006/relationships/hyperlink" Target="https://www.federalreserve.gov/monetarypolicy/files/fomcprojtabl20231213.pdf" TargetMode="External"/><Relationship Id="rId2" Type="http://schemas.openxmlformats.org/officeDocument/2006/relationships/hyperlink" Target="http://www.federalreserve.gov/" TargetMode="External"/><Relationship Id="rId16" Type="http://schemas.openxmlformats.org/officeDocument/2006/relationships/printerSettings" Target="../printerSettings/printerSettings14.bin"/><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s://www.cbo.gov/about/products/budget-economic-data" TargetMode="External"/><Relationship Id="rId11" Type="http://schemas.openxmlformats.org/officeDocument/2006/relationships/hyperlink" Target="https://www.cbo.gov/system/files/2021-02/56970-Outlook.p" TargetMode="External"/><Relationship Id="rId5" Type="http://schemas.openxmlformats.org/officeDocument/2006/relationships/hyperlink" Target="https://www.philadelphiafed.org/research-and-data/real-time-center/livingston-survey" TargetMode="External"/><Relationship Id="rId15" Type="http://schemas.openxmlformats.org/officeDocument/2006/relationships/hyperlink" Target="https://www.cbo.gov/publication/59933" TargetMode="External"/><Relationship Id="rId10" Type="http://schemas.openxmlformats.org/officeDocument/2006/relationships/hyperlink" Target="https://www.federalreserve.gov/datadownload/Preview.aspx?pi=400&amp;rel=H15&amp;preview=%20H15/H15/RIFLGFCY05_N.WF" TargetMode="External"/><Relationship Id="rId4" Type="http://schemas.openxmlformats.org/officeDocument/2006/relationships/hyperlink" Target="https://www.cbo.gov/publication/59933" TargetMode="External"/><Relationship Id="rId9" Type="http://schemas.openxmlformats.org/officeDocument/2006/relationships/hyperlink" Target="http://www.federalreserve.gov/Releases/H15/Current/" TargetMode="External"/><Relationship Id="rId14" Type="http://schemas.openxmlformats.org/officeDocument/2006/relationships/hyperlink" Target="https://www.philadelphiafed.org/-/media/frbp/assets/surveys-and-data/survey-of-professional-forecasters/2024/spfq124.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zoomScale="60" zoomScaleNormal="100" workbookViewId="0">
      <selection activeCell="A10" sqref="A10"/>
    </sheetView>
  </sheetViews>
  <sheetFormatPr defaultRowHeight="15"/>
  <cols>
    <col min="5" max="5" width="12.28515625" customWidth="1"/>
    <col min="9" max="9" width="16.42578125" customWidth="1"/>
  </cols>
  <sheetData>
    <row r="1" spans="1:13" ht="18.75">
      <c r="A1" s="461" t="s">
        <v>0</v>
      </c>
      <c r="B1" s="462"/>
      <c r="C1" s="462"/>
      <c r="D1" s="462"/>
      <c r="E1" s="462"/>
      <c r="F1" s="462"/>
      <c r="G1" s="462"/>
      <c r="H1" s="462"/>
      <c r="I1" s="462"/>
    </row>
    <row r="5" spans="1:13" ht="27">
      <c r="E5" s="463" t="s">
        <v>0</v>
      </c>
      <c r="F5" s="464"/>
      <c r="G5" s="464"/>
      <c r="H5" s="464"/>
      <c r="I5" s="464"/>
      <c r="J5" s="464"/>
      <c r="K5" s="464"/>
      <c r="L5" s="464"/>
      <c r="M5" s="464"/>
    </row>
    <row r="7" spans="1:13" ht="27">
      <c r="A7" s="465" t="s">
        <v>31</v>
      </c>
      <c r="B7" s="466"/>
      <c r="C7" s="466"/>
      <c r="D7" s="466"/>
      <c r="E7" s="466"/>
      <c r="F7" s="466"/>
      <c r="G7" s="466"/>
      <c r="H7" s="466"/>
      <c r="I7" s="466"/>
    </row>
    <row r="8" spans="1:13" ht="27">
      <c r="A8" s="6"/>
      <c r="B8" s="7"/>
      <c r="C8" s="7"/>
      <c r="D8" s="7"/>
      <c r="E8" s="463" t="s">
        <v>0</v>
      </c>
      <c r="F8" s="464"/>
      <c r="G8" s="464"/>
      <c r="H8" s="464"/>
      <c r="I8" s="464"/>
      <c r="J8" s="464"/>
      <c r="K8" s="464"/>
      <c r="L8" s="464"/>
      <c r="M8" s="464"/>
    </row>
    <row r="9" spans="1:13" ht="27">
      <c r="A9" s="463" t="s">
        <v>466</v>
      </c>
      <c r="B9" s="464"/>
      <c r="C9" s="464"/>
      <c r="D9" s="464"/>
      <c r="E9" s="464"/>
      <c r="F9" s="464"/>
      <c r="G9" s="464"/>
      <c r="H9" s="464"/>
      <c r="I9" s="464"/>
    </row>
    <row r="15" spans="1:13">
      <c r="A15" s="458" t="s">
        <v>0</v>
      </c>
      <c r="B15" s="459"/>
      <c r="C15" s="459"/>
      <c r="D15" s="459"/>
      <c r="E15" s="459"/>
      <c r="F15" s="459"/>
      <c r="G15" s="459"/>
      <c r="H15" s="459"/>
      <c r="I15" s="459"/>
    </row>
    <row r="16" spans="1:13" ht="33.75">
      <c r="A16" s="456" t="str">
        <f>+'S&amp;D'!A12</f>
        <v>Natural Gas Transmission Pipeline Carrier</v>
      </c>
      <c r="B16" s="457"/>
      <c r="C16" s="457"/>
      <c r="D16" s="457"/>
      <c r="E16" s="457"/>
      <c r="F16" s="457"/>
      <c r="G16" s="457"/>
      <c r="H16" s="457"/>
      <c r="I16" s="457"/>
    </row>
    <row r="17" spans="1:9">
      <c r="A17" s="458" t="s">
        <v>0</v>
      </c>
      <c r="B17" s="459"/>
      <c r="C17" s="459"/>
      <c r="D17" s="459"/>
      <c r="E17" s="459"/>
      <c r="F17" s="459"/>
      <c r="G17" s="459"/>
      <c r="H17" s="459"/>
      <c r="I17" s="459"/>
    </row>
    <row r="18" spans="1:9">
      <c r="A18" s="8"/>
      <c r="B18" s="9"/>
      <c r="C18" s="9"/>
      <c r="D18" s="9"/>
      <c r="E18" s="9"/>
      <c r="F18" s="9"/>
      <c r="G18" s="9"/>
      <c r="H18" s="9"/>
      <c r="I18" s="9"/>
    </row>
    <row r="19" spans="1:9">
      <c r="A19" s="8"/>
      <c r="B19" s="9"/>
      <c r="C19" s="9"/>
      <c r="D19" s="9"/>
      <c r="E19" s="9"/>
      <c r="F19" s="9"/>
      <c r="G19" s="9"/>
      <c r="H19" s="9"/>
      <c r="I19" s="9"/>
    </row>
    <row r="20" spans="1:9">
      <c r="A20" s="8"/>
      <c r="B20" s="9"/>
      <c r="C20" s="9"/>
      <c r="D20" s="9"/>
      <c r="E20" s="9"/>
      <c r="F20" s="9"/>
      <c r="G20" s="9"/>
      <c r="H20" s="9"/>
      <c r="I20" s="9"/>
    </row>
    <row r="21" spans="1:9">
      <c r="A21" s="8"/>
      <c r="B21" s="9"/>
      <c r="C21" s="9"/>
      <c r="D21" s="9"/>
      <c r="E21" s="9"/>
      <c r="F21" s="9"/>
      <c r="G21" s="9"/>
      <c r="H21" s="9"/>
      <c r="I21" s="9"/>
    </row>
    <row r="22" spans="1:9">
      <c r="A22" s="8"/>
      <c r="B22" s="9"/>
      <c r="C22" s="9"/>
      <c r="D22" s="9"/>
      <c r="E22" s="9"/>
      <c r="F22" s="9"/>
      <c r="G22" s="9"/>
      <c r="H22" s="9"/>
      <c r="I22" s="9"/>
    </row>
    <row r="23" spans="1:9">
      <c r="A23" s="8"/>
      <c r="B23" s="9"/>
      <c r="C23" s="9"/>
      <c r="D23" s="9"/>
      <c r="E23" s="9"/>
      <c r="F23" s="9"/>
      <c r="G23" s="9"/>
      <c r="H23" s="9"/>
      <c r="I23" s="9"/>
    </row>
    <row r="24" spans="1:9">
      <c r="A24" s="8"/>
      <c r="B24" s="9"/>
      <c r="C24" s="9"/>
      <c r="D24" s="9"/>
      <c r="E24" s="9"/>
      <c r="F24" s="9"/>
      <c r="G24" s="9"/>
      <c r="H24" s="9"/>
      <c r="I24" s="9"/>
    </row>
    <row r="25" spans="1:9">
      <c r="A25" s="8"/>
      <c r="B25" s="9"/>
      <c r="C25" s="9"/>
      <c r="D25" s="9"/>
      <c r="E25" s="9"/>
      <c r="F25" s="9"/>
      <c r="G25" s="9"/>
      <c r="H25" s="9"/>
      <c r="I25" s="9"/>
    </row>
    <row r="26" spans="1:9">
      <c r="A26" s="8"/>
      <c r="B26" s="9"/>
      <c r="C26" s="9"/>
      <c r="D26" s="9"/>
      <c r="E26" s="9"/>
      <c r="F26" s="9"/>
      <c r="G26" s="9"/>
      <c r="H26" s="9"/>
      <c r="I26" s="9"/>
    </row>
    <row r="27" spans="1:9">
      <c r="A27" s="8"/>
      <c r="B27" s="9"/>
      <c r="C27" s="9"/>
      <c r="D27" s="9"/>
      <c r="E27" s="9"/>
      <c r="F27" s="9"/>
      <c r="G27" s="9"/>
      <c r="H27" s="9"/>
      <c r="I27" s="9"/>
    </row>
    <row r="28" spans="1:9">
      <c r="A28" s="8"/>
      <c r="B28" s="9"/>
      <c r="C28" s="9"/>
      <c r="D28" s="9"/>
      <c r="E28" s="9"/>
      <c r="F28" s="9"/>
      <c r="G28" s="9"/>
      <c r="H28" s="9"/>
      <c r="I28" s="9"/>
    </row>
    <row r="29" spans="1:9">
      <c r="A29" s="458" t="s">
        <v>0</v>
      </c>
      <c r="B29" s="459"/>
      <c r="C29" s="459"/>
      <c r="D29" s="459"/>
      <c r="E29" s="459"/>
      <c r="F29" s="459"/>
      <c r="G29" s="459"/>
      <c r="H29" s="459"/>
      <c r="I29" s="459"/>
    </row>
    <row r="34" spans="1:9">
      <c r="A34" s="460"/>
      <c r="B34" s="460"/>
      <c r="C34" s="460"/>
      <c r="D34" s="460"/>
      <c r="E34" s="460"/>
      <c r="F34" s="460"/>
      <c r="G34" s="460"/>
      <c r="H34" s="460"/>
      <c r="I34" s="460"/>
    </row>
    <row r="35" spans="1:9">
      <c r="A35" s="460"/>
      <c r="B35" s="460"/>
      <c r="C35" s="460"/>
      <c r="D35" s="460"/>
      <c r="E35" s="460"/>
      <c r="F35" s="460"/>
      <c r="G35" s="460"/>
      <c r="H35" s="460"/>
      <c r="I35" s="460"/>
    </row>
    <row r="36" spans="1:9">
      <c r="A36" s="460"/>
      <c r="B36" s="460"/>
      <c r="C36" s="460"/>
      <c r="D36" s="460"/>
      <c r="E36" s="460"/>
      <c r="F36" s="460"/>
      <c r="G36" s="460"/>
      <c r="H36" s="460"/>
      <c r="I36" s="460"/>
    </row>
    <row r="37" spans="1:9">
      <c r="A37" s="460"/>
      <c r="B37" s="460"/>
      <c r="C37" s="460"/>
      <c r="D37" s="460"/>
      <c r="E37" s="460"/>
      <c r="F37" s="460"/>
      <c r="G37" s="460"/>
      <c r="H37" s="460"/>
      <c r="I37" s="460"/>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L36"/>
  <sheetViews>
    <sheetView view="pageBreakPreview" topLeftCell="A10" zoomScale="70" zoomScaleNormal="80" zoomScaleSheetLayoutView="70" workbookViewId="0">
      <selection activeCell="J34" sqref="J34"/>
    </sheetView>
  </sheetViews>
  <sheetFormatPr defaultRowHeight="15"/>
  <cols>
    <col min="1" max="1" width="48.28515625" customWidth="1"/>
    <col min="2" max="2" width="10.85546875" bestFit="1" customWidth="1"/>
    <col min="3" max="3" width="23" customWidth="1"/>
    <col min="4" max="4" width="21.7109375" customWidth="1"/>
    <col min="5" max="5" width="24.140625" customWidth="1"/>
    <col min="6" max="6" width="22.28515625" customWidth="1"/>
    <col min="7" max="7" width="23.85546875" customWidth="1"/>
    <col min="8" max="8" width="22.7109375" customWidth="1"/>
    <col min="9" max="9" width="15" customWidth="1"/>
    <col min="10" max="10" width="14.140625" bestFit="1" customWidth="1"/>
    <col min="12" max="12" width="14.85546875" bestFit="1" customWidth="1"/>
  </cols>
  <sheetData>
    <row r="1" spans="1:11" ht="26.25">
      <c r="A1" s="22" t="s">
        <v>1</v>
      </c>
      <c r="B1" s="11"/>
      <c r="C1" s="11"/>
      <c r="D1" s="11"/>
      <c r="E1" s="11"/>
      <c r="F1" s="11"/>
      <c r="G1" s="11"/>
      <c r="H1" s="11"/>
      <c r="I1" s="11"/>
      <c r="J1" s="11"/>
      <c r="K1" s="11"/>
    </row>
    <row r="2" spans="1:11" ht="17.25">
      <c r="A2" s="23" t="s">
        <v>9</v>
      </c>
      <c r="B2" s="11"/>
      <c r="C2" s="11"/>
      <c r="D2" s="11"/>
      <c r="E2" s="11"/>
      <c r="F2" s="11"/>
      <c r="G2" s="11"/>
      <c r="H2" s="11"/>
      <c r="I2" s="11"/>
      <c r="J2" s="11"/>
      <c r="K2" s="11"/>
    </row>
    <row r="3" spans="1:11" ht="16.5">
      <c r="A3" s="24" t="s">
        <v>467</v>
      </c>
      <c r="B3" s="11"/>
      <c r="C3" s="11"/>
      <c r="D3" s="11"/>
      <c r="E3" s="11"/>
      <c r="F3" s="11"/>
      <c r="G3" s="11"/>
      <c r="H3" s="11"/>
      <c r="I3" s="11"/>
      <c r="J3" s="11"/>
      <c r="K3" s="11"/>
    </row>
    <row r="4" spans="1:11" ht="16.5">
      <c r="A4" s="24"/>
      <c r="B4" s="11"/>
      <c r="C4" s="11"/>
      <c r="D4" s="11"/>
      <c r="E4" s="11"/>
      <c r="F4" s="11"/>
      <c r="G4" s="11"/>
      <c r="H4" s="11"/>
      <c r="I4" s="11"/>
      <c r="J4" s="11"/>
      <c r="K4" s="11"/>
    </row>
    <row r="5" spans="1:11" ht="17.25" thickBot="1">
      <c r="A5" s="11"/>
      <c r="B5" s="11"/>
      <c r="C5" s="11"/>
      <c r="D5" s="11"/>
      <c r="E5" s="11"/>
      <c r="F5" s="25" t="s">
        <v>0</v>
      </c>
      <c r="G5" s="25"/>
      <c r="H5" s="11"/>
      <c r="I5" s="11"/>
      <c r="J5" s="11"/>
      <c r="K5" s="11"/>
    </row>
    <row r="6" spans="1:11" ht="21" thickBot="1">
      <c r="A6" s="275" t="str">
        <f>+'S&amp;D'!A12</f>
        <v>Natural Gas Transmission Pipeline Carrier</v>
      </c>
      <c r="B6" s="202"/>
      <c r="C6" s="11"/>
      <c r="D6" s="27"/>
      <c r="E6" s="27"/>
      <c r="F6" s="27"/>
      <c r="G6" s="11"/>
      <c r="H6" s="11"/>
      <c r="I6" s="11"/>
      <c r="J6" s="11"/>
      <c r="K6" s="11"/>
    </row>
    <row r="7" spans="1:11" ht="26.25">
      <c r="A7" s="29"/>
      <c r="B7" s="11"/>
      <c r="C7" s="11"/>
      <c r="D7" s="11"/>
      <c r="E7" s="30" t="s">
        <v>193</v>
      </c>
      <c r="F7" s="11"/>
      <c r="G7" s="11"/>
      <c r="H7" s="11"/>
      <c r="I7" s="11"/>
      <c r="J7" s="11"/>
      <c r="K7" s="11"/>
    </row>
    <row r="8" spans="1:11" ht="17.25" thickBot="1">
      <c r="A8" s="39" t="s">
        <v>0</v>
      </c>
      <c r="B8" s="39" t="s">
        <v>0</v>
      </c>
      <c r="C8" s="39" t="s">
        <v>0</v>
      </c>
      <c r="D8" s="32" t="s">
        <v>0</v>
      </c>
      <c r="E8" s="31" t="s">
        <v>468</v>
      </c>
      <c r="F8" s="32" t="s">
        <v>0</v>
      </c>
      <c r="G8" s="39"/>
      <c r="H8" s="39" t="s">
        <v>0</v>
      </c>
      <c r="I8" s="39" t="s">
        <v>0</v>
      </c>
      <c r="J8" s="11"/>
      <c r="K8" s="11"/>
    </row>
    <row r="9" spans="1:11" ht="16.5">
      <c r="A9" s="39"/>
      <c r="B9" s="39"/>
      <c r="H9" s="39"/>
      <c r="I9" s="39"/>
      <c r="J9" s="11"/>
      <c r="K9" s="11"/>
    </row>
    <row r="10" spans="1:11" ht="16.5">
      <c r="A10" s="39"/>
      <c r="B10" s="39"/>
      <c r="E10" s="12" t="s">
        <v>0</v>
      </c>
      <c r="H10" s="39"/>
      <c r="I10" s="39"/>
      <c r="J10" s="11"/>
      <c r="K10" s="11"/>
    </row>
    <row r="11" spans="1:11" ht="16.5">
      <c r="A11" s="39"/>
      <c r="B11" s="39"/>
      <c r="E11" t="s">
        <v>0</v>
      </c>
      <c r="H11" s="39"/>
      <c r="I11" s="39"/>
      <c r="J11" s="11"/>
      <c r="K11" s="11"/>
    </row>
    <row r="12" spans="1:11" ht="17.25" thickBot="1">
      <c r="A12" s="32"/>
      <c r="B12" s="32"/>
      <c r="C12" s="154"/>
      <c r="D12" s="154"/>
      <c r="E12" s="154"/>
      <c r="F12" s="154"/>
      <c r="G12" s="154"/>
      <c r="H12" s="32"/>
      <c r="I12" s="32"/>
      <c r="J12" s="27"/>
      <c r="K12" s="11"/>
    </row>
    <row r="13" spans="1:11" ht="11.25" customHeight="1" thickBot="1">
      <c r="A13" s="32" t="s">
        <v>24</v>
      </c>
      <c r="B13" s="32" t="s">
        <v>89</v>
      </c>
      <c r="C13" s="32" t="s">
        <v>90</v>
      </c>
      <c r="D13" s="40" t="s">
        <v>91</v>
      </c>
      <c r="E13" s="32" t="s">
        <v>92</v>
      </c>
      <c r="F13" s="32" t="s">
        <v>93</v>
      </c>
      <c r="G13" s="32" t="s">
        <v>94</v>
      </c>
      <c r="H13" s="32" t="s">
        <v>95</v>
      </c>
      <c r="I13" s="32" t="s">
        <v>96</v>
      </c>
      <c r="J13" s="32" t="s">
        <v>97</v>
      </c>
      <c r="K13" s="11"/>
    </row>
    <row r="14" spans="1:11" ht="16.5">
      <c r="A14" s="33" t="s">
        <v>0</v>
      </c>
      <c r="B14" s="33" t="s">
        <v>3</v>
      </c>
      <c r="C14" s="33" t="s">
        <v>84</v>
      </c>
      <c r="D14" s="33" t="s">
        <v>117</v>
      </c>
      <c r="E14" s="33" t="s">
        <v>118</v>
      </c>
      <c r="F14" s="33" t="s">
        <v>117</v>
      </c>
      <c r="G14" s="33" t="s">
        <v>118</v>
      </c>
      <c r="H14" s="33" t="s">
        <v>19</v>
      </c>
      <c r="I14" s="33" t="s">
        <v>119</v>
      </c>
      <c r="J14" s="33" t="s">
        <v>131</v>
      </c>
      <c r="K14" s="11"/>
    </row>
    <row r="15" spans="1:11" ht="17.25" thickBot="1">
      <c r="A15" s="35" t="s">
        <v>2</v>
      </c>
      <c r="B15" s="35" t="s">
        <v>4</v>
      </c>
      <c r="C15" s="35" t="s">
        <v>116</v>
      </c>
      <c r="D15" s="35" t="s">
        <v>83</v>
      </c>
      <c r="E15" s="35" t="s">
        <v>83</v>
      </c>
      <c r="F15" s="35" t="s">
        <v>84</v>
      </c>
      <c r="G15" s="35" t="s">
        <v>84</v>
      </c>
      <c r="H15" s="35" t="s">
        <v>117</v>
      </c>
      <c r="I15" s="35" t="s">
        <v>120</v>
      </c>
      <c r="J15" s="35" t="s">
        <v>130</v>
      </c>
      <c r="K15" s="11"/>
    </row>
    <row r="16" spans="1:11" ht="16.5">
      <c r="A16" s="41" t="s">
        <v>7</v>
      </c>
      <c r="B16" s="41" t="s">
        <v>7</v>
      </c>
      <c r="C16" s="41" t="s">
        <v>133</v>
      </c>
      <c r="D16" s="41" t="s">
        <v>133</v>
      </c>
      <c r="E16" s="41" t="s">
        <v>133</v>
      </c>
      <c r="F16" s="41" t="s">
        <v>133</v>
      </c>
      <c r="G16" s="41" t="s">
        <v>133</v>
      </c>
      <c r="H16" s="41" t="s">
        <v>122</v>
      </c>
      <c r="I16" s="41" t="s">
        <v>121</v>
      </c>
      <c r="J16" s="41" t="s">
        <v>99</v>
      </c>
      <c r="K16" s="11"/>
    </row>
    <row r="17" spans="1:12" ht="16.5">
      <c r="A17" s="33"/>
      <c r="B17" s="33"/>
      <c r="C17" s="33"/>
      <c r="D17" s="33"/>
      <c r="E17" s="33"/>
      <c r="F17" s="33"/>
      <c r="G17" s="33"/>
      <c r="H17" s="33"/>
      <c r="I17" s="33"/>
      <c r="J17" s="33"/>
      <c r="K17" s="11"/>
    </row>
    <row r="18" spans="1:12" ht="16.5">
      <c r="A18" s="11"/>
      <c r="B18" s="11"/>
      <c r="C18" s="11"/>
      <c r="D18" s="11"/>
      <c r="E18" s="11"/>
      <c r="F18" s="11"/>
      <c r="G18" s="11"/>
      <c r="H18" s="11"/>
      <c r="I18" s="11"/>
      <c r="J18" s="11"/>
      <c r="K18" s="11"/>
    </row>
    <row r="19" spans="1:12" ht="17.25">
      <c r="A19" s="61" t="str">
        <f>+'S&amp;D'!A22</f>
        <v>Enbridge Inc</v>
      </c>
      <c r="B19" s="88" t="str">
        <f>+'S&amp;D'!B22</f>
        <v>ENB.TO</v>
      </c>
      <c r="C19" s="416">
        <f>3812000000*0.7453</f>
        <v>2841083600</v>
      </c>
      <c r="D19" s="417">
        <v>53946321003.783104</v>
      </c>
      <c r="E19" s="137">
        <v>58203309600</v>
      </c>
      <c r="F19" s="137">
        <f>+'S&amp;D'!G38</f>
        <v>57920474582.142845</v>
      </c>
      <c r="G19" s="137">
        <f>+'S&amp;D'!J22</f>
        <v>60219494700</v>
      </c>
      <c r="H19" s="191">
        <f t="shared" ref="H19:H23" si="0">(D19+F19)/2</f>
        <v>55933397792.962975</v>
      </c>
      <c r="I19" s="64">
        <f t="shared" ref="I19:I23" si="1">C19/H19</f>
        <v>5.079404634984358E-2</v>
      </c>
      <c r="J19" s="44">
        <f t="shared" ref="J19:J23" si="2">F19/G19</f>
        <v>0.96182266009852202</v>
      </c>
      <c r="L19" s="11" t="s">
        <v>511</v>
      </c>
    </row>
    <row r="20" spans="1:12" ht="17.25">
      <c r="A20" s="61" t="str">
        <f>+'S&amp;D'!A23</f>
        <v>Energy Transfer LP</v>
      </c>
      <c r="B20" s="88" t="str">
        <f>+'S&amp;D'!B23</f>
        <v>ET</v>
      </c>
      <c r="C20" s="416">
        <v>2578000000</v>
      </c>
      <c r="D20" s="417">
        <v>45421882304.185661</v>
      </c>
      <c r="E20" s="137">
        <v>48262000000</v>
      </c>
      <c r="F20" s="137">
        <f>+'S&amp;D'!G39</f>
        <v>51928017560.603172</v>
      </c>
      <c r="G20" s="137">
        <f>+'S&amp;D'!J23</f>
        <v>52388000000</v>
      </c>
      <c r="H20" s="191">
        <f t="shared" si="0"/>
        <v>48674949932.394417</v>
      </c>
      <c r="I20" s="64">
        <f t="shared" si="1"/>
        <v>5.2963588120391175E-2</v>
      </c>
      <c r="J20" s="44">
        <f t="shared" si="2"/>
        <v>0.99121969841572821</v>
      </c>
      <c r="K20" s="11"/>
      <c r="L20" t="s">
        <v>0</v>
      </c>
    </row>
    <row r="21" spans="1:12" ht="17.25">
      <c r="A21" s="61" t="str">
        <f>+'S&amp;D'!A24</f>
        <v>Enlink Midstream LLC</v>
      </c>
      <c r="B21" s="88" t="str">
        <f>+'S&amp;D'!B24</f>
        <v>ENLC</v>
      </c>
      <c r="C21" s="416">
        <v>271700000</v>
      </c>
      <c r="D21" s="417">
        <v>4385899999.999999</v>
      </c>
      <c r="E21" s="137">
        <v>4723500000</v>
      </c>
      <c r="F21" s="137">
        <f>+'S&amp;D'!G40</f>
        <v>4332140558.9966955</v>
      </c>
      <c r="G21" s="137">
        <f>+'S&amp;D'!J24</f>
        <v>4471000000</v>
      </c>
      <c r="H21" s="191">
        <f t="shared" si="0"/>
        <v>4359020279.4983473</v>
      </c>
      <c r="I21" s="64">
        <f t="shared" si="1"/>
        <v>6.2330519836734571E-2</v>
      </c>
      <c r="J21" s="44">
        <f t="shared" si="2"/>
        <v>0.96894219615224686</v>
      </c>
      <c r="K21" s="11"/>
    </row>
    <row r="22" spans="1:12" ht="17.25">
      <c r="A22" s="61" t="str">
        <f>+'S&amp;D'!A25</f>
        <v>Enterprise Products Partnership LP</v>
      </c>
      <c r="B22" s="88" t="str">
        <f>+'S&amp;D'!B25</f>
        <v>EPD</v>
      </c>
      <c r="C22" s="416">
        <v>1269000000</v>
      </c>
      <c r="D22" s="417">
        <v>24899600000</v>
      </c>
      <c r="E22" s="137">
        <v>28295000000</v>
      </c>
      <c r="F22" s="137">
        <f>+'S&amp;D'!G41</f>
        <v>27413271428.571426</v>
      </c>
      <c r="G22" s="137">
        <f>+'S&amp;D'!J25</f>
        <v>28748000000</v>
      </c>
      <c r="H22" s="191">
        <f t="shared" si="0"/>
        <v>26156435714.285713</v>
      </c>
      <c r="I22" s="64">
        <f t="shared" si="1"/>
        <v>4.8515784561079071E-2</v>
      </c>
      <c r="J22" s="44">
        <f t="shared" si="2"/>
        <v>0.95357142857142851</v>
      </c>
      <c r="K22" s="11"/>
    </row>
    <row r="23" spans="1:12" ht="17.25">
      <c r="A23" s="61" t="str">
        <f>+'S&amp;D'!A26</f>
        <v>Kinder Morgan Inc</v>
      </c>
      <c r="B23" s="88" t="str">
        <f>+'S&amp;D'!B26</f>
        <v>KMI</v>
      </c>
      <c r="C23" s="416">
        <v>1797000000</v>
      </c>
      <c r="D23" s="417">
        <v>29944137637.415009</v>
      </c>
      <c r="E23" s="137">
        <v>31673000000</v>
      </c>
      <c r="F23" s="137">
        <f>+'S&amp;D'!G42</f>
        <v>31319055716.329041</v>
      </c>
      <c r="G23" s="137">
        <f>+'S&amp;D'!J26</f>
        <v>32116000000</v>
      </c>
      <c r="H23" s="191">
        <f t="shared" si="0"/>
        <v>30631596676.872025</v>
      </c>
      <c r="I23" s="64">
        <f t="shared" si="1"/>
        <v>5.8664914498459717E-2</v>
      </c>
      <c r="J23" s="44">
        <f t="shared" si="2"/>
        <v>0.97518544390114092</v>
      </c>
      <c r="K23" s="11"/>
    </row>
    <row r="24" spans="1:12" ht="17.25">
      <c r="A24" s="61" t="str">
        <f>+'S&amp;D'!A27</f>
        <v>ONEOK Inc</v>
      </c>
      <c r="B24" s="88" t="str">
        <f>+'S&amp;D'!B27</f>
        <v>OKE</v>
      </c>
      <c r="C24" s="416">
        <v>866000000</v>
      </c>
      <c r="D24" s="417">
        <v>12719455279.411764</v>
      </c>
      <c r="E24" s="137">
        <v>13620834000</v>
      </c>
      <c r="F24" s="137">
        <f>+'S&amp;D'!G43</f>
        <v>21367456221.198154</v>
      </c>
      <c r="G24" s="137">
        <f>+'S&amp;D'!J27</f>
        <v>21667000000</v>
      </c>
      <c r="H24" s="191">
        <f t="shared" ref="H24:H26" si="3">(D24+F24)/2</f>
        <v>17043455750.304958</v>
      </c>
      <c r="I24" s="64">
        <f t="shared" ref="I24:I26" si="4">C24/H24</f>
        <v>5.0811291599974065E-2</v>
      </c>
      <c r="J24" s="44">
        <f t="shared" ref="J24:J26" si="5">F24/G24</f>
        <v>0.98617511520737322</v>
      </c>
      <c r="K24" s="11"/>
    </row>
    <row r="25" spans="1:12" ht="17.25">
      <c r="A25" s="61" t="str">
        <f>+'S&amp;D'!A28</f>
        <v>TC Energy Corp</v>
      </c>
      <c r="B25" s="88" t="str">
        <f>+'S&amp;D'!B28</f>
        <v>TRP</v>
      </c>
      <c r="C25" s="416">
        <f>3263000000*0.7453</f>
        <v>2431913900</v>
      </c>
      <c r="D25" s="417">
        <v>34017224129.15694</v>
      </c>
      <c r="E25" s="137">
        <v>30613036700</v>
      </c>
      <c r="F25" s="137">
        <f>+'S&amp;D'!G44</f>
        <v>40179995199.964531</v>
      </c>
      <c r="G25" s="137">
        <f>+'S&amp;D'!J28</f>
        <v>39436804200</v>
      </c>
      <c r="H25" s="191">
        <f t="shared" si="3"/>
        <v>37098609664.560738</v>
      </c>
      <c r="I25" s="64">
        <f t="shared" si="4"/>
        <v>6.5552696502347338E-2</v>
      </c>
      <c r="J25" s="44">
        <f t="shared" si="5"/>
        <v>1.0188451122001547</v>
      </c>
      <c r="L25" s="11" t="s">
        <v>511</v>
      </c>
    </row>
    <row r="26" spans="1:12" ht="17.25">
      <c r="A26" s="61" t="str">
        <f>+'S&amp;D'!A29</f>
        <v>Williams Companys Inc</v>
      </c>
      <c r="B26" s="88" t="str">
        <f>+'S&amp;D'!B29</f>
        <v>WMB</v>
      </c>
      <c r="C26" s="416">
        <v>1236000000</v>
      </c>
      <c r="D26" s="417">
        <v>26453198394.931362</v>
      </c>
      <c r="E26" s="137">
        <v>22554000000</v>
      </c>
      <c r="F26" s="137">
        <f>+'S&amp;D'!G45</f>
        <v>25874001839.314365</v>
      </c>
      <c r="G26" s="137">
        <f>+'S&amp;D'!J29</f>
        <v>25713000000</v>
      </c>
      <c r="H26" s="191">
        <f t="shared" si="3"/>
        <v>26163600117.122864</v>
      </c>
      <c r="I26" s="64">
        <f t="shared" si="4"/>
        <v>4.7241205127236875E-2</v>
      </c>
      <c r="J26" s="44">
        <f t="shared" si="5"/>
        <v>1.0062614957147888</v>
      </c>
      <c r="K26" s="11"/>
      <c r="L26" t="s">
        <v>0</v>
      </c>
    </row>
    <row r="27" spans="1:12" ht="17.25" thickBot="1">
      <c r="A27" s="11"/>
      <c r="B27" s="11"/>
      <c r="C27" s="45"/>
      <c r="D27" s="45"/>
      <c r="E27" s="45"/>
      <c r="F27" s="45"/>
      <c r="G27" s="45" t="s">
        <v>45</v>
      </c>
      <c r="H27" s="45"/>
      <c r="I27" s="45" t="s">
        <v>45</v>
      </c>
      <c r="J27" s="45"/>
      <c r="K27" s="11"/>
    </row>
    <row r="28" spans="1:12" ht="17.25" thickTop="1">
      <c r="A28" s="11"/>
      <c r="B28" s="11"/>
      <c r="C28" s="46" t="s">
        <v>0</v>
      </c>
      <c r="D28" s="46" t="s">
        <v>0</v>
      </c>
      <c r="E28" s="33" t="s">
        <v>0</v>
      </c>
      <c r="F28" s="33"/>
      <c r="G28" s="46" t="s">
        <v>0</v>
      </c>
      <c r="H28" s="13" t="s">
        <v>46</v>
      </c>
      <c r="I28" s="318">
        <f>MAX(I19:I26)</f>
        <v>6.5552696502347338E-2</v>
      </c>
      <c r="J28" s="320">
        <f>MAX(J19:J26)</f>
        <v>1.0188451122001547</v>
      </c>
      <c r="K28" s="11"/>
    </row>
    <row r="29" spans="1:12" ht="16.5">
      <c r="A29" s="192" t="s">
        <v>72</v>
      </c>
      <c r="B29" s="11"/>
      <c r="C29" s="46"/>
      <c r="D29" s="46" t="s">
        <v>0</v>
      </c>
      <c r="F29" s="33"/>
      <c r="G29" s="33" t="s">
        <v>0</v>
      </c>
      <c r="H29" s="347" t="s">
        <v>47</v>
      </c>
      <c r="I29" s="319">
        <f>MIN(I19:I26)</f>
        <v>4.7241205127236875E-2</v>
      </c>
      <c r="J29" s="350">
        <f>MIN(J19:J26)</f>
        <v>0.95357142857142851</v>
      </c>
      <c r="K29" s="11"/>
    </row>
    <row r="30" spans="1:12" ht="16.5">
      <c r="A30" s="193" t="s">
        <v>270</v>
      </c>
      <c r="B30" s="11"/>
      <c r="C30" s="11"/>
      <c r="D30" s="11"/>
      <c r="E30" s="11"/>
      <c r="F30" s="11"/>
      <c r="G30" s="11"/>
      <c r="H30" s="13" t="s">
        <v>18</v>
      </c>
      <c r="I30" s="54">
        <f>MEDIAN(I19:I26)</f>
        <v>5.188743986018262E-2</v>
      </c>
      <c r="J30" s="47">
        <f>MEDIAN(J19:J26)</f>
        <v>0.98068027955425707</v>
      </c>
      <c r="K30" s="11"/>
    </row>
    <row r="31" spans="1:12" ht="16.5">
      <c r="A31" s="193" t="s">
        <v>238</v>
      </c>
      <c r="B31" s="11"/>
      <c r="C31" s="11"/>
      <c r="D31" s="11"/>
      <c r="E31" s="11"/>
      <c r="F31" s="11"/>
      <c r="G31" s="11"/>
      <c r="H31" s="13" t="s">
        <v>428</v>
      </c>
      <c r="I31" s="54">
        <f>AVERAGE(I19:I26)</f>
        <v>5.4609255824508304E-2</v>
      </c>
      <c r="J31" s="47">
        <f>AVERAGE(J19:J26)</f>
        <v>0.98275289378267294</v>
      </c>
      <c r="K31" s="11"/>
    </row>
    <row r="32" spans="1:12" ht="16.5">
      <c r="A32" s="193"/>
      <c r="B32" s="11"/>
      <c r="C32" s="11"/>
      <c r="D32" s="11"/>
      <c r="E32" s="11"/>
      <c r="F32" s="11"/>
      <c r="G32" s="11"/>
      <c r="H32" s="13" t="s">
        <v>427</v>
      </c>
      <c r="I32" s="54">
        <f>HARMEAN(I19:I26)</f>
        <v>5.391813357538263E-2</v>
      </c>
      <c r="J32" s="47">
        <f>HARMEAN(J19:J26)</f>
        <v>0.98231358750849218</v>
      </c>
      <c r="K32" s="11"/>
    </row>
    <row r="33" spans="1:11" ht="17.25" thickBot="1">
      <c r="A33" s="11"/>
      <c r="B33" s="11"/>
      <c r="C33" s="11"/>
      <c r="D33" s="11"/>
      <c r="E33" s="11"/>
      <c r="F33" s="11"/>
      <c r="G33" s="11"/>
      <c r="H33" s="11"/>
      <c r="I33" s="11"/>
      <c r="J33" s="12"/>
      <c r="K33" s="11"/>
    </row>
    <row r="34" spans="1:11" ht="27" thickBot="1">
      <c r="A34" s="11"/>
      <c r="B34" s="11"/>
      <c r="C34" s="11"/>
      <c r="D34" s="11"/>
      <c r="E34" s="11"/>
      <c r="F34" s="11"/>
      <c r="G34" s="197"/>
      <c r="H34" s="198" t="s">
        <v>245</v>
      </c>
      <c r="I34" s="408">
        <v>5.4600000000000003E-2</v>
      </c>
      <c r="J34" s="415">
        <v>0.98280000000000001</v>
      </c>
      <c r="K34" s="11"/>
    </row>
    <row r="35" spans="1:11" ht="16.5">
      <c r="A35" s="11"/>
      <c r="B35" s="11"/>
      <c r="C35" s="11"/>
      <c r="D35" s="11"/>
      <c r="E35" s="11"/>
      <c r="F35" s="11"/>
      <c r="G35" s="11"/>
      <c r="H35" s="11"/>
      <c r="I35" s="11"/>
      <c r="J35" s="11"/>
      <c r="K35" s="11"/>
    </row>
    <row r="36" spans="1:11" ht="16.5">
      <c r="A36" s="11"/>
      <c r="B36" s="11"/>
      <c r="C36" s="11"/>
      <c r="D36" s="11"/>
      <c r="E36" s="11"/>
      <c r="F36" s="11"/>
      <c r="G36" s="11"/>
      <c r="H36" s="11"/>
      <c r="I36" s="11"/>
      <c r="J36" s="11"/>
      <c r="K36" s="11"/>
    </row>
  </sheetData>
  <pageMargins left="0.25" right="0.25" top="0.75" bottom="0.75" header="0.3" footer="0.3"/>
  <pageSetup scale="56"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60"/>
  <sheetViews>
    <sheetView view="pageBreakPreview" topLeftCell="A13" zoomScale="60" zoomScaleNormal="80" workbookViewId="0">
      <selection activeCell="J31" sqref="J31"/>
    </sheetView>
  </sheetViews>
  <sheetFormatPr defaultRowHeight="15"/>
  <cols>
    <col min="1" max="1" width="41.42578125" customWidth="1"/>
    <col min="2" max="2" width="13.42578125" customWidth="1"/>
    <col min="3" max="3" width="29.42578125" customWidth="1"/>
    <col min="4" max="4" width="20.7109375" customWidth="1"/>
    <col min="5" max="5" width="21.85546875" customWidth="1"/>
    <col min="6" max="6" width="16.140625" customWidth="1"/>
    <col min="7" max="7" width="12.140625" customWidth="1"/>
    <col min="8" max="8" width="18.5703125" customWidth="1"/>
    <col min="9" max="9" width="19.28515625" customWidth="1"/>
    <col min="10" max="11" width="20.5703125" customWidth="1"/>
    <col min="12" max="12" width="26.5703125" customWidth="1"/>
    <col min="13" max="13" width="10.85546875" customWidth="1"/>
  </cols>
  <sheetData>
    <row r="1" spans="1:13" ht="26.25">
      <c r="A1" s="22" t="s">
        <v>1</v>
      </c>
      <c r="B1" s="11"/>
      <c r="C1" s="11"/>
      <c r="D1" s="11"/>
      <c r="E1" s="11"/>
      <c r="F1" s="11"/>
      <c r="G1" s="11"/>
      <c r="H1" s="11"/>
      <c r="I1" s="11"/>
      <c r="J1" s="11"/>
      <c r="K1" s="11"/>
      <c r="L1" s="11"/>
      <c r="M1" s="11"/>
    </row>
    <row r="2" spans="1:13" ht="17.25">
      <c r="A2" s="23" t="s">
        <v>9</v>
      </c>
      <c r="B2" s="11"/>
      <c r="C2" s="11"/>
      <c r="D2" s="11"/>
      <c r="E2" s="11"/>
      <c r="F2" s="11"/>
      <c r="G2" s="11"/>
      <c r="H2" s="11"/>
      <c r="I2" s="11"/>
      <c r="J2" s="11"/>
      <c r="K2" s="11"/>
      <c r="L2" s="11"/>
      <c r="M2" s="11"/>
    </row>
    <row r="3" spans="1:13" ht="16.5">
      <c r="A3" s="24" t="s">
        <v>467</v>
      </c>
      <c r="B3" s="11"/>
      <c r="C3" s="11"/>
      <c r="D3" s="11"/>
      <c r="E3" s="11"/>
      <c r="F3" s="11"/>
      <c r="G3" s="11"/>
      <c r="H3" s="11"/>
      <c r="I3" s="11"/>
      <c r="J3" s="11"/>
      <c r="K3" s="11"/>
      <c r="L3" s="11"/>
      <c r="M3" s="11"/>
    </row>
    <row r="4" spans="1:13" ht="16.5">
      <c r="A4" s="24"/>
      <c r="B4" s="11"/>
      <c r="C4" s="11"/>
      <c r="D4" s="11"/>
      <c r="E4" s="11"/>
      <c r="F4" s="11"/>
      <c r="G4" s="11"/>
      <c r="H4" s="11"/>
      <c r="I4" s="11"/>
      <c r="J4" s="11"/>
      <c r="K4" s="11"/>
      <c r="L4" s="11"/>
      <c r="M4" s="11"/>
    </row>
    <row r="5" spans="1:13" ht="17.25" thickBot="1">
      <c r="A5" s="11"/>
      <c r="B5" s="11"/>
      <c r="C5" s="11"/>
      <c r="D5" s="11"/>
      <c r="E5" s="11"/>
      <c r="F5" s="11"/>
      <c r="G5" s="25"/>
      <c r="H5" s="25"/>
      <c r="I5" s="11"/>
      <c r="J5" s="11"/>
      <c r="K5" s="11"/>
      <c r="L5" s="11"/>
      <c r="M5" s="11"/>
    </row>
    <row r="6" spans="1:13" ht="21" thickBot="1">
      <c r="A6" s="275" t="str">
        <f>+'S&amp;D'!A12</f>
        <v>Natural Gas Transmission Pipeline Carrier</v>
      </c>
      <c r="B6" s="202"/>
      <c r="C6" s="11"/>
      <c r="D6" s="27"/>
      <c r="E6" s="27"/>
      <c r="F6" s="28" t="s">
        <v>0</v>
      </c>
      <c r="G6" s="11"/>
      <c r="H6" s="11"/>
      <c r="I6" s="11"/>
      <c r="J6" s="11"/>
      <c r="K6" s="11"/>
      <c r="L6" s="11"/>
      <c r="M6" s="11"/>
    </row>
    <row r="7" spans="1:13" ht="26.25">
      <c r="A7" s="29"/>
      <c r="B7" s="11"/>
      <c r="C7" s="11"/>
      <c r="D7" s="11"/>
      <c r="E7" s="30" t="s">
        <v>129</v>
      </c>
      <c r="F7" s="11"/>
      <c r="G7" s="11"/>
      <c r="H7" s="11"/>
      <c r="I7" s="11"/>
      <c r="J7" s="11"/>
      <c r="K7" s="11"/>
      <c r="L7" s="11"/>
      <c r="M7" s="11"/>
    </row>
    <row r="8" spans="1:13" ht="21" thickBot="1">
      <c r="A8" s="29"/>
      <c r="B8" s="11"/>
      <c r="C8" s="11"/>
      <c r="D8" s="27"/>
      <c r="E8" s="35" t="s">
        <v>468</v>
      </c>
      <c r="F8" s="27"/>
      <c r="G8" s="11"/>
      <c r="H8" s="11"/>
      <c r="I8" s="11"/>
      <c r="J8" s="11"/>
      <c r="K8" s="11"/>
      <c r="L8" s="11"/>
      <c r="M8" s="11"/>
    </row>
    <row r="9" spans="1:13" ht="17.25" thickBot="1">
      <c r="A9" s="32" t="s">
        <v>0</v>
      </c>
      <c r="B9" s="32" t="s">
        <v>0</v>
      </c>
      <c r="C9" s="32" t="s">
        <v>0</v>
      </c>
      <c r="D9" s="32" t="s">
        <v>0</v>
      </c>
      <c r="E9" s="32" t="s">
        <v>0</v>
      </c>
      <c r="F9" s="32" t="s">
        <v>0</v>
      </c>
      <c r="G9" s="32"/>
      <c r="H9" s="32"/>
      <c r="I9" s="32" t="s">
        <v>0</v>
      </c>
      <c r="J9" s="27"/>
      <c r="L9" s="11"/>
      <c r="M9" s="11"/>
    </row>
    <row r="10" spans="1:13" ht="16.5">
      <c r="A10" s="33" t="s">
        <v>0</v>
      </c>
      <c r="B10" s="33" t="s">
        <v>3</v>
      </c>
      <c r="C10" s="33" t="s">
        <v>5</v>
      </c>
      <c r="D10" s="33" t="s">
        <v>21</v>
      </c>
      <c r="E10" s="33" t="s">
        <v>20</v>
      </c>
      <c r="F10" s="33" t="s">
        <v>51</v>
      </c>
      <c r="G10" s="33" t="s">
        <v>132</v>
      </c>
      <c r="H10" s="33" t="s">
        <v>48</v>
      </c>
      <c r="I10" s="33" t="s">
        <v>132</v>
      </c>
      <c r="J10" s="33" t="s">
        <v>48</v>
      </c>
      <c r="L10" s="11"/>
      <c r="M10" s="11"/>
    </row>
    <row r="11" spans="1:13" ht="17.25" thickBot="1">
      <c r="A11" s="35" t="s">
        <v>2</v>
      </c>
      <c r="B11" s="35" t="s">
        <v>4</v>
      </c>
      <c r="C11" s="35" t="s">
        <v>6</v>
      </c>
      <c r="D11" s="35" t="s">
        <v>23</v>
      </c>
      <c r="E11" s="35" t="s">
        <v>22</v>
      </c>
      <c r="F11" s="35" t="s">
        <v>49</v>
      </c>
      <c r="G11" s="35" t="s">
        <v>49</v>
      </c>
      <c r="H11" s="35" t="s">
        <v>49</v>
      </c>
      <c r="I11" s="35" t="s">
        <v>49</v>
      </c>
      <c r="J11" s="35" t="s">
        <v>50</v>
      </c>
      <c r="L11" s="11"/>
      <c r="M11" s="11"/>
    </row>
    <row r="12" spans="1:13" ht="16.5">
      <c r="A12" s="37" t="s">
        <v>7</v>
      </c>
      <c r="B12" s="37" t="s">
        <v>7</v>
      </c>
      <c r="C12" s="37" t="s">
        <v>7</v>
      </c>
      <c r="D12" s="37" t="s">
        <v>7</v>
      </c>
      <c r="E12" s="37" t="s">
        <v>7</v>
      </c>
      <c r="F12" s="37" t="s">
        <v>0</v>
      </c>
      <c r="G12" s="37" t="s">
        <v>0</v>
      </c>
      <c r="H12" s="37" t="s">
        <v>0</v>
      </c>
      <c r="I12" s="37" t="s">
        <v>0</v>
      </c>
      <c r="J12" s="37" t="s">
        <v>0</v>
      </c>
      <c r="L12" s="11"/>
      <c r="M12" s="11"/>
    </row>
    <row r="13" spans="1:13" ht="16.5">
      <c r="A13" s="33"/>
      <c r="B13" s="33"/>
      <c r="C13" s="33"/>
      <c r="D13" s="33"/>
      <c r="E13" s="33"/>
      <c r="F13" s="33"/>
      <c r="G13" s="33"/>
      <c r="H13" s="33"/>
      <c r="I13" s="33"/>
      <c r="J13" s="33"/>
      <c r="L13" s="11"/>
      <c r="M13" s="11"/>
    </row>
    <row r="14" spans="1:13" ht="16.5">
      <c r="A14" s="11"/>
      <c r="B14" s="11"/>
      <c r="C14" s="11"/>
      <c r="D14" s="11"/>
      <c r="E14" s="11"/>
      <c r="F14" s="11"/>
      <c r="G14" s="11"/>
      <c r="H14" s="11"/>
      <c r="I14" s="11"/>
      <c r="J14" s="11"/>
      <c r="L14" s="11"/>
      <c r="M14" s="11"/>
    </row>
    <row r="15" spans="1:13" ht="17.25">
      <c r="A15" s="61" t="str">
        <f>+'S&amp;D'!A22</f>
        <v>Enbridge Inc</v>
      </c>
      <c r="B15" s="88" t="str">
        <f>+'S&amp;D'!B22</f>
        <v>ENB.TO</v>
      </c>
      <c r="C15" s="33" t="str">
        <f>+'S&amp;D'!C22</f>
        <v>Oil &amp; Gas Distribution</v>
      </c>
      <c r="D15" s="64">
        <f>+'Beta for CAPM'!D18</f>
        <v>0.15</v>
      </c>
      <c r="E15" s="33" t="str">
        <f>+'Beta for CAPM'!G18</f>
        <v>B++</v>
      </c>
      <c r="F15" s="33" t="s">
        <v>329</v>
      </c>
      <c r="G15" s="299">
        <v>10</v>
      </c>
      <c r="H15" s="60" t="s">
        <v>53</v>
      </c>
      <c r="I15" s="299">
        <v>10</v>
      </c>
      <c r="J15" s="64">
        <v>5.6800000000000003E-2</v>
      </c>
      <c r="L15" s="11"/>
      <c r="M15" s="11"/>
    </row>
    <row r="16" spans="1:13" ht="17.25">
      <c r="A16" s="61" t="str">
        <f>+'S&amp;D'!A23</f>
        <v>Energy Transfer LP</v>
      </c>
      <c r="B16" s="88" t="str">
        <f>+'S&amp;D'!B23</f>
        <v>ET</v>
      </c>
      <c r="C16" s="33" t="str">
        <f>+'S&amp;D'!C23</f>
        <v>Pipeline MLPs</v>
      </c>
      <c r="D16" s="375" t="str">
        <f>+'Beta for CAPM'!D19</f>
        <v>nmf</v>
      </c>
      <c r="E16" s="33" t="str">
        <f>+'Beta for CAPM'!G19</f>
        <v>B+</v>
      </c>
      <c r="F16" s="33" t="s">
        <v>331</v>
      </c>
      <c r="G16" s="299">
        <v>12</v>
      </c>
      <c r="H16" s="60" t="s">
        <v>59</v>
      </c>
      <c r="I16" s="299">
        <v>12</v>
      </c>
      <c r="J16" s="64">
        <v>5.6800000000000003E-2</v>
      </c>
      <c r="L16" s="11"/>
      <c r="M16" s="11"/>
    </row>
    <row r="17" spans="1:13" ht="17.25">
      <c r="A17" s="61" t="str">
        <f>+'S&amp;D'!A24</f>
        <v>Enlink Midstream LLC</v>
      </c>
      <c r="B17" s="88" t="str">
        <f>+'S&amp;D'!B24</f>
        <v>ENLC</v>
      </c>
      <c r="C17" s="33" t="str">
        <f>+'S&amp;D'!C24</f>
        <v>Oil &amp; Gas Distribution</v>
      </c>
      <c r="D17" s="375" t="str">
        <f>+'Beta for CAPM'!D20</f>
        <v>nil</v>
      </c>
      <c r="E17" s="33" t="str">
        <f>+'Beta for CAPM'!G20</f>
        <v>C+</v>
      </c>
      <c r="F17" s="270" t="s">
        <v>332</v>
      </c>
      <c r="G17" s="299">
        <v>13</v>
      </c>
      <c r="H17" s="60" t="s">
        <v>57</v>
      </c>
      <c r="I17" s="299">
        <v>13</v>
      </c>
      <c r="J17" s="64">
        <v>6.9000000000000006E-2</v>
      </c>
      <c r="L17" s="11"/>
      <c r="M17" s="11"/>
    </row>
    <row r="18" spans="1:13" ht="17.25">
      <c r="A18" s="61" t="str">
        <f>+'S&amp;D'!A25</f>
        <v>Enterprise Products Partnership LP</v>
      </c>
      <c r="B18" s="88" t="str">
        <f>+'S&amp;D'!B25</f>
        <v>EPD</v>
      </c>
      <c r="C18" s="33" t="str">
        <f>+'S&amp;D'!C25</f>
        <v>Pipeline MLPs</v>
      </c>
      <c r="D18" s="64">
        <f>+'Beta for CAPM'!D21</f>
        <v>1.4999999999999999E-2</v>
      </c>
      <c r="E18" s="33" t="str">
        <f>+'Beta for CAPM'!G21</f>
        <v>B++</v>
      </c>
      <c r="F18" s="33" t="s">
        <v>329</v>
      </c>
      <c r="G18" s="299">
        <v>10</v>
      </c>
      <c r="H18" s="60" t="s">
        <v>57</v>
      </c>
      <c r="I18" s="299">
        <v>13</v>
      </c>
      <c r="J18" s="64">
        <v>6.9000000000000006E-2</v>
      </c>
      <c r="L18" s="11"/>
      <c r="M18" s="11"/>
    </row>
    <row r="19" spans="1:13" ht="17.25">
      <c r="A19" s="61" t="str">
        <f>+'S&amp;D'!A26</f>
        <v>Kinder Morgan Inc</v>
      </c>
      <c r="B19" s="88" t="str">
        <f>+'S&amp;D'!B26</f>
        <v>KMI</v>
      </c>
      <c r="C19" s="33" t="str">
        <f>+'S&amp;D'!C26</f>
        <v>Oil &amp; Gas Distribution</v>
      </c>
      <c r="D19" s="64">
        <f>+'Beta for CAPM'!D22</f>
        <v>0.21</v>
      </c>
      <c r="E19" s="33" t="str">
        <f>+'Beta for CAPM'!G22</f>
        <v>B+</v>
      </c>
      <c r="F19" s="33" t="s">
        <v>330</v>
      </c>
      <c r="G19" s="299">
        <v>11</v>
      </c>
      <c r="H19" s="60" t="s">
        <v>54</v>
      </c>
      <c r="I19" s="299">
        <v>11</v>
      </c>
      <c r="J19" s="64">
        <v>5.6800000000000003E-2</v>
      </c>
      <c r="L19" s="11"/>
      <c r="M19" s="11"/>
    </row>
    <row r="20" spans="1:13" ht="17.25">
      <c r="A20" s="61" t="str">
        <f>+'S&amp;D'!A27</f>
        <v>ONEOK Inc</v>
      </c>
      <c r="B20" s="88" t="str">
        <f>+'S&amp;D'!B27</f>
        <v>OKE</v>
      </c>
      <c r="C20" s="33" t="str">
        <f>+'S&amp;D'!C27</f>
        <v>Oil &amp; Gas Distribution</v>
      </c>
      <c r="D20" s="64">
        <f>+'Beta for CAPM'!D23</f>
        <v>0.22</v>
      </c>
      <c r="E20" s="33" t="str">
        <f>+'Beta for CAPM'!G23</f>
        <v>B+</v>
      </c>
      <c r="F20" s="33" t="s">
        <v>330</v>
      </c>
      <c r="G20" s="299">
        <v>11</v>
      </c>
      <c r="H20" s="60" t="s">
        <v>59</v>
      </c>
      <c r="I20" s="299">
        <v>12</v>
      </c>
      <c r="J20" s="64">
        <v>5.6800000000000003E-2</v>
      </c>
      <c r="L20" s="11"/>
      <c r="M20" s="11"/>
    </row>
    <row r="21" spans="1:13" ht="17.25">
      <c r="A21" s="61" t="str">
        <f>+'S&amp;D'!A28</f>
        <v>TC Energy Corp</v>
      </c>
      <c r="B21" s="88" t="str">
        <f>+'S&amp;D'!B28</f>
        <v>TRP</v>
      </c>
      <c r="C21" s="33" t="str">
        <f>+'S&amp;D'!C28</f>
        <v>Oil &amp; Gas Distribution</v>
      </c>
      <c r="D21" s="64">
        <f>+'Beta for CAPM'!D24</f>
        <v>0.24</v>
      </c>
      <c r="E21" s="33" t="str">
        <f>+'Beta for CAPM'!G24</f>
        <v>B++</v>
      </c>
      <c r="F21" s="33" t="s">
        <v>329</v>
      </c>
      <c r="G21" s="299">
        <v>10</v>
      </c>
      <c r="H21" s="60" t="s">
        <v>54</v>
      </c>
      <c r="I21" s="299">
        <v>11</v>
      </c>
      <c r="J21" s="64">
        <v>5.6800000000000003E-2</v>
      </c>
      <c r="L21" s="11"/>
      <c r="M21" s="11"/>
    </row>
    <row r="22" spans="1:13" ht="17.25">
      <c r="A22" s="61" t="str">
        <f>+'S&amp;D'!A29</f>
        <v>Williams Companys Inc</v>
      </c>
      <c r="B22" s="88" t="str">
        <f>+'S&amp;D'!B29</f>
        <v>WMB</v>
      </c>
      <c r="C22" s="33" t="str">
        <f>+'S&amp;D'!C29</f>
        <v>Oil &amp; Gas Distribution</v>
      </c>
      <c r="D22" s="64">
        <f>+'Beta for CAPM'!D25</f>
        <v>0.21</v>
      </c>
      <c r="E22" s="33" t="str">
        <f>+'Beta for CAPM'!G25</f>
        <v>B+</v>
      </c>
      <c r="F22" s="33" t="s">
        <v>330</v>
      </c>
      <c r="G22" s="299">
        <v>11</v>
      </c>
      <c r="H22" s="60" t="s">
        <v>54</v>
      </c>
      <c r="I22" s="299">
        <v>11</v>
      </c>
      <c r="J22" s="64">
        <v>5.6800000000000003E-2</v>
      </c>
      <c r="L22" s="11"/>
      <c r="M22" s="11"/>
    </row>
    <row r="23" spans="1:13" ht="17.25" thickBot="1">
      <c r="A23" s="11"/>
      <c r="B23" s="11"/>
      <c r="C23" s="42"/>
      <c r="D23" s="45"/>
      <c r="E23" s="45"/>
      <c r="F23" s="45"/>
      <c r="G23" s="45"/>
      <c r="H23" s="45" t="s">
        <v>45</v>
      </c>
      <c r="I23" s="45"/>
      <c r="J23" s="45"/>
      <c r="L23" s="11"/>
      <c r="M23" s="11"/>
    </row>
    <row r="24" spans="1:13" ht="17.25" thickTop="1">
      <c r="A24" s="11"/>
      <c r="B24" s="11"/>
      <c r="E24" s="13" t="s">
        <v>46</v>
      </c>
      <c r="G24" s="300">
        <f>MAX(G15:G22)</f>
        <v>13</v>
      </c>
      <c r="H24" s="318" t="s">
        <v>0</v>
      </c>
      <c r="I24" s="341">
        <f>MAX(I15:I22)</f>
        <v>13</v>
      </c>
      <c r="J24" s="318">
        <f>MAX(J15:J22)</f>
        <v>6.9000000000000006E-2</v>
      </c>
      <c r="L24" s="11"/>
      <c r="M24" s="11"/>
    </row>
    <row r="25" spans="1:13" ht="16.5">
      <c r="A25" s="11"/>
      <c r="B25" s="11"/>
      <c r="E25" s="347" t="s">
        <v>47</v>
      </c>
      <c r="F25" s="255"/>
      <c r="G25" s="301">
        <f>MIN(G15:G22)</f>
        <v>10</v>
      </c>
      <c r="H25" s="319" t="s">
        <v>0</v>
      </c>
      <c r="I25" s="342">
        <f>MIN(I15:I22)</f>
        <v>10</v>
      </c>
      <c r="J25" s="319">
        <f>MIN(J15:J22)</f>
        <v>5.6800000000000003E-2</v>
      </c>
      <c r="L25" s="11"/>
      <c r="M25" s="11"/>
    </row>
    <row r="26" spans="1:13" ht="16.5">
      <c r="A26" s="11"/>
      <c r="B26" s="11"/>
      <c r="E26" s="13" t="s">
        <v>18</v>
      </c>
      <c r="G26" s="226">
        <f>MEDIAN(G15:G22)</f>
        <v>11</v>
      </c>
      <c r="H26" s="54" t="s">
        <v>0</v>
      </c>
      <c r="I26" s="227">
        <f>MEDIAN(I15:I22)</f>
        <v>11.5</v>
      </c>
      <c r="J26" s="54">
        <f>MEDIAN(J15:J22)</f>
        <v>5.6800000000000003E-2</v>
      </c>
      <c r="L26" s="11"/>
      <c r="M26" s="11"/>
    </row>
    <row r="27" spans="1:13" ht="16.5">
      <c r="A27" s="11"/>
      <c r="B27" s="11"/>
      <c r="D27" s="13" t="s">
        <v>0</v>
      </c>
      <c r="E27" s="13" t="s">
        <v>428</v>
      </c>
      <c r="G27" s="227">
        <f>AVERAGE(G15:G22)</f>
        <v>11</v>
      </c>
      <c r="H27" s="54" t="s">
        <v>0</v>
      </c>
      <c r="I27" s="227">
        <f>AVERAGE(I15:I22)</f>
        <v>11.625</v>
      </c>
      <c r="J27" s="54">
        <f>AVERAGE(J15:J22)</f>
        <v>5.9850000000000014E-2</v>
      </c>
      <c r="L27" s="11"/>
      <c r="M27" s="11"/>
    </row>
    <row r="28" spans="1:13" ht="16.5">
      <c r="A28" s="11"/>
      <c r="B28" s="11"/>
      <c r="D28" s="55" t="s">
        <v>0</v>
      </c>
      <c r="E28" s="13" t="s">
        <v>427</v>
      </c>
      <c r="G28" s="227">
        <f>TRIMMEAN(G15:G22,(2/COUNT(G15:G22)))</f>
        <v>10.833333333333334</v>
      </c>
      <c r="H28" s="54" t="s">
        <v>0</v>
      </c>
      <c r="I28" s="227">
        <f>TRIMMEAN(I15:I22,(2/COUNT(I15:I22)))</f>
        <v>11.666666666666666</v>
      </c>
      <c r="J28" s="54">
        <f>HARMEAN(J15:J22)</f>
        <v>5.942683851402579E-2</v>
      </c>
      <c r="L28" s="11"/>
      <c r="M28" s="11"/>
    </row>
    <row r="29" spans="1:13" ht="17.25" thickBot="1">
      <c r="A29" s="11"/>
      <c r="B29" s="11"/>
      <c r="C29" s="11"/>
      <c r="D29" s="11"/>
      <c r="E29" s="13"/>
      <c r="F29" s="55"/>
      <c r="H29" s="11"/>
      <c r="I29" s="11"/>
      <c r="J29" s="11"/>
      <c r="K29" s="11"/>
      <c r="L29" s="11"/>
      <c r="M29" s="11"/>
    </row>
    <row r="30" spans="1:13" ht="27" thickBot="1">
      <c r="A30" s="11"/>
      <c r="B30" s="11"/>
      <c r="C30" s="11"/>
      <c r="D30" s="11"/>
      <c r="E30" s="11"/>
      <c r="F30" s="197"/>
      <c r="G30" s="334"/>
      <c r="H30" s="198" t="s">
        <v>245</v>
      </c>
      <c r="I30" s="407">
        <v>12</v>
      </c>
      <c r="J30" s="408">
        <v>5.9900000000000002E-2</v>
      </c>
      <c r="K30" s="11"/>
      <c r="L30" s="11"/>
      <c r="M30" s="11"/>
    </row>
    <row r="31" spans="1:13" ht="16.5">
      <c r="A31" s="11"/>
      <c r="B31" s="11"/>
      <c r="C31" s="11"/>
      <c r="D31" s="11"/>
      <c r="E31" s="11"/>
      <c r="F31" s="11"/>
      <c r="G31" s="11"/>
      <c r="H31" s="11"/>
      <c r="I31" s="11"/>
      <c r="J31" s="11"/>
      <c r="K31" s="11"/>
      <c r="L31" s="11"/>
      <c r="M31" s="11"/>
    </row>
    <row r="32" spans="1:13" ht="16.5">
      <c r="A32" s="11"/>
      <c r="B32" s="11"/>
      <c r="C32" s="11"/>
      <c r="D32" s="11"/>
      <c r="E32" s="11"/>
      <c r="F32" s="11"/>
      <c r="G32" s="11"/>
      <c r="H32" s="11"/>
      <c r="I32" s="11"/>
      <c r="J32" s="11"/>
      <c r="K32" s="11"/>
      <c r="L32" s="11"/>
      <c r="M32" s="11"/>
    </row>
    <row r="33" spans="1:13" ht="16.5">
      <c r="A33" s="11"/>
      <c r="B33" s="11"/>
      <c r="C33" s="11"/>
      <c r="D33" s="11"/>
      <c r="E33" s="11"/>
      <c r="F33" s="11"/>
      <c r="G33" s="11"/>
      <c r="H33" s="11"/>
      <c r="I33" s="11"/>
      <c r="J33" s="11"/>
      <c r="K33" s="11"/>
      <c r="L33" s="11"/>
      <c r="M33" s="11"/>
    </row>
    <row r="34" spans="1:13" ht="21" thickBot="1">
      <c r="A34" s="288" t="s">
        <v>146</v>
      </c>
      <c r="B34" s="11"/>
      <c r="G34" s="11"/>
      <c r="H34" s="11"/>
      <c r="I34" s="11"/>
      <c r="J34" s="11"/>
      <c r="K34" s="11"/>
      <c r="L34" s="11"/>
      <c r="M34" s="11"/>
    </row>
    <row r="35" spans="1:13" ht="24.75" thickBot="1">
      <c r="A35" s="440" t="s">
        <v>395</v>
      </c>
      <c r="B35" s="440" t="s">
        <v>340</v>
      </c>
      <c r="C35" s="440" t="s">
        <v>429</v>
      </c>
      <c r="D35" s="455" t="s">
        <v>512</v>
      </c>
      <c r="E35" s="455" t="s">
        <v>513</v>
      </c>
      <c r="F35" s="11"/>
      <c r="G35" s="11"/>
      <c r="H35" s="11"/>
      <c r="I35" s="11"/>
      <c r="M35" s="11"/>
    </row>
    <row r="36" spans="1:13" ht="17.25">
      <c r="A36" s="294" t="s">
        <v>352</v>
      </c>
      <c r="B36" s="298">
        <v>1</v>
      </c>
      <c r="C36" s="295" t="s">
        <v>351</v>
      </c>
      <c r="D36" s="441" t="s">
        <v>0</v>
      </c>
      <c r="E36" s="441" t="s">
        <v>0</v>
      </c>
      <c r="F36" s="11"/>
      <c r="G36" s="11"/>
      <c r="H36" s="11"/>
      <c r="I36" s="11"/>
      <c r="M36" s="11"/>
    </row>
    <row r="37" spans="1:13" ht="17.25">
      <c r="A37" s="56" t="s">
        <v>353</v>
      </c>
      <c r="B37" s="289">
        <v>2</v>
      </c>
      <c r="C37" s="296" t="s">
        <v>325</v>
      </c>
      <c r="D37" s="442">
        <v>4.7399999999999998E-2</v>
      </c>
      <c r="E37" s="442">
        <v>4.7399999999999998E-2</v>
      </c>
      <c r="F37" s="11" t="s">
        <v>199</v>
      </c>
      <c r="H37" s="11"/>
      <c r="I37" s="11"/>
      <c r="M37" s="11"/>
    </row>
    <row r="38" spans="1:13" ht="18" thickBot="1">
      <c r="A38" s="57" t="s">
        <v>354</v>
      </c>
      <c r="B38" s="291">
        <v>3</v>
      </c>
      <c r="C38" s="297" t="s">
        <v>350</v>
      </c>
      <c r="D38" s="443"/>
      <c r="E38" s="443"/>
      <c r="F38" s="11"/>
      <c r="H38" s="11"/>
      <c r="I38" s="11"/>
      <c r="M38" s="11"/>
    </row>
    <row r="39" spans="1:13" ht="17.25">
      <c r="A39" s="56" t="s">
        <v>145</v>
      </c>
      <c r="B39" s="289">
        <v>4</v>
      </c>
      <c r="C39" s="290" t="s">
        <v>324</v>
      </c>
      <c r="D39" s="442"/>
      <c r="E39" s="442"/>
      <c r="F39" s="11"/>
      <c r="H39" s="11"/>
      <c r="I39" s="11"/>
      <c r="M39" s="11"/>
    </row>
    <row r="40" spans="1:13" ht="17.25">
      <c r="A40" s="56" t="s">
        <v>144</v>
      </c>
      <c r="B40" s="289">
        <v>5</v>
      </c>
      <c r="C40" s="290" t="s">
        <v>326</v>
      </c>
      <c r="D40" s="442">
        <v>5.0500000000000003E-2</v>
      </c>
      <c r="E40" s="442">
        <v>5.2699999999999997E-2</v>
      </c>
      <c r="F40" s="11" t="s">
        <v>327</v>
      </c>
      <c r="H40" s="11"/>
      <c r="I40" s="11"/>
      <c r="M40" s="11"/>
    </row>
    <row r="41" spans="1:13" ht="18" thickBot="1">
      <c r="A41" s="57" t="s">
        <v>143</v>
      </c>
      <c r="B41" s="291">
        <v>6</v>
      </c>
      <c r="C41" s="292" t="s">
        <v>328</v>
      </c>
      <c r="D41" s="444" t="s">
        <v>0</v>
      </c>
      <c r="E41" s="444" t="s">
        <v>0</v>
      </c>
      <c r="F41" s="11"/>
      <c r="H41" s="11"/>
      <c r="I41" s="11"/>
      <c r="M41" s="11"/>
    </row>
    <row r="42" spans="1:13" ht="17.25">
      <c r="A42" s="56" t="s">
        <v>56</v>
      </c>
      <c r="B42" s="289">
        <v>7</v>
      </c>
      <c r="C42" s="290" t="s">
        <v>44</v>
      </c>
      <c r="D42" s="445" t="s">
        <v>0</v>
      </c>
      <c r="E42" s="445" t="s">
        <v>0</v>
      </c>
      <c r="H42" s="11"/>
      <c r="I42" s="11"/>
      <c r="M42" s="11"/>
    </row>
    <row r="43" spans="1:13" ht="17.25">
      <c r="A43" s="56" t="s">
        <v>142</v>
      </c>
      <c r="B43" s="289">
        <v>8</v>
      </c>
      <c r="C43" s="290" t="s">
        <v>24</v>
      </c>
      <c r="D43" s="446">
        <v>5.2499999999999998E-2</v>
      </c>
      <c r="E43" s="446">
        <v>5.4199999999999998E-2</v>
      </c>
      <c r="F43" s="11" t="s">
        <v>200</v>
      </c>
      <c r="H43" s="11"/>
      <c r="I43" s="11"/>
      <c r="M43" s="11"/>
    </row>
    <row r="44" spans="1:13" ht="18" thickBot="1">
      <c r="A44" s="57" t="s">
        <v>58</v>
      </c>
      <c r="B44" s="291">
        <v>9</v>
      </c>
      <c r="C44" s="292" t="s">
        <v>60</v>
      </c>
      <c r="D44" s="444"/>
      <c r="E44" s="444"/>
      <c r="F44" s="11"/>
      <c r="H44" s="11"/>
      <c r="I44" s="11"/>
      <c r="M44" s="11"/>
    </row>
    <row r="45" spans="1:13" ht="17.25">
      <c r="A45" s="56" t="s">
        <v>53</v>
      </c>
      <c r="B45" s="289">
        <v>10</v>
      </c>
      <c r="C45" s="290" t="s">
        <v>329</v>
      </c>
      <c r="D45" s="446"/>
      <c r="E45" s="446"/>
      <c r="H45" s="11"/>
      <c r="I45" s="11"/>
      <c r="J45" s="11"/>
      <c r="K45" s="11"/>
      <c r="L45" s="11"/>
      <c r="M45" s="11"/>
    </row>
    <row r="46" spans="1:13" ht="17.25">
      <c r="A46" s="56" t="s">
        <v>54</v>
      </c>
      <c r="B46" s="289">
        <v>11</v>
      </c>
      <c r="C46" s="290" t="s">
        <v>330</v>
      </c>
      <c r="D46" s="446">
        <v>5.6399999999999999E-2</v>
      </c>
      <c r="E46" s="446">
        <v>5.6800000000000003E-2</v>
      </c>
      <c r="F46" s="11" t="s">
        <v>203</v>
      </c>
      <c r="H46" s="11"/>
      <c r="I46" s="11"/>
      <c r="J46" s="11"/>
      <c r="K46" s="11"/>
      <c r="L46" s="11"/>
      <c r="M46" s="11"/>
    </row>
    <row r="47" spans="1:13" ht="18" thickBot="1">
      <c r="A47" s="57" t="s">
        <v>59</v>
      </c>
      <c r="B47" s="291">
        <v>12</v>
      </c>
      <c r="C47" s="292" t="s">
        <v>331</v>
      </c>
      <c r="D47" s="446" t="s">
        <v>0</v>
      </c>
      <c r="E47" s="446" t="s">
        <v>0</v>
      </c>
      <c r="F47" s="11"/>
      <c r="H47" s="11"/>
      <c r="I47" s="11"/>
      <c r="J47" s="11"/>
      <c r="K47" s="11"/>
      <c r="L47" s="11"/>
      <c r="M47" s="11"/>
    </row>
    <row r="48" spans="1:13" ht="17.25">
      <c r="A48" s="56" t="s">
        <v>57</v>
      </c>
      <c r="B48" s="289">
        <v>13</v>
      </c>
      <c r="C48" s="290" t="s">
        <v>332</v>
      </c>
      <c r="D48" s="445" t="s">
        <v>0</v>
      </c>
      <c r="E48" s="445" t="s">
        <v>0</v>
      </c>
      <c r="H48" s="11"/>
      <c r="I48" s="11"/>
      <c r="J48" s="11"/>
      <c r="K48" s="11"/>
      <c r="L48" s="11"/>
      <c r="M48" s="11"/>
    </row>
    <row r="49" spans="1:13" ht="17.25">
      <c r="A49" s="56" t="s">
        <v>141</v>
      </c>
      <c r="B49" s="289">
        <v>14</v>
      </c>
      <c r="C49" s="290" t="s">
        <v>333</v>
      </c>
      <c r="D49" s="442">
        <v>6.8500000000000005E-2</v>
      </c>
      <c r="E49" s="442">
        <v>6.9000000000000006E-2</v>
      </c>
      <c r="F49" s="11" t="s">
        <v>202</v>
      </c>
      <c r="H49" s="11"/>
      <c r="I49" s="11"/>
      <c r="J49" s="11"/>
      <c r="K49" s="11"/>
      <c r="L49" s="11"/>
      <c r="M49" s="11"/>
    </row>
    <row r="50" spans="1:13" ht="18" thickBot="1">
      <c r="A50" s="57" t="s">
        <v>140</v>
      </c>
      <c r="B50" s="291">
        <v>15</v>
      </c>
      <c r="C50" s="292" t="s">
        <v>334</v>
      </c>
      <c r="D50" s="443" t="s">
        <v>0</v>
      </c>
      <c r="E50" s="443" t="s">
        <v>0</v>
      </c>
      <c r="F50" s="11"/>
      <c r="H50" s="11"/>
      <c r="I50" s="11"/>
      <c r="J50" s="11"/>
      <c r="K50" s="11"/>
      <c r="L50" s="11"/>
      <c r="M50" s="11"/>
    </row>
    <row r="51" spans="1:13" ht="17.25">
      <c r="A51" s="56" t="s">
        <v>139</v>
      </c>
      <c r="B51" s="289">
        <v>16</v>
      </c>
      <c r="C51" s="290" t="s">
        <v>25</v>
      </c>
      <c r="D51" s="445"/>
      <c r="E51" s="445"/>
      <c r="H51" s="11"/>
      <c r="I51" s="11"/>
      <c r="J51" s="11"/>
      <c r="K51" s="11"/>
      <c r="L51" s="11"/>
      <c r="M51" s="11"/>
    </row>
    <row r="52" spans="1:13" ht="17.25">
      <c r="A52" s="56" t="s">
        <v>138</v>
      </c>
      <c r="B52" s="289">
        <v>17</v>
      </c>
      <c r="C52" s="290" t="s">
        <v>89</v>
      </c>
      <c r="D52" s="446">
        <v>7.46E-2</v>
      </c>
      <c r="E52" s="446">
        <v>7.6499999999999999E-2</v>
      </c>
      <c r="F52" s="11" t="s">
        <v>201</v>
      </c>
      <c r="H52" s="11"/>
      <c r="I52" s="11"/>
      <c r="J52" s="11"/>
      <c r="K52" s="11"/>
      <c r="L52" s="11"/>
      <c r="M52" s="11"/>
    </row>
    <row r="53" spans="1:13" ht="18" thickBot="1">
      <c r="A53" s="57" t="s">
        <v>137</v>
      </c>
      <c r="B53" s="291">
        <v>18</v>
      </c>
      <c r="C53" s="292" t="s">
        <v>335</v>
      </c>
      <c r="D53" s="443"/>
      <c r="E53" s="443"/>
      <c r="F53" s="11"/>
      <c r="H53" s="11"/>
      <c r="I53" s="11"/>
      <c r="J53" s="11"/>
      <c r="K53" s="11"/>
      <c r="L53" s="11"/>
      <c r="M53" s="11"/>
    </row>
    <row r="54" spans="1:13" ht="17.25">
      <c r="A54" s="56" t="s">
        <v>136</v>
      </c>
      <c r="B54" s="289">
        <v>19</v>
      </c>
      <c r="C54" s="290" t="s">
        <v>336</v>
      </c>
      <c r="D54" s="446"/>
      <c r="E54" s="446"/>
      <c r="H54" s="11"/>
      <c r="I54" s="11"/>
      <c r="J54" s="11"/>
      <c r="K54" s="11"/>
      <c r="L54" s="11"/>
      <c r="M54" s="11"/>
    </row>
    <row r="55" spans="1:13" ht="17.25">
      <c r="A55" s="56" t="s">
        <v>135</v>
      </c>
      <c r="B55" s="289">
        <v>20</v>
      </c>
      <c r="C55" s="290" t="s">
        <v>337</v>
      </c>
      <c r="D55" s="446">
        <v>8.0699999999999994E-2</v>
      </c>
      <c r="E55" s="446">
        <v>8.2799999999999999E-2</v>
      </c>
      <c r="F55" s="11" t="s">
        <v>198</v>
      </c>
      <c r="H55" s="11"/>
      <c r="I55" s="11"/>
      <c r="J55" s="11"/>
      <c r="K55" s="11"/>
      <c r="L55" s="11"/>
      <c r="M55" s="11"/>
    </row>
    <row r="56" spans="1:13" ht="18" thickBot="1">
      <c r="A56" s="57" t="s">
        <v>134</v>
      </c>
      <c r="B56" s="291">
        <v>21</v>
      </c>
      <c r="C56" s="410" t="s">
        <v>338</v>
      </c>
      <c r="D56" s="444"/>
      <c r="E56" s="444"/>
      <c r="F56" s="11"/>
      <c r="H56" s="11"/>
      <c r="I56" s="11"/>
      <c r="J56" s="11"/>
      <c r="K56" s="11"/>
      <c r="L56" s="11"/>
      <c r="M56" s="11"/>
    </row>
    <row r="57" spans="1:13" ht="17.25">
      <c r="A57" s="409" t="s">
        <v>345</v>
      </c>
      <c r="B57" s="412">
        <v>22</v>
      </c>
      <c r="C57" s="447" t="s">
        <v>348</v>
      </c>
      <c r="D57" s="448"/>
      <c r="E57" s="448"/>
      <c r="H57" s="11"/>
      <c r="I57" s="11"/>
      <c r="J57" s="11"/>
      <c r="K57" s="11"/>
      <c r="L57" s="11"/>
      <c r="M57" s="11"/>
    </row>
    <row r="58" spans="1:13" ht="17.25">
      <c r="A58" s="409" t="s">
        <v>346</v>
      </c>
      <c r="B58" s="413">
        <v>23</v>
      </c>
      <c r="C58" s="449" t="s">
        <v>339</v>
      </c>
      <c r="D58" s="450"/>
      <c r="E58" s="450"/>
      <c r="F58" s="11" t="s">
        <v>196</v>
      </c>
      <c r="H58" s="11"/>
      <c r="I58" s="11"/>
      <c r="J58" s="11"/>
      <c r="K58" s="11"/>
      <c r="L58" s="11"/>
      <c r="M58" s="11"/>
    </row>
    <row r="59" spans="1:13" ht="18" thickBot="1">
      <c r="A59" s="411" t="s">
        <v>347</v>
      </c>
      <c r="B59" s="414">
        <v>24</v>
      </c>
      <c r="C59" s="410" t="s">
        <v>349</v>
      </c>
      <c r="D59" s="451"/>
      <c r="E59" s="451"/>
      <c r="F59" s="11"/>
      <c r="H59" s="11"/>
      <c r="I59" s="11"/>
      <c r="J59" s="11"/>
      <c r="K59" s="11"/>
      <c r="L59" s="11"/>
      <c r="M59" s="11"/>
    </row>
    <row r="60" spans="1:13" ht="18" thickBot="1">
      <c r="A60" s="57" t="s">
        <v>271</v>
      </c>
      <c r="B60" s="291">
        <v>25</v>
      </c>
      <c r="C60" s="57" t="s">
        <v>90</v>
      </c>
      <c r="D60" s="452"/>
      <c r="E60" s="452"/>
      <c r="F60" s="11" t="s">
        <v>197</v>
      </c>
      <c r="H60" s="11"/>
      <c r="I60" s="11"/>
      <c r="J60" s="11"/>
      <c r="K60" s="11"/>
      <c r="L60" s="11"/>
    </row>
  </sheetData>
  <pageMargins left="0.25" right="0.25" top="0.75" bottom="0.75" header="0.3" footer="0.3"/>
  <pageSetup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39"/>
  <sheetViews>
    <sheetView view="pageBreakPreview" topLeftCell="A15" zoomScale="60" zoomScaleNormal="80" workbookViewId="0">
      <selection activeCell="H33" sqref="H33"/>
    </sheetView>
  </sheetViews>
  <sheetFormatPr defaultRowHeight="15"/>
  <cols>
    <col min="1" max="1" width="48.85546875" customWidth="1"/>
    <col min="2" max="2" width="13.140625" customWidth="1"/>
    <col min="3" max="3" width="19.85546875" customWidth="1"/>
    <col min="4" max="4" width="24.7109375" customWidth="1"/>
    <col min="5" max="5" width="22.7109375" customWidth="1"/>
    <col min="6" max="7" width="21.28515625" customWidth="1"/>
    <col min="8" max="8" width="12.42578125" customWidth="1"/>
    <col min="9" max="9" width="18.42578125" customWidth="1"/>
    <col min="10" max="10" width="21.28515625" customWidth="1"/>
    <col min="11" max="11" width="2.28515625" customWidth="1"/>
    <col min="12" max="12" width="22.7109375" customWidth="1"/>
    <col min="13" max="13" width="17.28515625" customWidth="1"/>
  </cols>
  <sheetData>
    <row r="1" spans="1:14" ht="26.25">
      <c r="A1" s="22" t="s">
        <v>1</v>
      </c>
      <c r="B1" s="11"/>
      <c r="C1" s="11"/>
      <c r="D1" s="11"/>
      <c r="E1" s="11"/>
      <c r="F1" s="11"/>
      <c r="G1" s="11"/>
      <c r="H1" s="11"/>
      <c r="I1" s="11"/>
      <c r="J1" s="11"/>
      <c r="K1" s="11"/>
      <c r="L1" s="11"/>
      <c r="M1" s="11"/>
      <c r="N1" s="11"/>
    </row>
    <row r="2" spans="1:14" ht="17.25">
      <c r="A2" s="61" t="s">
        <v>9</v>
      </c>
      <c r="B2" s="11"/>
      <c r="C2" s="11"/>
      <c r="D2" s="11"/>
      <c r="E2" s="11"/>
      <c r="F2" s="11"/>
      <c r="G2" s="11"/>
      <c r="H2" s="11"/>
      <c r="I2" s="11"/>
      <c r="J2" s="11"/>
      <c r="K2" s="11"/>
      <c r="L2" s="11"/>
      <c r="M2" s="11"/>
      <c r="N2" s="11"/>
    </row>
    <row r="3" spans="1:14" ht="16.5">
      <c r="A3" s="24" t="s">
        <v>467</v>
      </c>
      <c r="B3" s="11"/>
      <c r="C3" s="11"/>
      <c r="D3" s="11"/>
      <c r="E3" s="11"/>
      <c r="F3" s="11"/>
      <c r="G3" s="11"/>
      <c r="H3" s="11"/>
      <c r="I3" s="11"/>
      <c r="J3" s="11"/>
      <c r="K3" s="11"/>
      <c r="L3" s="11"/>
      <c r="M3" s="11"/>
      <c r="N3" s="11"/>
    </row>
    <row r="4" spans="1:14" ht="16.5">
      <c r="A4" s="11"/>
      <c r="B4" s="11"/>
      <c r="C4" s="11"/>
      <c r="D4" s="25" t="s">
        <v>0</v>
      </c>
      <c r="E4" s="11"/>
      <c r="F4" s="11"/>
      <c r="G4" s="11"/>
      <c r="H4" s="11"/>
      <c r="I4" s="11"/>
      <c r="J4" s="11"/>
      <c r="K4" s="11"/>
      <c r="L4" s="11"/>
      <c r="M4" s="11"/>
      <c r="N4" s="11"/>
    </row>
    <row r="5" spans="1:14" ht="18" thickBot="1">
      <c r="A5" s="61"/>
      <c r="B5" s="11"/>
      <c r="C5" s="11"/>
      <c r="D5" s="11"/>
      <c r="E5" s="11"/>
      <c r="F5" s="11"/>
      <c r="G5" s="11"/>
      <c r="H5" s="11"/>
      <c r="I5" s="11"/>
      <c r="J5" s="11"/>
      <c r="K5" s="11"/>
      <c r="L5" s="11"/>
      <c r="M5" s="11"/>
      <c r="N5" s="11"/>
    </row>
    <row r="6" spans="1:14" ht="18" thickBot="1">
      <c r="A6" s="277" t="str">
        <f>+'S&amp;D'!A12</f>
        <v>Natural Gas Transmission Pipeline Carrier</v>
      </c>
      <c r="B6" s="202"/>
      <c r="C6" s="11"/>
      <c r="D6" s="11"/>
      <c r="E6" s="11"/>
      <c r="F6" s="11"/>
      <c r="G6" s="11"/>
      <c r="H6" s="11"/>
      <c r="I6" s="11"/>
      <c r="J6" s="11"/>
      <c r="K6" s="11"/>
      <c r="L6" s="11"/>
      <c r="M6" s="11"/>
      <c r="N6" s="11"/>
    </row>
    <row r="7" spans="1:14" ht="17.25">
      <c r="A7" s="61"/>
      <c r="B7" s="11"/>
      <c r="C7" s="11"/>
      <c r="D7" s="11"/>
      <c r="E7" s="11"/>
      <c r="F7" s="11"/>
      <c r="G7" s="11"/>
      <c r="H7" s="11"/>
      <c r="I7" s="11"/>
      <c r="J7" s="11"/>
      <c r="K7" s="11"/>
      <c r="L7" s="11"/>
      <c r="M7" s="11"/>
      <c r="N7" s="11"/>
    </row>
    <row r="8" spans="1:14" ht="18" thickBot="1">
      <c r="A8" s="61"/>
      <c r="B8" s="11"/>
      <c r="C8" s="27"/>
      <c r="D8" s="27"/>
      <c r="E8" s="27"/>
      <c r="F8" s="11"/>
      <c r="G8" s="11"/>
      <c r="H8" s="27"/>
      <c r="I8" s="27"/>
      <c r="J8" s="27"/>
      <c r="K8" s="27"/>
      <c r="L8" s="27"/>
      <c r="M8" s="27"/>
      <c r="N8" s="11"/>
    </row>
    <row r="9" spans="1:14" ht="26.25">
      <c r="B9" s="11"/>
      <c r="C9" s="11"/>
      <c r="D9" s="30" t="s">
        <v>311</v>
      </c>
      <c r="E9" s="11"/>
      <c r="F9" s="11"/>
      <c r="G9" s="11"/>
      <c r="H9" s="11"/>
      <c r="I9" s="11"/>
      <c r="J9" s="11"/>
      <c r="K9" s="67" t="s">
        <v>312</v>
      </c>
      <c r="L9" s="11"/>
      <c r="M9" s="11"/>
      <c r="N9" s="11"/>
    </row>
    <row r="10" spans="1:14" ht="21" thickBot="1">
      <c r="A10" s="29"/>
      <c r="B10" s="11"/>
      <c r="C10" s="27"/>
      <c r="D10" s="31" t="s">
        <v>468</v>
      </c>
      <c r="E10" s="27"/>
      <c r="F10" s="11"/>
      <c r="G10" s="11"/>
      <c r="H10" s="27"/>
      <c r="I10" s="27"/>
      <c r="J10" s="27"/>
      <c r="K10" s="31" t="s">
        <v>468</v>
      </c>
      <c r="L10" s="27"/>
      <c r="M10" s="27"/>
      <c r="N10" s="11"/>
    </row>
    <row r="11" spans="1:14" ht="17.25" thickBot="1">
      <c r="A11" s="32" t="s">
        <v>0</v>
      </c>
      <c r="B11" s="32" t="s">
        <v>0</v>
      </c>
      <c r="C11" s="32" t="s">
        <v>0</v>
      </c>
      <c r="D11" s="32" t="s">
        <v>0</v>
      </c>
      <c r="E11" s="32" t="s">
        <v>0</v>
      </c>
      <c r="F11" s="32" t="s">
        <v>0</v>
      </c>
      <c r="G11" s="39"/>
      <c r="H11" s="27"/>
      <c r="I11" s="32" t="s">
        <v>0</v>
      </c>
      <c r="J11" s="27"/>
      <c r="K11" s="27"/>
      <c r="L11" s="27"/>
      <c r="M11" s="27"/>
      <c r="N11" s="11"/>
    </row>
    <row r="12" spans="1:14" ht="16.5">
      <c r="A12" s="33" t="s">
        <v>0</v>
      </c>
      <c r="B12" s="33" t="s">
        <v>3</v>
      </c>
      <c r="C12" s="33" t="s">
        <v>355</v>
      </c>
      <c r="D12" s="33" t="s">
        <v>110</v>
      </c>
      <c r="E12" s="33" t="s">
        <v>110</v>
      </c>
      <c r="F12" s="33" t="s">
        <v>27</v>
      </c>
      <c r="G12" s="33"/>
      <c r="H12" s="33" t="s">
        <v>3</v>
      </c>
      <c r="I12" s="33" t="s">
        <v>355</v>
      </c>
      <c r="J12" s="33" t="s">
        <v>110</v>
      </c>
      <c r="K12" s="33"/>
      <c r="L12" s="33" t="s">
        <v>110</v>
      </c>
      <c r="M12" s="33" t="s">
        <v>27</v>
      </c>
      <c r="N12" s="11"/>
    </row>
    <row r="13" spans="1:14" ht="17.25" thickBot="1">
      <c r="A13" s="35" t="s">
        <v>2</v>
      </c>
      <c r="B13" s="35" t="s">
        <v>4</v>
      </c>
      <c r="C13" s="35" t="s">
        <v>28</v>
      </c>
      <c r="D13" s="35" t="s">
        <v>169</v>
      </c>
      <c r="E13" s="35" t="s">
        <v>29</v>
      </c>
      <c r="F13" s="35" t="s">
        <v>30</v>
      </c>
      <c r="G13" s="33"/>
      <c r="H13" s="35" t="s">
        <v>4</v>
      </c>
      <c r="I13" s="35" t="s">
        <v>28</v>
      </c>
      <c r="J13" s="35" t="s">
        <v>169</v>
      </c>
      <c r="K13" s="35"/>
      <c r="L13" s="35" t="s">
        <v>29</v>
      </c>
      <c r="M13" s="35" t="s">
        <v>30</v>
      </c>
      <c r="N13" s="11"/>
    </row>
    <row r="14" spans="1:14" ht="16.5">
      <c r="A14" s="37" t="s">
        <v>0</v>
      </c>
      <c r="B14" s="37" t="s">
        <v>0</v>
      </c>
      <c r="C14" s="38" t="s">
        <v>113</v>
      </c>
      <c r="D14" s="37" t="s">
        <v>114</v>
      </c>
      <c r="E14" s="37" t="s">
        <v>0</v>
      </c>
      <c r="F14" s="37" t="s">
        <v>0</v>
      </c>
      <c r="G14" s="39"/>
      <c r="H14" s="37" t="s">
        <v>0</v>
      </c>
      <c r="I14" s="38" t="s">
        <v>113</v>
      </c>
      <c r="J14" s="37" t="s">
        <v>115</v>
      </c>
      <c r="K14" s="37"/>
      <c r="L14" s="37" t="s">
        <v>0</v>
      </c>
      <c r="M14" s="37" t="s">
        <v>0</v>
      </c>
      <c r="N14" s="11"/>
    </row>
    <row r="15" spans="1:14" ht="16.5">
      <c r="A15" s="33"/>
      <c r="B15" s="33"/>
      <c r="C15" s="33"/>
      <c r="D15" s="33"/>
      <c r="E15" s="33"/>
      <c r="F15" s="33"/>
      <c r="G15" s="33"/>
      <c r="H15" s="33"/>
      <c r="I15" s="33"/>
      <c r="J15" s="33"/>
      <c r="K15" s="33"/>
      <c r="L15" s="33"/>
      <c r="M15" s="33"/>
      <c r="N15" s="11"/>
    </row>
    <row r="16" spans="1:14" ht="16.5">
      <c r="A16" s="11"/>
      <c r="B16" s="11"/>
      <c r="C16" s="11"/>
      <c r="D16" s="11"/>
      <c r="E16" s="11"/>
      <c r="F16" s="11"/>
      <c r="G16" s="11"/>
      <c r="H16" s="11"/>
      <c r="I16" s="11"/>
      <c r="J16" s="11"/>
      <c r="K16" s="11"/>
      <c r="L16" s="11"/>
      <c r="M16" s="11"/>
      <c r="N16" s="11"/>
    </row>
    <row r="17" spans="1:14" ht="17.25">
      <c r="A17" s="61" t="str">
        <f>+'S&amp;D'!A22</f>
        <v>Enbridge Inc</v>
      </c>
      <c r="B17" s="88" t="str">
        <f>+'S&amp;D'!B22</f>
        <v>ENB.TO</v>
      </c>
      <c r="C17" s="58">
        <f>+'S&amp;D'!G22</f>
        <v>47.7</v>
      </c>
      <c r="D17" s="381">
        <v>4.7</v>
      </c>
      <c r="E17" s="70">
        <f t="shared" ref="E17:E21" si="0">C17/D17</f>
        <v>10.148936170212766</v>
      </c>
      <c r="F17" s="55">
        <f t="shared" ref="F17:F21" si="1">1/E17</f>
        <v>9.853249475890985E-2</v>
      </c>
      <c r="G17" s="55"/>
      <c r="H17" s="88" t="str">
        <f t="shared" ref="H17:H21" si="2">+B17</f>
        <v>ENB.TO</v>
      </c>
      <c r="I17" s="58">
        <f t="shared" ref="I17:I21" si="3">+C17</f>
        <v>47.7</v>
      </c>
      <c r="J17" s="400">
        <v>5.3</v>
      </c>
      <c r="K17" s="60"/>
      <c r="L17" s="70">
        <f t="shared" ref="L17:L21" si="4">I17/J17</f>
        <v>9</v>
      </c>
      <c r="M17" s="55">
        <f t="shared" ref="M17:M21" si="5">1/L17</f>
        <v>0.1111111111111111</v>
      </c>
      <c r="N17" s="11"/>
    </row>
    <row r="18" spans="1:14" ht="17.25">
      <c r="A18" s="61" t="str">
        <f>+'S&amp;D'!A23</f>
        <v>Energy Transfer LP</v>
      </c>
      <c r="B18" s="88" t="str">
        <f>+'S&amp;D'!B23</f>
        <v>ET</v>
      </c>
      <c r="C18" s="58">
        <f>+'S&amp;D'!G23</f>
        <v>13.8</v>
      </c>
      <c r="D18" s="381">
        <v>2.7</v>
      </c>
      <c r="E18" s="70">
        <f t="shared" si="0"/>
        <v>5.1111111111111107</v>
      </c>
      <c r="F18" s="55">
        <f t="shared" si="1"/>
        <v>0.19565217391304349</v>
      </c>
      <c r="G18" s="55"/>
      <c r="H18" s="88" t="str">
        <f t="shared" si="2"/>
        <v>ET</v>
      </c>
      <c r="I18" s="58">
        <f t="shared" si="3"/>
        <v>13.8</v>
      </c>
      <c r="J18" s="400">
        <v>3.1</v>
      </c>
      <c r="K18" s="60"/>
      <c r="L18" s="70">
        <f t="shared" si="4"/>
        <v>4.4516129032258069</v>
      </c>
      <c r="M18" s="55">
        <f t="shared" si="5"/>
        <v>0.22463768115942026</v>
      </c>
      <c r="N18" s="11"/>
    </row>
    <row r="19" spans="1:14" ht="17.25">
      <c r="A19" s="61" t="str">
        <f>+'S&amp;D'!A24</f>
        <v>Enlink Midstream LLC</v>
      </c>
      <c r="B19" s="88" t="str">
        <f>+'S&amp;D'!B24</f>
        <v>ENLC</v>
      </c>
      <c r="C19" s="58">
        <f>+'S&amp;D'!G24</f>
        <v>12.16</v>
      </c>
      <c r="D19" s="381">
        <v>1.45</v>
      </c>
      <c r="E19" s="70">
        <f t="shared" si="0"/>
        <v>8.3862068965517249</v>
      </c>
      <c r="F19" s="55">
        <f t="shared" si="1"/>
        <v>0.11924342105263157</v>
      </c>
      <c r="G19" s="55"/>
      <c r="H19" s="88" t="str">
        <f t="shared" si="2"/>
        <v>ENLC</v>
      </c>
      <c r="I19" s="58">
        <f t="shared" si="3"/>
        <v>12.16</v>
      </c>
      <c r="J19" s="400">
        <v>1.65</v>
      </c>
      <c r="K19" s="60"/>
      <c r="L19" s="70">
        <f t="shared" si="4"/>
        <v>7.3696969696969701</v>
      </c>
      <c r="M19" s="55">
        <f t="shared" si="5"/>
        <v>0.13569078947368421</v>
      </c>
      <c r="N19" s="11"/>
    </row>
    <row r="20" spans="1:14" ht="17.25">
      <c r="A20" s="61" t="str">
        <f>+'S&amp;D'!A25</f>
        <v>Enterprise Products Partnership LP</v>
      </c>
      <c r="B20" s="88" t="str">
        <f>+'S&amp;D'!B25</f>
        <v>EPD</v>
      </c>
      <c r="C20" s="58">
        <f>+'S&amp;D'!G25</f>
        <v>26.35</v>
      </c>
      <c r="D20" s="381">
        <v>3.8</v>
      </c>
      <c r="E20" s="70">
        <f t="shared" si="0"/>
        <v>6.9342105263157903</v>
      </c>
      <c r="F20" s="55">
        <f t="shared" si="1"/>
        <v>0.14421252371916507</v>
      </c>
      <c r="G20" s="55"/>
      <c r="H20" s="88" t="str">
        <f t="shared" si="2"/>
        <v>EPD</v>
      </c>
      <c r="I20" s="58">
        <f t="shared" si="3"/>
        <v>26.35</v>
      </c>
      <c r="J20" s="400">
        <v>4</v>
      </c>
      <c r="K20" s="60"/>
      <c r="L20" s="70">
        <f t="shared" si="4"/>
        <v>6.5875000000000004</v>
      </c>
      <c r="M20" s="55">
        <f t="shared" si="5"/>
        <v>0.15180265654648956</v>
      </c>
      <c r="N20" s="11"/>
    </row>
    <row r="21" spans="1:14" ht="17.25">
      <c r="A21" s="61" t="str">
        <f>+'S&amp;D'!A26</f>
        <v>Kinder Morgan Inc</v>
      </c>
      <c r="B21" s="88" t="str">
        <f>+'S&amp;D'!B26</f>
        <v>KMI</v>
      </c>
      <c r="C21" s="58">
        <f>+'S&amp;D'!G26</f>
        <v>17.64</v>
      </c>
      <c r="D21" s="381">
        <v>2.15</v>
      </c>
      <c r="E21" s="70">
        <f t="shared" si="0"/>
        <v>8.2046511627906984</v>
      </c>
      <c r="F21" s="55">
        <f t="shared" si="1"/>
        <v>0.12188208616780044</v>
      </c>
      <c r="G21" s="55"/>
      <c r="H21" s="88" t="str">
        <f t="shared" si="2"/>
        <v>KMI</v>
      </c>
      <c r="I21" s="58">
        <f t="shared" si="3"/>
        <v>17.64</v>
      </c>
      <c r="J21" s="400">
        <v>2.4</v>
      </c>
      <c r="K21" s="60"/>
      <c r="L21" s="70">
        <f t="shared" si="4"/>
        <v>7.3500000000000005</v>
      </c>
      <c r="M21" s="55">
        <f t="shared" si="5"/>
        <v>0.13605442176870747</v>
      </c>
      <c r="N21" s="11"/>
    </row>
    <row r="22" spans="1:14" ht="17.25">
      <c r="A22" s="61" t="str">
        <f>+'S&amp;D'!A27</f>
        <v>ONEOK Inc</v>
      </c>
      <c r="B22" s="88" t="str">
        <f>+'S&amp;D'!B27</f>
        <v>OKE</v>
      </c>
      <c r="C22" s="58">
        <f>+'S&amp;D'!G27</f>
        <v>70.22</v>
      </c>
      <c r="D22" s="381">
        <v>6.75</v>
      </c>
      <c r="E22" s="70">
        <f t="shared" ref="E22:E24" si="6">C22/D22</f>
        <v>10.402962962962963</v>
      </c>
      <c r="F22" s="55">
        <f t="shared" ref="F22:F24" si="7">1/E22</f>
        <v>9.6126459698091707E-2</v>
      </c>
      <c r="G22" s="55"/>
      <c r="H22" s="88" t="str">
        <f t="shared" ref="H22:H24" si="8">+B22</f>
        <v>OKE</v>
      </c>
      <c r="I22" s="58">
        <f t="shared" ref="I22:I24" si="9">+C22</f>
        <v>70.22</v>
      </c>
      <c r="J22" s="400">
        <v>7.5</v>
      </c>
      <c r="K22" s="60"/>
      <c r="L22" s="70">
        <f t="shared" ref="L22:L24" si="10">I22/J22</f>
        <v>9.3626666666666658</v>
      </c>
      <c r="M22" s="55">
        <f t="shared" ref="M22:M24" si="11">1/L22</f>
        <v>0.10680717744232414</v>
      </c>
      <c r="N22" s="11"/>
    </row>
    <row r="23" spans="1:14" ht="17.25">
      <c r="A23" s="61" t="str">
        <f>+'S&amp;D'!A28</f>
        <v>TC Energy Corp</v>
      </c>
      <c r="B23" s="88" t="str">
        <f>+'S&amp;D'!B28</f>
        <v>TRP</v>
      </c>
      <c r="C23" s="58">
        <f>+'S&amp;D'!G28</f>
        <v>39.090000000000003</v>
      </c>
      <c r="D23" s="381">
        <v>5.75</v>
      </c>
      <c r="E23" s="70">
        <f t="shared" si="6"/>
        <v>6.798260869565218</v>
      </c>
      <c r="F23" s="55">
        <f t="shared" si="7"/>
        <v>0.14709644410335124</v>
      </c>
      <c r="G23" s="55"/>
      <c r="H23" s="88" t="str">
        <f t="shared" si="8"/>
        <v>TRP</v>
      </c>
      <c r="I23" s="58">
        <f t="shared" si="9"/>
        <v>39.090000000000003</v>
      </c>
      <c r="J23" s="400">
        <v>6.2</v>
      </c>
      <c r="K23" s="60"/>
      <c r="L23" s="70">
        <f t="shared" si="10"/>
        <v>6.3048387096774201</v>
      </c>
      <c r="M23" s="55">
        <f t="shared" si="11"/>
        <v>0.15860833972883087</v>
      </c>
      <c r="N23" s="11"/>
    </row>
    <row r="24" spans="1:14" ht="17.25">
      <c r="A24" s="61" t="str">
        <f>+'S&amp;D'!A29</f>
        <v>Williams Companys Inc</v>
      </c>
      <c r="B24" s="88" t="str">
        <f>+'S&amp;D'!B29</f>
        <v>WMB</v>
      </c>
      <c r="C24" s="58">
        <f>+'S&amp;D'!G29</f>
        <v>34.83</v>
      </c>
      <c r="D24" s="381">
        <v>4.3499999999999996</v>
      </c>
      <c r="E24" s="70">
        <f t="shared" si="6"/>
        <v>8.0068965517241377</v>
      </c>
      <c r="F24" s="55">
        <f t="shared" si="7"/>
        <v>0.12489233419465978</v>
      </c>
      <c r="G24" s="55"/>
      <c r="H24" s="88" t="str">
        <f t="shared" si="8"/>
        <v>WMB</v>
      </c>
      <c r="I24" s="58">
        <f t="shared" si="9"/>
        <v>34.83</v>
      </c>
      <c r="J24" s="400">
        <v>4.5999999999999996</v>
      </c>
      <c r="K24" s="60"/>
      <c r="L24" s="70">
        <f t="shared" si="10"/>
        <v>7.571739130434783</v>
      </c>
      <c r="M24" s="55">
        <f t="shared" si="11"/>
        <v>0.13207005455067469</v>
      </c>
      <c r="N24" s="11"/>
    </row>
    <row r="25" spans="1:14" ht="17.25" thickBot="1">
      <c r="A25" s="11"/>
      <c r="B25" s="68"/>
      <c r="C25" s="68"/>
      <c r="D25" s="68"/>
      <c r="E25" s="68"/>
      <c r="F25" s="68"/>
      <c r="G25" s="11"/>
      <c r="H25" s="68"/>
      <c r="I25" s="68"/>
      <c r="J25" s="311" t="s">
        <v>0</v>
      </c>
      <c r="K25" s="68"/>
      <c r="L25" s="68"/>
      <c r="M25" s="68"/>
      <c r="N25" s="11"/>
    </row>
    <row r="26" spans="1:14" ht="17.25" thickTop="1">
      <c r="A26" s="11"/>
      <c r="C26" s="13" t="s">
        <v>46</v>
      </c>
      <c r="D26" s="69">
        <f>+MAX(D17:D24)</f>
        <v>6.75</v>
      </c>
      <c r="E26" s="69">
        <f t="shared" ref="E26:F26" si="12">+MAX(E17:E24)</f>
        <v>10.402962962962963</v>
      </c>
      <c r="F26" s="321">
        <f t="shared" si="12"/>
        <v>0.19565217391304349</v>
      </c>
      <c r="I26" s="13" t="s">
        <v>46</v>
      </c>
      <c r="J26" s="69">
        <f t="shared" ref="J26:M26" si="13">+MAX(J17:J24)</f>
        <v>7.5</v>
      </c>
      <c r="K26" s="69"/>
      <c r="L26" s="69">
        <f t="shared" si="13"/>
        <v>9.3626666666666658</v>
      </c>
      <c r="M26" s="321">
        <f t="shared" si="13"/>
        <v>0.22463768115942026</v>
      </c>
      <c r="N26" s="11"/>
    </row>
    <row r="27" spans="1:14" ht="16.5">
      <c r="A27" s="11"/>
      <c r="C27" s="347" t="s">
        <v>47</v>
      </c>
      <c r="D27" s="351">
        <f>MIN(D17:D24)</f>
        <v>1.45</v>
      </c>
      <c r="E27" s="351">
        <f t="shared" ref="E27:F27" si="14">MIN(E17:E24)</f>
        <v>5.1111111111111107</v>
      </c>
      <c r="F27" s="344">
        <f t="shared" si="14"/>
        <v>9.6126459698091707E-2</v>
      </c>
      <c r="I27" s="347" t="s">
        <v>47</v>
      </c>
      <c r="J27" s="351">
        <f t="shared" ref="J27:M27" si="15">MIN(J17:J24)</f>
        <v>1.65</v>
      </c>
      <c r="K27" s="351"/>
      <c r="L27" s="351">
        <f t="shared" si="15"/>
        <v>4.4516129032258069</v>
      </c>
      <c r="M27" s="344">
        <f t="shared" si="15"/>
        <v>0.10680717744232414</v>
      </c>
      <c r="N27" s="11"/>
    </row>
    <row r="28" spans="1:14" ht="16.5">
      <c r="A28" s="11"/>
      <c r="C28" s="13" t="s">
        <v>18</v>
      </c>
      <c r="D28" s="70">
        <f>MEDIAN(D17:D24)</f>
        <v>4.0749999999999993</v>
      </c>
      <c r="E28" s="20">
        <f>MEDIAN(E17:E24)</f>
        <v>8.1057738572574181</v>
      </c>
      <c r="F28" s="55">
        <f>MEDIAN(F17:F24)</f>
        <v>0.12338721018123011</v>
      </c>
      <c r="G28" s="55"/>
      <c r="I28" s="13" t="s">
        <v>18</v>
      </c>
      <c r="J28" s="70">
        <f>MEDIAN(J17:J24)</f>
        <v>4.3</v>
      </c>
      <c r="K28" s="70"/>
      <c r="L28" s="20">
        <f>MEDIAN(L17:L24)</f>
        <v>7.3598484848484853</v>
      </c>
      <c r="M28" s="55">
        <f>MEDIAN(M17:M24)</f>
        <v>0.13587260562119585</v>
      </c>
      <c r="N28" s="11"/>
    </row>
    <row r="29" spans="1:14" ht="16.5">
      <c r="A29" s="11"/>
      <c r="C29" s="13" t="s">
        <v>428</v>
      </c>
      <c r="D29" s="16">
        <f>AVERAGE(D17:D24)</f>
        <v>3.9562499999999998</v>
      </c>
      <c r="E29" s="20">
        <f>AVERAGE(E17:E24)</f>
        <v>7.9991545314043018</v>
      </c>
      <c r="F29" s="71">
        <f>AVERAGE(F17:F24)</f>
        <v>0.13095474220095665</v>
      </c>
      <c r="G29" s="71"/>
      <c r="I29" s="13" t="s">
        <v>428</v>
      </c>
      <c r="J29" s="16">
        <f>AVERAGE(J17:J24)</f>
        <v>4.34375</v>
      </c>
      <c r="K29" s="16"/>
      <c r="L29" s="20">
        <f>AVERAGE(L17:L24)</f>
        <v>7.2497567974627071</v>
      </c>
      <c r="M29" s="71">
        <f>AVERAGE(M17:M24)</f>
        <v>0.14459777897265527</v>
      </c>
      <c r="N29" s="11"/>
    </row>
    <row r="30" spans="1:14" ht="16.5">
      <c r="A30" s="11"/>
      <c r="B30" s="11"/>
      <c r="C30" s="11"/>
      <c r="D30" s="11"/>
      <c r="E30" s="11"/>
      <c r="F30" s="11"/>
      <c r="G30" s="11"/>
      <c r="H30" s="11"/>
      <c r="I30" s="11"/>
      <c r="J30" s="11"/>
      <c r="K30" s="11"/>
      <c r="L30" s="11"/>
      <c r="M30" s="11"/>
      <c r="N30" s="11"/>
    </row>
    <row r="31" spans="1:14" ht="26.25">
      <c r="A31" s="11"/>
      <c r="B31" s="11"/>
      <c r="C31" s="11"/>
      <c r="D31" s="75" t="s">
        <v>74</v>
      </c>
      <c r="E31" s="322">
        <v>8</v>
      </c>
      <c r="F31" s="323">
        <v>0.13100000000000001</v>
      </c>
      <c r="G31" s="284"/>
      <c r="H31" s="11"/>
      <c r="I31" s="11"/>
      <c r="J31" s="75" t="s">
        <v>74</v>
      </c>
      <c r="K31" s="48"/>
      <c r="L31" s="324">
        <v>7.25</v>
      </c>
      <c r="M31" s="323">
        <v>0.14460000000000001</v>
      </c>
      <c r="N31" s="11"/>
    </row>
    <row r="32" spans="1:14" ht="30" customHeight="1" thickBot="1">
      <c r="A32" s="11"/>
      <c r="B32" s="11"/>
      <c r="C32" s="11"/>
      <c r="D32" s="11"/>
      <c r="E32" s="11"/>
      <c r="G32" s="72"/>
      <c r="H32" s="11"/>
      <c r="I32" s="11"/>
      <c r="J32" s="11"/>
      <c r="K32" s="11"/>
      <c r="L32" s="11"/>
      <c r="M32" s="11"/>
      <c r="N32" s="11"/>
    </row>
    <row r="33" spans="1:14" ht="27" thickBot="1">
      <c r="A33" s="73" t="s">
        <v>0</v>
      </c>
      <c r="B33" s="11"/>
      <c r="C33" s="11"/>
      <c r="D33" s="11"/>
      <c r="E33" s="22" t="s">
        <v>124</v>
      </c>
      <c r="F33" s="22"/>
      <c r="G33" s="228">
        <f>(+E31+L31)/2</f>
        <v>7.625</v>
      </c>
      <c r="H33" s="229">
        <f>(+F31+M31)/2</f>
        <v>0.13780000000000001</v>
      </c>
      <c r="K33" s="11"/>
      <c r="N33" s="11"/>
    </row>
    <row r="34" spans="1:14" ht="16.5">
      <c r="A34" s="73" t="s">
        <v>0</v>
      </c>
      <c r="B34" s="11"/>
      <c r="C34" s="11"/>
      <c r="D34" s="11"/>
      <c r="E34" s="11"/>
      <c r="F34" s="11"/>
      <c r="G34" s="11"/>
      <c r="H34" s="11"/>
      <c r="I34" s="11"/>
      <c r="J34" s="11"/>
      <c r="K34" s="11"/>
      <c r="L34" s="11"/>
      <c r="M34" s="11"/>
      <c r="N34" s="11"/>
    </row>
    <row r="35" spans="1:14" ht="16.5">
      <c r="A35" s="11"/>
      <c r="B35" s="11"/>
      <c r="C35" s="11"/>
      <c r="D35" s="11"/>
      <c r="E35" s="11"/>
      <c r="F35" s="11"/>
      <c r="G35" s="11"/>
      <c r="H35" s="11"/>
      <c r="I35" s="11"/>
      <c r="J35" s="11"/>
      <c r="K35" s="11"/>
      <c r="L35" s="11"/>
      <c r="M35" s="11"/>
      <c r="N35" s="11"/>
    </row>
    <row r="36" spans="1:14" ht="16.5">
      <c r="A36" s="11"/>
      <c r="B36" s="11"/>
      <c r="C36" s="11"/>
      <c r="D36" s="11"/>
      <c r="E36" s="11"/>
      <c r="F36" s="11"/>
      <c r="G36" s="11"/>
      <c r="H36" s="11"/>
      <c r="I36" s="11"/>
      <c r="J36" s="11"/>
      <c r="K36" s="11"/>
      <c r="L36" s="11"/>
      <c r="M36" s="11"/>
      <c r="N36" s="11"/>
    </row>
    <row r="37" spans="1:14" ht="17.25">
      <c r="A37" s="104" t="s">
        <v>361</v>
      </c>
    </row>
    <row r="38" spans="1:14" ht="17.25">
      <c r="A38" s="104" t="s">
        <v>362</v>
      </c>
    </row>
    <row r="39" spans="1:14" ht="17.25">
      <c r="A39" s="104" t="s">
        <v>363</v>
      </c>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61"/>
  <sheetViews>
    <sheetView view="pageBreakPreview" topLeftCell="A15" zoomScale="60" zoomScaleNormal="80" workbookViewId="0">
      <selection activeCell="J35" sqref="J35"/>
    </sheetView>
  </sheetViews>
  <sheetFormatPr defaultRowHeight="15"/>
  <cols>
    <col min="1" max="1" width="53.85546875" customWidth="1"/>
    <col min="2" max="2" width="8" customWidth="1"/>
    <col min="3" max="3" width="12.28515625" bestFit="1" customWidth="1"/>
    <col min="4" max="4" width="20.140625" customWidth="1"/>
    <col min="5" max="5" width="18.85546875" customWidth="1"/>
    <col min="6" max="6" width="19" customWidth="1"/>
    <col min="7" max="7" width="16.42578125" customWidth="1"/>
    <col min="8" max="10" width="19.28515625" customWidth="1"/>
    <col min="11" max="12" width="21.5703125" customWidth="1"/>
    <col min="13" max="13" width="18.28515625" customWidth="1"/>
  </cols>
  <sheetData>
    <row r="1" spans="1:15" ht="26.25">
      <c r="A1" s="22" t="s">
        <v>1</v>
      </c>
      <c r="B1" s="22"/>
      <c r="C1" s="11"/>
      <c r="D1" s="11"/>
      <c r="E1" s="11"/>
      <c r="F1" s="11"/>
      <c r="G1" s="11"/>
      <c r="H1" s="11"/>
      <c r="I1" s="11"/>
      <c r="J1" s="11"/>
      <c r="K1" s="11"/>
      <c r="L1" s="11"/>
      <c r="M1" s="11"/>
      <c r="N1" s="11"/>
      <c r="O1" s="11"/>
    </row>
    <row r="2" spans="1:15" ht="17.25">
      <c r="A2" s="61" t="s">
        <v>9</v>
      </c>
      <c r="B2" s="61"/>
      <c r="C2" s="11"/>
      <c r="D2" s="11"/>
      <c r="E2" s="11"/>
      <c r="F2" s="11"/>
      <c r="G2" s="11"/>
      <c r="H2" s="11"/>
      <c r="I2" s="11"/>
      <c r="J2" s="11"/>
      <c r="K2" s="11"/>
      <c r="L2" s="11"/>
      <c r="M2" s="11"/>
      <c r="N2" s="11"/>
      <c r="O2" s="11"/>
    </row>
    <row r="3" spans="1:15" ht="16.5">
      <c r="A3" s="24" t="s">
        <v>467</v>
      </c>
      <c r="B3" s="42"/>
      <c r="C3" s="11"/>
      <c r="D3" s="11"/>
      <c r="E3" s="11"/>
      <c r="F3" s="11"/>
      <c r="G3" s="11"/>
      <c r="H3" s="11"/>
      <c r="I3" s="11"/>
      <c r="J3" s="11"/>
      <c r="K3" s="11"/>
      <c r="L3" s="11"/>
      <c r="M3" s="11"/>
      <c r="N3" s="11"/>
      <c r="O3" s="11"/>
    </row>
    <row r="4" spans="1:15" ht="16.5">
      <c r="A4" s="11"/>
      <c r="B4" s="11"/>
      <c r="C4" s="11"/>
      <c r="D4" s="11"/>
      <c r="E4" s="25" t="s">
        <v>0</v>
      </c>
      <c r="F4" s="11"/>
      <c r="G4" s="11"/>
      <c r="H4" s="11"/>
      <c r="I4" s="11"/>
      <c r="J4" s="11"/>
      <c r="K4" s="11"/>
      <c r="L4" s="11"/>
      <c r="M4" s="11"/>
      <c r="N4" s="11"/>
      <c r="O4" s="11"/>
    </row>
    <row r="5" spans="1:15" ht="18" thickBot="1">
      <c r="A5" s="61"/>
      <c r="B5" s="61"/>
      <c r="C5" s="11"/>
      <c r="D5" s="11"/>
      <c r="E5" s="11"/>
      <c r="F5" s="11"/>
      <c r="G5" s="11"/>
      <c r="H5" s="11"/>
      <c r="I5" s="11"/>
      <c r="J5" s="11"/>
      <c r="K5" s="11"/>
      <c r="L5" s="11"/>
      <c r="M5" s="11"/>
      <c r="N5" s="11"/>
      <c r="O5" s="11"/>
    </row>
    <row r="6" spans="1:15" ht="21" thickBot="1">
      <c r="A6" s="275" t="str">
        <f>+'S&amp;D'!A12</f>
        <v>Natural Gas Transmission Pipeline Carrier</v>
      </c>
      <c r="B6" s="278"/>
      <c r="C6" s="11"/>
      <c r="D6" s="11"/>
      <c r="E6" s="11"/>
      <c r="F6" s="11"/>
      <c r="G6" s="11"/>
      <c r="H6" s="11"/>
      <c r="I6" s="11"/>
      <c r="J6" s="11"/>
      <c r="K6" s="11"/>
      <c r="L6" s="11"/>
      <c r="M6" s="11"/>
      <c r="N6" s="11"/>
      <c r="O6" s="11"/>
    </row>
    <row r="7" spans="1:15" ht="18" thickBot="1">
      <c r="A7" s="61"/>
      <c r="B7" s="61"/>
      <c r="C7" s="27"/>
      <c r="D7" s="27"/>
      <c r="E7" s="27"/>
      <c r="F7" s="27"/>
      <c r="G7" s="27"/>
      <c r="H7" s="11"/>
      <c r="I7" s="27"/>
      <c r="J7" s="27"/>
      <c r="K7" s="27"/>
      <c r="L7" s="27"/>
      <c r="M7" s="27"/>
      <c r="N7" s="11"/>
      <c r="O7" s="11"/>
    </row>
    <row r="8" spans="1:15" ht="26.25">
      <c r="B8" s="29"/>
      <c r="C8" s="11"/>
      <c r="D8" s="11"/>
      <c r="E8" s="30" t="s">
        <v>236</v>
      </c>
      <c r="F8" s="11"/>
      <c r="G8" s="11"/>
      <c r="H8" s="11"/>
      <c r="I8" s="11"/>
      <c r="J8" s="11"/>
      <c r="K8" s="30" t="s">
        <v>237</v>
      </c>
      <c r="L8" s="11"/>
      <c r="M8" s="11"/>
      <c r="N8" s="11"/>
      <c r="O8" s="11"/>
    </row>
    <row r="9" spans="1:15" ht="21" thickBot="1">
      <c r="A9" s="29"/>
      <c r="B9" s="29"/>
      <c r="C9" s="27"/>
      <c r="D9" s="27"/>
      <c r="E9" s="31" t="s">
        <v>468</v>
      </c>
      <c r="F9" s="27"/>
      <c r="G9" s="27"/>
      <c r="H9" s="11"/>
      <c r="I9" s="27"/>
      <c r="J9" s="27"/>
      <c r="K9" s="31" t="s">
        <v>468</v>
      </c>
      <c r="L9" s="27"/>
      <c r="M9" s="27"/>
      <c r="N9" s="11"/>
      <c r="O9" s="11"/>
    </row>
    <row r="10" spans="1:15" ht="17.25" thickBot="1">
      <c r="A10" s="32" t="s">
        <v>0</v>
      </c>
      <c r="B10" s="32"/>
      <c r="C10" s="32" t="s">
        <v>0</v>
      </c>
      <c r="D10" s="32" t="s">
        <v>0</v>
      </c>
      <c r="E10" s="32" t="s">
        <v>0</v>
      </c>
      <c r="F10" s="32" t="s">
        <v>0</v>
      </c>
      <c r="G10" s="32" t="s">
        <v>0</v>
      </c>
      <c r="H10" s="11"/>
      <c r="I10" s="27"/>
      <c r="J10" s="27"/>
      <c r="K10" s="27"/>
      <c r="L10" s="27"/>
      <c r="M10" s="27"/>
      <c r="N10" s="11"/>
      <c r="O10" s="11"/>
    </row>
    <row r="11" spans="1:15" ht="16.5">
      <c r="A11" s="33" t="s">
        <v>0</v>
      </c>
      <c r="B11" s="33"/>
      <c r="C11" s="33" t="s">
        <v>3</v>
      </c>
      <c r="D11" s="33" t="s">
        <v>355</v>
      </c>
      <c r="E11" s="33" t="s">
        <v>357</v>
      </c>
      <c r="F11" s="33" t="s">
        <v>111</v>
      </c>
      <c r="G11" s="33" t="s">
        <v>27</v>
      </c>
      <c r="H11" s="11"/>
      <c r="I11" s="33" t="s">
        <v>3</v>
      </c>
      <c r="J11" s="33" t="s">
        <v>355</v>
      </c>
      <c r="K11" s="33" t="s">
        <v>357</v>
      </c>
      <c r="L11" s="33" t="s">
        <v>111</v>
      </c>
      <c r="M11" s="33" t="s">
        <v>27</v>
      </c>
      <c r="N11" s="11"/>
      <c r="O11" s="11"/>
    </row>
    <row r="12" spans="1:15" ht="17.25" thickBot="1">
      <c r="A12" s="35" t="s">
        <v>2</v>
      </c>
      <c r="B12" s="35"/>
      <c r="C12" s="35" t="s">
        <v>4</v>
      </c>
      <c r="D12" s="35" t="s">
        <v>28</v>
      </c>
      <c r="E12" s="35" t="s">
        <v>169</v>
      </c>
      <c r="F12" s="35" t="s">
        <v>29</v>
      </c>
      <c r="G12" s="35" t="s">
        <v>30</v>
      </c>
      <c r="H12" s="11"/>
      <c r="I12" s="35" t="s">
        <v>4</v>
      </c>
      <c r="J12" s="35" t="s">
        <v>28</v>
      </c>
      <c r="K12" s="35" t="s">
        <v>169</v>
      </c>
      <c r="L12" s="35" t="s">
        <v>29</v>
      </c>
      <c r="M12" s="35" t="s">
        <v>30</v>
      </c>
      <c r="N12" s="11"/>
      <c r="O12" s="11"/>
    </row>
    <row r="13" spans="1:15" ht="16.5">
      <c r="A13" s="37" t="s">
        <v>0</v>
      </c>
      <c r="B13" s="37"/>
      <c r="C13" s="37" t="s">
        <v>0</v>
      </c>
      <c r="D13" s="38" t="s">
        <v>113</v>
      </c>
      <c r="E13" s="74" t="s">
        <v>114</v>
      </c>
      <c r="F13" s="37" t="s">
        <v>0</v>
      </c>
      <c r="G13" s="37" t="s">
        <v>0</v>
      </c>
      <c r="H13" s="11"/>
      <c r="I13" s="37" t="s">
        <v>0</v>
      </c>
      <c r="J13" s="38" t="s">
        <v>113</v>
      </c>
      <c r="K13" s="74" t="s">
        <v>112</v>
      </c>
      <c r="L13" s="37" t="s">
        <v>0</v>
      </c>
      <c r="M13" s="37" t="s">
        <v>0</v>
      </c>
      <c r="N13" s="11"/>
      <c r="O13" s="11"/>
    </row>
    <row r="14" spans="1:15" ht="16.5">
      <c r="A14" s="33"/>
      <c r="B14" s="33"/>
      <c r="C14" s="33"/>
      <c r="D14" s="33"/>
      <c r="E14" s="33"/>
      <c r="F14" s="33"/>
      <c r="G14" s="33"/>
      <c r="H14" s="11"/>
      <c r="I14" s="33"/>
      <c r="J14" s="33"/>
      <c r="K14" s="33"/>
      <c r="L14" s="33"/>
      <c r="M14" s="33"/>
      <c r="N14" s="11"/>
      <c r="O14" s="11"/>
    </row>
    <row r="15" spans="1:15" ht="16.5">
      <c r="A15" s="11"/>
      <c r="B15" s="11"/>
      <c r="C15" s="11"/>
      <c r="D15" s="11"/>
      <c r="E15" s="11"/>
      <c r="F15" s="11"/>
      <c r="G15" s="11"/>
      <c r="H15" s="11"/>
      <c r="I15" s="11"/>
      <c r="J15" s="11"/>
      <c r="K15" s="11"/>
      <c r="L15" s="11"/>
      <c r="M15" s="11"/>
      <c r="N15" s="11"/>
      <c r="O15" s="11"/>
    </row>
    <row r="16" spans="1:15" ht="17.25">
      <c r="A16" s="61" t="str">
        <f>+'S&amp;D'!A22</f>
        <v>Enbridge Inc</v>
      </c>
      <c r="B16" s="61"/>
      <c r="C16" s="88" t="str">
        <f>+'S&amp;D'!B22</f>
        <v>ENB.TO</v>
      </c>
      <c r="D16" s="58">
        <f>'S&amp;D'!G22</f>
        <v>47.7</v>
      </c>
      <c r="E16" s="381">
        <v>2.4500000000000002</v>
      </c>
      <c r="F16" s="70">
        <f t="shared" ref="F16:F20" si="0">D16/E16</f>
        <v>19.469387755102041</v>
      </c>
      <c r="G16" s="55">
        <f t="shared" ref="G16:G20" si="1">1/F16</f>
        <v>5.1362683438155136E-2</v>
      </c>
      <c r="H16" s="11"/>
      <c r="I16" s="33" t="str">
        <f t="shared" ref="I16:I20" si="2">+C16</f>
        <v>ENB.TO</v>
      </c>
      <c r="J16" s="58">
        <f t="shared" ref="J16:J20" si="3">+D16</f>
        <v>47.7</v>
      </c>
      <c r="K16" s="381">
        <v>2.9</v>
      </c>
      <c r="L16" s="70">
        <f t="shared" ref="L16:L20" si="4">J16/K16</f>
        <v>16.448275862068968</v>
      </c>
      <c r="M16" s="55">
        <f t="shared" ref="M16:M20" si="5">1/L16</f>
        <v>6.0796645702306071E-2</v>
      </c>
      <c r="N16" s="11"/>
      <c r="O16" s="11"/>
    </row>
    <row r="17" spans="1:15" ht="17.25">
      <c r="A17" s="61" t="str">
        <f>+'S&amp;D'!A23</f>
        <v>Energy Transfer LP</v>
      </c>
      <c r="B17" s="61"/>
      <c r="C17" s="88" t="str">
        <f>+'S&amp;D'!B23</f>
        <v>ET</v>
      </c>
      <c r="D17" s="58">
        <f>'S&amp;D'!G23</f>
        <v>13.8</v>
      </c>
      <c r="E17" s="381">
        <v>1.2</v>
      </c>
      <c r="F17" s="70">
        <f t="shared" si="0"/>
        <v>11.500000000000002</v>
      </c>
      <c r="G17" s="55">
        <f t="shared" si="1"/>
        <v>8.6956521739130418E-2</v>
      </c>
      <c r="H17" s="11"/>
      <c r="I17" s="33" t="str">
        <f t="shared" si="2"/>
        <v>ET</v>
      </c>
      <c r="J17" s="58">
        <f t="shared" si="3"/>
        <v>13.8</v>
      </c>
      <c r="K17" s="381">
        <v>1.5</v>
      </c>
      <c r="L17" s="70">
        <f t="shared" si="4"/>
        <v>9.2000000000000011</v>
      </c>
      <c r="M17" s="55">
        <f t="shared" si="5"/>
        <v>0.10869565217391303</v>
      </c>
      <c r="N17" s="11"/>
      <c r="O17" s="11"/>
    </row>
    <row r="18" spans="1:15" ht="17.25">
      <c r="A18" s="61" t="str">
        <f>+'S&amp;D'!A24</f>
        <v>Enlink Midstream LLC</v>
      </c>
      <c r="B18" s="61"/>
      <c r="C18" s="88" t="str">
        <f>+'S&amp;D'!B24</f>
        <v>ENLC</v>
      </c>
      <c r="D18" s="58">
        <f>'S&amp;D'!G24</f>
        <v>12.16</v>
      </c>
      <c r="E18" s="381">
        <v>0.5</v>
      </c>
      <c r="F18" s="70">
        <f t="shared" si="0"/>
        <v>24.32</v>
      </c>
      <c r="G18" s="55">
        <f t="shared" si="1"/>
        <v>4.1118421052631582E-2</v>
      </c>
      <c r="H18" s="11"/>
      <c r="I18" s="33" t="str">
        <f t="shared" si="2"/>
        <v>ENLC</v>
      </c>
      <c r="J18" s="58">
        <f t="shared" si="3"/>
        <v>12.16</v>
      </c>
      <c r="K18" s="381">
        <v>0.6</v>
      </c>
      <c r="L18" s="70">
        <f t="shared" si="4"/>
        <v>20.266666666666669</v>
      </c>
      <c r="M18" s="55">
        <f t="shared" si="5"/>
        <v>4.9342105263157889E-2</v>
      </c>
      <c r="N18" s="11"/>
      <c r="O18" s="11"/>
    </row>
    <row r="19" spans="1:15" ht="17.25">
      <c r="A19" s="61" t="str">
        <f>+'S&amp;D'!A25</f>
        <v>Enterprise Products Partnership LP</v>
      </c>
      <c r="B19" s="61"/>
      <c r="C19" s="88" t="str">
        <f>+'S&amp;D'!B25</f>
        <v>EPD</v>
      </c>
      <c r="D19" s="58">
        <f>'S&amp;D'!G25</f>
        <v>26.35</v>
      </c>
      <c r="E19" s="381">
        <v>2.7</v>
      </c>
      <c r="F19" s="70">
        <f t="shared" si="0"/>
        <v>9.7592592592592595</v>
      </c>
      <c r="G19" s="55">
        <f t="shared" si="1"/>
        <v>0.10246679316888045</v>
      </c>
      <c r="H19" s="11"/>
      <c r="I19" s="33" t="str">
        <f t="shared" si="2"/>
        <v>EPD</v>
      </c>
      <c r="J19" s="58">
        <f t="shared" si="3"/>
        <v>26.35</v>
      </c>
      <c r="K19" s="381">
        <v>2.8</v>
      </c>
      <c r="L19" s="70">
        <f t="shared" si="4"/>
        <v>9.4107142857142865</v>
      </c>
      <c r="M19" s="55">
        <f t="shared" si="5"/>
        <v>0.10626185958254268</v>
      </c>
      <c r="N19" s="11"/>
      <c r="O19" s="11"/>
    </row>
    <row r="20" spans="1:15" ht="17.25">
      <c r="A20" s="61" t="str">
        <f>+'S&amp;D'!A26</f>
        <v>Kinder Morgan Inc</v>
      </c>
      <c r="B20" s="61"/>
      <c r="C20" s="88" t="str">
        <f>+'S&amp;D'!B26</f>
        <v>KMI</v>
      </c>
      <c r="D20" s="58">
        <f>'S&amp;D'!G26</f>
        <v>17.64</v>
      </c>
      <c r="E20" s="381">
        <v>1.1499999999999999</v>
      </c>
      <c r="F20" s="70">
        <f t="shared" si="0"/>
        <v>15.339130434782611</v>
      </c>
      <c r="G20" s="55">
        <f t="shared" si="1"/>
        <v>6.519274376417232E-2</v>
      </c>
      <c r="H20" s="11"/>
      <c r="I20" s="33" t="str">
        <f t="shared" si="2"/>
        <v>KMI</v>
      </c>
      <c r="J20" s="58">
        <f t="shared" si="3"/>
        <v>17.64</v>
      </c>
      <c r="K20" s="381">
        <v>1.25</v>
      </c>
      <c r="L20" s="70">
        <f t="shared" si="4"/>
        <v>14.112</v>
      </c>
      <c r="M20" s="55">
        <f t="shared" si="5"/>
        <v>7.0861678004535147E-2</v>
      </c>
      <c r="N20" s="11"/>
      <c r="O20" s="11"/>
    </row>
    <row r="21" spans="1:15" ht="17.25">
      <c r="A21" s="61" t="str">
        <f>+'S&amp;D'!A27</f>
        <v>ONEOK Inc</v>
      </c>
      <c r="B21" s="61"/>
      <c r="C21" s="88" t="str">
        <f>+'S&amp;D'!B27</f>
        <v>OKE</v>
      </c>
      <c r="D21" s="58">
        <f>'S&amp;D'!G27</f>
        <v>70.22</v>
      </c>
      <c r="E21" s="381">
        <v>5.5</v>
      </c>
      <c r="F21" s="70">
        <f t="shared" ref="F21:F23" si="6">D21/E21</f>
        <v>12.767272727272728</v>
      </c>
      <c r="G21" s="55">
        <f t="shared" ref="G21:G23" si="7">1/F21</f>
        <v>7.8325263457704353E-2</v>
      </c>
      <c r="H21" s="11"/>
      <c r="I21" s="33" t="str">
        <f t="shared" ref="I21:I23" si="8">+C21</f>
        <v>OKE</v>
      </c>
      <c r="J21" s="58">
        <f t="shared" ref="J21:J23" si="9">+D21</f>
        <v>70.22</v>
      </c>
      <c r="K21" s="381">
        <v>6.1</v>
      </c>
      <c r="L21" s="70">
        <f t="shared" ref="L21:L23" si="10">J21/K21</f>
        <v>11.511475409836066</v>
      </c>
      <c r="M21" s="55">
        <f t="shared" ref="M21:M23" si="11">1/L21</f>
        <v>8.6869837653090282E-2</v>
      </c>
      <c r="N21" s="11"/>
      <c r="O21" s="11"/>
    </row>
    <row r="22" spans="1:15" ht="17.25">
      <c r="A22" s="61" t="str">
        <f>+'S&amp;D'!A28</f>
        <v>TC Energy Corp</v>
      </c>
      <c r="B22" s="61"/>
      <c r="C22" s="88" t="str">
        <f>+'S&amp;D'!B28</f>
        <v>TRP</v>
      </c>
      <c r="D22" s="58">
        <f>'S&amp;D'!G28</f>
        <v>39.090000000000003</v>
      </c>
      <c r="E22" s="381">
        <v>3.6</v>
      </c>
      <c r="F22" s="70">
        <f t="shared" si="6"/>
        <v>10.858333333333334</v>
      </c>
      <c r="G22" s="55">
        <f t="shared" si="7"/>
        <v>9.2095165003837284E-2</v>
      </c>
      <c r="H22" s="11"/>
      <c r="I22" s="33" t="str">
        <f t="shared" si="8"/>
        <v>TRP</v>
      </c>
      <c r="J22" s="58">
        <f t="shared" si="9"/>
        <v>39.090000000000003</v>
      </c>
      <c r="K22" s="381">
        <v>3.95</v>
      </c>
      <c r="L22" s="70">
        <f t="shared" si="10"/>
        <v>9.8962025316455708</v>
      </c>
      <c r="M22" s="55">
        <f t="shared" si="11"/>
        <v>0.10104886160143257</v>
      </c>
      <c r="N22" s="11"/>
      <c r="O22" s="11"/>
    </row>
    <row r="23" spans="1:15" ht="17.25">
      <c r="A23" s="61" t="str">
        <f>+'S&amp;D'!A29</f>
        <v>Williams Companys Inc</v>
      </c>
      <c r="B23" s="61"/>
      <c r="C23" s="88" t="str">
        <f>+'S&amp;D'!B29</f>
        <v>WMB</v>
      </c>
      <c r="D23" s="58">
        <f>'S&amp;D'!G29</f>
        <v>34.83</v>
      </c>
      <c r="E23" s="381">
        <v>2.25</v>
      </c>
      <c r="F23" s="70">
        <f t="shared" si="6"/>
        <v>15.479999999999999</v>
      </c>
      <c r="G23" s="55">
        <f t="shared" si="7"/>
        <v>6.4599483204134375E-2</v>
      </c>
      <c r="H23" s="11"/>
      <c r="I23" s="33" t="str">
        <f t="shared" si="8"/>
        <v>WMB</v>
      </c>
      <c r="J23" s="58">
        <f t="shared" si="9"/>
        <v>34.83</v>
      </c>
      <c r="K23" s="381">
        <v>2.35</v>
      </c>
      <c r="L23" s="70">
        <f t="shared" si="10"/>
        <v>14.821276595744679</v>
      </c>
      <c r="M23" s="55">
        <f t="shared" si="11"/>
        <v>6.7470571346540345E-2</v>
      </c>
      <c r="N23" s="11"/>
      <c r="O23" s="11"/>
    </row>
    <row r="24" spans="1:15" ht="18" thickBot="1">
      <c r="A24" s="11"/>
      <c r="B24" s="11"/>
      <c r="C24" s="68"/>
      <c r="D24" s="68"/>
      <c r="E24" s="68"/>
      <c r="F24" s="68"/>
      <c r="G24" s="68"/>
      <c r="H24" s="11"/>
      <c r="I24" s="68"/>
      <c r="J24" s="63" t="s">
        <v>0</v>
      </c>
      <c r="K24" s="68"/>
      <c r="L24" s="68"/>
      <c r="M24" s="68"/>
      <c r="N24" s="11"/>
      <c r="O24" s="11"/>
    </row>
    <row r="25" spans="1:15" ht="17.25" thickTop="1">
      <c r="A25" s="11"/>
      <c r="B25" s="11"/>
      <c r="D25" s="13" t="s">
        <v>46</v>
      </c>
      <c r="E25" s="69">
        <f>MAX(E16:E23)</f>
        <v>5.5</v>
      </c>
      <c r="F25" s="69">
        <f t="shared" ref="F25:G25" si="12">MAX(F16:F23)</f>
        <v>24.32</v>
      </c>
      <c r="G25" s="321">
        <f t="shared" si="12"/>
        <v>0.10246679316888045</v>
      </c>
      <c r="H25" s="11"/>
      <c r="J25" s="13" t="s">
        <v>46</v>
      </c>
      <c r="K25" s="69">
        <f t="shared" ref="K25:M25" si="13">MAX(K16:K23)</f>
        <v>6.1</v>
      </c>
      <c r="L25" s="69">
        <f t="shared" si="13"/>
        <v>20.266666666666669</v>
      </c>
      <c r="M25" s="321">
        <f t="shared" si="13"/>
        <v>0.10869565217391303</v>
      </c>
      <c r="N25" s="11"/>
      <c r="O25" s="11"/>
    </row>
    <row r="26" spans="1:15" ht="16.5">
      <c r="A26" s="11"/>
      <c r="B26" s="11"/>
      <c r="D26" s="347" t="s">
        <v>47</v>
      </c>
      <c r="E26" s="351">
        <f>+MIN(E16:E23)</f>
        <v>0.5</v>
      </c>
      <c r="F26" s="351">
        <f t="shared" ref="F26:G26" si="14">+MIN(F16:F23)</f>
        <v>9.7592592592592595</v>
      </c>
      <c r="G26" s="344">
        <f t="shared" si="14"/>
        <v>4.1118421052631582E-2</v>
      </c>
      <c r="H26" s="11"/>
      <c r="J26" s="347" t="s">
        <v>47</v>
      </c>
      <c r="K26" s="351">
        <f t="shared" ref="K26:M26" si="15">+MIN(K16:K23)</f>
        <v>0.6</v>
      </c>
      <c r="L26" s="351">
        <f t="shared" si="15"/>
        <v>9.2000000000000011</v>
      </c>
      <c r="M26" s="344">
        <f t="shared" si="15"/>
        <v>4.9342105263157889E-2</v>
      </c>
      <c r="N26" s="11"/>
      <c r="O26" s="11"/>
    </row>
    <row r="27" spans="1:15" ht="16.5">
      <c r="A27" s="11"/>
      <c r="B27" s="11"/>
      <c r="D27" s="13" t="s">
        <v>18</v>
      </c>
      <c r="E27" s="70">
        <f>MEDIAN(E16:E23)</f>
        <v>2.35</v>
      </c>
      <c r="F27" s="20">
        <f>MEDIAN(F16:F23)</f>
        <v>14.053201581027668</v>
      </c>
      <c r="G27" s="55">
        <f>MEDIAN(G16:G23)</f>
        <v>7.1759003610938343E-2</v>
      </c>
      <c r="H27" s="11"/>
      <c r="J27" s="13" t="s">
        <v>18</v>
      </c>
      <c r="K27" s="70">
        <f>MEDIAN(K16:K23)</f>
        <v>2.5750000000000002</v>
      </c>
      <c r="L27" s="20">
        <f>MEDIAN(L16:L23)</f>
        <v>12.811737704918034</v>
      </c>
      <c r="M27" s="55">
        <f>MEDIAN(M16:M23)</f>
        <v>7.8865757828812721E-2</v>
      </c>
      <c r="N27" s="11"/>
      <c r="O27" s="11"/>
    </row>
    <row r="28" spans="1:15" ht="16.5">
      <c r="A28" s="11"/>
      <c r="B28" s="11"/>
      <c r="D28" s="13" t="s">
        <v>428</v>
      </c>
      <c r="E28" s="16">
        <f>AVERAGE(E16:E23)</f>
        <v>2.4187500000000002</v>
      </c>
      <c r="F28" s="20">
        <f>AVERAGE(F16:F23)</f>
        <v>14.936672938718749</v>
      </c>
      <c r="G28" s="71">
        <f>AVERAGE(G16:G23)</f>
        <v>7.2764634353580729E-2</v>
      </c>
      <c r="H28" s="11"/>
      <c r="J28" s="13" t="s">
        <v>428</v>
      </c>
      <c r="K28" s="16">
        <f>AVERAGE(K16:K23)</f>
        <v>2.6812500000000004</v>
      </c>
      <c r="L28" s="20">
        <f>AVERAGE(L16:L23)</f>
        <v>13.20832641895953</v>
      </c>
      <c r="M28" s="71">
        <f>AVERAGE(M16:M23)</f>
        <v>8.1418401415939742E-2</v>
      </c>
      <c r="N28" s="11"/>
      <c r="O28" s="11"/>
    </row>
    <row r="29" spans="1:15" ht="16.5">
      <c r="A29" s="11"/>
      <c r="B29" s="11"/>
      <c r="C29" s="11"/>
      <c r="D29" s="11"/>
      <c r="E29" s="11"/>
      <c r="F29" s="11"/>
      <c r="G29" s="11"/>
      <c r="H29" s="11"/>
      <c r="I29" s="11"/>
      <c r="J29" s="11"/>
      <c r="K29" s="11"/>
      <c r="L29" s="11"/>
      <c r="M29" s="11"/>
      <c r="N29" s="11"/>
      <c r="O29" s="11"/>
    </row>
    <row r="30" spans="1:15" ht="26.25">
      <c r="A30" s="11"/>
      <c r="B30" s="11"/>
      <c r="C30" s="11"/>
      <c r="D30" s="11"/>
      <c r="E30" s="75" t="s">
        <v>74</v>
      </c>
      <c r="F30" s="325">
        <v>14.94</v>
      </c>
      <c r="G30" s="323">
        <v>7.2800000000000004E-2</v>
      </c>
      <c r="H30" s="11"/>
      <c r="I30" s="11"/>
      <c r="J30" s="11"/>
      <c r="K30" s="75" t="s">
        <v>74</v>
      </c>
      <c r="L30" s="326">
        <v>13.21</v>
      </c>
      <c r="M30" s="323">
        <v>8.14E-2</v>
      </c>
      <c r="N30" s="11"/>
      <c r="O30" s="11"/>
    </row>
    <row r="31" spans="1:15" ht="16.5">
      <c r="A31" s="11"/>
      <c r="B31" s="11"/>
      <c r="C31" s="11"/>
      <c r="D31" s="11"/>
      <c r="E31" s="11"/>
      <c r="F31" s="11"/>
      <c r="K31" s="11"/>
      <c r="L31" s="11"/>
      <c r="M31" s="11"/>
      <c r="N31" s="11"/>
      <c r="O31" s="11"/>
    </row>
    <row r="32" spans="1:15" ht="30" customHeight="1">
      <c r="A32" s="11"/>
      <c r="B32" s="11"/>
      <c r="C32" s="11"/>
      <c r="D32" s="11"/>
      <c r="E32" s="11"/>
      <c r="F32" s="11"/>
      <c r="K32" s="11"/>
      <c r="L32" s="11"/>
      <c r="M32" s="11"/>
      <c r="N32" s="11"/>
      <c r="O32" s="11"/>
    </row>
    <row r="33" spans="1:15" ht="17.25" thickBot="1">
      <c r="A33" s="11"/>
      <c r="B33" s="11"/>
      <c r="C33" s="11"/>
      <c r="D33" s="11"/>
      <c r="E33" s="11"/>
      <c r="F33" s="11"/>
      <c r="K33" s="11"/>
      <c r="L33" s="11"/>
      <c r="M33" s="11"/>
      <c r="N33" s="11"/>
      <c r="O33" s="11"/>
    </row>
    <row r="34" spans="1:15" ht="30.75" customHeight="1" thickBot="1">
      <c r="A34" s="73" t="s">
        <v>0</v>
      </c>
      <c r="B34" s="73"/>
      <c r="C34" s="11"/>
      <c r="D34" s="11"/>
      <c r="E34" s="11"/>
      <c r="G34" s="22" t="s">
        <v>124</v>
      </c>
      <c r="H34" s="11"/>
      <c r="I34" s="230">
        <f>+(F30+L30)/2</f>
        <v>14.074999999999999</v>
      </c>
      <c r="J34" s="231">
        <f>+(G30+M30)/2</f>
        <v>7.7100000000000002E-2</v>
      </c>
      <c r="N34" s="11"/>
      <c r="O34" s="11"/>
    </row>
    <row r="35" spans="1:15" ht="16.5">
      <c r="A35" s="73" t="s">
        <v>0</v>
      </c>
      <c r="B35" s="73"/>
      <c r="C35" s="11"/>
      <c r="D35" s="11"/>
      <c r="E35" s="11"/>
      <c r="F35" s="11"/>
      <c r="G35" s="11"/>
      <c r="H35" s="11"/>
      <c r="I35" s="11"/>
      <c r="J35" s="11"/>
      <c r="K35" s="11"/>
      <c r="L35" s="11"/>
      <c r="M35" s="11"/>
      <c r="N35" s="11"/>
      <c r="O35" s="11"/>
    </row>
    <row r="36" spans="1:15" ht="16.5">
      <c r="A36" s="11"/>
      <c r="B36" s="11"/>
      <c r="C36" s="11"/>
      <c r="D36" s="11"/>
      <c r="E36" s="11"/>
      <c r="F36" s="11"/>
      <c r="G36" s="11"/>
      <c r="H36" s="11"/>
      <c r="I36" s="11"/>
      <c r="J36" s="11"/>
      <c r="K36" s="11"/>
      <c r="L36" s="11"/>
      <c r="M36" s="11"/>
      <c r="N36" s="11"/>
      <c r="O36" s="11"/>
    </row>
    <row r="37" spans="1:15" ht="16.5">
      <c r="A37" s="11"/>
      <c r="B37" s="11"/>
      <c r="C37" s="11"/>
      <c r="D37" s="11"/>
      <c r="E37" s="11"/>
      <c r="F37" s="11"/>
      <c r="G37" s="11"/>
      <c r="H37" s="11"/>
      <c r="I37" s="11"/>
      <c r="J37" s="11"/>
      <c r="K37" s="11"/>
      <c r="L37" s="11"/>
      <c r="M37" s="11"/>
      <c r="N37" s="11"/>
      <c r="O37" s="11"/>
    </row>
    <row r="38" spans="1:15" ht="15.75" thickBot="1">
      <c r="B38" s="154"/>
      <c r="C38" s="154"/>
      <c r="D38" s="154"/>
      <c r="E38" s="154"/>
      <c r="F38" s="154"/>
      <c r="G38" s="154"/>
    </row>
    <row r="39" spans="1:15" ht="26.25">
      <c r="C39" s="11"/>
      <c r="D39" s="11"/>
      <c r="E39" s="30" t="s">
        <v>243</v>
      </c>
      <c r="F39" s="11"/>
      <c r="G39" s="11"/>
    </row>
    <row r="40" spans="1:15" ht="21" thickBot="1">
      <c r="A40" s="29"/>
      <c r="B40" s="154"/>
      <c r="C40" s="27"/>
      <c r="D40" s="27"/>
      <c r="E40" s="31" t="s">
        <v>468</v>
      </c>
      <c r="F40" s="27"/>
      <c r="G40" s="27"/>
    </row>
    <row r="41" spans="1:15" ht="15.75" thickBot="1">
      <c r="A41" s="32" t="s">
        <v>0</v>
      </c>
      <c r="B41" s="154"/>
      <c r="C41" s="32" t="s">
        <v>0</v>
      </c>
      <c r="D41" s="32" t="s">
        <v>0</v>
      </c>
      <c r="E41" s="32" t="s">
        <v>0</v>
      </c>
      <c r="F41" s="32" t="s">
        <v>0</v>
      </c>
      <c r="G41" s="32" t="s">
        <v>0</v>
      </c>
    </row>
    <row r="42" spans="1:15" ht="16.5">
      <c r="A42" s="33" t="s">
        <v>0</v>
      </c>
      <c r="C42" s="33" t="s">
        <v>3</v>
      </c>
      <c r="D42" s="33" t="s">
        <v>355</v>
      </c>
      <c r="E42" s="33" t="s">
        <v>357</v>
      </c>
      <c r="F42" s="33" t="s">
        <v>111</v>
      </c>
      <c r="G42" s="33" t="s">
        <v>27</v>
      </c>
    </row>
    <row r="43" spans="1:15" ht="17.25" thickBot="1">
      <c r="A43" s="35" t="s">
        <v>2</v>
      </c>
      <c r="B43" s="154"/>
      <c r="C43" s="35" t="s">
        <v>4</v>
      </c>
      <c r="D43" s="35" t="s">
        <v>28</v>
      </c>
      <c r="E43" s="35" t="s">
        <v>169</v>
      </c>
      <c r="F43" s="35" t="s">
        <v>29</v>
      </c>
      <c r="G43" s="35" t="s">
        <v>30</v>
      </c>
    </row>
    <row r="44" spans="1:15">
      <c r="A44" s="37" t="s">
        <v>0</v>
      </c>
      <c r="C44" s="37" t="s">
        <v>0</v>
      </c>
      <c r="D44" s="38" t="s">
        <v>113</v>
      </c>
      <c r="E44" s="74" t="s">
        <v>244</v>
      </c>
      <c r="F44" s="37" t="s">
        <v>0</v>
      </c>
      <c r="G44" s="37" t="s">
        <v>0</v>
      </c>
    </row>
    <row r="45" spans="1:15" ht="16.5">
      <c r="A45" s="33"/>
      <c r="C45" s="33"/>
      <c r="D45" s="33"/>
      <c r="E45" s="33"/>
      <c r="F45" s="33"/>
      <c r="G45" s="33"/>
    </row>
    <row r="46" spans="1:15" ht="16.5">
      <c r="A46" s="11"/>
      <c r="C46" s="11"/>
      <c r="D46" s="11"/>
      <c r="E46" s="11"/>
      <c r="F46" s="11"/>
      <c r="G46" s="11"/>
    </row>
    <row r="47" spans="1:15" ht="17.25">
      <c r="A47" s="61" t="str">
        <f>+'S&amp;D'!A22</f>
        <v>Enbridge Inc</v>
      </c>
      <c r="C47" s="88" t="str">
        <f>+'S&amp;D'!B22</f>
        <v>ENB.TO</v>
      </c>
      <c r="D47" s="58">
        <f>'S&amp;D'!G22</f>
        <v>47.7</v>
      </c>
      <c r="E47" s="381">
        <v>3.8</v>
      </c>
      <c r="F47" s="70">
        <f t="shared" ref="F47:F54" si="16">D47/E47</f>
        <v>12.55263157894737</v>
      </c>
      <c r="G47" s="55">
        <f t="shared" ref="G47:G54" si="17">1/F47</f>
        <v>7.9664570230607953E-2</v>
      </c>
    </row>
    <row r="48" spans="1:15" ht="17.25">
      <c r="A48" s="61" t="str">
        <f>+'S&amp;D'!A23</f>
        <v>Energy Transfer LP</v>
      </c>
      <c r="C48" s="88" t="str">
        <f>+'S&amp;D'!B23</f>
        <v>ET</v>
      </c>
      <c r="D48" s="58">
        <f>'S&amp;D'!G23</f>
        <v>13.8</v>
      </c>
      <c r="E48" s="381">
        <v>2.25</v>
      </c>
      <c r="F48" s="70">
        <f t="shared" si="16"/>
        <v>6.1333333333333337</v>
      </c>
      <c r="G48" s="55">
        <f t="shared" si="17"/>
        <v>0.16304347826086957</v>
      </c>
    </row>
    <row r="49" spans="1:7" ht="17.25">
      <c r="A49" s="61" t="str">
        <f>+'S&amp;D'!A24</f>
        <v>Enlink Midstream LLC</v>
      </c>
      <c r="C49" s="88" t="str">
        <f>+'S&amp;D'!B24</f>
        <v>ENLC</v>
      </c>
      <c r="D49" s="58">
        <f>'S&amp;D'!G24</f>
        <v>12.16</v>
      </c>
      <c r="E49" s="381">
        <v>1.1499999999999999</v>
      </c>
      <c r="F49" s="70">
        <f t="shared" si="16"/>
        <v>10.573913043478262</v>
      </c>
      <c r="G49" s="55">
        <f t="shared" si="17"/>
        <v>9.4572368421052627E-2</v>
      </c>
    </row>
    <row r="50" spans="1:7" ht="17.25">
      <c r="A50" s="61" t="str">
        <f>+'S&amp;D'!A25</f>
        <v>Enterprise Products Partnership LP</v>
      </c>
      <c r="C50" s="88" t="str">
        <f>+'S&amp;D'!B25</f>
        <v>EPD</v>
      </c>
      <c r="D50" s="58">
        <f>'S&amp;D'!G25</f>
        <v>26.35</v>
      </c>
      <c r="E50" s="381">
        <v>3.35</v>
      </c>
      <c r="F50" s="70">
        <f t="shared" si="16"/>
        <v>7.8656716417910451</v>
      </c>
      <c r="G50" s="55">
        <f t="shared" si="17"/>
        <v>0.12713472485768501</v>
      </c>
    </row>
    <row r="51" spans="1:7" ht="17.25">
      <c r="A51" s="61" t="str">
        <f>+'S&amp;D'!A26</f>
        <v>Kinder Morgan Inc</v>
      </c>
      <c r="C51" s="88" t="str">
        <f>+'S&amp;D'!B26</f>
        <v>KMI</v>
      </c>
      <c r="D51" s="58">
        <f>'S&amp;D'!G26</f>
        <v>17.64</v>
      </c>
      <c r="E51" s="381">
        <v>1.75</v>
      </c>
      <c r="F51" s="70">
        <f t="shared" si="16"/>
        <v>10.08</v>
      </c>
      <c r="G51" s="55">
        <f t="shared" si="17"/>
        <v>9.9206349206349201E-2</v>
      </c>
    </row>
    <row r="52" spans="1:7" ht="17.25">
      <c r="A52" s="61" t="str">
        <f>+'S&amp;D'!A27</f>
        <v>ONEOK Inc</v>
      </c>
      <c r="C52" s="88" t="str">
        <f>+'S&amp;D'!B27</f>
        <v>OKE</v>
      </c>
      <c r="D52" s="58">
        <f>'S&amp;D'!G27</f>
        <v>70.22</v>
      </c>
      <c r="E52" s="381">
        <v>8</v>
      </c>
      <c r="F52" s="70">
        <f t="shared" si="16"/>
        <v>8.7774999999999999</v>
      </c>
      <c r="G52" s="55">
        <f t="shared" si="17"/>
        <v>0.11392765593847906</v>
      </c>
    </row>
    <row r="53" spans="1:7" ht="17.25">
      <c r="A53" s="61" t="str">
        <f>+'S&amp;D'!A28</f>
        <v>TC Energy Corp</v>
      </c>
      <c r="C53" s="88" t="str">
        <f>+'S&amp;D'!B28</f>
        <v>TRP</v>
      </c>
      <c r="D53" s="58">
        <f>'S&amp;D'!G28</f>
        <v>39.090000000000003</v>
      </c>
      <c r="E53" s="381">
        <v>4.5999999999999996</v>
      </c>
      <c r="F53" s="70">
        <f t="shared" si="16"/>
        <v>8.4978260869565236</v>
      </c>
      <c r="G53" s="55">
        <f t="shared" si="17"/>
        <v>0.11767715528268097</v>
      </c>
    </row>
    <row r="54" spans="1:7" ht="17.25">
      <c r="A54" s="61" t="str">
        <f>+'S&amp;D'!A29</f>
        <v>Williams Companys Inc</v>
      </c>
      <c r="C54" s="88" t="str">
        <f>+'S&amp;D'!B29</f>
        <v>WMB</v>
      </c>
      <c r="D54" s="58">
        <f>'S&amp;D'!G29</f>
        <v>34.83</v>
      </c>
      <c r="E54" s="381">
        <v>2.75</v>
      </c>
      <c r="F54" s="70">
        <f t="shared" si="16"/>
        <v>12.665454545454544</v>
      </c>
      <c r="G54" s="55">
        <f t="shared" si="17"/>
        <v>7.8954923916164238E-2</v>
      </c>
    </row>
    <row r="55" spans="1:7" ht="17.25" thickBot="1">
      <c r="A55" s="11"/>
      <c r="D55" s="68"/>
      <c r="E55" s="68"/>
      <c r="F55" s="68"/>
      <c r="G55" s="68"/>
    </row>
    <row r="56" spans="1:7" ht="17.25" thickTop="1">
      <c r="A56" s="11"/>
      <c r="D56" s="13" t="s">
        <v>46</v>
      </c>
      <c r="E56" s="69">
        <f t="shared" ref="E56:F56" si="18">MAX(E47:E54)</f>
        <v>8</v>
      </c>
      <c r="F56" s="69">
        <f t="shared" si="18"/>
        <v>12.665454545454544</v>
      </c>
      <c r="G56" s="321">
        <f>MAX(G47:G54)</f>
        <v>0.16304347826086957</v>
      </c>
    </row>
    <row r="57" spans="1:7" ht="16.5">
      <c r="A57" s="11"/>
      <c r="D57" s="13" t="s">
        <v>47</v>
      </c>
      <c r="E57" s="351">
        <f t="shared" ref="E57:G57" si="19">+MIN(E47:E54)</f>
        <v>1.1499999999999999</v>
      </c>
      <c r="F57" s="351">
        <f t="shared" si="19"/>
        <v>6.1333333333333337</v>
      </c>
      <c r="G57" s="344">
        <f t="shared" si="19"/>
        <v>7.8954923916164238E-2</v>
      </c>
    </row>
    <row r="58" spans="1:7" ht="16.5">
      <c r="A58" s="11"/>
      <c r="D58" s="13" t="s">
        <v>18</v>
      </c>
      <c r="E58" s="70">
        <f>MEDIAN(E47:E54)</f>
        <v>3.05</v>
      </c>
      <c r="F58" s="20">
        <f>MEDIAN(F47:F54)</f>
        <v>9.4287500000000009</v>
      </c>
      <c r="G58" s="55">
        <f>MEDIAN(G47:G54)</f>
        <v>0.10656700257241414</v>
      </c>
    </row>
    <row r="59" spans="1:7" ht="16.5">
      <c r="A59" s="11"/>
      <c r="D59" s="13" t="s">
        <v>428</v>
      </c>
      <c r="E59" s="16">
        <f>AVERAGE(E47:E54)</f>
        <v>3.4562499999999998</v>
      </c>
      <c r="F59" s="20">
        <f>AVERAGE(F47:F54)</f>
        <v>9.643291278745135</v>
      </c>
      <c r="G59" s="71">
        <f>AVERAGE(G47:G54)</f>
        <v>0.10927265326423609</v>
      </c>
    </row>
    <row r="60" spans="1:7" ht="16.5">
      <c r="A60" s="11"/>
      <c r="C60" s="11"/>
      <c r="D60" s="11"/>
      <c r="E60" s="11"/>
      <c r="F60" s="11"/>
      <c r="G60" s="11"/>
    </row>
    <row r="61" spans="1:7" ht="26.25">
      <c r="A61" s="11"/>
      <c r="C61" s="11"/>
      <c r="D61" s="11"/>
      <c r="E61" s="75" t="s">
        <v>74</v>
      </c>
      <c r="F61" s="326">
        <v>9.64</v>
      </c>
      <c r="G61" s="323">
        <v>0.10929999999999999</v>
      </c>
    </row>
  </sheetData>
  <pageMargins left="0.25" right="0.25" top="0.75" bottom="0.75" header="0.3" footer="0.3"/>
  <pageSetup scale="3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92D050"/>
  </sheetPr>
  <dimension ref="A1:K117"/>
  <sheetViews>
    <sheetView view="pageBreakPreview" topLeftCell="A25" zoomScale="60" zoomScaleNormal="80" workbookViewId="0">
      <selection activeCell="I45" sqref="I45"/>
    </sheetView>
  </sheetViews>
  <sheetFormatPr defaultRowHeight="15"/>
  <cols>
    <col min="1" max="1" width="62.42578125" customWidth="1"/>
    <col min="2" max="2" width="25.7109375" customWidth="1"/>
    <col min="3" max="3" width="30.28515625" customWidth="1"/>
    <col min="4" max="5" width="30.5703125" customWidth="1"/>
    <col min="6" max="6" width="28.140625" customWidth="1"/>
    <col min="7" max="7" width="32.7109375" customWidth="1"/>
    <col min="8" max="8" width="37.7109375" customWidth="1"/>
    <col min="9" max="9" width="49.7109375" customWidth="1"/>
    <col min="10" max="10" width="13.85546875" customWidth="1"/>
    <col min="11" max="12" width="14.140625" bestFit="1" customWidth="1"/>
  </cols>
  <sheetData>
    <row r="1" spans="1:11" ht="26.25">
      <c r="A1" s="22" t="s">
        <v>1</v>
      </c>
      <c r="C1" s="22"/>
      <c r="D1" s="22"/>
      <c r="E1" s="11"/>
      <c r="F1" s="11"/>
      <c r="G1" s="11"/>
      <c r="H1" s="11"/>
      <c r="I1" s="11"/>
      <c r="J1" s="11"/>
      <c r="K1" s="11"/>
    </row>
    <row r="2" spans="1:11" ht="17.25">
      <c r="A2" s="23" t="s">
        <v>9</v>
      </c>
      <c r="C2" s="23"/>
      <c r="D2" s="23"/>
      <c r="E2" s="11"/>
      <c r="F2" s="11"/>
      <c r="G2" s="11"/>
      <c r="H2" s="11"/>
      <c r="I2" s="11"/>
      <c r="J2" s="11"/>
      <c r="K2" s="11"/>
    </row>
    <row r="3" spans="1:11" ht="16.5">
      <c r="A3" s="24" t="s">
        <v>467</v>
      </c>
      <c r="C3" s="24"/>
      <c r="D3" s="24"/>
      <c r="E3" s="11"/>
      <c r="F3" s="11"/>
      <c r="G3" s="11"/>
      <c r="H3" s="11"/>
      <c r="I3" s="11"/>
      <c r="J3" s="11"/>
      <c r="K3" s="11"/>
    </row>
    <row r="4" spans="1:11" ht="16.5">
      <c r="B4" s="24"/>
      <c r="C4" s="24"/>
      <c r="D4" s="24"/>
      <c r="E4" s="11"/>
      <c r="F4" s="11"/>
      <c r="G4" s="11"/>
      <c r="H4" s="11"/>
      <c r="I4" s="11"/>
      <c r="J4" s="11"/>
      <c r="K4" s="11"/>
    </row>
    <row r="5" spans="1:11" ht="16.5">
      <c r="B5" s="11"/>
      <c r="C5" s="11"/>
      <c r="D5" s="11"/>
      <c r="E5" s="11"/>
      <c r="F5" s="11"/>
      <c r="G5" s="11"/>
      <c r="H5" s="11"/>
      <c r="I5" s="25" t="s">
        <v>0</v>
      </c>
      <c r="J5" s="25"/>
      <c r="K5" s="11"/>
    </row>
    <row r="6" spans="1:11" ht="17.25" thickBot="1">
      <c r="B6" s="11"/>
      <c r="C6" s="11"/>
      <c r="D6" s="27"/>
      <c r="E6" s="27"/>
      <c r="F6" s="154"/>
      <c r="H6" s="11"/>
      <c r="I6" s="11"/>
      <c r="J6" s="11"/>
      <c r="K6" s="11"/>
    </row>
    <row r="7" spans="1:11" ht="27" thickBot="1">
      <c r="A7" s="26" t="str">
        <f>+'S&amp;D'!A12</f>
        <v>Natural Gas Transmission Pipeline Carrier</v>
      </c>
      <c r="C7" s="29"/>
      <c r="D7" s="29"/>
      <c r="E7" s="30" t="s">
        <v>257</v>
      </c>
      <c r="H7" s="11"/>
      <c r="I7" s="11"/>
      <c r="J7" s="11"/>
      <c r="K7" s="11"/>
    </row>
    <row r="8" spans="1:11" ht="21" thickBot="1">
      <c r="B8" s="29"/>
      <c r="C8" s="29"/>
      <c r="D8" s="155"/>
      <c r="E8" s="31" t="s">
        <v>468</v>
      </c>
      <c r="F8" s="154"/>
      <c r="H8" s="11"/>
      <c r="I8" s="11"/>
      <c r="J8" s="11"/>
      <c r="K8" s="11"/>
    </row>
    <row r="9" spans="1:11" ht="20.25">
      <c r="B9" s="29"/>
      <c r="C9" s="29"/>
      <c r="D9" s="29"/>
      <c r="E9" s="33"/>
      <c r="H9" s="11"/>
      <c r="I9" s="11"/>
      <c r="J9" s="11"/>
      <c r="K9" s="11"/>
    </row>
    <row r="10" spans="1:11" ht="21" thickBot="1">
      <c r="A10" s="155"/>
      <c r="B10" s="29"/>
      <c r="I10" s="11"/>
      <c r="J10" s="11"/>
      <c r="K10" s="11"/>
    </row>
    <row r="11" spans="1:11" ht="22.5" customHeight="1" thickBot="1">
      <c r="A11" s="167" t="s">
        <v>252</v>
      </c>
      <c r="B11" s="29"/>
      <c r="I11" s="11"/>
      <c r="J11" s="11"/>
      <c r="K11" s="11"/>
    </row>
    <row r="12" spans="1:11" ht="26.25" customHeight="1" thickBot="1">
      <c r="A12" s="166" t="s">
        <v>0</v>
      </c>
      <c r="B12" s="11"/>
      <c r="C12" s="11"/>
      <c r="D12" s="11"/>
      <c r="E12" s="11"/>
      <c r="F12" s="11"/>
      <c r="G12" s="11"/>
      <c r="H12" s="11"/>
      <c r="I12" s="11"/>
      <c r="J12" s="11"/>
      <c r="K12" s="11"/>
    </row>
    <row r="13" spans="1:11" ht="66.75" customHeight="1" thickBot="1">
      <c r="A13" s="235" t="s">
        <v>273</v>
      </c>
      <c r="B13" s="161" t="s">
        <v>316</v>
      </c>
      <c r="C13" s="161" t="s">
        <v>282</v>
      </c>
      <c r="D13" s="161" t="s">
        <v>281</v>
      </c>
      <c r="I13" s="11"/>
      <c r="J13" s="11"/>
      <c r="K13" s="11"/>
    </row>
    <row r="14" spans="1:11" ht="16.5">
      <c r="A14" s="156"/>
      <c r="B14" s="221"/>
      <c r="C14" s="221"/>
      <c r="D14" s="221"/>
      <c r="I14" s="11"/>
      <c r="J14" s="11"/>
      <c r="K14" s="11"/>
    </row>
    <row r="15" spans="1:11" ht="20.25">
      <c r="A15" s="165" t="str">
        <f>+A7</f>
        <v>Natural Gas Transmission Pipeline Carrier</v>
      </c>
      <c r="B15" s="246">
        <v>4.3999999999999997E-2</v>
      </c>
      <c r="C15" s="246">
        <f>+'Dividends '!K27</f>
        <v>4.1160762004509202E-2</v>
      </c>
      <c r="D15" s="246">
        <f>+Earnings!K27</f>
        <v>9.4437493857334465E-2</v>
      </c>
      <c r="I15" s="11"/>
      <c r="J15" s="11"/>
      <c r="K15" s="11"/>
    </row>
    <row r="16" spans="1:11" ht="21" thickBot="1">
      <c r="A16" s="158" t="s">
        <v>0</v>
      </c>
      <c r="B16" s="222" t="s">
        <v>0</v>
      </c>
      <c r="C16" s="273">
        <f>+'Dividends '!K28</f>
        <v>5.3175099375743939E-2</v>
      </c>
      <c r="D16" s="273">
        <f>+Earnings!K28</f>
        <v>0.10774232037924608</v>
      </c>
      <c r="I16" s="11"/>
      <c r="J16" s="11"/>
      <c r="K16" s="11"/>
    </row>
    <row r="17" spans="1:11" ht="20.25">
      <c r="A17" s="233"/>
      <c r="B17" s="234"/>
      <c r="I17" s="11"/>
      <c r="J17" s="11"/>
      <c r="K17" s="11"/>
    </row>
    <row r="18" spans="1:11" ht="16.5">
      <c r="A18" s="11"/>
      <c r="B18" s="11"/>
      <c r="C18" s="11"/>
      <c r="D18" s="11"/>
      <c r="E18" s="11"/>
      <c r="F18" s="11"/>
      <c r="G18" s="11"/>
      <c r="H18" s="11"/>
      <c r="I18" s="11"/>
      <c r="J18" s="11"/>
      <c r="K18" s="11"/>
    </row>
    <row r="19" spans="1:11" ht="17.25" thickBot="1">
      <c r="A19" s="11"/>
      <c r="B19" s="11"/>
      <c r="C19" s="11"/>
      <c r="D19" s="11"/>
      <c r="E19" s="11"/>
      <c r="F19" s="11"/>
      <c r="G19" s="11"/>
      <c r="H19" s="11"/>
      <c r="I19" s="11"/>
      <c r="J19" s="11"/>
      <c r="K19" s="11"/>
    </row>
    <row r="20" spans="1:11" ht="21" thickBot="1">
      <c r="A20" s="167" t="s">
        <v>272</v>
      </c>
      <c r="B20" s="29"/>
      <c r="I20" s="11"/>
      <c r="J20" s="11"/>
      <c r="K20" s="11"/>
    </row>
    <row r="21" spans="1:11" ht="18" thickBot="1">
      <c r="A21" s="166" t="s">
        <v>0</v>
      </c>
      <c r="B21" s="11"/>
      <c r="C21" s="11"/>
      <c r="D21" s="11"/>
      <c r="E21" s="11"/>
      <c r="F21" s="11"/>
      <c r="G21" s="11"/>
      <c r="H21" s="11"/>
      <c r="I21" s="11"/>
      <c r="J21" s="11"/>
      <c r="K21" s="11"/>
    </row>
    <row r="22" spans="1:11" ht="64.5" customHeight="1" thickBot="1">
      <c r="A22" s="235" t="s">
        <v>274</v>
      </c>
      <c r="B22" s="161" t="s">
        <v>315</v>
      </c>
      <c r="C22" s="160" t="s">
        <v>230</v>
      </c>
      <c r="D22" s="161" t="s">
        <v>231</v>
      </c>
      <c r="E22" s="161" t="s">
        <v>232</v>
      </c>
      <c r="F22" s="161" t="s">
        <v>316</v>
      </c>
      <c r="G22" s="274" t="s">
        <v>18</v>
      </c>
      <c r="H22" s="274" t="s">
        <v>19</v>
      </c>
      <c r="I22" s="11"/>
      <c r="J22" s="11"/>
      <c r="K22" s="11"/>
    </row>
    <row r="23" spans="1:11" ht="16.5">
      <c r="A23" s="156"/>
      <c r="B23" s="221"/>
      <c r="C23" s="110"/>
      <c r="D23" s="221"/>
      <c r="E23" s="110"/>
      <c r="F23" s="221"/>
      <c r="G23" s="356"/>
      <c r="H23" s="169"/>
      <c r="I23" s="11"/>
      <c r="J23" s="11"/>
      <c r="K23" s="11"/>
    </row>
    <row r="24" spans="1:11" ht="20.25">
      <c r="A24" s="165" t="str">
        <f>+A7</f>
        <v>Natural Gas Transmission Pipeline Carrier</v>
      </c>
      <c r="B24" s="246">
        <v>0.11</v>
      </c>
      <c r="C24" s="354">
        <v>0.115</v>
      </c>
      <c r="D24" s="246">
        <v>0.04</v>
      </c>
      <c r="E24" s="354">
        <v>0.03</v>
      </c>
      <c r="F24" s="246">
        <v>3.5000000000000003E-2</v>
      </c>
      <c r="G24" s="357">
        <f>MEDIAN(B24:F24)</f>
        <v>0.04</v>
      </c>
      <c r="H24" s="269">
        <f t="shared" ref="H24" si="0">AVERAGE(B24:F24)</f>
        <v>6.6000000000000017E-2</v>
      </c>
      <c r="I24" s="11"/>
      <c r="J24" s="11"/>
      <c r="K24" s="11"/>
    </row>
    <row r="25" spans="1:11" ht="21" thickBot="1">
      <c r="A25" s="352" t="s">
        <v>0</v>
      </c>
      <c r="B25" s="222" t="s">
        <v>0</v>
      </c>
      <c r="C25" s="355" t="s">
        <v>0</v>
      </c>
      <c r="D25" s="222" t="s">
        <v>0</v>
      </c>
      <c r="E25" s="355" t="s">
        <v>0</v>
      </c>
      <c r="F25" s="222" t="s">
        <v>0</v>
      </c>
      <c r="G25" s="333"/>
      <c r="H25" s="168"/>
      <c r="I25" s="11"/>
      <c r="J25" s="11"/>
      <c r="K25" s="11"/>
    </row>
    <row r="26" spans="1:11" ht="16.5">
      <c r="A26" s="11"/>
      <c r="B26" s="11"/>
      <c r="C26" s="11"/>
      <c r="D26" s="11"/>
      <c r="E26" s="11"/>
      <c r="F26" s="11"/>
      <c r="G26" s="11"/>
      <c r="H26" s="11"/>
      <c r="I26" s="11"/>
      <c r="J26" s="11"/>
      <c r="K26" s="11"/>
    </row>
    <row r="27" spans="1:11" ht="16.5">
      <c r="A27" s="11"/>
      <c r="B27" s="11"/>
      <c r="C27" s="11"/>
      <c r="D27" s="11"/>
      <c r="E27" s="11"/>
      <c r="F27" s="11"/>
      <c r="G27" s="11"/>
      <c r="H27" s="11"/>
      <c r="I27" s="11"/>
      <c r="J27" s="11"/>
      <c r="K27" s="11"/>
    </row>
    <row r="28" spans="1:11" ht="16.5">
      <c r="A28" s="11"/>
      <c r="B28" s="11" t="s">
        <v>0</v>
      </c>
      <c r="C28" s="11"/>
      <c r="D28" s="11"/>
      <c r="E28" s="11"/>
      <c r="F28" s="11"/>
      <c r="G28" s="11"/>
      <c r="H28" s="11"/>
      <c r="I28" s="11"/>
      <c r="J28" s="11"/>
      <c r="K28" s="11"/>
    </row>
    <row r="29" spans="1:11" ht="17.25" thickBot="1">
      <c r="A29" s="11"/>
      <c r="B29" s="11"/>
      <c r="C29" s="11"/>
      <c r="D29" s="11"/>
      <c r="E29" s="11"/>
      <c r="F29" s="11"/>
      <c r="G29" s="11"/>
      <c r="H29" s="11"/>
      <c r="I29" s="11"/>
      <c r="J29" s="11"/>
      <c r="K29" s="11"/>
    </row>
    <row r="30" spans="1:11" ht="18.75" customHeight="1" thickBot="1">
      <c r="A30" s="167" t="s">
        <v>254</v>
      </c>
      <c r="B30" s="11"/>
      <c r="C30" s="11"/>
      <c r="D30" s="11"/>
      <c r="E30" s="11"/>
      <c r="F30" s="11"/>
      <c r="G30" s="11"/>
      <c r="H30" s="11"/>
      <c r="I30" s="11"/>
      <c r="J30" s="11"/>
      <c r="K30" s="11"/>
    </row>
    <row r="31" spans="1:11" ht="15" customHeight="1">
      <c r="A31" s="11"/>
      <c r="B31" s="11"/>
      <c r="C31" s="11"/>
      <c r="D31" s="11"/>
      <c r="E31" s="11"/>
      <c r="F31" s="11"/>
      <c r="G31" s="11"/>
      <c r="H31" s="11"/>
      <c r="I31" s="11"/>
      <c r="J31" s="11"/>
      <c r="K31" s="11"/>
    </row>
    <row r="32" spans="1:11" ht="15" customHeight="1">
      <c r="A32" s="11"/>
      <c r="B32" s="11"/>
      <c r="C32" s="11"/>
      <c r="D32" s="11"/>
      <c r="E32" s="11"/>
      <c r="F32" s="11"/>
      <c r="G32" s="11"/>
      <c r="H32" s="11"/>
      <c r="I32" s="11"/>
      <c r="J32" s="11"/>
      <c r="K32" s="11"/>
    </row>
    <row r="33" spans="1:11" ht="23.25" customHeight="1">
      <c r="A33" s="420">
        <v>1.84E-2</v>
      </c>
      <c r="B33" s="29" t="s">
        <v>471</v>
      </c>
      <c r="C33" s="11"/>
      <c r="E33" s="210" t="s">
        <v>0</v>
      </c>
      <c r="F33" s="11"/>
      <c r="G33" s="11"/>
      <c r="H33" s="11"/>
      <c r="I33" s="11"/>
      <c r="J33" s="11"/>
      <c r="K33" s="11"/>
    </row>
    <row r="34" spans="1:11" ht="23.25" customHeight="1">
      <c r="A34" s="224"/>
      <c r="B34" s="11" t="s">
        <v>472</v>
      </c>
      <c r="C34" s="11"/>
      <c r="D34" s="11"/>
      <c r="E34" s="11"/>
      <c r="F34" s="11"/>
      <c r="G34" s="11"/>
      <c r="H34" s="11"/>
      <c r="I34" s="11"/>
      <c r="J34" s="11"/>
      <c r="K34" s="11"/>
    </row>
    <row r="35" spans="1:11" ht="23.25" customHeight="1">
      <c r="A35" s="224"/>
      <c r="B35" s="432" t="s">
        <v>296</v>
      </c>
      <c r="C35" s="11"/>
      <c r="D35" s="11"/>
      <c r="E35" s="11"/>
      <c r="F35" s="11"/>
      <c r="G35" s="11"/>
      <c r="H35" s="11"/>
      <c r="I35" s="11"/>
      <c r="J35" s="11"/>
      <c r="K35" s="11"/>
    </row>
    <row r="36" spans="1:11" ht="23.25" customHeight="1">
      <c r="A36" s="359">
        <v>1.7999999999999999E-2</v>
      </c>
      <c r="B36" s="29" t="s">
        <v>255</v>
      </c>
      <c r="C36" s="11"/>
      <c r="D36" s="11"/>
      <c r="E36" s="11"/>
      <c r="F36" s="11"/>
      <c r="G36" s="11"/>
      <c r="H36" s="11"/>
      <c r="I36" s="11"/>
      <c r="J36" s="11"/>
      <c r="K36" s="11"/>
    </row>
    <row r="37" spans="1:11" ht="23.25" customHeight="1">
      <c r="A37" s="223"/>
      <c r="B37" s="225" t="s">
        <v>473</v>
      </c>
      <c r="C37" s="11"/>
      <c r="D37" s="11"/>
      <c r="E37" s="11"/>
      <c r="F37" s="11"/>
      <c r="G37" s="11"/>
      <c r="H37" s="11"/>
      <c r="I37" s="11"/>
      <c r="J37" s="11"/>
      <c r="K37" s="11"/>
    </row>
    <row r="38" spans="1:11" ht="23.25" customHeight="1">
      <c r="A38" s="223"/>
      <c r="B38" s="432" t="s">
        <v>474</v>
      </c>
      <c r="C38" s="11"/>
      <c r="D38" s="11"/>
      <c r="E38" s="11"/>
      <c r="F38" s="11"/>
      <c r="G38" s="11"/>
      <c r="H38" s="11"/>
      <c r="I38" s="11"/>
      <c r="J38" s="11"/>
      <c r="K38" s="11"/>
    </row>
    <row r="39" spans="1:11" ht="23.25" customHeight="1">
      <c r="A39" s="359" t="s">
        <v>475</v>
      </c>
      <c r="B39" s="29" t="s">
        <v>256</v>
      </c>
      <c r="C39" s="11"/>
      <c r="D39" s="11"/>
      <c r="E39" s="11"/>
      <c r="F39" s="11"/>
      <c r="G39" s="11"/>
      <c r="H39" s="11"/>
      <c r="I39" s="11"/>
      <c r="J39" s="11"/>
      <c r="K39" s="11"/>
    </row>
    <row r="40" spans="1:11" ht="23.25" customHeight="1">
      <c r="A40" s="223"/>
      <c r="B40" s="130" t="s">
        <v>476</v>
      </c>
      <c r="C40" s="11"/>
      <c r="D40" s="11"/>
      <c r="E40" s="11"/>
      <c r="F40" s="11"/>
      <c r="G40" s="11"/>
      <c r="H40" s="11"/>
      <c r="I40" s="11"/>
      <c r="J40" s="11"/>
      <c r="K40" s="11"/>
    </row>
    <row r="41" spans="1:11" ht="23.25" customHeight="1">
      <c r="A41" s="223"/>
      <c r="B41" s="432" t="s">
        <v>314</v>
      </c>
      <c r="C41" s="11"/>
      <c r="D41" s="11"/>
      <c r="E41" s="11"/>
      <c r="F41" s="11"/>
      <c r="G41" s="11"/>
      <c r="H41" s="11"/>
      <c r="I41" s="11"/>
      <c r="J41" s="11"/>
      <c r="K41" s="11"/>
    </row>
    <row r="42" spans="1:11" ht="23.25" customHeight="1">
      <c r="A42" s="420">
        <v>1.9E-2</v>
      </c>
      <c r="B42" s="29" t="s">
        <v>460</v>
      </c>
      <c r="C42" s="11"/>
      <c r="D42" s="11"/>
      <c r="E42" s="11"/>
      <c r="F42" s="11"/>
      <c r="G42" s="11"/>
      <c r="H42" s="11"/>
      <c r="I42" s="11"/>
      <c r="J42" s="11"/>
      <c r="K42" s="11"/>
    </row>
    <row r="43" spans="1:11" ht="23.25" customHeight="1">
      <c r="A43" s="223"/>
      <c r="B43" s="11" t="s">
        <v>461</v>
      </c>
      <c r="C43" s="11"/>
      <c r="D43" s="11"/>
      <c r="E43" s="11"/>
      <c r="F43" s="11"/>
      <c r="G43" s="11"/>
      <c r="H43" s="11"/>
      <c r="I43" s="11"/>
      <c r="J43" s="11"/>
      <c r="K43" s="11"/>
    </row>
    <row r="44" spans="1:11" ht="23.25" customHeight="1">
      <c r="A44" s="223"/>
      <c r="B44" s="432" t="s">
        <v>313</v>
      </c>
      <c r="C44" s="11"/>
      <c r="D44" s="11"/>
      <c r="E44" s="11"/>
      <c r="F44" s="11"/>
      <c r="G44" s="11"/>
      <c r="H44" s="11"/>
      <c r="I44" s="11"/>
      <c r="J44" s="11"/>
      <c r="K44" s="11"/>
    </row>
    <row r="45" spans="1:11" ht="23.25" customHeight="1">
      <c r="A45" s="359"/>
      <c r="B45" s="29"/>
      <c r="C45" s="11"/>
      <c r="D45" s="11"/>
      <c r="E45" s="11"/>
      <c r="F45" s="11"/>
      <c r="G45" s="11"/>
      <c r="H45" s="11"/>
      <c r="I45" s="11"/>
      <c r="J45" s="11"/>
      <c r="K45" s="11"/>
    </row>
    <row r="46" spans="1:11" ht="23.25" customHeight="1">
      <c r="A46" s="423" t="s">
        <v>477</v>
      </c>
      <c r="B46" s="424" t="s">
        <v>478</v>
      </c>
      <c r="C46" s="11"/>
      <c r="D46" s="11"/>
      <c r="E46" s="11"/>
      <c r="F46" s="11"/>
      <c r="G46" s="11"/>
      <c r="H46" s="11"/>
      <c r="I46" s="11"/>
      <c r="J46" s="11"/>
      <c r="K46" s="11"/>
    </row>
    <row r="47" spans="1:11" ht="23.25" customHeight="1">
      <c r="A47" s="423" t="s">
        <v>479</v>
      </c>
      <c r="B47" s="432" t="s">
        <v>480</v>
      </c>
      <c r="C47" s="11"/>
      <c r="D47" s="11"/>
      <c r="E47" s="11"/>
      <c r="F47" s="11"/>
      <c r="G47" s="11"/>
      <c r="H47" s="11"/>
      <c r="I47" s="11"/>
      <c r="J47" s="11"/>
      <c r="K47" s="11"/>
    </row>
    <row r="48" spans="1:11" ht="23.25" customHeight="1">
      <c r="A48" s="223" t="s">
        <v>0</v>
      </c>
      <c r="B48" s="11"/>
      <c r="C48" s="11"/>
      <c r="D48" s="11"/>
      <c r="E48" s="11"/>
      <c r="F48" s="11"/>
      <c r="G48" s="11"/>
      <c r="H48" s="11"/>
      <c r="I48" s="11"/>
      <c r="J48" s="11"/>
      <c r="K48" s="11"/>
    </row>
    <row r="49" spans="1:11" ht="18" customHeight="1">
      <c r="A49" s="358" t="s">
        <v>267</v>
      </c>
      <c r="B49" s="11"/>
      <c r="C49" s="11"/>
      <c r="D49" s="11"/>
      <c r="E49" s="11"/>
      <c r="F49" s="11"/>
      <c r="G49" s="11"/>
      <c r="H49" s="11"/>
      <c r="I49" s="11"/>
      <c r="J49" s="11"/>
      <c r="K49" s="11"/>
    </row>
    <row r="50" spans="1:11" ht="18" customHeight="1">
      <c r="A50" s="29" t="s">
        <v>268</v>
      </c>
      <c r="B50" s="11"/>
      <c r="C50" s="11"/>
      <c r="D50" s="11"/>
      <c r="E50" s="11"/>
      <c r="H50" s="11"/>
      <c r="I50" s="11"/>
      <c r="J50" s="11"/>
      <c r="K50" s="11"/>
    </row>
    <row r="51" spans="1:11" ht="15" customHeight="1">
      <c r="A51" s="151" t="s">
        <v>269</v>
      </c>
      <c r="B51" s="11"/>
      <c r="C51" s="11"/>
      <c r="D51" s="11"/>
      <c r="E51" s="11"/>
      <c r="F51" s="11"/>
      <c r="G51" s="11"/>
      <c r="H51" s="11"/>
      <c r="I51" s="11"/>
      <c r="J51" s="11"/>
      <c r="K51" s="11"/>
    </row>
    <row r="52" spans="1:11" ht="15" customHeight="1">
      <c r="A52" s="151"/>
      <c r="B52" s="11"/>
      <c r="C52" s="11"/>
      <c r="D52" s="11"/>
      <c r="E52" s="11"/>
      <c r="F52" s="11"/>
      <c r="G52" s="11" t="s">
        <v>0</v>
      </c>
      <c r="H52" s="11" t="s">
        <v>0</v>
      </c>
      <c r="I52" s="11"/>
      <c r="J52" s="11"/>
      <c r="K52" s="11"/>
    </row>
    <row r="53" spans="1:11" ht="15" customHeight="1">
      <c r="A53" s="11"/>
      <c r="B53" s="11"/>
      <c r="C53" s="11"/>
      <c r="D53" s="11"/>
      <c r="E53" s="11"/>
      <c r="F53" s="11"/>
      <c r="G53" s="11" t="s">
        <v>0</v>
      </c>
      <c r="H53" s="11"/>
      <c r="I53" s="11"/>
      <c r="J53" s="11"/>
      <c r="K53" s="11"/>
    </row>
    <row r="54" spans="1:11" ht="15.75" customHeight="1" thickBot="1">
      <c r="A54" s="11"/>
      <c r="B54" s="11"/>
      <c r="C54" s="11"/>
      <c r="D54" s="11"/>
      <c r="E54" s="11"/>
      <c r="F54" s="11"/>
      <c r="G54" s="11" t="s">
        <v>0</v>
      </c>
      <c r="H54" s="11"/>
      <c r="I54" s="11"/>
      <c r="J54" s="11"/>
      <c r="K54" s="11"/>
    </row>
    <row r="55" spans="1:11" ht="18.75" customHeight="1" thickBot="1">
      <c r="A55" s="167" t="s">
        <v>253</v>
      </c>
      <c r="B55" s="42" t="s">
        <v>391</v>
      </c>
      <c r="C55" s="11"/>
      <c r="D55" s="11"/>
      <c r="E55" s="11"/>
      <c r="F55" s="11"/>
      <c r="G55" s="11"/>
      <c r="H55" s="11"/>
      <c r="I55" s="435" t="s">
        <v>507</v>
      </c>
      <c r="J55" s="11"/>
      <c r="K55" s="11"/>
    </row>
    <row r="56" spans="1:11" ht="15" customHeight="1">
      <c r="A56" s="11"/>
      <c r="B56" s="11"/>
      <c r="C56" s="11"/>
      <c r="D56" s="11"/>
      <c r="E56" s="11"/>
      <c r="F56" s="11"/>
      <c r="G56" s="425" t="s">
        <v>484</v>
      </c>
      <c r="H56" s="426" t="s">
        <v>485</v>
      </c>
      <c r="I56" s="436">
        <v>1.76</v>
      </c>
      <c r="J56" s="11"/>
      <c r="K56" s="11"/>
    </row>
    <row r="57" spans="1:11" ht="23.25" customHeight="1">
      <c r="A57" s="359">
        <v>2.2100000000000002E-2</v>
      </c>
      <c r="B57" s="29" t="s">
        <v>392</v>
      </c>
      <c r="C57" s="11"/>
      <c r="E57" s="11"/>
      <c r="G57" s="427" t="s">
        <v>486</v>
      </c>
      <c r="H57" s="428" t="s">
        <v>487</v>
      </c>
      <c r="I57" s="436">
        <v>1.74</v>
      </c>
      <c r="J57" s="11"/>
      <c r="K57" s="11"/>
    </row>
    <row r="58" spans="1:11" ht="23.25" customHeight="1">
      <c r="A58" s="359">
        <v>2.41E-2</v>
      </c>
      <c r="B58" s="29" t="s">
        <v>393</v>
      </c>
      <c r="C58" s="11"/>
      <c r="E58" s="11"/>
      <c r="G58" s="427" t="s">
        <v>488</v>
      </c>
      <c r="H58" s="428" t="s">
        <v>489</v>
      </c>
      <c r="I58" s="436">
        <v>1.84</v>
      </c>
      <c r="J58" s="11"/>
      <c r="K58" s="11"/>
    </row>
    <row r="59" spans="1:11" ht="23.25" customHeight="1">
      <c r="A59" s="359">
        <v>2.1700000000000001E-2</v>
      </c>
      <c r="B59" s="29" t="s">
        <v>394</v>
      </c>
      <c r="C59" s="11"/>
      <c r="D59" s="11"/>
      <c r="E59" s="11"/>
      <c r="G59" s="429" t="s">
        <v>490</v>
      </c>
      <c r="H59" s="430" t="s">
        <v>491</v>
      </c>
      <c r="I59" s="437">
        <v>1.91</v>
      </c>
      <c r="J59" s="11"/>
      <c r="K59" s="11"/>
    </row>
    <row r="60" spans="1:11" ht="23.25" customHeight="1">
      <c r="A60" s="359"/>
      <c r="B60" s="29"/>
      <c r="C60" s="11"/>
      <c r="D60" s="11"/>
      <c r="E60" s="11"/>
      <c r="G60" s="13"/>
      <c r="H60" s="152"/>
      <c r="I60" s="11"/>
      <c r="J60" s="11"/>
      <c r="K60" s="11"/>
    </row>
    <row r="61" spans="1:11" ht="18.75" customHeight="1">
      <c r="A61" s="360" t="s">
        <v>462</v>
      </c>
      <c r="B61" s="29"/>
      <c r="C61" s="11"/>
      <c r="D61" s="11"/>
      <c r="E61" s="11"/>
      <c r="F61" s="353"/>
      <c r="G61" s="84"/>
      <c r="H61" s="11"/>
      <c r="I61" s="11"/>
      <c r="J61" s="11"/>
      <c r="K61" s="11"/>
    </row>
    <row r="62" spans="1:11" ht="23.25" customHeight="1">
      <c r="A62" s="359"/>
      <c r="B62" s="29"/>
      <c r="C62" s="11"/>
      <c r="D62" s="11"/>
      <c r="E62" s="11"/>
      <c r="F62" s="353"/>
      <c r="G62" s="84"/>
      <c r="H62" s="11"/>
      <c r="I62" s="11"/>
      <c r="J62" s="11"/>
      <c r="K62" s="11"/>
    </row>
    <row r="63" spans="1:11" ht="23.25" customHeight="1">
      <c r="A63" s="359">
        <v>2.3E-2</v>
      </c>
      <c r="B63" s="29" t="s">
        <v>481</v>
      </c>
      <c r="C63" s="11"/>
      <c r="D63" s="11"/>
      <c r="E63" s="11"/>
      <c r="F63" s="11"/>
      <c r="G63" s="11"/>
      <c r="H63" s="11"/>
      <c r="I63" s="11"/>
      <c r="J63" s="11"/>
      <c r="K63" s="11"/>
    </row>
    <row r="64" spans="1:11" ht="23.25" customHeight="1">
      <c r="A64" s="359">
        <v>2.2599999999999999E-2</v>
      </c>
      <c r="B64" s="29" t="s">
        <v>482</v>
      </c>
      <c r="C64" s="11"/>
      <c r="D64" s="11"/>
      <c r="E64" s="11"/>
      <c r="F64" s="11"/>
      <c r="G64" s="11"/>
      <c r="H64" s="11"/>
      <c r="I64" s="11"/>
      <c r="J64" s="11"/>
      <c r="K64" s="11"/>
    </row>
    <row r="65" spans="1:11" ht="23.25" customHeight="1">
      <c r="A65" s="359">
        <v>2.24E-2</v>
      </c>
      <c r="B65" s="29" t="s">
        <v>261</v>
      </c>
      <c r="C65" s="11"/>
      <c r="D65" s="11"/>
      <c r="E65" s="11"/>
      <c r="F65" s="11"/>
      <c r="G65" s="11"/>
      <c r="H65" s="11"/>
      <c r="I65" s="11"/>
      <c r="J65" s="11"/>
      <c r="K65" s="11"/>
    </row>
    <row r="66" spans="1:11" ht="23.25" customHeight="1">
      <c r="A66" s="359">
        <v>2.1999999999999999E-2</v>
      </c>
      <c r="B66" s="29" t="s">
        <v>483</v>
      </c>
      <c r="C66" s="11"/>
      <c r="D66" s="11"/>
      <c r="E66" s="11"/>
      <c r="F66" s="11"/>
      <c r="G66" s="11"/>
      <c r="H66" s="11"/>
      <c r="I66" s="11"/>
      <c r="J66" s="11"/>
      <c r="K66" s="11"/>
    </row>
    <row r="67" spans="1:11" ht="23.25" customHeight="1">
      <c r="A67" s="359">
        <v>0.02</v>
      </c>
      <c r="B67" s="29" t="s">
        <v>259</v>
      </c>
      <c r="C67" s="11"/>
      <c r="D67" s="11"/>
      <c r="E67" s="11"/>
      <c r="F67" s="11"/>
      <c r="G67" s="11"/>
      <c r="H67" s="11"/>
      <c r="I67" s="11"/>
      <c r="J67" s="11"/>
      <c r="K67" s="11"/>
    </row>
    <row r="68" spans="1:11" ht="27" customHeight="1">
      <c r="B68" s="11" t="s">
        <v>0</v>
      </c>
      <c r="C68" s="11"/>
      <c r="D68" s="11"/>
      <c r="E68" s="11"/>
      <c r="F68" s="11"/>
      <c r="G68" s="11"/>
      <c r="H68" s="11"/>
      <c r="I68" s="11"/>
      <c r="J68" s="11"/>
      <c r="K68" s="11"/>
    </row>
    <row r="69" spans="1:11" ht="15" customHeight="1">
      <c r="A69" s="11"/>
      <c r="B69" s="11"/>
      <c r="C69" s="11"/>
      <c r="D69" s="11"/>
      <c r="E69" s="11"/>
      <c r="F69" s="11"/>
      <c r="G69" s="11"/>
      <c r="H69" s="11"/>
      <c r="I69" s="11"/>
      <c r="J69" s="11"/>
      <c r="K69" s="11"/>
    </row>
    <row r="70" spans="1:11" ht="15.75" customHeight="1" thickBot="1">
      <c r="B70" s="11"/>
      <c r="C70" s="11"/>
      <c r="D70" s="27"/>
      <c r="E70" s="27"/>
      <c r="F70" s="27"/>
      <c r="G70" s="11"/>
      <c r="H70" s="11"/>
      <c r="I70" s="11"/>
      <c r="J70" s="11"/>
      <c r="K70" s="11"/>
    </row>
    <row r="71" spans="1:11" ht="20.25" customHeight="1">
      <c r="B71" s="29"/>
      <c r="C71" s="29"/>
      <c r="D71" s="11"/>
      <c r="E71" s="30" t="s">
        <v>214</v>
      </c>
      <c r="F71" s="11"/>
      <c r="G71" s="11"/>
      <c r="H71" s="11"/>
      <c r="I71" s="11"/>
      <c r="J71" s="11"/>
      <c r="K71" s="11"/>
    </row>
    <row r="72" spans="1:11" ht="18.75" customHeight="1" thickBot="1">
      <c r="A72" s="154"/>
      <c r="B72" s="29"/>
      <c r="C72" s="29"/>
      <c r="D72" s="27"/>
      <c r="E72" s="31" t="s">
        <v>468</v>
      </c>
      <c r="F72" s="27"/>
      <c r="G72" s="11"/>
      <c r="H72" s="11"/>
      <c r="I72" s="11"/>
      <c r="J72" s="11"/>
      <c r="K72" s="11"/>
    </row>
    <row r="73" spans="1:11" ht="18.75" customHeight="1" thickBot="1">
      <c r="A73" s="153" t="s">
        <v>215</v>
      </c>
      <c r="B73" s="29"/>
      <c r="C73" s="29"/>
      <c r="D73" s="33"/>
      <c r="E73" s="150"/>
      <c r="F73" s="11"/>
      <c r="G73" s="11"/>
      <c r="H73" s="11"/>
      <c r="I73" s="11"/>
      <c r="J73" s="11"/>
      <c r="K73" s="11"/>
    </row>
    <row r="74" spans="1:11" ht="15" customHeight="1">
      <c r="A74" s="37" t="s">
        <v>0</v>
      </c>
      <c r="B74" s="37"/>
      <c r="C74" s="37"/>
      <c r="D74" s="39" t="s">
        <v>0</v>
      </c>
      <c r="E74" s="39" t="s">
        <v>0</v>
      </c>
      <c r="F74" s="39" t="s">
        <v>0</v>
      </c>
      <c r="G74" s="39"/>
      <c r="H74" s="11"/>
      <c r="I74" s="11"/>
    </row>
    <row r="75" spans="1:11" ht="15" customHeight="1">
      <c r="A75" s="33" t="s">
        <v>0</v>
      </c>
      <c r="B75" s="33"/>
      <c r="C75" s="33"/>
      <c r="D75" s="188" t="s">
        <v>78</v>
      </c>
      <c r="E75" s="188" t="s">
        <v>258</v>
      </c>
      <c r="F75" s="188" t="s">
        <v>127</v>
      </c>
      <c r="G75" s="270"/>
      <c r="H75" s="11"/>
      <c r="I75" s="11"/>
    </row>
    <row r="76" spans="1:11" ht="15" customHeight="1">
      <c r="A76" s="127" t="s">
        <v>125</v>
      </c>
      <c r="B76" s="127"/>
      <c r="C76" s="127"/>
      <c r="D76" s="189" t="s">
        <v>80</v>
      </c>
      <c r="E76" s="189" t="s">
        <v>126</v>
      </c>
      <c r="F76" s="189" t="s">
        <v>128</v>
      </c>
      <c r="G76" s="270"/>
      <c r="H76" s="11"/>
      <c r="I76" s="11"/>
    </row>
    <row r="79" spans="1:11" ht="15.75" customHeight="1">
      <c r="A79" s="170" t="s">
        <v>262</v>
      </c>
      <c r="B79" s="171"/>
      <c r="C79" s="218"/>
      <c r="D79" s="179">
        <f>+A57</f>
        <v>2.2100000000000002E-2</v>
      </c>
      <c r="E79" s="179">
        <v>1.7399999999999999E-2</v>
      </c>
      <c r="F79" s="172">
        <f t="shared" ref="F79:F86" si="1">+D79+E79</f>
        <v>3.95E-2</v>
      </c>
      <c r="G79" s="271"/>
      <c r="H79" s="11"/>
      <c r="I79" s="11"/>
    </row>
    <row r="80" spans="1:11" ht="15.75" customHeight="1">
      <c r="A80" s="173" t="s">
        <v>263</v>
      </c>
      <c r="B80" s="61"/>
      <c r="C80" s="219"/>
      <c r="D80" s="361">
        <f>+A58</f>
        <v>2.41E-2</v>
      </c>
      <c r="E80" s="361">
        <v>1.84E-2</v>
      </c>
      <c r="F80" s="174">
        <f t="shared" si="1"/>
        <v>4.2499999999999996E-2</v>
      </c>
      <c r="G80" s="271"/>
      <c r="H80" s="11"/>
      <c r="I80" s="11"/>
    </row>
    <row r="81" spans="1:9" ht="15.75" customHeight="1">
      <c r="A81" s="175" t="s">
        <v>264</v>
      </c>
      <c r="B81" s="176"/>
      <c r="C81" s="220"/>
      <c r="D81" s="180">
        <f>+A59</f>
        <v>2.1700000000000001E-2</v>
      </c>
      <c r="E81" s="180">
        <v>1.9099999999999999E-2</v>
      </c>
      <c r="F81" s="177">
        <f t="shared" si="1"/>
        <v>4.0800000000000003E-2</v>
      </c>
      <c r="G81" s="271"/>
      <c r="H81" s="11"/>
      <c r="I81" s="11"/>
    </row>
    <row r="82" spans="1:9" ht="15.75" customHeight="1">
      <c r="A82" s="173" t="s">
        <v>265</v>
      </c>
      <c r="B82" s="61"/>
      <c r="C82" s="219"/>
      <c r="D82" s="361">
        <f t="shared" ref="D82:D84" si="2">+A63</f>
        <v>2.3E-2</v>
      </c>
      <c r="E82" s="361">
        <v>0.02</v>
      </c>
      <c r="F82" s="174">
        <f t="shared" si="1"/>
        <v>4.2999999999999997E-2</v>
      </c>
      <c r="G82" s="271"/>
      <c r="H82" s="11"/>
      <c r="I82" s="11"/>
    </row>
    <row r="83" spans="1:9" ht="15.75" customHeight="1">
      <c r="A83" s="173" t="s">
        <v>266</v>
      </c>
      <c r="B83" s="61"/>
      <c r="C83" s="219"/>
      <c r="D83" s="361">
        <f t="shared" si="2"/>
        <v>2.2599999999999999E-2</v>
      </c>
      <c r="E83" s="361">
        <v>1.9E-2</v>
      </c>
      <c r="F83" s="174">
        <f t="shared" si="1"/>
        <v>4.1599999999999998E-2</v>
      </c>
      <c r="G83" s="271"/>
      <c r="H83" s="11"/>
      <c r="I83" s="11"/>
    </row>
    <row r="84" spans="1:9" ht="15.75" customHeight="1">
      <c r="A84" s="173" t="s">
        <v>463</v>
      </c>
      <c r="B84" s="61"/>
      <c r="C84" s="219"/>
      <c r="D84" s="361">
        <f t="shared" si="2"/>
        <v>2.24E-2</v>
      </c>
      <c r="E84" s="361">
        <v>0.02</v>
      </c>
      <c r="F84" s="174">
        <f t="shared" si="1"/>
        <v>4.24E-2</v>
      </c>
      <c r="G84" s="271"/>
      <c r="H84" s="11"/>
      <c r="I84" s="11"/>
    </row>
    <row r="85" spans="1:9" ht="15.75" customHeight="1">
      <c r="A85" s="173" t="s">
        <v>464</v>
      </c>
      <c r="B85" s="61"/>
      <c r="C85" s="219"/>
      <c r="D85" s="361">
        <f>+A66</f>
        <v>2.1999999999999999E-2</v>
      </c>
      <c r="E85" s="361">
        <v>1.9E-2</v>
      </c>
      <c r="F85" s="174">
        <f t="shared" si="1"/>
        <v>4.0999999999999995E-2</v>
      </c>
      <c r="G85" s="271"/>
      <c r="H85" s="11"/>
      <c r="I85" s="11"/>
    </row>
    <row r="86" spans="1:9" ht="15.75" customHeight="1">
      <c r="A86" s="175" t="s">
        <v>260</v>
      </c>
      <c r="B86" s="176"/>
      <c r="C86" s="220"/>
      <c r="D86" s="180">
        <f>+A67</f>
        <v>0.02</v>
      </c>
      <c r="E86" s="180">
        <v>1.7999999999999999E-2</v>
      </c>
      <c r="F86" s="177">
        <f t="shared" si="1"/>
        <v>3.7999999999999999E-2</v>
      </c>
      <c r="G86" s="271"/>
      <c r="H86" s="11"/>
      <c r="I86" s="11"/>
    </row>
    <row r="87" spans="1:9" ht="15.75" customHeight="1">
      <c r="A87" s="104"/>
      <c r="B87" s="121"/>
      <c r="C87" s="121" t="s">
        <v>46</v>
      </c>
      <c r="D87" s="178">
        <f>MAX(D79:D86)</f>
        <v>2.41E-2</v>
      </c>
      <c r="E87" s="178">
        <f t="shared" ref="E87:F87" si="3">MAX(E79:E86)</f>
        <v>0.02</v>
      </c>
      <c r="F87" s="178">
        <f t="shared" si="3"/>
        <v>4.2999999999999997E-2</v>
      </c>
      <c r="G87" s="272"/>
      <c r="H87" s="11"/>
      <c r="I87" s="11"/>
    </row>
    <row r="88" spans="1:9" ht="15.75" customHeight="1">
      <c r="A88" s="104"/>
      <c r="B88" s="121"/>
      <c r="C88" s="121" t="s">
        <v>47</v>
      </c>
      <c r="D88" s="178">
        <f>MIN(D79:D86)</f>
        <v>0.02</v>
      </c>
      <c r="E88" s="178">
        <f t="shared" ref="E88:F88" si="4">MIN(E79:E86)</f>
        <v>1.7399999999999999E-2</v>
      </c>
      <c r="F88" s="232">
        <f t="shared" si="4"/>
        <v>3.7999999999999999E-2</v>
      </c>
      <c r="G88" s="272"/>
      <c r="H88" s="11"/>
      <c r="I88" s="11"/>
    </row>
    <row r="89" spans="1:9" ht="15.75" customHeight="1">
      <c r="A89" s="104"/>
      <c r="B89" s="121"/>
      <c r="C89" s="121" t="s">
        <v>18</v>
      </c>
      <c r="D89" s="179">
        <f>MEDIAN(D79:D86)</f>
        <v>2.2249999999999999E-2</v>
      </c>
      <c r="E89" s="179">
        <f>MEDIAN(E79:E86)</f>
        <v>1.9E-2</v>
      </c>
      <c r="F89" s="174">
        <f t="shared" ref="F89:F90" si="5">+D89+E89</f>
        <v>4.1249999999999995E-2</v>
      </c>
      <c r="G89" s="271"/>
      <c r="H89" s="11"/>
      <c r="I89" s="11"/>
    </row>
    <row r="90" spans="1:9" ht="15.75" customHeight="1">
      <c r="A90" s="104"/>
      <c r="B90" s="121"/>
      <c r="C90" s="121" t="s">
        <v>19</v>
      </c>
      <c r="D90" s="180">
        <f>AVERAGE(D79:D86)</f>
        <v>2.2237499999999997E-2</v>
      </c>
      <c r="E90" s="180">
        <f>AVERAGE(E79:E86)</f>
        <v>1.8862499999999997E-2</v>
      </c>
      <c r="F90" s="177">
        <f t="shared" si="5"/>
        <v>4.1099999999999998E-2</v>
      </c>
      <c r="G90" s="271"/>
      <c r="H90" s="11"/>
      <c r="I90" s="11"/>
    </row>
    <row r="91" spans="1:9" ht="15" customHeight="1">
      <c r="A91" s="11"/>
      <c r="B91" s="13"/>
    </row>
    <row r="92" spans="1:9" ht="18.75" customHeight="1" thickBot="1">
      <c r="A92" s="11"/>
      <c r="B92" s="13"/>
    </row>
    <row r="93" spans="1:9" ht="21" customHeight="1" thickBot="1">
      <c r="A93" s="11"/>
      <c r="B93" s="128"/>
      <c r="C93" s="48" t="s">
        <v>216</v>
      </c>
      <c r="D93" s="431">
        <v>2.2200000000000001E-2</v>
      </c>
      <c r="E93" s="431">
        <v>1.89E-2</v>
      </c>
      <c r="F93" s="362">
        <f>+D93+E93</f>
        <v>4.1099999999999998E-2</v>
      </c>
    </row>
    <row r="94" spans="1:9" ht="15" customHeight="1">
      <c r="A94" s="11"/>
      <c r="B94" s="11"/>
      <c r="C94" s="11"/>
      <c r="D94" s="11"/>
      <c r="E94" s="11"/>
      <c r="F94" s="11"/>
      <c r="G94" s="11"/>
      <c r="I94" s="11"/>
    </row>
    <row r="95" spans="1:9" ht="15" customHeight="1">
      <c r="A95" s="11"/>
      <c r="B95" s="11"/>
      <c r="C95" s="11"/>
      <c r="D95" s="11"/>
      <c r="E95" s="11"/>
      <c r="F95" s="11"/>
      <c r="G95" s="11"/>
      <c r="I95" s="11" t="s">
        <v>0</v>
      </c>
    </row>
    <row r="96" spans="1:9" ht="16.5" customHeight="1">
      <c r="A96" s="11"/>
      <c r="B96" s="11"/>
      <c r="C96" s="11"/>
      <c r="D96" s="11"/>
      <c r="E96" s="11"/>
      <c r="F96" s="11"/>
      <c r="G96" s="11"/>
      <c r="H96" s="11"/>
      <c r="I96" s="11"/>
    </row>
    <row r="97" spans="1:9" ht="15" customHeight="1">
      <c r="A97" s="129" t="s">
        <v>148</v>
      </c>
      <c r="B97" s="130"/>
      <c r="C97" s="130"/>
      <c r="D97" s="130"/>
      <c r="E97" s="131"/>
      <c r="F97" s="130"/>
      <c r="G97" s="130"/>
      <c r="H97" s="130"/>
      <c r="I97" s="11"/>
    </row>
    <row r="98" spans="1:9" ht="15" customHeight="1">
      <c r="A98" s="467" t="s">
        <v>492</v>
      </c>
      <c r="B98" s="467"/>
      <c r="C98" s="467"/>
      <c r="D98" s="467"/>
      <c r="E98" s="467"/>
      <c r="F98" s="467"/>
      <c r="G98" s="467"/>
      <c r="H98" s="467"/>
      <c r="I98" s="11"/>
    </row>
    <row r="99" spans="1:9" ht="16.5" customHeight="1">
      <c r="A99" s="432" t="s">
        <v>390</v>
      </c>
      <c r="B99" s="130"/>
      <c r="C99" s="432" t="s">
        <v>0</v>
      </c>
      <c r="D99" s="130"/>
      <c r="E99" s="131"/>
      <c r="F99" s="130"/>
      <c r="G99" s="130"/>
      <c r="H99" s="130"/>
      <c r="I99" s="11"/>
    </row>
    <row r="100" spans="1:9" ht="15" customHeight="1">
      <c r="A100" s="129"/>
      <c r="B100" s="130"/>
      <c r="C100" s="130"/>
      <c r="D100" s="130"/>
      <c r="E100" s="131"/>
      <c r="F100" s="130"/>
      <c r="G100" s="130"/>
      <c r="H100" s="130"/>
      <c r="I100" s="11"/>
    </row>
    <row r="101" spans="1:9" ht="15" customHeight="1">
      <c r="A101" s="467" t="s">
        <v>493</v>
      </c>
      <c r="B101" s="467"/>
      <c r="C101" s="467"/>
      <c r="D101" s="467"/>
      <c r="E101" s="467"/>
      <c r="F101" s="467"/>
      <c r="G101" s="467"/>
      <c r="H101" s="467"/>
      <c r="I101" s="11"/>
    </row>
    <row r="102" spans="1:9" ht="16.5" customHeight="1">
      <c r="A102" s="132" t="s">
        <v>149</v>
      </c>
      <c r="B102" s="133"/>
      <c r="C102" s="133" t="s">
        <v>0</v>
      </c>
      <c r="D102" s="133"/>
      <c r="E102" s="133"/>
      <c r="F102" s="133"/>
      <c r="G102" s="133"/>
      <c r="H102" s="130"/>
      <c r="I102" s="11"/>
    </row>
    <row r="103" spans="1:9" ht="15" customHeight="1">
      <c r="A103" s="132"/>
      <c r="B103" s="133"/>
      <c r="C103" s="133"/>
      <c r="D103" s="133"/>
      <c r="E103" s="133"/>
      <c r="F103" s="133"/>
      <c r="G103" s="133"/>
      <c r="H103" s="130"/>
      <c r="I103" s="11"/>
    </row>
    <row r="104" spans="1:9" ht="15" customHeight="1">
      <c r="A104" s="467" t="s">
        <v>494</v>
      </c>
      <c r="B104" s="467"/>
      <c r="C104" s="467"/>
      <c r="D104" s="467"/>
      <c r="E104" s="467"/>
      <c r="F104" s="467"/>
      <c r="G104" s="467"/>
      <c r="H104" s="467"/>
      <c r="I104" s="11"/>
    </row>
    <row r="105" spans="1:9" ht="16.5" customHeight="1">
      <c r="A105" s="132" t="s">
        <v>149</v>
      </c>
      <c r="B105" s="133"/>
      <c r="C105" s="133" t="s">
        <v>0</v>
      </c>
      <c r="D105" s="133"/>
      <c r="E105" s="133"/>
      <c r="F105" s="133"/>
      <c r="G105" s="133"/>
      <c r="H105" s="130"/>
      <c r="I105" s="11"/>
    </row>
    <row r="106" spans="1:9" ht="15" customHeight="1">
      <c r="A106" s="132"/>
      <c r="B106" s="133"/>
      <c r="C106" s="133"/>
      <c r="D106" s="133"/>
      <c r="E106" s="133"/>
      <c r="F106" s="133"/>
      <c r="G106" s="133"/>
      <c r="H106" s="130"/>
      <c r="I106" s="11"/>
    </row>
    <row r="107" spans="1:9" ht="15" customHeight="1">
      <c r="A107" s="467" t="s">
        <v>495</v>
      </c>
      <c r="B107" s="467"/>
      <c r="C107" s="467"/>
      <c r="D107" s="467"/>
      <c r="E107" s="467"/>
      <c r="F107" s="467"/>
      <c r="G107" s="467"/>
      <c r="H107" s="467"/>
      <c r="I107" s="11"/>
    </row>
    <row r="108" spans="1:9" ht="15" customHeight="1">
      <c r="A108" s="433" t="s">
        <v>150</v>
      </c>
      <c r="B108" s="133"/>
      <c r="C108" s="133"/>
      <c r="D108" s="11"/>
      <c r="E108" s="133"/>
      <c r="F108" s="133"/>
      <c r="G108" s="133"/>
      <c r="H108" s="130"/>
      <c r="I108" s="11"/>
    </row>
    <row r="109" spans="1:9" ht="15" customHeight="1">
      <c r="A109" s="432" t="s">
        <v>496</v>
      </c>
      <c r="B109" s="133"/>
      <c r="C109" s="133"/>
      <c r="D109" s="133"/>
      <c r="E109" s="133"/>
      <c r="F109" s="133"/>
      <c r="G109" s="133"/>
      <c r="H109" s="130"/>
      <c r="I109" s="11"/>
    </row>
    <row r="110" spans="1:9" ht="15" customHeight="1">
      <c r="A110" s="432"/>
      <c r="B110" s="133"/>
      <c r="C110" s="133"/>
      <c r="D110" s="133"/>
      <c r="E110" s="133"/>
      <c r="F110" s="133"/>
      <c r="G110" s="133"/>
      <c r="H110" s="130"/>
      <c r="I110" s="11"/>
    </row>
    <row r="111" spans="1:9" ht="15" customHeight="1">
      <c r="A111" s="134" t="s">
        <v>497</v>
      </c>
      <c r="B111" s="134"/>
      <c r="C111" s="134"/>
      <c r="D111" s="134"/>
      <c r="E111" s="134"/>
      <c r="F111" s="134"/>
      <c r="G111" s="134"/>
      <c r="H111" s="130"/>
      <c r="I111" s="11"/>
    </row>
    <row r="112" spans="1:9" ht="15" customHeight="1">
      <c r="A112" s="433" t="s">
        <v>151</v>
      </c>
      <c r="B112" s="133"/>
      <c r="C112" s="11"/>
      <c r="D112" s="133"/>
      <c r="E112" s="11"/>
      <c r="F112" s="133"/>
      <c r="G112" s="133"/>
      <c r="H112" s="130"/>
      <c r="I112" s="11"/>
    </row>
    <row r="113" spans="1:9" ht="15" customHeight="1">
      <c r="A113" s="432" t="s">
        <v>465</v>
      </c>
      <c r="B113" s="133"/>
      <c r="C113" s="432"/>
      <c r="D113" s="133"/>
      <c r="E113" s="11"/>
      <c r="F113" s="133"/>
      <c r="G113" s="133"/>
      <c r="H113" s="130"/>
      <c r="I113" s="11"/>
    </row>
    <row r="114" spans="1:9" ht="15" customHeight="1">
      <c r="A114" s="434" t="s">
        <v>498</v>
      </c>
      <c r="B114" s="432" t="s">
        <v>480</v>
      </c>
      <c r="C114" s="135"/>
      <c r="D114" s="135"/>
      <c r="E114" s="135"/>
      <c r="F114" s="135"/>
      <c r="G114" s="135"/>
      <c r="H114" s="136"/>
    </row>
    <row r="115" spans="1:9" ht="16.5">
      <c r="A115" s="11"/>
      <c r="B115" s="432"/>
      <c r="C115" s="135"/>
      <c r="D115" s="135"/>
      <c r="E115" s="135"/>
      <c r="F115" s="135"/>
      <c r="G115" s="135"/>
      <c r="H115" s="136"/>
    </row>
    <row r="116" spans="1:9" ht="16.5">
      <c r="A116" s="134" t="s">
        <v>499</v>
      </c>
      <c r="B116" s="11"/>
      <c r="C116" s="11"/>
      <c r="D116" s="11"/>
      <c r="E116" s="11"/>
      <c r="F116" s="11"/>
      <c r="G116" s="11"/>
      <c r="H116" s="11"/>
    </row>
    <row r="117" spans="1:9" ht="16.5">
      <c r="A117" s="432" t="s">
        <v>474</v>
      </c>
      <c r="B117" s="11"/>
      <c r="C117" s="432" t="s">
        <v>0</v>
      </c>
      <c r="D117" s="11"/>
      <c r="E117" s="11"/>
      <c r="F117" s="11"/>
      <c r="G117" s="11"/>
      <c r="H117" s="11"/>
    </row>
  </sheetData>
  <mergeCells count="4">
    <mergeCell ref="A107:H107"/>
    <mergeCell ref="A98:H98"/>
    <mergeCell ref="A101:H101"/>
    <mergeCell ref="A104:H104"/>
  </mergeCells>
  <hyperlinks>
    <hyperlink ref="A51" r:id="rId1" xr:uid="{D803127C-8748-4010-B0DE-3D0151238A92}"/>
    <hyperlink ref="B35" r:id="rId2" xr:uid="{5838E137-A72A-4B5C-9068-DC8772411514}"/>
    <hyperlink ref="B41" r:id="rId3" xr:uid="{4C0ED018-44E2-4190-8D7D-D9B437E621AD}"/>
    <hyperlink ref="B47" r:id="rId4" xr:uid="{BD05C6F5-C085-4855-A676-08D285E6A41E}"/>
    <hyperlink ref="A102" r:id="rId5" xr:uid="{424CAA1B-9F72-4039-971D-5D14F569D742}"/>
    <hyperlink ref="A112" r:id="rId6" location="4" xr:uid="{6EC5413B-63AB-451D-83A6-7A8D4A664EE9}"/>
    <hyperlink ref="A108" r:id="rId7" xr:uid="{86BFC58B-5D70-4AF4-B770-E7E478F41FAB}"/>
    <hyperlink ref="A105" r:id="rId8" xr:uid="{0630FAB2-8079-4642-B0C5-DF9196800C9C}"/>
    <hyperlink ref="A99" r:id="rId9" xr:uid="{4A707DF1-A4B4-48B8-9626-16827BDA6EBA}"/>
    <hyperlink ref="C99" r:id="rId10" display="https://www.federalreserve.gov/datadownload/Preview.aspx?pi=400&amp;rel=H15&amp;preview=%20H15/H15/RIFLGFCY05_N.WF" xr:uid="{55181B73-5049-461C-B287-76ED66F3D329}"/>
    <hyperlink ref="A113" r:id="rId11" xr:uid="{56F08921-6481-4679-8161-3A8C9F2C033D}"/>
    <hyperlink ref="C117" r:id="rId12" display="https://www.federalreserve.gov/monetarypolicy/files/fomcprojtabl20231213.pdf" xr:uid="{7FAC72F5-5018-4E41-963D-4EFE52A97FC5}"/>
    <hyperlink ref="A117" r:id="rId13" xr:uid="{59804F3F-813A-48B5-9242-AFC63D340AA7}"/>
    <hyperlink ref="A109" r:id="rId14" display="https://www.philadelphiafed.org/-/media/frbp/assets/surveys-and-data/survey-of-professional-forecasters/2024/spfq124.pdf" xr:uid="{3947FB2B-6C15-41DA-87DF-00D2CC207258}"/>
    <hyperlink ref="B114" r:id="rId15" xr:uid="{83232309-4783-457B-9515-927613BC889D}"/>
  </hyperlinks>
  <pageMargins left="0.25" right="0.25" top="0.75" bottom="0.75" header="0.3" footer="0.3"/>
  <pageSetup scale="29" fitToWidth="0" orientation="portrait" r:id="rId16"/>
  <rowBreaks count="1" manualBreakCount="1">
    <brk id="174"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9498D-AEA4-474E-9B94-E2A31EACF33D}">
  <sheetPr>
    <tabColor rgb="FF92D050"/>
    <pageSetUpPr fitToPage="1"/>
  </sheetPr>
  <dimension ref="A1:I108"/>
  <sheetViews>
    <sheetView view="pageBreakPreview" topLeftCell="A30" zoomScale="70" zoomScaleNormal="80" zoomScaleSheetLayoutView="70" workbookViewId="0">
      <selection activeCell="D53" sqref="D53"/>
    </sheetView>
  </sheetViews>
  <sheetFormatPr defaultRowHeight="15"/>
  <cols>
    <col min="1" max="1" width="45.7109375" customWidth="1"/>
    <col min="2" max="2" width="15" customWidth="1"/>
    <col min="3" max="3" width="72.140625" customWidth="1"/>
    <col min="4" max="4" width="34.5703125" customWidth="1"/>
    <col min="5" max="5" width="21.7109375" customWidth="1"/>
    <col min="6" max="6" width="16.140625" customWidth="1"/>
    <col min="7" max="7" width="24.85546875" customWidth="1"/>
    <col min="8" max="8" width="18" customWidth="1"/>
    <col min="9" max="9" width="20.85546875" customWidth="1"/>
    <col min="10" max="10" width="19" customWidth="1"/>
    <col min="11" max="11" width="17.28515625" customWidth="1"/>
    <col min="12" max="12" width="24.140625" customWidth="1"/>
  </cols>
  <sheetData>
    <row r="1" spans="1:9" ht="26.25">
      <c r="A1" s="22" t="s">
        <v>1</v>
      </c>
      <c r="B1" s="11"/>
      <c r="C1" s="11"/>
      <c r="D1" s="11"/>
      <c r="E1" s="11"/>
      <c r="F1" s="11"/>
      <c r="G1" s="11"/>
      <c r="H1" s="11"/>
      <c r="I1" s="11"/>
    </row>
    <row r="2" spans="1:9" ht="17.25">
      <c r="A2" s="61" t="s">
        <v>9</v>
      </c>
      <c r="B2" s="11"/>
      <c r="C2" s="11"/>
      <c r="D2" s="11"/>
      <c r="E2" s="11"/>
      <c r="F2" s="11"/>
      <c r="G2" s="11"/>
      <c r="H2" s="11"/>
      <c r="I2" s="11"/>
    </row>
    <row r="3" spans="1:9" ht="16.5">
      <c r="A3" s="24" t="s">
        <v>467</v>
      </c>
      <c r="B3" s="11"/>
      <c r="C3" s="11"/>
      <c r="D3" s="11"/>
      <c r="E3" s="11"/>
      <c r="F3" s="11"/>
      <c r="G3" s="11"/>
      <c r="H3" s="11"/>
      <c r="I3" s="11"/>
    </row>
    <row r="4" spans="1:9" ht="16.5">
      <c r="A4" s="11"/>
      <c r="B4" s="11"/>
      <c r="C4" s="11"/>
      <c r="D4" s="11"/>
      <c r="E4" s="11"/>
      <c r="F4" s="11"/>
      <c r="G4" s="11"/>
      <c r="H4" s="11"/>
      <c r="I4" s="11"/>
    </row>
    <row r="5" spans="1:9" ht="18" thickBot="1">
      <c r="A5" s="61"/>
      <c r="B5" s="11"/>
      <c r="C5" s="11"/>
      <c r="D5" s="11"/>
      <c r="E5" s="11"/>
      <c r="F5" s="11"/>
      <c r="G5" s="11"/>
      <c r="H5" s="11"/>
      <c r="I5" s="11"/>
    </row>
    <row r="6" spans="1:9" ht="21" thickBot="1">
      <c r="A6" s="275" t="str">
        <f>+'S&amp;D'!A12</f>
        <v>Natural Gas Transmission Pipeline Carrier</v>
      </c>
      <c r="B6" s="202"/>
      <c r="C6" s="11"/>
      <c r="D6" s="11"/>
      <c r="E6" s="11"/>
      <c r="F6" s="11"/>
      <c r="G6" s="11"/>
      <c r="H6" s="11"/>
      <c r="I6" s="11"/>
    </row>
    <row r="7" spans="1:9" ht="20.25">
      <c r="A7" s="29"/>
      <c r="B7" s="11"/>
      <c r="C7" s="11"/>
      <c r="D7" s="11"/>
      <c r="E7" s="11"/>
      <c r="F7" s="11"/>
      <c r="G7" s="11"/>
      <c r="H7" s="11"/>
      <c r="I7" s="11"/>
    </row>
    <row r="8" spans="1:9" ht="18" thickBot="1">
      <c r="A8" s="61"/>
      <c r="B8" s="11"/>
      <c r="C8" s="27"/>
      <c r="E8" s="11"/>
      <c r="F8" s="11"/>
      <c r="G8" s="11"/>
      <c r="H8" s="11"/>
      <c r="I8" s="11"/>
    </row>
    <row r="9" spans="1:9" ht="26.25">
      <c r="B9" s="11"/>
      <c r="C9" s="30" t="s">
        <v>158</v>
      </c>
      <c r="E9" s="11"/>
      <c r="F9" s="11"/>
      <c r="G9" s="11"/>
      <c r="H9" s="11"/>
      <c r="I9" s="11"/>
    </row>
    <row r="10" spans="1:9" ht="21" thickBot="1">
      <c r="A10" s="29"/>
      <c r="B10" s="11"/>
      <c r="C10" s="31" t="s">
        <v>468</v>
      </c>
      <c r="E10" s="11"/>
      <c r="F10" s="11"/>
      <c r="G10" s="11"/>
      <c r="H10" s="11"/>
      <c r="I10" s="11"/>
    </row>
    <row r="11" spans="1:9" ht="20.25">
      <c r="A11" s="29"/>
      <c r="B11" s="11"/>
      <c r="C11" s="11"/>
      <c r="D11" s="11"/>
      <c r="E11" s="11"/>
      <c r="F11" s="11"/>
      <c r="G11" s="11"/>
      <c r="H11" s="11"/>
      <c r="I11" s="11"/>
    </row>
    <row r="12" spans="1:9" ht="17.25" thickBot="1">
      <c r="A12" s="11"/>
      <c r="B12" s="11"/>
      <c r="C12" s="11"/>
      <c r="D12" s="11"/>
      <c r="E12" s="11"/>
      <c r="F12" s="11"/>
      <c r="G12" s="11"/>
      <c r="H12" s="11"/>
      <c r="I12" s="11"/>
    </row>
    <row r="13" spans="1:9" ht="16.5">
      <c r="A13" s="11"/>
      <c r="B13" s="11"/>
      <c r="C13" s="77" t="s">
        <v>0</v>
      </c>
      <c r="D13" s="77" t="s">
        <v>192</v>
      </c>
      <c r="E13" s="11"/>
      <c r="F13" s="11"/>
      <c r="G13" s="11"/>
      <c r="H13" s="11"/>
      <c r="I13" s="11"/>
    </row>
    <row r="14" spans="1:9" ht="21" thickBot="1">
      <c r="A14" s="11"/>
      <c r="B14" s="11"/>
      <c r="C14" s="383" t="s">
        <v>157</v>
      </c>
      <c r="D14" s="79" t="s">
        <v>283</v>
      </c>
      <c r="E14" s="11"/>
      <c r="F14" s="11"/>
      <c r="G14" s="11"/>
      <c r="H14" s="11"/>
      <c r="I14" s="11"/>
    </row>
    <row r="15" spans="1:9" ht="17.25">
      <c r="A15" s="11"/>
      <c r="B15" s="11"/>
      <c r="C15" s="384" t="s">
        <v>421</v>
      </c>
      <c r="D15" s="385">
        <f>+CAPM!F16</f>
        <v>7.4564999999999992E-2</v>
      </c>
      <c r="E15" s="386"/>
      <c r="F15" s="11"/>
      <c r="G15" s="11"/>
      <c r="H15" s="11"/>
      <c r="I15" s="11"/>
    </row>
    <row r="16" spans="1:9" ht="17.25">
      <c r="A16" s="11"/>
      <c r="B16" s="11"/>
      <c r="C16" s="387" t="s">
        <v>422</v>
      </c>
      <c r="D16" s="388">
        <f>+CAPM!F17</f>
        <v>7.6520000000000005E-2</v>
      </c>
      <c r="E16" s="386"/>
      <c r="F16" s="11"/>
      <c r="G16" s="11"/>
      <c r="H16" s="11"/>
      <c r="I16" s="11"/>
    </row>
    <row r="17" spans="1:9" ht="17.25">
      <c r="A17" s="11"/>
      <c r="B17" s="11"/>
      <c r="C17" s="387" t="s">
        <v>444</v>
      </c>
      <c r="D17" s="388">
        <f>+CAPM!F19</f>
        <v>9.4E-2</v>
      </c>
      <c r="E17" s="386"/>
      <c r="F17" s="11"/>
      <c r="G17" s="11"/>
      <c r="H17" s="11"/>
      <c r="I17" s="11"/>
    </row>
    <row r="18" spans="1:9" ht="17.25">
      <c r="A18" s="11"/>
      <c r="B18" s="11"/>
      <c r="C18" s="387" t="s">
        <v>458</v>
      </c>
      <c r="D18" s="388">
        <f>+CAPM!F20</f>
        <v>0.11090499999999999</v>
      </c>
      <c r="E18" s="386"/>
      <c r="F18" s="11"/>
      <c r="G18" s="11"/>
      <c r="H18" s="11"/>
      <c r="I18" s="11"/>
    </row>
    <row r="19" spans="1:9" ht="17.25">
      <c r="A19" s="11"/>
      <c r="B19" s="11"/>
      <c r="C19" s="387" t="s">
        <v>445</v>
      </c>
      <c r="D19" s="388">
        <f>+CAPM!F21</f>
        <v>9.2044999999999988E-2</v>
      </c>
      <c r="E19" s="386"/>
      <c r="F19" s="11"/>
      <c r="G19" s="11"/>
      <c r="H19" s="11"/>
      <c r="I19" s="11"/>
    </row>
    <row r="20" spans="1:9" ht="17.25">
      <c r="A20" s="11"/>
      <c r="B20" s="11"/>
      <c r="C20" s="387" t="s">
        <v>446</v>
      </c>
      <c r="D20" s="388">
        <f>+CAPM!F22</f>
        <v>9.0434999999999988E-2</v>
      </c>
      <c r="E20" s="386"/>
      <c r="F20" s="11"/>
      <c r="G20" s="11"/>
      <c r="H20" s="11"/>
      <c r="I20" s="11"/>
    </row>
    <row r="21" spans="1:9" ht="17.25">
      <c r="A21" s="11"/>
      <c r="B21" s="11"/>
      <c r="C21" s="387" t="s">
        <v>159</v>
      </c>
      <c r="D21" s="388">
        <f>+CAPM!F24</f>
        <v>9.7909999999999997E-2</v>
      </c>
      <c r="E21" s="386"/>
      <c r="F21" s="11"/>
      <c r="G21" s="11"/>
      <c r="H21" s="11"/>
      <c r="I21" s="11"/>
    </row>
    <row r="22" spans="1:9" ht="17.25">
      <c r="A22" s="11"/>
      <c r="B22" s="11"/>
      <c r="C22" s="387" t="s">
        <v>160</v>
      </c>
      <c r="D22" s="388">
        <f>+CAPM!F26</f>
        <v>0.10664999999999999</v>
      </c>
      <c r="E22" s="386"/>
      <c r="F22" s="11"/>
      <c r="G22" s="11"/>
      <c r="H22" s="11"/>
      <c r="I22" s="11"/>
    </row>
    <row r="23" spans="1:9" ht="17.25">
      <c r="A23" s="11"/>
      <c r="B23" s="11"/>
      <c r="C23" s="387" t="s">
        <v>161</v>
      </c>
      <c r="D23" s="388">
        <f>+CAPM!F28</f>
        <v>0.11527499999999999</v>
      </c>
      <c r="E23" s="422"/>
      <c r="G23" s="11"/>
      <c r="H23" s="11"/>
      <c r="I23" s="11"/>
    </row>
    <row r="24" spans="1:9" ht="17.25">
      <c r="A24" s="11"/>
      <c r="B24" s="11"/>
      <c r="C24" s="387" t="s">
        <v>162</v>
      </c>
      <c r="D24" s="388">
        <f>+CAPM!F29</f>
        <v>0.10078499999999999</v>
      </c>
      <c r="E24" s="422"/>
      <c r="G24" s="11"/>
      <c r="H24" s="11"/>
      <c r="I24" s="11"/>
    </row>
    <row r="25" spans="1:9" ht="17.25">
      <c r="A25" s="11"/>
      <c r="B25" s="11"/>
      <c r="C25" s="389" t="s">
        <v>447</v>
      </c>
      <c r="D25" s="388">
        <f>+CAPM!F31</f>
        <v>0.12355499999999998</v>
      </c>
      <c r="E25" s="422"/>
      <c r="G25" s="11"/>
      <c r="H25" s="11"/>
      <c r="I25" s="11"/>
    </row>
    <row r="26" spans="1:9" ht="17.25">
      <c r="A26" s="11"/>
      <c r="B26" s="11"/>
      <c r="C26" s="389" t="s">
        <v>448</v>
      </c>
      <c r="D26" s="388">
        <f>+CAPM!F32</f>
        <v>0.11262999999999999</v>
      </c>
      <c r="E26" s="422"/>
      <c r="G26" s="11"/>
      <c r="H26" s="11"/>
      <c r="I26" s="11"/>
    </row>
    <row r="27" spans="1:9" ht="17.25">
      <c r="A27" s="11"/>
      <c r="B27" s="11"/>
      <c r="C27" s="389" t="s">
        <v>449</v>
      </c>
      <c r="D27" s="388">
        <f>+CAPM!F33</f>
        <v>0.10435</v>
      </c>
      <c r="E27" s="390"/>
      <c r="F27" s="11"/>
      <c r="G27" s="11"/>
      <c r="H27" s="11"/>
      <c r="I27" s="11"/>
    </row>
    <row r="28" spans="1:9" ht="17.25">
      <c r="A28" s="11"/>
      <c r="B28" s="11"/>
      <c r="C28" s="404" t="s">
        <v>423</v>
      </c>
      <c r="D28" s="388">
        <f>+CAPM!G42</f>
        <v>7.3473750000000004E-2</v>
      </c>
      <c r="E28" s="386"/>
      <c r="F28" s="11"/>
      <c r="G28" s="11"/>
      <c r="H28" s="11"/>
      <c r="I28" s="11"/>
    </row>
    <row r="29" spans="1:9" ht="17.25">
      <c r="A29" s="11"/>
      <c r="B29" s="11"/>
      <c r="C29" s="387" t="s">
        <v>424</v>
      </c>
      <c r="D29" s="388">
        <f>+CAPM!G43</f>
        <v>7.5364999999999988E-2</v>
      </c>
      <c r="E29" s="386"/>
      <c r="F29" s="11"/>
      <c r="G29" s="11"/>
      <c r="H29" s="11"/>
      <c r="I29" s="11"/>
    </row>
    <row r="30" spans="1:9" ht="17.25">
      <c r="A30" s="11"/>
      <c r="B30" s="11"/>
      <c r="C30" s="387" t="s">
        <v>450</v>
      </c>
      <c r="D30" s="388">
        <f>+CAPM!G45</f>
        <v>9.2274999999999996E-2</v>
      </c>
      <c r="E30" s="386"/>
      <c r="F30" s="11"/>
      <c r="G30" s="11"/>
      <c r="H30" s="11"/>
      <c r="I30" s="11"/>
    </row>
    <row r="31" spans="1:9" ht="17.25">
      <c r="A31" s="11"/>
      <c r="B31" s="11"/>
      <c r="C31" s="387" t="s">
        <v>459</v>
      </c>
      <c r="D31" s="388">
        <f>+CAPM!G46</f>
        <v>0.10862874999999998</v>
      </c>
      <c r="E31" s="386"/>
      <c r="F31" s="11"/>
      <c r="G31" s="11"/>
      <c r="H31" s="11"/>
      <c r="I31" s="11"/>
    </row>
    <row r="32" spans="1:9" ht="17.25">
      <c r="A32" s="11"/>
      <c r="B32" s="11"/>
      <c r="C32" s="387" t="s">
        <v>451</v>
      </c>
      <c r="D32" s="388">
        <f>+CAPM!G47</f>
        <v>9.0383749999999999E-2</v>
      </c>
      <c r="E32" s="386"/>
      <c r="F32" s="11"/>
      <c r="G32" s="11"/>
      <c r="H32" s="11"/>
      <c r="I32" s="11"/>
    </row>
    <row r="33" spans="1:9" ht="17.25">
      <c r="A33" s="11"/>
      <c r="B33" s="11"/>
      <c r="C33" s="387" t="s">
        <v>452</v>
      </c>
      <c r="D33" s="388">
        <f>+CAPM!G48</f>
        <v>8.8826249999999995E-2</v>
      </c>
      <c r="E33" s="386"/>
      <c r="F33" s="11"/>
      <c r="G33" s="11"/>
      <c r="H33" s="11"/>
      <c r="I33" s="11"/>
    </row>
    <row r="34" spans="1:9" ht="17.25">
      <c r="A34" s="11"/>
      <c r="B34" s="11"/>
      <c r="C34" s="387" t="s">
        <v>163</v>
      </c>
      <c r="D34" s="388">
        <f>+CAPM!G50</f>
        <v>9.605749999999999E-2</v>
      </c>
      <c r="E34" s="386"/>
      <c r="F34" s="11"/>
      <c r="G34" s="11"/>
      <c r="H34" s="11"/>
      <c r="I34" s="11"/>
    </row>
    <row r="35" spans="1:9" ht="17.25">
      <c r="A35" s="11"/>
      <c r="B35" s="11"/>
      <c r="C35" s="387" t="s">
        <v>164</v>
      </c>
      <c r="D35" s="388">
        <f>+CAPM!G52</f>
        <v>0.10451249999999999</v>
      </c>
      <c r="E35" s="386"/>
      <c r="F35" s="11"/>
      <c r="G35" s="11"/>
      <c r="H35" s="11"/>
      <c r="I35" s="11"/>
    </row>
    <row r="36" spans="1:9" ht="17.25">
      <c r="A36" s="11"/>
      <c r="B36" s="11"/>
      <c r="C36" s="389" t="s">
        <v>165</v>
      </c>
      <c r="D36" s="388">
        <f>+CAPM!G54</f>
        <v>0.11285624999999999</v>
      </c>
      <c r="E36" s="386"/>
      <c r="F36" s="11"/>
      <c r="G36" s="11"/>
      <c r="H36" s="11"/>
      <c r="I36" s="11"/>
    </row>
    <row r="37" spans="1:9" ht="17.25">
      <c r="A37" s="11"/>
      <c r="B37" s="11"/>
      <c r="C37" s="387" t="s">
        <v>166</v>
      </c>
      <c r="D37" s="388">
        <f>+CAPM!G55</f>
        <v>9.8838750000000003E-2</v>
      </c>
      <c r="E37" s="386"/>
      <c r="F37" s="11"/>
      <c r="G37" s="11"/>
      <c r="H37" s="11"/>
      <c r="I37" s="11"/>
    </row>
    <row r="38" spans="1:9" ht="16.5" customHeight="1">
      <c r="A38" s="11"/>
      <c r="B38" s="11"/>
      <c r="C38" s="389" t="s">
        <v>453</v>
      </c>
      <c r="D38" s="388">
        <f>+CAPM!G57</f>
        <v>0.12086624999999998</v>
      </c>
      <c r="E38" s="386" t="s">
        <v>0</v>
      </c>
      <c r="F38" s="11"/>
      <c r="G38" s="11"/>
      <c r="H38" s="11"/>
      <c r="I38" s="11"/>
    </row>
    <row r="39" spans="1:9" ht="16.5" customHeight="1">
      <c r="A39" s="11"/>
      <c r="B39" s="11"/>
      <c r="C39" s="389" t="s">
        <v>454</v>
      </c>
      <c r="D39" s="388">
        <f>+CAPM!G58</f>
        <v>0.11029749999999999</v>
      </c>
      <c r="E39" s="386"/>
      <c r="F39" s="11"/>
      <c r="G39" s="11"/>
      <c r="H39" s="11"/>
      <c r="I39" s="11"/>
    </row>
    <row r="40" spans="1:9" ht="18.75" customHeight="1">
      <c r="A40" s="11"/>
      <c r="B40" s="11"/>
      <c r="C40" s="389" t="s">
        <v>455</v>
      </c>
      <c r="D40" s="388">
        <f>+CAPM!G59</f>
        <v>0.1022875</v>
      </c>
      <c r="E40" s="391"/>
      <c r="F40" s="11"/>
      <c r="G40" s="11"/>
      <c r="H40" s="11"/>
      <c r="I40" s="11"/>
    </row>
    <row r="41" spans="1:9" ht="21.75" customHeight="1">
      <c r="A41" s="11"/>
      <c r="B41" s="11"/>
      <c r="C41" s="285" t="s">
        <v>241</v>
      </c>
      <c r="D41" s="403">
        <f>+'Single Stage Div Growth Model'!I31</f>
        <v>0.12429999999999999</v>
      </c>
      <c r="E41" s="422"/>
      <c r="G41" s="11"/>
      <c r="H41" s="11"/>
      <c r="I41" s="11"/>
    </row>
    <row r="42" spans="1:9" ht="21.75" customHeight="1">
      <c r="A42" s="11"/>
      <c r="B42" s="11"/>
      <c r="C42" s="285" t="s">
        <v>240</v>
      </c>
      <c r="D42" s="403">
        <f>+'Single Stage Div Growth Model'!I33</f>
        <v>0.17549999999999999</v>
      </c>
      <c r="E42" s="422"/>
      <c r="G42" s="11"/>
      <c r="H42" s="11"/>
      <c r="I42" s="11"/>
    </row>
    <row r="43" spans="1:9" ht="21.75" customHeight="1">
      <c r="A43" s="11"/>
      <c r="B43" s="11"/>
      <c r="C43" s="392" t="s">
        <v>242</v>
      </c>
      <c r="D43" s="393">
        <f>+'Two-Stage Div Growth Model'!H35</f>
        <v>0.15870000000000001</v>
      </c>
      <c r="G43" s="80" t="s">
        <v>0</v>
      </c>
      <c r="H43" s="11"/>
      <c r="I43" s="11"/>
    </row>
    <row r="44" spans="1:9" ht="21.75" customHeight="1">
      <c r="A44" s="11"/>
      <c r="B44" s="11"/>
      <c r="C44" s="394" t="s">
        <v>364</v>
      </c>
      <c r="D44" s="395">
        <f>+'Direct NOPAT'!G61</f>
        <v>0.10929999999999999</v>
      </c>
      <c r="E44" s="195" t="s">
        <v>0</v>
      </c>
      <c r="F44" s="11"/>
      <c r="G44" s="11"/>
      <c r="H44" s="11"/>
      <c r="I44" s="11"/>
    </row>
    <row r="45" spans="1:9" ht="17.25" thickBot="1">
      <c r="A45" s="11"/>
      <c r="B45" s="11"/>
      <c r="C45" s="11"/>
      <c r="D45" s="68"/>
      <c r="E45" s="11"/>
      <c r="F45" s="11"/>
      <c r="G45" s="11"/>
      <c r="H45" s="11"/>
      <c r="I45" s="11"/>
    </row>
    <row r="46" spans="1:9" ht="17.25" thickTop="1">
      <c r="A46" s="11"/>
      <c r="B46" s="11"/>
      <c r="C46" s="13" t="s">
        <v>46</v>
      </c>
      <c r="D46" s="51">
        <f>MAX(D15:D43)</f>
        <v>0.17549999999999999</v>
      </c>
      <c r="E46" s="150"/>
      <c r="F46" s="11"/>
      <c r="G46" s="11"/>
      <c r="H46" s="11"/>
      <c r="I46" s="11"/>
    </row>
    <row r="47" spans="1:9" ht="16.5">
      <c r="A47" s="11"/>
      <c r="B47" s="11"/>
      <c r="C47" s="13" t="s">
        <v>47</v>
      </c>
      <c r="D47" s="348">
        <f>MIN(D15:D43)</f>
        <v>7.3473750000000004E-2</v>
      </c>
      <c r="E47" s="11"/>
      <c r="F47" s="11"/>
      <c r="G47" s="51"/>
      <c r="H47" s="51"/>
      <c r="I47" s="51"/>
    </row>
    <row r="48" spans="1:9" ht="16.5">
      <c r="A48" s="11"/>
      <c r="B48" s="11"/>
      <c r="C48" s="13" t="s">
        <v>18</v>
      </c>
      <c r="D48" s="80">
        <f>MEDIAN(D15:D43)</f>
        <v>0.1022875</v>
      </c>
      <c r="E48" s="80"/>
      <c r="F48" s="80"/>
      <c r="G48" s="80"/>
      <c r="H48" s="80"/>
      <c r="I48" s="80"/>
    </row>
    <row r="49" spans="1:9" ht="16.5">
      <c r="A49" s="11"/>
      <c r="B49" s="11"/>
      <c r="C49" s="13" t="s">
        <v>428</v>
      </c>
      <c r="D49" s="81">
        <f>AVERAGE(D15:D43)</f>
        <v>0.10457909482758623</v>
      </c>
      <c r="E49" s="81"/>
      <c r="F49" s="81"/>
      <c r="G49" s="81"/>
      <c r="H49" s="81"/>
      <c r="I49" s="81"/>
    </row>
    <row r="50" spans="1:9" ht="16.5">
      <c r="A50" s="11"/>
      <c r="B50" s="11"/>
      <c r="C50" s="13" t="s">
        <v>427</v>
      </c>
      <c r="D50" s="81">
        <f>HARMEAN(D15:D43)</f>
        <v>0.10063847225418776</v>
      </c>
      <c r="E50" s="81"/>
      <c r="F50" s="81"/>
      <c r="G50" s="81"/>
      <c r="H50" s="81"/>
      <c r="I50" s="81"/>
    </row>
    <row r="51" spans="1:9" ht="17.25" thickBot="1">
      <c r="A51" s="11"/>
      <c r="B51" s="11"/>
      <c r="C51" s="11"/>
      <c r="D51" s="11" t="s">
        <v>195</v>
      </c>
      <c r="E51" s="11"/>
      <c r="F51" s="11"/>
      <c r="G51" s="11"/>
      <c r="H51" s="11"/>
      <c r="I51" s="11"/>
    </row>
    <row r="52" spans="1:9" ht="27" thickBot="1">
      <c r="A52" s="11"/>
      <c r="B52" s="11"/>
      <c r="C52" s="211" t="s">
        <v>250</v>
      </c>
      <c r="D52" s="421">
        <v>0.1046</v>
      </c>
      <c r="E52" s="82"/>
      <c r="F52" s="82"/>
    </row>
    <row r="53" spans="1:9" ht="26.25">
      <c r="A53" s="11"/>
      <c r="B53" s="11"/>
      <c r="C53" s="48"/>
      <c r="D53" s="405"/>
      <c r="E53" s="82"/>
      <c r="F53" s="82"/>
    </row>
    <row r="54" spans="1:9" ht="26.25">
      <c r="A54" s="11"/>
      <c r="B54" s="11"/>
      <c r="C54" s="48"/>
      <c r="D54" s="405"/>
      <c r="E54" s="82"/>
      <c r="F54" s="82"/>
    </row>
    <row r="55" spans="1:9" ht="26.25">
      <c r="A55" s="11"/>
      <c r="B55" s="11"/>
      <c r="C55" s="48"/>
      <c r="D55" s="405"/>
      <c r="E55" s="82"/>
      <c r="F55" s="82"/>
    </row>
    <row r="56" spans="1:9" ht="17.25">
      <c r="A56" s="104" t="s">
        <v>251</v>
      </c>
      <c r="B56" s="11"/>
      <c r="C56" s="11"/>
      <c r="D56" s="11"/>
      <c r="E56" s="11"/>
      <c r="F56" s="11"/>
      <c r="G56" s="11"/>
      <c r="H56" s="11"/>
      <c r="I56" s="11"/>
    </row>
    <row r="57" spans="1:9" ht="17.25">
      <c r="A57" s="104" t="s">
        <v>367</v>
      </c>
      <c r="B57" s="11"/>
      <c r="C57" s="11"/>
      <c r="D57" s="11"/>
      <c r="E57" s="11"/>
      <c r="F57" s="11"/>
      <c r="G57" s="11"/>
      <c r="H57" s="11"/>
      <c r="I57" s="11"/>
    </row>
    <row r="58" spans="1:9" ht="16.5">
      <c r="A58" s="11"/>
      <c r="B58" s="11"/>
      <c r="C58" s="11"/>
      <c r="D58" s="11"/>
      <c r="E58" s="11"/>
      <c r="F58" s="11"/>
      <c r="G58" s="11"/>
      <c r="H58" s="11"/>
      <c r="I58" s="11"/>
    </row>
    <row r="59" spans="1:9" ht="16.5">
      <c r="A59" s="11"/>
      <c r="B59" s="11"/>
      <c r="C59" s="11"/>
      <c r="D59" s="11"/>
      <c r="E59" s="11"/>
      <c r="F59" s="11"/>
      <c r="G59" s="11"/>
      <c r="H59" s="11"/>
      <c r="I59" s="11"/>
    </row>
    <row r="60" spans="1:9" ht="16.5">
      <c r="A60" s="11"/>
      <c r="B60" s="11"/>
      <c r="C60" s="11"/>
      <c r="D60" s="11"/>
      <c r="E60" s="11"/>
      <c r="F60" s="11"/>
      <c r="G60" s="11"/>
      <c r="H60" s="11"/>
      <c r="I60" s="11"/>
    </row>
    <row r="61" spans="1:9" ht="16.5">
      <c r="A61" s="11"/>
      <c r="B61" s="11"/>
      <c r="C61" s="11"/>
      <c r="D61" s="11"/>
      <c r="E61" s="11"/>
      <c r="F61" s="11"/>
      <c r="G61" s="11"/>
      <c r="H61" s="11"/>
      <c r="I61" s="11"/>
    </row>
    <row r="62" spans="1:9" ht="16.5">
      <c r="A62" s="11"/>
      <c r="B62" s="11"/>
      <c r="C62" s="11"/>
      <c r="D62" s="11" t="s">
        <v>0</v>
      </c>
      <c r="E62" s="11"/>
      <c r="F62" s="11"/>
      <c r="G62" s="11"/>
      <c r="H62" s="11"/>
      <c r="I62" s="11"/>
    </row>
    <row r="63" spans="1:9" ht="16.5">
      <c r="A63" s="11"/>
      <c r="B63" s="11"/>
      <c r="C63" s="11"/>
      <c r="D63" s="11" t="s">
        <v>0</v>
      </c>
      <c r="E63" s="11"/>
      <c r="F63" s="11"/>
      <c r="G63" s="11"/>
      <c r="H63" s="11"/>
      <c r="I63" s="11"/>
    </row>
    <row r="64" spans="1:9" ht="16.5">
      <c r="A64" s="11"/>
      <c r="B64" s="11"/>
      <c r="C64" s="11"/>
      <c r="D64" s="11"/>
      <c r="E64" s="11"/>
      <c r="F64" s="11"/>
      <c r="G64" s="11"/>
      <c r="H64" s="11"/>
      <c r="I64" s="11"/>
    </row>
    <row r="65" spans="1:9" ht="16.5">
      <c r="A65" s="11"/>
      <c r="B65" s="11"/>
      <c r="C65" s="11"/>
      <c r="D65" s="11"/>
      <c r="E65" s="11"/>
      <c r="F65" s="11"/>
      <c r="G65" s="11"/>
      <c r="H65" s="11"/>
      <c r="I65" s="11"/>
    </row>
    <row r="66" spans="1:9" ht="16.5">
      <c r="A66" s="11"/>
      <c r="B66" s="11"/>
      <c r="C66" s="11"/>
      <c r="D66" s="11"/>
      <c r="E66" s="11"/>
      <c r="F66" s="11"/>
      <c r="G66" s="11"/>
      <c r="H66" s="11"/>
      <c r="I66" s="11"/>
    </row>
    <row r="67" spans="1:9" ht="16.5">
      <c r="A67" s="11"/>
      <c r="B67" s="11"/>
      <c r="C67" s="11"/>
      <c r="D67" s="11"/>
      <c r="E67" s="11"/>
      <c r="F67" s="11"/>
      <c r="G67" s="11"/>
      <c r="H67" s="11"/>
      <c r="I67" s="11"/>
    </row>
    <row r="68" spans="1:9" ht="16.5">
      <c r="A68" s="11"/>
      <c r="B68" s="11"/>
      <c r="C68" s="11"/>
      <c r="D68" s="11"/>
      <c r="E68" s="11"/>
      <c r="F68" s="11"/>
      <c r="G68" s="11"/>
      <c r="H68" s="11"/>
      <c r="I68" s="11"/>
    </row>
    <row r="69" spans="1:9" ht="16.5">
      <c r="A69" s="11"/>
      <c r="B69" s="11"/>
      <c r="C69" s="11"/>
      <c r="D69" s="11"/>
      <c r="E69" s="11"/>
      <c r="F69" s="11"/>
      <c r="G69" s="11"/>
      <c r="H69" s="11"/>
      <c r="I69" s="11"/>
    </row>
    <row r="70" spans="1:9" ht="16.5">
      <c r="A70" s="11"/>
      <c r="B70" s="11"/>
      <c r="C70" s="11"/>
      <c r="D70" s="11"/>
      <c r="E70" s="11"/>
      <c r="F70" s="11"/>
      <c r="G70" s="11"/>
      <c r="H70" s="11"/>
      <c r="I70" s="11"/>
    </row>
    <row r="71" spans="1:9" ht="16.5">
      <c r="A71" s="11"/>
      <c r="B71" s="11"/>
      <c r="C71" s="11"/>
      <c r="D71" s="11"/>
      <c r="E71" s="11"/>
      <c r="F71" s="11"/>
      <c r="G71" s="11"/>
      <c r="H71" s="11"/>
      <c r="I71" s="11"/>
    </row>
    <row r="72" spans="1:9" ht="16.5">
      <c r="A72" s="11"/>
      <c r="B72" s="11"/>
      <c r="C72" s="11"/>
      <c r="D72" s="11"/>
      <c r="E72" s="11"/>
      <c r="F72" s="11"/>
      <c r="G72" s="11"/>
      <c r="H72" s="11"/>
      <c r="I72" s="11"/>
    </row>
    <row r="73" spans="1:9" ht="16.5">
      <c r="A73" s="11"/>
      <c r="B73" s="11"/>
      <c r="C73" s="11"/>
      <c r="D73" s="11"/>
      <c r="E73" s="11"/>
      <c r="F73" s="11"/>
      <c r="G73" s="11"/>
      <c r="H73" s="11"/>
      <c r="I73" s="11"/>
    </row>
    <row r="74" spans="1:9" ht="16.5">
      <c r="A74" s="11"/>
      <c r="B74" s="11"/>
      <c r="C74" s="11"/>
      <c r="D74" s="11"/>
      <c r="E74" s="11"/>
      <c r="F74" s="11"/>
      <c r="G74" s="11"/>
      <c r="H74" s="11"/>
      <c r="I74" s="11"/>
    </row>
    <row r="75" spans="1:9" ht="16.5">
      <c r="A75" s="11"/>
      <c r="B75" s="11"/>
      <c r="C75" s="11"/>
      <c r="D75" s="11"/>
      <c r="E75" s="11"/>
      <c r="F75" s="11"/>
      <c r="G75" s="11"/>
      <c r="H75" s="11"/>
      <c r="I75" s="11"/>
    </row>
    <row r="76" spans="1:9" ht="16.5">
      <c r="A76" s="11"/>
      <c r="B76" s="11"/>
      <c r="C76" s="11"/>
      <c r="D76" s="11"/>
      <c r="E76" s="11"/>
      <c r="F76" s="11"/>
      <c r="G76" s="11"/>
      <c r="H76" s="11"/>
      <c r="I76" s="11"/>
    </row>
    <row r="77" spans="1:9" ht="16.5">
      <c r="A77" s="11"/>
      <c r="B77" s="11"/>
      <c r="C77" s="11"/>
      <c r="D77" s="11"/>
      <c r="E77" s="11"/>
      <c r="F77" s="11"/>
      <c r="G77" s="11"/>
      <c r="H77" s="11"/>
      <c r="I77" s="11"/>
    </row>
    <row r="78" spans="1:9" ht="16.5">
      <c r="A78" s="11"/>
      <c r="B78" s="11"/>
      <c r="C78" s="11"/>
      <c r="D78" s="11"/>
      <c r="E78" s="11"/>
      <c r="F78" s="11"/>
      <c r="G78" s="11"/>
      <c r="H78" s="11"/>
      <c r="I78" s="11"/>
    </row>
    <row r="79" spans="1:9" ht="16.5">
      <c r="A79" s="11"/>
      <c r="B79" s="11"/>
      <c r="C79" s="11"/>
      <c r="D79" s="11"/>
      <c r="E79" s="11"/>
      <c r="F79" s="11"/>
      <c r="G79" s="11"/>
      <c r="H79" s="11"/>
      <c r="I79" s="11"/>
    </row>
    <row r="80" spans="1:9" ht="16.5">
      <c r="A80" s="11"/>
      <c r="B80" s="11"/>
      <c r="C80" s="11"/>
      <c r="D80" s="11"/>
      <c r="E80" s="11"/>
      <c r="F80" s="11"/>
      <c r="G80" s="11"/>
      <c r="H80" s="11"/>
      <c r="I80" s="11"/>
    </row>
    <row r="81" spans="1:9" ht="16.5">
      <c r="A81" s="11"/>
      <c r="B81" s="11"/>
      <c r="C81" s="11"/>
      <c r="D81" s="11"/>
      <c r="E81" s="11"/>
      <c r="F81" s="11"/>
      <c r="G81" s="11"/>
      <c r="H81" s="11"/>
      <c r="I81" s="11"/>
    </row>
    <row r="82" spans="1:9" ht="16.5">
      <c r="A82" s="11"/>
      <c r="B82" s="11"/>
      <c r="C82" s="11"/>
      <c r="D82" s="11"/>
      <c r="E82" s="11"/>
      <c r="F82" s="11"/>
      <c r="G82" s="11"/>
      <c r="H82" s="11"/>
      <c r="I82" s="11"/>
    </row>
    <row r="83" spans="1:9" ht="16.5">
      <c r="A83" s="11"/>
      <c r="B83" s="11"/>
      <c r="C83" s="11"/>
      <c r="D83" s="11"/>
      <c r="E83" s="11"/>
      <c r="F83" s="11"/>
      <c r="G83" s="11"/>
      <c r="H83" s="11"/>
      <c r="I83" s="11"/>
    </row>
    <row r="84" spans="1:9" ht="16.5">
      <c r="A84" s="11"/>
      <c r="B84" s="11"/>
      <c r="C84" s="11"/>
      <c r="D84" s="11"/>
      <c r="E84" s="11"/>
      <c r="F84" s="11"/>
      <c r="G84" s="11"/>
      <c r="H84" s="11"/>
      <c r="I84" s="11"/>
    </row>
    <row r="85" spans="1:9" ht="16.5">
      <c r="A85" s="11"/>
      <c r="B85" s="11"/>
      <c r="C85" s="11"/>
      <c r="D85" s="11"/>
      <c r="E85" s="11"/>
      <c r="F85" s="11"/>
      <c r="G85" s="11"/>
      <c r="H85" s="11"/>
      <c r="I85" s="11"/>
    </row>
    <row r="86" spans="1:9" ht="16.5">
      <c r="A86" s="11"/>
      <c r="B86" s="11"/>
      <c r="C86" s="11"/>
      <c r="D86" s="11"/>
      <c r="E86" s="11"/>
      <c r="F86" s="11"/>
      <c r="G86" s="11"/>
      <c r="H86" s="11"/>
      <c r="I86" s="11"/>
    </row>
    <row r="87" spans="1:9" ht="16.5">
      <c r="A87" s="11"/>
      <c r="B87" s="11"/>
      <c r="C87" s="11"/>
      <c r="D87" s="11"/>
      <c r="E87" s="11"/>
      <c r="F87" s="11"/>
      <c r="G87" s="11"/>
      <c r="H87" s="11"/>
      <c r="I87" s="11"/>
    </row>
    <row r="88" spans="1:9" ht="16.5">
      <c r="A88" s="11"/>
      <c r="B88" s="11"/>
      <c r="C88" s="11"/>
      <c r="D88" s="11"/>
      <c r="E88" s="11"/>
      <c r="F88" s="11"/>
      <c r="G88" s="11"/>
      <c r="H88" s="11"/>
      <c r="I88" s="11"/>
    </row>
    <row r="89" spans="1:9" ht="16.5">
      <c r="A89" s="11"/>
      <c r="B89" s="11"/>
      <c r="C89" s="11"/>
      <c r="D89" s="11"/>
      <c r="E89" s="11"/>
      <c r="F89" s="11"/>
      <c r="G89" s="11"/>
      <c r="H89" s="11"/>
      <c r="I89" s="11"/>
    </row>
    <row r="90" spans="1:9" ht="16.5">
      <c r="A90" s="11"/>
      <c r="B90" s="11"/>
      <c r="C90" s="11"/>
      <c r="D90" s="11"/>
      <c r="E90" s="11"/>
      <c r="F90" s="11"/>
      <c r="G90" s="11"/>
      <c r="H90" s="11"/>
      <c r="I90" s="11"/>
    </row>
    <row r="91" spans="1:9" ht="16.5">
      <c r="A91" s="11"/>
      <c r="B91" s="11"/>
      <c r="C91" s="11"/>
      <c r="D91" s="11"/>
      <c r="E91" s="11"/>
      <c r="F91" s="11"/>
      <c r="G91" s="11"/>
      <c r="H91" s="11"/>
      <c r="I91" s="11"/>
    </row>
    <row r="92" spans="1:9" ht="16.5">
      <c r="A92" s="11"/>
      <c r="B92" s="11"/>
      <c r="C92" s="11"/>
      <c r="D92" s="11"/>
      <c r="E92" s="11"/>
      <c r="F92" s="11"/>
      <c r="G92" s="11"/>
      <c r="H92" s="11"/>
      <c r="I92" s="11"/>
    </row>
    <row r="93" spans="1:9" ht="16.5">
      <c r="A93" s="11"/>
      <c r="B93" s="11"/>
      <c r="C93" s="11"/>
      <c r="D93" s="11"/>
      <c r="E93" s="11"/>
      <c r="F93" s="11"/>
      <c r="G93" s="11"/>
      <c r="H93" s="11"/>
      <c r="I93" s="11"/>
    </row>
    <row r="94" spans="1:9" ht="16.5">
      <c r="A94" s="11"/>
      <c r="B94" s="11"/>
      <c r="C94" s="11"/>
      <c r="D94" s="11"/>
      <c r="E94" s="11"/>
      <c r="F94" s="11"/>
      <c r="G94" s="11"/>
      <c r="H94" s="11"/>
      <c r="I94" s="11"/>
    </row>
    <row r="95" spans="1:9" ht="16.5">
      <c r="A95" s="11"/>
      <c r="B95" s="11"/>
      <c r="C95" s="11"/>
      <c r="D95" s="11"/>
      <c r="E95" s="11"/>
      <c r="F95" s="11"/>
      <c r="G95" s="11"/>
      <c r="H95" s="11"/>
      <c r="I95" s="11"/>
    </row>
    <row r="96" spans="1:9" ht="16.5">
      <c r="A96" s="11"/>
      <c r="B96" s="11"/>
      <c r="C96" s="11"/>
      <c r="D96" s="11"/>
      <c r="E96" s="11"/>
      <c r="F96" s="11"/>
      <c r="G96" s="11"/>
      <c r="H96" s="11"/>
      <c r="I96" s="11"/>
    </row>
    <row r="97" spans="1:9" ht="16.5">
      <c r="A97" s="11"/>
      <c r="B97" s="11"/>
      <c r="C97" s="11"/>
      <c r="D97" s="11"/>
      <c r="E97" s="11"/>
      <c r="F97" s="11"/>
      <c r="G97" s="11"/>
      <c r="H97" s="11"/>
      <c r="I97" s="11"/>
    </row>
    <row r="98" spans="1:9" ht="16.5">
      <c r="A98" s="11"/>
      <c r="B98" s="11"/>
      <c r="C98" s="11"/>
      <c r="D98" s="11"/>
      <c r="E98" s="11"/>
      <c r="F98" s="11"/>
      <c r="G98" s="11"/>
      <c r="H98" s="11"/>
      <c r="I98" s="11"/>
    </row>
    <row r="99" spans="1:9" ht="16.5">
      <c r="A99" s="11"/>
      <c r="B99" s="11"/>
      <c r="C99" s="11"/>
      <c r="D99" s="11"/>
      <c r="E99" s="11"/>
      <c r="F99" s="11"/>
      <c r="G99" s="11"/>
      <c r="H99" s="11"/>
      <c r="I99" s="11"/>
    </row>
    <row r="100" spans="1:9" ht="16.5">
      <c r="A100" s="11"/>
      <c r="B100" s="11"/>
      <c r="C100" s="11"/>
      <c r="D100" s="11"/>
      <c r="E100" s="11"/>
      <c r="F100" s="11"/>
      <c r="G100" s="11"/>
      <c r="H100" s="11"/>
      <c r="I100" s="11"/>
    </row>
    <row r="101" spans="1:9" ht="16.5">
      <c r="A101" s="11"/>
      <c r="B101" s="11"/>
      <c r="C101" s="11"/>
      <c r="D101" s="11"/>
      <c r="E101" s="11"/>
      <c r="F101" s="11"/>
      <c r="G101" s="11"/>
      <c r="H101" s="11"/>
      <c r="I101" s="11"/>
    </row>
    <row r="102" spans="1:9" ht="16.5">
      <c r="A102" s="11"/>
      <c r="B102" s="11"/>
      <c r="C102" s="11"/>
      <c r="D102" s="11"/>
      <c r="E102" s="11"/>
      <c r="F102" s="11"/>
      <c r="G102" s="11"/>
      <c r="H102" s="11"/>
      <c r="I102" s="11"/>
    </row>
    <row r="103" spans="1:9" ht="16.5">
      <c r="A103" s="11"/>
      <c r="B103" s="11"/>
      <c r="C103" s="11"/>
      <c r="D103" s="11"/>
      <c r="E103" s="11"/>
      <c r="F103" s="11"/>
      <c r="G103" s="11"/>
      <c r="H103" s="11"/>
      <c r="I103" s="11"/>
    </row>
    <row r="104" spans="1:9" ht="16.5">
      <c r="A104" s="11"/>
      <c r="B104" s="11"/>
      <c r="C104" s="11"/>
      <c r="D104" s="11"/>
      <c r="E104" s="11"/>
      <c r="F104" s="11"/>
      <c r="G104" s="11"/>
      <c r="H104" s="11"/>
      <c r="I104" s="11"/>
    </row>
    <row r="105" spans="1:9" ht="16.5">
      <c r="A105" s="11"/>
      <c r="B105" s="11"/>
      <c r="C105" s="11"/>
      <c r="D105" s="11"/>
      <c r="E105" s="11"/>
      <c r="F105" s="11"/>
      <c r="G105" s="11"/>
      <c r="H105" s="11"/>
      <c r="I105" s="11"/>
    </row>
    <row r="106" spans="1:9" ht="16.5">
      <c r="A106" s="11"/>
      <c r="B106" s="11"/>
      <c r="C106" s="11"/>
      <c r="D106" s="11"/>
      <c r="E106" s="11"/>
      <c r="F106" s="11"/>
      <c r="G106" s="11"/>
      <c r="H106" s="11"/>
      <c r="I106" s="11"/>
    </row>
    <row r="107" spans="1:9" ht="16.5">
      <c r="A107" s="11"/>
      <c r="B107" s="11"/>
      <c r="C107" s="11"/>
      <c r="D107" s="11"/>
      <c r="E107" s="11"/>
      <c r="F107" s="11"/>
      <c r="G107" s="11"/>
      <c r="H107" s="11"/>
      <c r="I107" s="11"/>
    </row>
    <row r="108" spans="1:9" ht="16.5">
      <c r="A108" s="11"/>
      <c r="B108" s="11"/>
      <c r="C108" s="11"/>
      <c r="D108" s="11"/>
      <c r="E108" s="11"/>
      <c r="F108" s="11"/>
      <c r="G108" s="11"/>
      <c r="H108" s="11"/>
      <c r="I108" s="11"/>
    </row>
  </sheetData>
  <pageMargins left="0.25" right="0.25" top="0.75" bottom="0.75" header="0.3" footer="0.3"/>
  <pageSetup scale="4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9F6FC-3131-4033-9513-A4F95DEDCBD0}">
  <sheetPr>
    <tabColor rgb="FF92D050"/>
    <pageSetUpPr fitToPage="1"/>
  </sheetPr>
  <dimension ref="A1:J84"/>
  <sheetViews>
    <sheetView view="pageBreakPreview" topLeftCell="A43" zoomScale="60" zoomScaleNormal="80" workbookViewId="0">
      <selection activeCell="C36" sqref="C36"/>
    </sheetView>
  </sheetViews>
  <sheetFormatPr defaultRowHeight="15"/>
  <cols>
    <col min="1" max="1" width="74.5703125" customWidth="1"/>
    <col min="2" max="2" width="21.7109375" customWidth="1"/>
    <col min="3" max="3" width="24.5703125" customWidth="1"/>
    <col min="4" max="4" width="29.42578125" customWidth="1"/>
    <col min="5" max="5" width="30.5703125" customWidth="1"/>
    <col min="6" max="6" width="32.140625" customWidth="1"/>
    <col min="7" max="7" width="27" customWidth="1"/>
    <col min="8" max="8" width="13.7109375" customWidth="1"/>
    <col min="9" max="9" width="13.85546875" customWidth="1"/>
    <col min="10" max="11" width="14.140625" bestFit="1" customWidth="1"/>
  </cols>
  <sheetData>
    <row r="1" spans="1:10" ht="26.25">
      <c r="A1" s="22" t="s">
        <v>1</v>
      </c>
      <c r="B1" s="22"/>
      <c r="C1" s="22"/>
      <c r="D1" s="11"/>
      <c r="E1" s="11"/>
      <c r="F1" s="11"/>
      <c r="G1" s="11"/>
      <c r="H1" s="11"/>
      <c r="I1" s="11"/>
      <c r="J1" s="11"/>
    </row>
    <row r="2" spans="1:10" ht="17.25">
      <c r="A2" s="23" t="s">
        <v>9</v>
      </c>
      <c r="B2" s="23"/>
      <c r="C2" s="23"/>
      <c r="D2" s="11"/>
      <c r="E2" s="11"/>
      <c r="F2" s="11"/>
      <c r="G2" s="11"/>
      <c r="H2" s="11"/>
      <c r="I2" s="11"/>
      <c r="J2" s="11"/>
    </row>
    <row r="3" spans="1:10" ht="16.5">
      <c r="A3" s="24" t="s">
        <v>467</v>
      </c>
      <c r="B3" s="24"/>
      <c r="C3" s="24"/>
      <c r="D3" s="11"/>
      <c r="E3" s="11"/>
      <c r="F3" s="11"/>
      <c r="G3" s="11"/>
      <c r="H3" s="11"/>
      <c r="I3" s="11"/>
      <c r="J3" s="11"/>
    </row>
    <row r="4" spans="1:10" ht="16.5">
      <c r="A4" s="24"/>
      <c r="B4" s="24"/>
      <c r="C4" s="24"/>
      <c r="D4" s="11"/>
      <c r="E4" s="11"/>
      <c r="F4" s="11"/>
      <c r="G4" s="11"/>
      <c r="H4" s="11"/>
      <c r="I4" s="11"/>
      <c r="J4" s="11"/>
    </row>
    <row r="5" spans="1:10" ht="17.25" thickBot="1">
      <c r="A5" s="11"/>
      <c r="B5" s="11"/>
      <c r="C5" s="11"/>
      <c r="D5" s="11"/>
      <c r="E5" s="11"/>
      <c r="F5" s="11"/>
      <c r="G5" s="11"/>
      <c r="H5" s="25" t="s">
        <v>0</v>
      </c>
      <c r="I5" s="25"/>
      <c r="J5" s="11"/>
    </row>
    <row r="6" spans="1:10" ht="21" thickBot="1">
      <c r="A6" s="26" t="str">
        <f>+'S&amp;D'!A12</f>
        <v>Natural Gas Transmission Pipeline Carrier</v>
      </c>
      <c r="B6" s="11"/>
      <c r="C6" s="11"/>
      <c r="D6" s="27"/>
      <c r="E6" s="27"/>
      <c r="F6" s="27"/>
      <c r="G6" s="11"/>
      <c r="H6" s="11"/>
      <c r="I6" s="11"/>
      <c r="J6" s="11"/>
    </row>
    <row r="7" spans="1:10" ht="26.25">
      <c r="B7" s="29"/>
      <c r="C7" s="29"/>
      <c r="D7" s="11"/>
      <c r="E7" s="30" t="s">
        <v>212</v>
      </c>
      <c r="F7" s="11"/>
      <c r="G7" s="11"/>
      <c r="H7" s="11"/>
      <c r="I7" s="11"/>
      <c r="J7" s="11"/>
    </row>
    <row r="8" spans="1:10" ht="21" thickBot="1">
      <c r="A8" s="29"/>
      <c r="B8" s="29"/>
      <c r="C8" s="29"/>
      <c r="D8" s="27"/>
      <c r="E8" s="31" t="s">
        <v>468</v>
      </c>
      <c r="F8" s="27"/>
      <c r="G8" s="11"/>
      <c r="H8" s="11"/>
      <c r="I8" s="11"/>
      <c r="J8" s="11"/>
    </row>
    <row r="9" spans="1:10" ht="20.25">
      <c r="A9" s="29"/>
      <c r="B9" s="29"/>
      <c r="C9" s="29"/>
      <c r="D9" s="11"/>
      <c r="E9" s="33"/>
      <c r="F9" s="11"/>
      <c r="G9" s="11"/>
      <c r="H9" s="11"/>
      <c r="I9" s="11"/>
      <c r="J9" s="11"/>
    </row>
    <row r="10" spans="1:10" ht="20.25">
      <c r="A10" s="29"/>
      <c r="B10" s="29"/>
      <c r="H10" s="11"/>
      <c r="I10" s="11"/>
      <c r="J10" s="11"/>
    </row>
    <row r="11" spans="1:10" ht="20.25">
      <c r="A11" s="29"/>
      <c r="B11" s="29"/>
      <c r="H11" s="11"/>
      <c r="I11" s="11"/>
      <c r="J11" s="11"/>
    </row>
    <row r="12" spans="1:10" ht="30" customHeight="1" thickBot="1">
      <c r="A12" s="29"/>
      <c r="B12" s="29"/>
      <c r="C12" t="s">
        <v>0</v>
      </c>
      <c r="H12" s="11"/>
      <c r="I12" s="11"/>
      <c r="J12" s="11"/>
    </row>
    <row r="13" spans="1:10" ht="26.25" customHeight="1" thickBot="1">
      <c r="A13" s="163" t="s">
        <v>228</v>
      </c>
      <c r="B13" s="11" t="s">
        <v>0</v>
      </c>
      <c r="C13" s="11"/>
      <c r="D13" s="11"/>
      <c r="E13" s="11"/>
      <c r="F13" s="11"/>
      <c r="G13" s="11"/>
      <c r="H13" s="11"/>
      <c r="I13" s="11"/>
      <c r="J13" s="11"/>
    </row>
    <row r="14" spans="1:10" ht="42" customHeight="1" thickBot="1">
      <c r="A14" s="162" t="s">
        <v>226</v>
      </c>
      <c r="B14" s="161" t="s">
        <v>217</v>
      </c>
      <c r="C14" s="160" t="s">
        <v>229</v>
      </c>
      <c r="D14" s="161" t="s">
        <v>219</v>
      </c>
      <c r="E14" s="161" t="s">
        <v>420</v>
      </c>
      <c r="F14" s="159" t="s">
        <v>218</v>
      </c>
      <c r="G14" s="11"/>
      <c r="H14" s="11"/>
      <c r="I14" s="11"/>
      <c r="J14" s="11"/>
    </row>
    <row r="15" spans="1:10" ht="16.5">
      <c r="A15" s="156"/>
      <c r="B15" s="110"/>
      <c r="C15" s="110"/>
      <c r="D15" s="110"/>
      <c r="E15" s="110"/>
      <c r="F15" s="157"/>
      <c r="G15" s="11"/>
      <c r="H15" s="11"/>
      <c r="I15" s="11"/>
      <c r="J15" s="11"/>
    </row>
    <row r="16" spans="1:10" ht="17.25">
      <c r="A16" s="203" t="s">
        <v>425</v>
      </c>
      <c r="B16" s="217">
        <v>2.9100000000000001E-2</v>
      </c>
      <c r="C16" s="214">
        <f>+'Beta for CAPM'!I31</f>
        <v>1.1499999999999999</v>
      </c>
      <c r="D16" s="204">
        <f>+B16*C16</f>
        <v>3.3465000000000002E-2</v>
      </c>
      <c r="E16" s="204">
        <f>+'Growth &amp; Inflation Rates'!$F$93</f>
        <v>4.1099999999999998E-2</v>
      </c>
      <c r="F16" s="205">
        <f>+D16+E16</f>
        <v>7.4564999999999992E-2</v>
      </c>
      <c r="G16" s="11"/>
      <c r="H16" s="11"/>
      <c r="I16" s="11"/>
      <c r="J16" s="11"/>
    </row>
    <row r="17" spans="1:10" ht="17.25">
      <c r="A17" s="203" t="s">
        <v>426</v>
      </c>
      <c r="B17" s="217">
        <v>3.0800000000000001E-2</v>
      </c>
      <c r="C17" s="214">
        <f>+C16</f>
        <v>1.1499999999999999</v>
      </c>
      <c r="D17" s="204">
        <f>+B17*C17</f>
        <v>3.542E-2</v>
      </c>
      <c r="E17" s="204">
        <f>+'Growth &amp; Inflation Rates'!$F$93</f>
        <v>4.1099999999999998E-2</v>
      </c>
      <c r="F17" s="205">
        <f>+D17+E17</f>
        <v>7.6520000000000005E-2</v>
      </c>
      <c r="G17" s="11"/>
      <c r="H17" s="11"/>
      <c r="I17" s="11"/>
      <c r="J17" s="11"/>
    </row>
    <row r="18" spans="1:10" ht="17.25">
      <c r="A18" s="206"/>
      <c r="B18" s="104"/>
      <c r="C18" s="104"/>
      <c r="D18" s="104"/>
      <c r="E18" s="204"/>
      <c r="F18" s="207"/>
      <c r="G18" s="11"/>
      <c r="H18" s="11"/>
      <c r="I18" s="11"/>
      <c r="J18" s="11"/>
    </row>
    <row r="19" spans="1:10" ht="17.25">
      <c r="A19" s="203" t="s">
        <v>438</v>
      </c>
      <c r="B19" s="217">
        <v>4.5999999999999999E-2</v>
      </c>
      <c r="C19" s="214">
        <f>+C16</f>
        <v>1.1499999999999999</v>
      </c>
      <c r="D19" s="204">
        <f>+B19*C19</f>
        <v>5.2899999999999996E-2</v>
      </c>
      <c r="E19" s="204">
        <f>+'Growth &amp; Inflation Rates'!$F$93</f>
        <v>4.1099999999999998E-2</v>
      </c>
      <c r="F19" s="205">
        <f>+D19+E19</f>
        <v>9.4E-2</v>
      </c>
      <c r="G19" s="11"/>
      <c r="H19" s="11"/>
      <c r="I19" s="11"/>
      <c r="J19" s="11"/>
    </row>
    <row r="20" spans="1:10" ht="17.25">
      <c r="A20" s="203" t="s">
        <v>456</v>
      </c>
      <c r="B20" s="217">
        <v>6.0699999999999997E-2</v>
      </c>
      <c r="C20" s="214">
        <f>+C16</f>
        <v>1.1499999999999999</v>
      </c>
      <c r="D20" s="204">
        <f>+B20*C20</f>
        <v>6.9804999999999992E-2</v>
      </c>
      <c r="E20" s="204">
        <f>+'Growth &amp; Inflation Rates'!$F$93</f>
        <v>4.1099999999999998E-2</v>
      </c>
      <c r="F20" s="205">
        <f>+D20+E20</f>
        <v>0.11090499999999999</v>
      </c>
      <c r="G20" s="11"/>
      <c r="H20" s="11"/>
      <c r="I20" s="11"/>
      <c r="J20" s="11"/>
    </row>
    <row r="21" spans="1:10" ht="17.25">
      <c r="A21" s="203" t="s">
        <v>439</v>
      </c>
      <c r="B21" s="217">
        <v>4.4299999999999999E-2</v>
      </c>
      <c r="C21" s="214">
        <f>+C16</f>
        <v>1.1499999999999999</v>
      </c>
      <c r="D21" s="204">
        <f>+B21*C21</f>
        <v>5.0944999999999997E-2</v>
      </c>
      <c r="E21" s="204">
        <f>+'Growth &amp; Inflation Rates'!$F$93</f>
        <v>4.1099999999999998E-2</v>
      </c>
      <c r="F21" s="205">
        <f>+D21+E21</f>
        <v>9.2044999999999988E-2</v>
      </c>
      <c r="G21" s="11"/>
      <c r="H21" s="11"/>
      <c r="I21" s="11"/>
      <c r="J21" s="11"/>
    </row>
    <row r="22" spans="1:10" ht="17.25">
      <c r="A22" s="203" t="s">
        <v>440</v>
      </c>
      <c r="B22" s="217">
        <v>4.2900000000000001E-2</v>
      </c>
      <c r="C22" s="214">
        <f>+C16</f>
        <v>1.1499999999999999</v>
      </c>
      <c r="D22" s="204">
        <f>+B22*C22</f>
        <v>4.9334999999999997E-2</v>
      </c>
      <c r="E22" s="204">
        <f>+'Growth &amp; Inflation Rates'!$F$93</f>
        <v>4.1099999999999998E-2</v>
      </c>
      <c r="F22" s="205">
        <f>+D22+E22</f>
        <v>9.0434999999999988E-2</v>
      </c>
      <c r="G22" s="11"/>
      <c r="H22" s="11"/>
      <c r="I22" s="11"/>
      <c r="J22" s="11"/>
    </row>
    <row r="23" spans="1:10" ht="17.25">
      <c r="A23" s="203" t="s">
        <v>0</v>
      </c>
      <c r="B23" s="217" t="s">
        <v>0</v>
      </c>
      <c r="C23" s="215" t="s">
        <v>0</v>
      </c>
      <c r="D23" s="204" t="s">
        <v>0</v>
      </c>
      <c r="E23" s="204"/>
      <c r="F23" s="205" t="s">
        <v>0</v>
      </c>
      <c r="G23" s="11"/>
      <c r="H23" s="11"/>
      <c r="I23" s="11"/>
      <c r="J23" s="11"/>
    </row>
    <row r="24" spans="1:10" ht="17.25">
      <c r="A24" s="203" t="s">
        <v>222</v>
      </c>
      <c r="B24" s="217">
        <v>4.9399999999999999E-2</v>
      </c>
      <c r="C24" s="214">
        <f>+C16</f>
        <v>1.1499999999999999</v>
      </c>
      <c r="D24" s="204">
        <f>+B24*C24</f>
        <v>5.6809999999999992E-2</v>
      </c>
      <c r="E24" s="204">
        <f>+'Growth &amp; Inflation Rates'!$F$93</f>
        <v>4.1099999999999998E-2</v>
      </c>
      <c r="F24" s="205">
        <f>+D24+E24</f>
        <v>9.7909999999999997E-2</v>
      </c>
      <c r="G24" s="11"/>
      <c r="H24" s="11"/>
      <c r="I24" s="11"/>
      <c r="J24" s="11"/>
    </row>
    <row r="25" spans="1:10" ht="17.25">
      <c r="A25" s="203" t="s">
        <v>0</v>
      </c>
      <c r="B25" s="217" t="s">
        <v>0</v>
      </c>
      <c r="C25" s="215" t="s">
        <v>0</v>
      </c>
      <c r="D25" s="204" t="s">
        <v>0</v>
      </c>
      <c r="E25" s="204"/>
      <c r="F25" s="205" t="s">
        <v>0</v>
      </c>
      <c r="G25" s="11"/>
      <c r="H25" s="11"/>
      <c r="I25" s="11"/>
      <c r="J25" s="11"/>
    </row>
    <row r="26" spans="1:10" ht="17.25">
      <c r="A26" s="203" t="s">
        <v>457</v>
      </c>
      <c r="B26" s="217">
        <v>5.7000000000000002E-2</v>
      </c>
      <c r="C26" s="214">
        <f>+C16</f>
        <v>1.1499999999999999</v>
      </c>
      <c r="D26" s="204">
        <f>+B26*C26</f>
        <v>6.5549999999999997E-2</v>
      </c>
      <c r="E26" s="204">
        <f>+'Growth &amp; Inflation Rates'!$F$93</f>
        <v>4.1099999999999998E-2</v>
      </c>
      <c r="F26" s="205">
        <f>+D26+E26</f>
        <v>0.10664999999999999</v>
      </c>
      <c r="G26" s="11"/>
      <c r="H26" s="11"/>
      <c r="I26" s="11"/>
      <c r="J26" s="11"/>
    </row>
    <row r="27" spans="1:10" ht="17.25">
      <c r="A27" s="203" t="s">
        <v>0</v>
      </c>
      <c r="B27" s="217" t="s">
        <v>0</v>
      </c>
      <c r="C27" s="215" t="s">
        <v>0</v>
      </c>
      <c r="D27" s="204" t="s">
        <v>0</v>
      </c>
      <c r="E27" s="204"/>
      <c r="F27" s="205" t="s">
        <v>0</v>
      </c>
      <c r="G27" s="11"/>
      <c r="H27" s="11"/>
      <c r="I27" s="11"/>
      <c r="J27" s="11"/>
    </row>
    <row r="28" spans="1:10" ht="17.25">
      <c r="A28" s="203" t="s">
        <v>223</v>
      </c>
      <c r="B28" s="217">
        <v>6.4500000000000002E-2</v>
      </c>
      <c r="C28" s="214">
        <f>+C16</f>
        <v>1.1499999999999999</v>
      </c>
      <c r="D28" s="204">
        <f>+B28*C28</f>
        <v>7.4174999999999991E-2</v>
      </c>
      <c r="E28" s="204">
        <f>+'Growth &amp; Inflation Rates'!$F$93</f>
        <v>4.1099999999999998E-2</v>
      </c>
      <c r="F28" s="205">
        <f>+D28+E28</f>
        <v>0.11527499999999999</v>
      </c>
      <c r="G28" s="11"/>
      <c r="H28" s="11"/>
      <c r="I28" s="11"/>
      <c r="J28" s="11"/>
    </row>
    <row r="29" spans="1:10" ht="17.25">
      <c r="A29" s="203" t="s">
        <v>224</v>
      </c>
      <c r="B29" s="217">
        <v>5.1900000000000002E-2</v>
      </c>
      <c r="C29" s="214">
        <f>+C16</f>
        <v>1.1499999999999999</v>
      </c>
      <c r="D29" s="204">
        <f>+B29*C29</f>
        <v>5.9684999999999995E-2</v>
      </c>
      <c r="E29" s="204">
        <f>+'Growth &amp; Inflation Rates'!$F$93</f>
        <v>4.1099999999999998E-2</v>
      </c>
      <c r="F29" s="205">
        <f>+D29+E29</f>
        <v>0.10078499999999999</v>
      </c>
      <c r="G29" s="11"/>
      <c r="H29" s="11"/>
      <c r="I29" s="11"/>
      <c r="J29" s="11"/>
    </row>
    <row r="30" spans="1:10" ht="17.25">
      <c r="A30" s="203"/>
      <c r="B30" s="217"/>
      <c r="C30" s="214"/>
      <c r="D30" s="204"/>
      <c r="E30" s="204"/>
      <c r="F30" s="205"/>
      <c r="G30" s="11"/>
      <c r="H30" s="11"/>
      <c r="I30" s="11"/>
      <c r="J30" s="11"/>
    </row>
    <row r="31" spans="1:10" ht="17.25">
      <c r="A31" s="203" t="s">
        <v>441</v>
      </c>
      <c r="B31" s="217">
        <v>7.17E-2</v>
      </c>
      <c r="C31" s="214">
        <f>+C16</f>
        <v>1.1499999999999999</v>
      </c>
      <c r="D31" s="204">
        <f>+B31*C31</f>
        <v>8.2454999999999987E-2</v>
      </c>
      <c r="E31" s="204">
        <f>+'Growth &amp; Inflation Rates'!$F$93</f>
        <v>4.1099999999999998E-2</v>
      </c>
      <c r="F31" s="205">
        <f>+D31+E31</f>
        <v>0.12355499999999998</v>
      </c>
      <c r="G31" s="11"/>
      <c r="H31" s="11"/>
      <c r="I31" s="11"/>
      <c r="J31" s="11"/>
    </row>
    <row r="32" spans="1:10" ht="17.25">
      <c r="A32" s="203" t="s">
        <v>442</v>
      </c>
      <c r="B32" s="217">
        <v>6.2199999999999998E-2</v>
      </c>
      <c r="C32" s="214">
        <f>+C17</f>
        <v>1.1499999999999999</v>
      </c>
      <c r="D32" s="204">
        <f>+B32*C32</f>
        <v>7.1529999999999996E-2</v>
      </c>
      <c r="E32" s="204">
        <f>+'Growth &amp; Inflation Rates'!$F$93</f>
        <v>4.1099999999999998E-2</v>
      </c>
      <c r="F32" s="205">
        <f>+D32+E32</f>
        <v>0.11262999999999999</v>
      </c>
      <c r="G32" s="11"/>
      <c r="H32" s="11"/>
      <c r="I32" s="11"/>
      <c r="J32" s="11"/>
    </row>
    <row r="33" spans="1:10" ht="17.25">
      <c r="A33" s="203" t="s">
        <v>443</v>
      </c>
      <c r="B33" s="217">
        <v>5.5E-2</v>
      </c>
      <c r="C33" s="214">
        <f>+C16</f>
        <v>1.1499999999999999</v>
      </c>
      <c r="D33" s="204">
        <f>+B33*C33</f>
        <v>6.3250000000000001E-2</v>
      </c>
      <c r="E33" s="204">
        <f>+'Growth &amp; Inflation Rates'!$F$93</f>
        <v>4.1099999999999998E-2</v>
      </c>
      <c r="F33" s="205">
        <f>+D33+E33</f>
        <v>0.10435</v>
      </c>
      <c r="G33" s="11"/>
      <c r="H33" s="11"/>
      <c r="I33" s="11"/>
      <c r="J33" s="11"/>
    </row>
    <row r="34" spans="1:10" ht="17.25">
      <c r="A34" s="203"/>
      <c r="B34" s="217"/>
      <c r="C34" s="214"/>
      <c r="D34" s="204"/>
      <c r="E34" s="204"/>
      <c r="F34" s="205"/>
      <c r="G34" s="11"/>
      <c r="H34" s="11"/>
      <c r="I34" s="11"/>
      <c r="J34" s="11"/>
    </row>
    <row r="35" spans="1:10" ht="17.25">
      <c r="A35" s="438" t="s">
        <v>431</v>
      </c>
      <c r="B35" s="439">
        <v>0</v>
      </c>
      <c r="C35" s="214">
        <v>0</v>
      </c>
      <c r="D35" s="204">
        <f>+B35*C35</f>
        <v>0</v>
      </c>
      <c r="E35" s="204">
        <v>0</v>
      </c>
      <c r="F35" s="205">
        <f>+D35+E35</f>
        <v>0</v>
      </c>
      <c r="G35" s="11"/>
      <c r="H35" s="11"/>
      <c r="I35" s="11"/>
      <c r="J35" s="11"/>
    </row>
    <row r="36" spans="1:10" ht="17.25" thickBot="1">
      <c r="A36" s="401"/>
      <c r="B36" s="27"/>
      <c r="C36" s="27"/>
      <c r="D36" s="27"/>
      <c r="E36" s="27"/>
      <c r="F36" s="402"/>
      <c r="G36" s="11"/>
      <c r="H36" s="11"/>
      <c r="I36" s="11"/>
      <c r="J36" s="11"/>
    </row>
    <row r="37" spans="1:10" ht="16.5">
      <c r="A37" s="11"/>
      <c r="B37" s="11"/>
      <c r="C37" s="11"/>
      <c r="D37" s="11"/>
      <c r="E37" s="11"/>
      <c r="F37" s="11"/>
      <c r="G37" s="11"/>
      <c r="H37" s="11"/>
      <c r="I37" s="11"/>
      <c r="J37" s="11"/>
    </row>
    <row r="38" spans="1:10" ht="27" customHeight="1" thickBot="1">
      <c r="A38" s="11"/>
      <c r="B38" s="11"/>
      <c r="C38" s="11"/>
      <c r="D38" s="11"/>
      <c r="E38" s="11"/>
      <c r="F38" s="11"/>
      <c r="G38" s="11" t="s">
        <v>0</v>
      </c>
      <c r="H38" s="11"/>
      <c r="I38" s="11"/>
      <c r="J38" s="11"/>
    </row>
    <row r="39" spans="1:10" ht="18" thickBot="1">
      <c r="A39" s="163" t="s">
        <v>227</v>
      </c>
      <c r="B39" s="11"/>
      <c r="C39" s="11"/>
      <c r="D39" s="11"/>
      <c r="E39" s="11"/>
      <c r="F39" s="11"/>
      <c r="G39" s="11"/>
      <c r="H39" s="11"/>
      <c r="I39" s="11"/>
      <c r="J39" s="11"/>
    </row>
    <row r="40" spans="1:10" ht="41.25" thickBot="1">
      <c r="A40" s="162" t="s">
        <v>225</v>
      </c>
      <c r="B40" s="161" t="s">
        <v>217</v>
      </c>
      <c r="C40" s="160" t="s">
        <v>229</v>
      </c>
      <c r="D40" s="161" t="s">
        <v>220</v>
      </c>
      <c r="E40" s="161" t="s">
        <v>221</v>
      </c>
      <c r="F40" s="161" t="s">
        <v>420</v>
      </c>
      <c r="G40" s="159" t="s">
        <v>218</v>
      </c>
      <c r="H40" s="11"/>
      <c r="I40" s="11"/>
      <c r="J40" s="11"/>
    </row>
    <row r="41" spans="1:10" ht="16.5">
      <c r="A41" s="156"/>
      <c r="B41" s="110"/>
      <c r="C41" s="110"/>
      <c r="D41" s="110"/>
      <c r="E41" s="110"/>
      <c r="F41" s="110"/>
      <c r="G41" s="157"/>
      <c r="H41" s="11"/>
      <c r="I41" s="11"/>
      <c r="J41" s="11"/>
    </row>
    <row r="42" spans="1:10" ht="17.25">
      <c r="A42" s="203" t="s">
        <v>425</v>
      </c>
      <c r="B42" s="217">
        <f>+B16</f>
        <v>2.9100000000000001E-2</v>
      </c>
      <c r="C42" s="213">
        <f>+C16</f>
        <v>1.1499999999999999</v>
      </c>
      <c r="D42" s="204">
        <f>+B42*C42*0.75</f>
        <v>2.5098750000000003E-2</v>
      </c>
      <c r="E42" s="217">
        <f>+B42*0.25</f>
        <v>7.2750000000000002E-3</v>
      </c>
      <c r="F42" s="204">
        <f>+E16</f>
        <v>4.1099999999999998E-2</v>
      </c>
      <c r="G42" s="205">
        <f>+D42+E42+F42</f>
        <v>7.3473750000000004E-2</v>
      </c>
      <c r="H42" s="11"/>
      <c r="I42" s="11"/>
      <c r="J42" s="11"/>
    </row>
    <row r="43" spans="1:10" ht="17.25">
      <c r="A43" s="203" t="s">
        <v>426</v>
      </c>
      <c r="B43" s="217">
        <f>+B17</f>
        <v>3.0800000000000001E-2</v>
      </c>
      <c r="C43" s="213">
        <f>+C17</f>
        <v>1.1499999999999999</v>
      </c>
      <c r="D43" s="204">
        <f>+B43*C43*0.75</f>
        <v>2.6564999999999998E-2</v>
      </c>
      <c r="E43" s="217">
        <f>+B43*0.25</f>
        <v>7.7000000000000002E-3</v>
      </c>
      <c r="F43" s="204">
        <f>+E17</f>
        <v>4.1099999999999998E-2</v>
      </c>
      <c r="G43" s="205">
        <f>+D43+E43+F43</f>
        <v>7.5364999999999988E-2</v>
      </c>
      <c r="H43" s="11"/>
      <c r="I43" s="11"/>
      <c r="J43" s="11"/>
    </row>
    <row r="44" spans="1:10" ht="17.25">
      <c r="A44" s="206"/>
      <c r="B44" s="104"/>
      <c r="C44" s="104"/>
      <c r="D44" s="104"/>
      <c r="E44" s="104"/>
      <c r="F44" s="104"/>
      <c r="G44" s="207"/>
      <c r="H44" s="11"/>
      <c r="I44" s="11"/>
      <c r="J44" s="11"/>
    </row>
    <row r="45" spans="1:10" ht="17.25">
      <c r="A45" s="203" t="s">
        <v>438</v>
      </c>
      <c r="B45" s="217">
        <f t="shared" ref="B45:C46" si="0">+B19</f>
        <v>4.5999999999999999E-2</v>
      </c>
      <c r="C45" s="213">
        <f t="shared" si="0"/>
        <v>1.1499999999999999</v>
      </c>
      <c r="D45" s="204">
        <f>+B45*C45*0.75</f>
        <v>3.9674999999999995E-2</v>
      </c>
      <c r="E45" s="217">
        <f>+B45*0.25</f>
        <v>1.15E-2</v>
      </c>
      <c r="F45" s="204">
        <f>+E19</f>
        <v>4.1099999999999998E-2</v>
      </c>
      <c r="G45" s="205">
        <f>+D45+E45+F45</f>
        <v>9.2274999999999996E-2</v>
      </c>
      <c r="H45" s="11"/>
      <c r="I45" s="11"/>
      <c r="J45" s="11"/>
    </row>
    <row r="46" spans="1:10" ht="17.25">
      <c r="A46" s="203" t="str">
        <f>+A20</f>
        <v>Damodaran Implied ERP Ex Ante   Avg CF Yield Last 10 Yrs (3)</v>
      </c>
      <c r="B46" s="217">
        <f t="shared" si="0"/>
        <v>6.0699999999999997E-2</v>
      </c>
      <c r="C46" s="213">
        <f t="shared" si="0"/>
        <v>1.1499999999999999</v>
      </c>
      <c r="D46" s="204">
        <f>+B46*C46*0.75</f>
        <v>5.2353749999999991E-2</v>
      </c>
      <c r="E46" s="217">
        <f>+B46*0.25</f>
        <v>1.5174999999999999E-2</v>
      </c>
      <c r="F46" s="204">
        <f>+E20</f>
        <v>4.1099999999999998E-2</v>
      </c>
      <c r="G46" s="205">
        <f>+D46+E46+F46</f>
        <v>0.10862874999999998</v>
      </c>
      <c r="H46" s="11"/>
      <c r="I46" s="11"/>
      <c r="J46" s="11"/>
    </row>
    <row r="47" spans="1:10" ht="17.25">
      <c r="A47" s="203" t="s">
        <v>439</v>
      </c>
      <c r="B47" s="217">
        <f>+B21</f>
        <v>4.4299999999999999E-2</v>
      </c>
      <c r="C47" s="213">
        <f>+C21</f>
        <v>1.1499999999999999</v>
      </c>
      <c r="D47" s="204">
        <f>+B47*C47*0.75</f>
        <v>3.820875E-2</v>
      </c>
      <c r="E47" s="217">
        <f>+B47*0.25</f>
        <v>1.1075E-2</v>
      </c>
      <c r="F47" s="204">
        <f>+E21</f>
        <v>4.1099999999999998E-2</v>
      </c>
      <c r="G47" s="205">
        <f>+D47+E47+F47</f>
        <v>9.0383749999999999E-2</v>
      </c>
      <c r="H47" s="11"/>
      <c r="I47" s="11"/>
      <c r="J47" s="11"/>
    </row>
    <row r="48" spans="1:10" ht="17.25">
      <c r="A48" s="203" t="s">
        <v>440</v>
      </c>
      <c r="B48" s="217">
        <f>+B22</f>
        <v>4.2900000000000001E-2</v>
      </c>
      <c r="C48" s="213">
        <f>+C22</f>
        <v>1.1499999999999999</v>
      </c>
      <c r="D48" s="204">
        <f>+B48*C48*0.75</f>
        <v>3.7001249999999999E-2</v>
      </c>
      <c r="E48" s="217">
        <f>+B48*0.25</f>
        <v>1.0725E-2</v>
      </c>
      <c r="F48" s="204">
        <f>+E22</f>
        <v>4.1099999999999998E-2</v>
      </c>
      <c r="G48" s="205">
        <f>+D48+E48+F48</f>
        <v>8.8826249999999995E-2</v>
      </c>
      <c r="H48" s="11"/>
      <c r="I48" s="11"/>
      <c r="J48" s="11"/>
    </row>
    <row r="49" spans="1:10" ht="17.25">
      <c r="A49" s="203" t="s">
        <v>0</v>
      </c>
      <c r="B49" s="217" t="s">
        <v>0</v>
      </c>
      <c r="C49" s="204" t="s">
        <v>0</v>
      </c>
      <c r="D49" s="204" t="s">
        <v>0</v>
      </c>
      <c r="E49" s="217" t="s">
        <v>0</v>
      </c>
      <c r="F49" s="204" t="s">
        <v>0</v>
      </c>
      <c r="G49" s="205" t="s">
        <v>0</v>
      </c>
      <c r="H49" s="11"/>
      <c r="I49" s="11"/>
      <c r="J49" s="11"/>
    </row>
    <row r="50" spans="1:10" ht="17.25">
      <c r="A50" s="203" t="s">
        <v>222</v>
      </c>
      <c r="B50" s="217">
        <f>+B24</f>
        <v>4.9399999999999999E-2</v>
      </c>
      <c r="C50" s="213">
        <f>+C24</f>
        <v>1.1499999999999999</v>
      </c>
      <c r="D50" s="204">
        <f>+B50*C50*0.75</f>
        <v>4.2607499999999993E-2</v>
      </c>
      <c r="E50" s="217">
        <f>+B50*0.25</f>
        <v>1.235E-2</v>
      </c>
      <c r="F50" s="204">
        <f>+E24</f>
        <v>4.1099999999999998E-2</v>
      </c>
      <c r="G50" s="205">
        <f>+D50+E50+F50</f>
        <v>9.605749999999999E-2</v>
      </c>
    </row>
    <row r="51" spans="1:10" ht="17.25">
      <c r="A51" s="203" t="s">
        <v>0</v>
      </c>
      <c r="B51" s="217" t="s">
        <v>0</v>
      </c>
      <c r="C51" s="204" t="s">
        <v>0</v>
      </c>
      <c r="D51" s="204" t="s">
        <v>0</v>
      </c>
      <c r="E51" s="217" t="s">
        <v>0</v>
      </c>
      <c r="F51" s="204" t="s">
        <v>0</v>
      </c>
      <c r="G51" s="205" t="s">
        <v>0</v>
      </c>
    </row>
    <row r="52" spans="1:10" ht="17.25">
      <c r="A52" s="203" t="s">
        <v>457</v>
      </c>
      <c r="B52" s="217">
        <f>+B26</f>
        <v>5.7000000000000002E-2</v>
      </c>
      <c r="C52" s="213">
        <f>+C26</f>
        <v>1.1499999999999999</v>
      </c>
      <c r="D52" s="204">
        <f>+B52*C52*0.75</f>
        <v>4.9162499999999998E-2</v>
      </c>
      <c r="E52" s="217">
        <f>+B52*0.25</f>
        <v>1.4250000000000001E-2</v>
      </c>
      <c r="F52" s="204">
        <f>+E26</f>
        <v>4.1099999999999998E-2</v>
      </c>
      <c r="G52" s="205">
        <f>+D52+E52+F52</f>
        <v>0.10451249999999999</v>
      </c>
    </row>
    <row r="53" spans="1:10" ht="17.25">
      <c r="A53" s="203" t="s">
        <v>0</v>
      </c>
      <c r="B53" s="217" t="s">
        <v>0</v>
      </c>
      <c r="C53" s="204" t="s">
        <v>0</v>
      </c>
      <c r="D53" s="204" t="s">
        <v>0</v>
      </c>
      <c r="E53" s="217" t="s">
        <v>0</v>
      </c>
      <c r="F53" s="204" t="s">
        <v>0</v>
      </c>
      <c r="G53" s="205" t="s">
        <v>0</v>
      </c>
    </row>
    <row r="54" spans="1:10" ht="17.25">
      <c r="A54" s="203" t="s">
        <v>223</v>
      </c>
      <c r="B54" s="217">
        <f>+B28</f>
        <v>6.4500000000000002E-2</v>
      </c>
      <c r="C54" s="213">
        <f>+C28</f>
        <v>1.1499999999999999</v>
      </c>
      <c r="D54" s="204">
        <f>+B54*C54*0.75</f>
        <v>5.5631249999999993E-2</v>
      </c>
      <c r="E54" s="217">
        <f>+B54*0.25</f>
        <v>1.6125E-2</v>
      </c>
      <c r="F54" s="204">
        <f>+E28</f>
        <v>4.1099999999999998E-2</v>
      </c>
      <c r="G54" s="205">
        <f>+D54+E54+F54</f>
        <v>0.11285624999999999</v>
      </c>
    </row>
    <row r="55" spans="1:10" ht="17.25">
      <c r="A55" s="203" t="s">
        <v>224</v>
      </c>
      <c r="B55" s="217">
        <f>+B29</f>
        <v>5.1900000000000002E-2</v>
      </c>
      <c r="C55" s="213">
        <f>+C29</f>
        <v>1.1499999999999999</v>
      </c>
      <c r="D55" s="204">
        <f>+B55*C55*0.75</f>
        <v>4.4763749999999998E-2</v>
      </c>
      <c r="E55" s="217">
        <f>+B55*0.25</f>
        <v>1.2975E-2</v>
      </c>
      <c r="F55" s="204">
        <f>+E29</f>
        <v>4.1099999999999998E-2</v>
      </c>
      <c r="G55" s="205">
        <f>+D55+E55+F55</f>
        <v>9.8838750000000003E-2</v>
      </c>
    </row>
    <row r="56" spans="1:10" ht="17.25">
      <c r="A56" s="203"/>
      <c r="B56" s="217"/>
      <c r="C56" s="213"/>
      <c r="D56" s="204"/>
      <c r="E56" s="217"/>
      <c r="F56" s="204"/>
      <c r="G56" s="205"/>
    </row>
    <row r="57" spans="1:10" ht="17.25">
      <c r="A57" s="203" t="s">
        <v>441</v>
      </c>
      <c r="B57" s="217">
        <f t="shared" ref="B57:C59" si="1">+B31</f>
        <v>7.17E-2</v>
      </c>
      <c r="C57" s="213">
        <f t="shared" si="1"/>
        <v>1.1499999999999999</v>
      </c>
      <c r="D57" s="204">
        <f>+B57*C57*0.75</f>
        <v>6.1841249999999987E-2</v>
      </c>
      <c r="E57" s="217">
        <f>+B57*0.25</f>
        <v>1.7925E-2</v>
      </c>
      <c r="F57" s="204">
        <f>+E31</f>
        <v>4.1099999999999998E-2</v>
      </c>
      <c r="G57" s="205">
        <f>+D57+E57+F57</f>
        <v>0.12086624999999998</v>
      </c>
    </row>
    <row r="58" spans="1:10" ht="17.25">
      <c r="A58" s="203" t="s">
        <v>442</v>
      </c>
      <c r="B58" s="217">
        <f t="shared" si="1"/>
        <v>6.2199999999999998E-2</v>
      </c>
      <c r="C58" s="213">
        <f t="shared" si="1"/>
        <v>1.1499999999999999</v>
      </c>
      <c r="D58" s="204">
        <f>+B58*C58*0.75</f>
        <v>5.3647500000000001E-2</v>
      </c>
      <c r="E58" s="217">
        <f>+B58*0.25</f>
        <v>1.555E-2</v>
      </c>
      <c r="F58" s="204">
        <f>+E32</f>
        <v>4.1099999999999998E-2</v>
      </c>
      <c r="G58" s="205">
        <f>+D58+E58+F58</f>
        <v>0.11029749999999999</v>
      </c>
    </row>
    <row r="59" spans="1:10" ht="17.25">
      <c r="A59" s="203" t="s">
        <v>443</v>
      </c>
      <c r="B59" s="217">
        <f t="shared" si="1"/>
        <v>5.5E-2</v>
      </c>
      <c r="C59" s="213">
        <f t="shared" si="1"/>
        <v>1.1499999999999999</v>
      </c>
      <c r="D59" s="204">
        <f>+B59*C59*0.75</f>
        <v>4.74375E-2</v>
      </c>
      <c r="E59" s="217">
        <f>+B59*0.25</f>
        <v>1.375E-2</v>
      </c>
      <c r="F59" s="204">
        <f>+E33</f>
        <v>4.1099999999999998E-2</v>
      </c>
      <c r="G59" s="205">
        <f>+D59+E59+F59</f>
        <v>0.1022875</v>
      </c>
    </row>
    <row r="60" spans="1:10" ht="17.25">
      <c r="A60" s="203"/>
      <c r="B60" s="217"/>
      <c r="C60" s="213"/>
      <c r="D60" s="204"/>
      <c r="E60" s="217"/>
      <c r="F60" s="204"/>
      <c r="G60" s="205"/>
    </row>
    <row r="61" spans="1:10" ht="17.25">
      <c r="A61" s="438" t="s">
        <v>431</v>
      </c>
      <c r="B61" s="439">
        <f>+B35</f>
        <v>0</v>
      </c>
      <c r="C61" s="213">
        <f>+C35</f>
        <v>0</v>
      </c>
      <c r="D61" s="204">
        <f>+B61*C61*0.75</f>
        <v>0</v>
      </c>
      <c r="E61" s="217">
        <f>+B61*0.25</f>
        <v>0</v>
      </c>
      <c r="F61" s="204">
        <f>+E35</f>
        <v>0</v>
      </c>
      <c r="G61" s="205">
        <f>+D61+E61+F61</f>
        <v>0</v>
      </c>
    </row>
    <row r="62" spans="1:10" ht="15.75" thickBot="1">
      <c r="A62" s="306"/>
      <c r="B62" s="154"/>
      <c r="C62" s="154"/>
      <c r="D62" s="154"/>
      <c r="E62" s="154"/>
      <c r="F62" s="154"/>
      <c r="G62" s="307"/>
    </row>
    <row r="64" spans="1:10" ht="17.25">
      <c r="A64" s="61" t="s">
        <v>72</v>
      </c>
      <c r="E64" s="216" t="s">
        <v>0</v>
      </c>
    </row>
    <row r="65" spans="1:7">
      <c r="A65" s="164" t="s">
        <v>0</v>
      </c>
      <c r="E65" s="216" t="s">
        <v>0</v>
      </c>
    </row>
    <row r="66" spans="1:7" ht="16.5">
      <c r="A66" s="42" t="s">
        <v>432</v>
      </c>
      <c r="B66" s="11"/>
      <c r="C66" s="11"/>
      <c r="D66" s="11"/>
      <c r="E66" s="11"/>
      <c r="F66" s="11"/>
      <c r="G66" s="11"/>
    </row>
    <row r="67" spans="1:7" ht="16.5">
      <c r="A67" s="42" t="s">
        <v>0</v>
      </c>
      <c r="B67" s="11"/>
      <c r="C67" s="11"/>
      <c r="D67" s="11"/>
      <c r="E67" s="11"/>
      <c r="F67" s="11"/>
      <c r="G67" s="11"/>
    </row>
    <row r="68" spans="1:7" ht="16.5">
      <c r="A68" s="42" t="s">
        <v>500</v>
      </c>
      <c r="B68" s="11"/>
      <c r="C68" s="11"/>
      <c r="D68" s="11"/>
      <c r="E68" s="11"/>
      <c r="F68" s="11"/>
      <c r="G68" s="11"/>
    </row>
    <row r="69" spans="1:7" ht="16.5">
      <c r="A69" s="151" t="s">
        <v>433</v>
      </c>
      <c r="C69" s="11"/>
      <c r="D69" s="11"/>
      <c r="E69" s="11"/>
      <c r="F69" s="11"/>
      <c r="G69" s="11"/>
    </row>
    <row r="70" spans="1:7" ht="16.5">
      <c r="A70" s="42" t="s">
        <v>0</v>
      </c>
      <c r="B70" s="11"/>
      <c r="C70" s="11"/>
      <c r="D70" s="11"/>
      <c r="E70" s="11"/>
      <c r="F70" s="11"/>
      <c r="G70" s="11"/>
    </row>
    <row r="71" spans="1:7" ht="16.5">
      <c r="A71" s="42" t="s">
        <v>501</v>
      </c>
      <c r="B71" s="11"/>
      <c r="C71" s="11"/>
      <c r="D71" s="11"/>
      <c r="E71" s="11"/>
      <c r="F71" s="11"/>
      <c r="G71" s="11"/>
    </row>
    <row r="72" spans="1:7" ht="16.5">
      <c r="A72" s="151" t="s">
        <v>434</v>
      </c>
      <c r="B72" s="11"/>
      <c r="C72" s="11"/>
      <c r="D72" s="11"/>
      <c r="E72" s="11"/>
      <c r="F72" s="11"/>
      <c r="G72" s="11"/>
    </row>
    <row r="73" spans="1:7" ht="16.5">
      <c r="A73" s="42"/>
      <c r="B73" s="11"/>
      <c r="C73" s="11"/>
      <c r="D73" s="11"/>
      <c r="E73" s="11"/>
      <c r="F73" s="11"/>
      <c r="G73" s="11"/>
    </row>
    <row r="74" spans="1:7" ht="16.5">
      <c r="A74" s="42" t="s">
        <v>502</v>
      </c>
      <c r="B74" s="11"/>
      <c r="C74" s="11"/>
      <c r="D74" s="11"/>
      <c r="E74" s="11"/>
      <c r="F74" s="11"/>
      <c r="G74" s="11"/>
    </row>
    <row r="75" spans="1:7" ht="16.5">
      <c r="A75" s="151" t="s">
        <v>503</v>
      </c>
      <c r="B75" s="11"/>
      <c r="C75" s="11"/>
      <c r="D75" s="11"/>
      <c r="E75" s="11"/>
      <c r="F75" s="11"/>
      <c r="G75" s="11"/>
    </row>
    <row r="76" spans="1:7" ht="16.5">
      <c r="A76" s="42"/>
      <c r="B76" s="11"/>
      <c r="C76" s="11"/>
      <c r="D76" s="11"/>
      <c r="E76" s="11"/>
      <c r="F76" s="11"/>
      <c r="G76" s="11"/>
    </row>
    <row r="77" spans="1:7" ht="16.5">
      <c r="A77" s="42" t="s">
        <v>504</v>
      </c>
      <c r="B77" s="11"/>
      <c r="C77" s="11"/>
      <c r="D77" s="11"/>
      <c r="E77" s="11"/>
      <c r="F77" s="11"/>
      <c r="G77" s="11"/>
    </row>
    <row r="78" spans="1:7" ht="16.5">
      <c r="A78" s="151" t="s">
        <v>435</v>
      </c>
      <c r="B78" s="11"/>
      <c r="C78" s="11"/>
      <c r="D78" s="11"/>
      <c r="E78" s="11"/>
      <c r="F78" s="11"/>
      <c r="G78" s="11"/>
    </row>
    <row r="79" spans="1:7">
      <c r="A79" s="164"/>
    </row>
    <row r="80" spans="1:7" ht="16.5">
      <c r="A80" s="42" t="s">
        <v>505</v>
      </c>
    </row>
    <row r="81" spans="1:7" ht="16.5">
      <c r="A81" s="42" t="s">
        <v>0</v>
      </c>
    </row>
    <row r="82" spans="1:7" ht="16.5">
      <c r="A82" s="42" t="s">
        <v>506</v>
      </c>
    </row>
    <row r="83" spans="1:7">
      <c r="A83" s="151" t="s">
        <v>436</v>
      </c>
    </row>
    <row r="84" spans="1:7" ht="21" thickBot="1">
      <c r="A84" s="155"/>
      <c r="B84" s="155"/>
      <c r="C84" s="155"/>
      <c r="D84" s="27"/>
      <c r="E84" s="35"/>
      <c r="F84" s="27"/>
      <c r="G84" s="154"/>
    </row>
  </sheetData>
  <hyperlinks>
    <hyperlink ref="A83" r:id="rId1" xr:uid="{7D051D78-0E10-420D-B3A3-181717F1BD4A}"/>
    <hyperlink ref="A78" r:id="rId2" xr:uid="{76E54A93-30D9-4351-8475-6057C57A2CE3}"/>
    <hyperlink ref="A69" r:id="rId3" xr:uid="{E0B768FD-DED0-4A4F-9D6B-C5C986D3270C}"/>
    <hyperlink ref="A72" r:id="rId4" xr:uid="{66997A15-FAFA-419C-8E6C-319956C98DBB}"/>
    <hyperlink ref="A75" r:id="rId5" xr:uid="{F9A4341F-75B4-4577-9EA6-B72AEF91CCAB}"/>
  </hyperlinks>
  <pageMargins left="0.25" right="0.25" top="0.75" bottom="0.75" header="0.3" footer="0.3"/>
  <pageSetup scale="40"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46"/>
  <sheetViews>
    <sheetView view="pageBreakPreview" topLeftCell="A10" zoomScale="70" zoomScaleNormal="80" zoomScaleSheetLayoutView="70" workbookViewId="0">
      <selection activeCell="I34" sqref="I34"/>
    </sheetView>
  </sheetViews>
  <sheetFormatPr defaultRowHeight="15"/>
  <cols>
    <col min="1" max="1" width="45.140625" customWidth="1"/>
    <col min="2" max="2" width="10.85546875" bestFit="1" customWidth="1"/>
    <col min="3" max="3" width="24" customWidth="1"/>
    <col min="4" max="4" width="15.28515625" customWidth="1"/>
    <col min="5" max="5" width="27.140625" customWidth="1"/>
    <col min="6" max="6" width="22" customWidth="1"/>
    <col min="7" max="7" width="29.28515625" customWidth="1"/>
    <col min="8" max="8" width="37" customWidth="1"/>
    <col min="9" max="9" width="24.5703125" customWidth="1"/>
    <col min="10" max="10" width="24.140625" customWidth="1"/>
    <col min="12" max="12" width="10.5703125" customWidth="1"/>
  </cols>
  <sheetData>
    <row r="1" spans="1:11" ht="26.25">
      <c r="A1" s="22" t="s">
        <v>1</v>
      </c>
      <c r="B1" s="11"/>
      <c r="C1" s="11"/>
      <c r="D1" s="11"/>
      <c r="E1" s="11"/>
      <c r="F1" s="11"/>
      <c r="G1" s="11"/>
      <c r="H1" s="11"/>
      <c r="I1" s="11"/>
      <c r="J1" s="11"/>
      <c r="K1" s="11"/>
    </row>
    <row r="2" spans="1:11" ht="17.25">
      <c r="A2" s="23" t="s">
        <v>9</v>
      </c>
      <c r="B2" s="11"/>
      <c r="C2" s="11"/>
      <c r="D2" s="11"/>
      <c r="E2" s="11"/>
      <c r="F2" s="11"/>
      <c r="G2" s="11"/>
      <c r="H2" s="11"/>
      <c r="I2" s="11"/>
      <c r="J2" s="11"/>
      <c r="K2" s="11"/>
    </row>
    <row r="3" spans="1:11" ht="16.5">
      <c r="A3" s="24" t="s">
        <v>467</v>
      </c>
      <c r="B3" s="11"/>
      <c r="C3" s="11"/>
      <c r="D3" s="11"/>
      <c r="E3" s="11"/>
      <c r="F3" s="11"/>
      <c r="G3" s="11"/>
      <c r="H3" s="11"/>
      <c r="I3" s="11"/>
      <c r="J3" s="11"/>
      <c r="K3" s="11"/>
    </row>
    <row r="4" spans="1:11" ht="16.5">
      <c r="A4" s="24"/>
      <c r="B4" s="11"/>
      <c r="C4" s="11"/>
      <c r="D4" s="11"/>
      <c r="E4" s="11"/>
      <c r="F4" s="11"/>
      <c r="G4" s="11"/>
      <c r="H4" s="11"/>
      <c r="I4" s="11"/>
      <c r="J4" s="11"/>
      <c r="K4" s="11"/>
    </row>
    <row r="5" spans="1:11" ht="17.25" thickBot="1">
      <c r="A5" s="11"/>
      <c r="B5" s="11"/>
      <c r="C5" s="11"/>
      <c r="D5" s="11"/>
      <c r="E5" s="11"/>
      <c r="F5" s="11" t="s">
        <v>0</v>
      </c>
      <c r="G5" s="11"/>
      <c r="H5" s="25"/>
      <c r="I5" s="11"/>
      <c r="J5" s="11"/>
      <c r="K5" s="11"/>
    </row>
    <row r="6" spans="1:11" ht="18" thickBot="1">
      <c r="A6" s="277" t="str">
        <f>+'S&amp;D'!A12</f>
        <v>Natural Gas Transmission Pipeline Carrier</v>
      </c>
      <c r="B6" s="202"/>
      <c r="C6" s="11"/>
      <c r="D6" s="27"/>
      <c r="E6" s="27"/>
      <c r="F6" s="27"/>
      <c r="G6" s="28" t="s">
        <v>0</v>
      </c>
      <c r="H6" s="27"/>
      <c r="I6" s="11"/>
      <c r="J6" s="11"/>
      <c r="K6" s="11"/>
    </row>
    <row r="7" spans="1:11" ht="26.25">
      <c r="A7" s="29"/>
      <c r="B7" s="11"/>
      <c r="C7" s="11"/>
      <c r="D7" s="11"/>
      <c r="E7" s="11"/>
      <c r="F7" s="30" t="s">
        <v>178</v>
      </c>
      <c r="G7" s="11"/>
      <c r="H7" s="11"/>
      <c r="I7" s="11"/>
      <c r="J7" s="11"/>
      <c r="K7" s="11"/>
    </row>
    <row r="8" spans="1:11" ht="21" thickBot="1">
      <c r="A8" s="29"/>
      <c r="B8" s="11"/>
      <c r="C8" s="11"/>
      <c r="D8" s="27"/>
      <c r="E8" s="27"/>
      <c r="F8" s="31" t="s">
        <v>468</v>
      </c>
      <c r="G8" s="27"/>
      <c r="H8" s="27"/>
      <c r="I8" s="11"/>
      <c r="J8" s="11"/>
      <c r="K8" s="11"/>
    </row>
    <row r="9" spans="1:11" ht="17.25" thickBot="1">
      <c r="A9" s="32" t="s">
        <v>0</v>
      </c>
      <c r="B9" s="32" t="s">
        <v>0</v>
      </c>
      <c r="C9" s="32" t="s">
        <v>0</v>
      </c>
      <c r="D9" s="27"/>
      <c r="E9" s="32"/>
      <c r="F9" s="32" t="s">
        <v>0</v>
      </c>
      <c r="G9" s="32"/>
      <c r="H9" s="27"/>
      <c r="I9" s="27"/>
      <c r="J9" s="27"/>
      <c r="K9" s="11"/>
    </row>
    <row r="10" spans="1:11" ht="16.5">
      <c r="A10" s="33" t="s">
        <v>0</v>
      </c>
      <c r="B10" s="33" t="s">
        <v>3</v>
      </c>
      <c r="C10" s="33" t="s">
        <v>5</v>
      </c>
      <c r="D10" s="33" t="s">
        <v>167</v>
      </c>
      <c r="E10" s="33" t="s">
        <v>12</v>
      </c>
      <c r="F10" s="33" t="s">
        <v>179</v>
      </c>
      <c r="G10" s="33" t="s">
        <v>180</v>
      </c>
      <c r="H10" s="33" t="s">
        <v>180</v>
      </c>
      <c r="I10" s="33" t="s">
        <v>175</v>
      </c>
      <c r="J10" s="33" t="s">
        <v>175</v>
      </c>
      <c r="K10" s="11"/>
    </row>
    <row r="11" spans="1:11" ht="16.5">
      <c r="A11" s="33" t="s">
        <v>2</v>
      </c>
      <c r="B11" s="33" t="s">
        <v>4</v>
      </c>
      <c r="C11" s="33" t="s">
        <v>6</v>
      </c>
      <c r="D11" s="33" t="s">
        <v>208</v>
      </c>
      <c r="E11" s="33" t="s">
        <v>14</v>
      </c>
      <c r="F11" s="33" t="s">
        <v>396</v>
      </c>
      <c r="G11" s="33" t="s">
        <v>209</v>
      </c>
      <c r="H11" s="33" t="s">
        <v>210</v>
      </c>
      <c r="I11" s="33" t="s">
        <v>170</v>
      </c>
      <c r="J11" s="33" t="s">
        <v>173</v>
      </c>
      <c r="K11" s="11"/>
    </row>
    <row r="12" spans="1:11" ht="16.5">
      <c r="A12" s="33"/>
      <c r="B12" s="33"/>
      <c r="C12" s="33"/>
      <c r="D12" s="33"/>
      <c r="E12" s="33"/>
      <c r="F12" s="34" t="s">
        <v>0</v>
      </c>
      <c r="G12" s="34" t="s">
        <v>398</v>
      </c>
      <c r="H12" s="34" t="s">
        <v>398</v>
      </c>
      <c r="I12" s="33"/>
      <c r="J12" s="33"/>
      <c r="K12" s="11"/>
    </row>
    <row r="13" spans="1:11" ht="17.25" thickBot="1">
      <c r="A13" s="35" t="s">
        <v>24</v>
      </c>
      <c r="B13" s="36" t="s">
        <v>89</v>
      </c>
      <c r="C13" s="36" t="s">
        <v>90</v>
      </c>
      <c r="D13" s="36" t="s">
        <v>91</v>
      </c>
      <c r="E13" s="36" t="s">
        <v>92</v>
      </c>
      <c r="F13" s="36" t="s">
        <v>93</v>
      </c>
      <c r="G13" s="36" t="s">
        <v>94</v>
      </c>
      <c r="H13" s="36" t="s">
        <v>95</v>
      </c>
      <c r="I13" s="36" t="s">
        <v>176</v>
      </c>
      <c r="J13" s="36" t="s">
        <v>177</v>
      </c>
      <c r="K13" s="11"/>
    </row>
    <row r="14" spans="1:11" ht="16.5">
      <c r="A14" s="37" t="s">
        <v>7</v>
      </c>
      <c r="B14" s="37" t="s">
        <v>7</v>
      </c>
      <c r="C14" s="37" t="s">
        <v>7</v>
      </c>
      <c r="D14" s="38" t="s">
        <v>113</v>
      </c>
      <c r="E14" s="38"/>
      <c r="F14" s="37" t="s">
        <v>0</v>
      </c>
      <c r="G14" s="37" t="s">
        <v>7</v>
      </c>
      <c r="H14" s="37" t="s">
        <v>7</v>
      </c>
      <c r="I14" s="37" t="s">
        <v>15</v>
      </c>
      <c r="J14" s="37" t="s">
        <v>15</v>
      </c>
      <c r="K14" s="11"/>
    </row>
    <row r="15" spans="1:11" ht="16.5">
      <c r="A15" s="33"/>
      <c r="B15" s="33"/>
      <c r="C15" s="33"/>
      <c r="D15" s="33"/>
      <c r="E15" s="33"/>
      <c r="F15" s="33"/>
      <c r="G15" s="33"/>
      <c r="H15" s="11"/>
      <c r="I15" s="11"/>
      <c r="J15" s="11"/>
      <c r="K15" s="11"/>
    </row>
    <row r="16" spans="1:11" ht="16.5">
      <c r="A16" s="11"/>
      <c r="B16" s="11"/>
      <c r="C16" s="11"/>
      <c r="D16" s="11"/>
      <c r="E16" s="11"/>
      <c r="F16" s="11"/>
      <c r="G16" s="11"/>
      <c r="H16" s="11"/>
      <c r="I16" s="11"/>
      <c r="J16" s="11"/>
      <c r="K16" s="11"/>
    </row>
    <row r="17" spans="1:11" ht="17.25">
      <c r="A17" s="61" t="str">
        <f>+'S&amp;D'!A22</f>
        <v>Enbridge Inc</v>
      </c>
      <c r="B17" s="88" t="str">
        <f>+'S&amp;D'!B22</f>
        <v>ENB.TO</v>
      </c>
      <c r="C17" s="88" t="str">
        <f>+'S&amp;D'!C22</f>
        <v>Oil &amp; Gas Distribution</v>
      </c>
      <c r="D17" s="58">
        <f>+'S&amp;D'!G22</f>
        <v>47.7</v>
      </c>
      <c r="E17" s="59">
        <f>+'S&amp;D'!D38</f>
        <v>101362500000</v>
      </c>
      <c r="F17" s="52">
        <f>+'Dividends '!H16</f>
        <v>7.9664570230607953E-2</v>
      </c>
      <c r="G17" s="52">
        <v>2.5000000000000001E-2</v>
      </c>
      <c r="H17" s="52">
        <v>0.05</v>
      </c>
      <c r="I17" s="335">
        <f t="shared" ref="I17:I21" si="0">+F17+G17</f>
        <v>0.10466457023060796</v>
      </c>
      <c r="J17" s="335">
        <f t="shared" ref="J17:J21" si="1">+F17+H17</f>
        <v>0.12966457023060796</v>
      </c>
      <c r="K17" s="11"/>
    </row>
    <row r="18" spans="1:11" ht="17.25">
      <c r="A18" s="61" t="str">
        <f>+'S&amp;D'!A23</f>
        <v>Energy Transfer LP</v>
      </c>
      <c r="B18" s="88" t="str">
        <f>+'S&amp;D'!B23</f>
        <v>ET</v>
      </c>
      <c r="C18" s="88" t="str">
        <f>+'S&amp;D'!C23</f>
        <v>Pipeline MLPs</v>
      </c>
      <c r="D18" s="58">
        <f>+'S&amp;D'!G23</f>
        <v>13.8</v>
      </c>
      <c r="E18" s="59">
        <f>+'S&amp;D'!D39</f>
        <v>46471856122.800003</v>
      </c>
      <c r="F18" s="52">
        <f>+'Dividends '!H17</f>
        <v>9.7826086956521743E-2</v>
      </c>
      <c r="G18" s="52">
        <v>8.5000000000000006E-2</v>
      </c>
      <c r="H18" s="52">
        <v>7.4999999999999997E-2</v>
      </c>
      <c r="I18" s="335">
        <f t="shared" si="0"/>
        <v>0.18282608695652175</v>
      </c>
      <c r="J18" s="335">
        <f t="shared" si="1"/>
        <v>0.17282608695652174</v>
      </c>
      <c r="K18" s="11"/>
    </row>
    <row r="19" spans="1:11" ht="17.25">
      <c r="A19" s="61" t="str">
        <f>+'S&amp;D'!A24</f>
        <v>Enlink Midstream LLC</v>
      </c>
      <c r="B19" s="88" t="str">
        <f>+'S&amp;D'!B24</f>
        <v>ENLC</v>
      </c>
      <c r="C19" s="88" t="str">
        <f>+'S&amp;D'!C24</f>
        <v>Oil &amp; Gas Distribution</v>
      </c>
      <c r="D19" s="58">
        <f>+'S&amp;D'!G24</f>
        <v>12.16</v>
      </c>
      <c r="E19" s="59">
        <f>+'S&amp;D'!D40</f>
        <v>5491627285.7600002</v>
      </c>
      <c r="F19" s="52">
        <f>+'Dividends '!H18</f>
        <v>4.6052631578947373E-2</v>
      </c>
      <c r="G19" s="52">
        <v>4.4999999999999998E-2</v>
      </c>
      <c r="H19" s="398" t="s">
        <v>508</v>
      </c>
      <c r="I19" s="335">
        <f t="shared" si="0"/>
        <v>9.1052631578947371E-2</v>
      </c>
      <c r="J19" s="335" t="s">
        <v>514</v>
      </c>
      <c r="K19" s="11"/>
    </row>
    <row r="20" spans="1:11" ht="17.25">
      <c r="A20" s="61" t="str">
        <f>+'S&amp;D'!A25</f>
        <v>Enterprise Products Partnership LP</v>
      </c>
      <c r="B20" s="88" t="str">
        <f>+'S&amp;D'!B25</f>
        <v>EPD</v>
      </c>
      <c r="C20" s="88" t="str">
        <f>+'S&amp;D'!C25</f>
        <v>Pipeline MLPs</v>
      </c>
      <c r="D20" s="58">
        <f>+'S&amp;D'!G25</f>
        <v>26.35</v>
      </c>
      <c r="E20" s="59">
        <f>+'S&amp;D'!D41</f>
        <v>57133262021.300003</v>
      </c>
      <c r="F20" s="52">
        <f>+'Dividends '!H19</f>
        <v>8.7286527514231493E-2</v>
      </c>
      <c r="G20" s="52">
        <v>0.09</v>
      </c>
      <c r="H20" s="52">
        <v>7.0000000000000007E-2</v>
      </c>
      <c r="I20" s="335">
        <f t="shared" si="0"/>
        <v>0.17728652751423149</v>
      </c>
      <c r="J20" s="335">
        <f t="shared" si="1"/>
        <v>0.1572865275142315</v>
      </c>
      <c r="K20" s="11"/>
    </row>
    <row r="21" spans="1:11" ht="17.25">
      <c r="A21" s="61" t="str">
        <f>+'S&amp;D'!A26</f>
        <v>Kinder Morgan Inc</v>
      </c>
      <c r="B21" s="88" t="str">
        <f>+'S&amp;D'!B26</f>
        <v>KMI</v>
      </c>
      <c r="C21" s="88" t="str">
        <f>+'S&amp;D'!C26</f>
        <v>Oil &amp; Gas Distribution</v>
      </c>
      <c r="D21" s="58">
        <f>+'S&amp;D'!G26</f>
        <v>17.64</v>
      </c>
      <c r="E21" s="59">
        <f>+'S&amp;D'!D42</f>
        <v>39156030920.160004</v>
      </c>
      <c r="F21" s="52">
        <f>+'Dividends '!H20</f>
        <v>6.8027210884353734E-2</v>
      </c>
      <c r="G21" s="52">
        <v>5.5E-2</v>
      </c>
      <c r="H21" s="52">
        <v>0.15</v>
      </c>
      <c r="I21" s="335">
        <f t="shared" si="0"/>
        <v>0.12302721088435373</v>
      </c>
      <c r="J21" s="335">
        <f t="shared" si="1"/>
        <v>0.21802721088435373</v>
      </c>
      <c r="K21" s="11"/>
    </row>
    <row r="22" spans="1:11" ht="17.25">
      <c r="A22" s="61" t="str">
        <f>+'S&amp;D'!A27</f>
        <v>ONEOK Inc</v>
      </c>
      <c r="B22" s="88" t="str">
        <f>+'S&amp;D'!B27</f>
        <v>OKE</v>
      </c>
      <c r="C22" s="88" t="str">
        <f>+'S&amp;D'!C27</f>
        <v>Oil &amp; Gas Distribution</v>
      </c>
      <c r="D22" s="58">
        <f>+'S&amp;D'!G27</f>
        <v>70.22</v>
      </c>
      <c r="E22" s="59">
        <f>+'S&amp;D'!D43</f>
        <v>40944797482</v>
      </c>
      <c r="F22" s="52">
        <f>+'Dividends '!H21</f>
        <v>5.8387923668470516E-2</v>
      </c>
      <c r="G22" s="52">
        <v>3.5000000000000003E-2</v>
      </c>
      <c r="H22" s="52">
        <v>0.13500000000000001</v>
      </c>
      <c r="I22" s="335">
        <f t="shared" ref="I22:I24" si="2">+F22+G22</f>
        <v>9.3387923668470513E-2</v>
      </c>
      <c r="J22" s="335">
        <f t="shared" ref="J22:J23" si="3">+F22+H22</f>
        <v>0.19338792366847052</v>
      </c>
      <c r="K22" s="11"/>
    </row>
    <row r="23" spans="1:11" ht="17.25">
      <c r="A23" s="61" t="str">
        <f>+'S&amp;D'!A28</f>
        <v>TC Energy Corp</v>
      </c>
      <c r="B23" s="88" t="str">
        <f>+'S&amp;D'!B28</f>
        <v>TRP</v>
      </c>
      <c r="C23" s="88" t="str">
        <f>+'S&amp;D'!C28</f>
        <v>Oil &amp; Gas Distribution</v>
      </c>
      <c r="D23" s="58">
        <f>+'S&amp;D'!G28</f>
        <v>39.090000000000003</v>
      </c>
      <c r="E23" s="59">
        <f>+'S&amp;D'!D44</f>
        <v>40536330000</v>
      </c>
      <c r="F23" s="52">
        <f>+'Dividends '!H22</f>
        <v>7.930416986441545E-2</v>
      </c>
      <c r="G23" s="52">
        <v>0.05</v>
      </c>
      <c r="H23" s="52">
        <v>0.12</v>
      </c>
      <c r="I23" s="335">
        <f t="shared" si="2"/>
        <v>0.12930416986441545</v>
      </c>
      <c r="J23" s="335">
        <f t="shared" si="3"/>
        <v>0.19930416986441546</v>
      </c>
      <c r="K23" s="11"/>
    </row>
    <row r="24" spans="1:11" ht="17.25">
      <c r="A24" s="61" t="str">
        <f>+'S&amp;D'!A29</f>
        <v>Williams Companys Inc</v>
      </c>
      <c r="B24" s="88" t="str">
        <f>+'S&amp;D'!B29</f>
        <v>WMB</v>
      </c>
      <c r="C24" s="88" t="str">
        <f>+'S&amp;D'!C29</f>
        <v>Oil &amp; Gas Distribution</v>
      </c>
      <c r="D24" s="58">
        <f>+'S&amp;D'!G29</f>
        <v>34.83</v>
      </c>
      <c r="E24" s="59">
        <f>+'S&amp;D'!D45</f>
        <v>42388110000</v>
      </c>
      <c r="F24" s="52">
        <f>+'Dividends '!H23</f>
        <v>5.7995980476600636E-2</v>
      </c>
      <c r="G24" s="52">
        <v>3.5000000000000003E-2</v>
      </c>
      <c r="H24" s="52">
        <v>0.1</v>
      </c>
      <c r="I24" s="335">
        <f t="shared" si="2"/>
        <v>9.299598047660064E-2</v>
      </c>
      <c r="J24" s="335">
        <f>+F24+H24</f>
        <v>0.15799598047660063</v>
      </c>
      <c r="K24" s="11"/>
    </row>
    <row r="25" spans="1:11" ht="16.5">
      <c r="A25" s="11"/>
      <c r="B25" s="11"/>
      <c r="C25" s="13" t="s">
        <v>0</v>
      </c>
      <c r="D25" s="14" t="s">
        <v>0</v>
      </c>
      <c r="E25" s="14" t="s">
        <v>46</v>
      </c>
      <c r="F25" s="454">
        <f>MAX(F17:F24)</f>
        <v>9.7826086956521743E-2</v>
      </c>
      <c r="G25" s="321">
        <f t="shared" ref="G25:J25" si="4">MAX(G17:G24)</f>
        <v>0.09</v>
      </c>
      <c r="H25" s="321">
        <f t="shared" si="4"/>
        <v>0.15</v>
      </c>
      <c r="I25" s="321">
        <f t="shared" si="4"/>
        <v>0.18282608695652175</v>
      </c>
      <c r="J25" s="321">
        <f t="shared" si="4"/>
        <v>0.21802721088435373</v>
      </c>
      <c r="K25" s="11"/>
    </row>
    <row r="26" spans="1:11" ht="16.5">
      <c r="A26" s="11"/>
      <c r="B26" s="11"/>
      <c r="C26" s="13"/>
      <c r="D26" s="14"/>
      <c r="E26" s="14" t="s">
        <v>47</v>
      </c>
      <c r="F26" s="453">
        <f>+MIN(F17:F24)</f>
        <v>4.6052631578947373E-2</v>
      </c>
      <c r="G26" s="344">
        <f t="shared" ref="G26:J26" si="5">+MIN(G17:G24)</f>
        <v>2.5000000000000001E-2</v>
      </c>
      <c r="H26" s="344">
        <f t="shared" si="5"/>
        <v>0.05</v>
      </c>
      <c r="I26" s="344">
        <f t="shared" si="5"/>
        <v>9.1052631578947371E-2</v>
      </c>
      <c r="J26" s="344">
        <f t="shared" si="5"/>
        <v>0.12966457023060796</v>
      </c>
      <c r="K26" s="11"/>
    </row>
    <row r="27" spans="1:11" ht="16.5">
      <c r="A27" s="11"/>
      <c r="B27" s="11"/>
      <c r="D27" s="16" t="s">
        <v>0</v>
      </c>
      <c r="E27" s="13" t="s">
        <v>18</v>
      </c>
      <c r="F27" s="53">
        <f>MEDIAN(F17:F24)</f>
        <v>7.3665690374384585E-2</v>
      </c>
      <c r="G27" s="327">
        <f>MEDIAN(G17:G24)</f>
        <v>4.7500000000000001E-2</v>
      </c>
      <c r="H27" s="327">
        <f>MEDIAN(H17:H24)</f>
        <v>0.1</v>
      </c>
      <c r="I27" s="328">
        <f>MEDIAN(I17:I24)</f>
        <v>0.11384589055748084</v>
      </c>
      <c r="J27" s="328">
        <f>MEDIAN(J17:J24)</f>
        <v>0.17282608695652174</v>
      </c>
      <c r="K27" s="11"/>
    </row>
    <row r="28" spans="1:11" ht="16.5">
      <c r="A28" s="11"/>
      <c r="B28" s="11"/>
      <c r="D28" s="20" t="s">
        <v>0</v>
      </c>
      <c r="E28" s="13" t="s">
        <v>428</v>
      </c>
      <c r="F28" s="53">
        <f>AVERAGE(F17:F24)</f>
        <v>7.1818137646768601E-2</v>
      </c>
      <c r="G28" s="53">
        <f>AVERAGE(G17:G24)</f>
        <v>5.2500000000000005E-2</v>
      </c>
      <c r="H28" s="327">
        <f>AVERAGE(H17:H24)</f>
        <v>9.9999999999999992E-2</v>
      </c>
      <c r="I28" s="328">
        <f>AVERAGE(I17:I24)</f>
        <v>0.12431813764676862</v>
      </c>
      <c r="J28" s="328">
        <f>AVERAGE(J17:J24)</f>
        <v>0.17549892422788596</v>
      </c>
      <c r="K28" s="11"/>
    </row>
    <row r="29" spans="1:11" ht="16.5">
      <c r="A29" s="11"/>
      <c r="B29" s="11"/>
      <c r="D29" s="20"/>
      <c r="E29" s="13"/>
      <c r="F29" s="17"/>
      <c r="G29" s="17"/>
      <c r="H29" s="18"/>
      <c r="I29" s="19"/>
      <c r="J29" s="19"/>
      <c r="K29" s="11"/>
    </row>
    <row r="30" spans="1:11" ht="17.25" thickBot="1">
      <c r="A30" s="11"/>
      <c r="B30" s="11"/>
      <c r="C30" s="11"/>
      <c r="D30" s="11"/>
      <c r="E30" s="11"/>
      <c r="F30" s="11"/>
      <c r="G30" s="11"/>
      <c r="H30" s="11"/>
      <c r="I30" s="11"/>
      <c r="J30" s="11"/>
      <c r="K30" s="11"/>
    </row>
    <row r="31" spans="1:11" ht="27" thickBot="1">
      <c r="A31" s="11"/>
      <c r="B31" s="11"/>
      <c r="C31" s="11"/>
      <c r="D31" s="11"/>
      <c r="E31" s="11"/>
      <c r="F31" s="11"/>
      <c r="G31" s="199" t="s">
        <v>182</v>
      </c>
      <c r="H31" s="201"/>
      <c r="I31" s="329">
        <v>0.12429999999999999</v>
      </c>
      <c r="J31" s="11"/>
      <c r="K31" s="11"/>
    </row>
    <row r="32" spans="1:11" ht="20.25" customHeight="1" thickBot="1">
      <c r="A32" s="11"/>
      <c r="B32" s="11"/>
      <c r="C32" s="11"/>
      <c r="D32" s="11"/>
      <c r="E32" s="11"/>
      <c r="F32" s="11"/>
      <c r="G32" s="11"/>
      <c r="H32" s="11"/>
      <c r="I32" s="11"/>
      <c r="J32" s="11"/>
      <c r="K32" s="11"/>
    </row>
    <row r="33" spans="1:11" ht="27" thickBot="1">
      <c r="A33" s="11"/>
      <c r="B33" s="11"/>
      <c r="C33" s="11"/>
      <c r="D33" s="11"/>
      <c r="E33" s="11"/>
      <c r="F33" s="11"/>
      <c r="G33" s="199" t="s">
        <v>181</v>
      </c>
      <c r="H33" s="202"/>
      <c r="I33" s="329">
        <v>0.17549999999999999</v>
      </c>
      <c r="J33" s="11"/>
      <c r="K33" s="11"/>
    </row>
    <row r="34" spans="1:11" ht="16.5">
      <c r="A34" s="11"/>
      <c r="B34" s="11"/>
      <c r="C34" s="11"/>
      <c r="D34" s="11"/>
      <c r="E34" s="11"/>
      <c r="F34" s="11"/>
      <c r="G34" s="11"/>
      <c r="H34" s="11"/>
      <c r="I34" s="11"/>
      <c r="J34" s="11"/>
    </row>
    <row r="35" spans="1:11" ht="26.25">
      <c r="A35" s="22" t="s">
        <v>369</v>
      </c>
      <c r="B35" s="11"/>
      <c r="C35" s="22" t="s">
        <v>368</v>
      </c>
      <c r="D35" s="11"/>
      <c r="E35" s="11"/>
      <c r="F35" s="11"/>
      <c r="G35" s="11"/>
      <c r="H35" s="11"/>
      <c r="I35" s="11"/>
      <c r="J35" s="11"/>
    </row>
    <row r="36" spans="1:11" ht="17.25">
      <c r="A36" s="61" t="s">
        <v>372</v>
      </c>
      <c r="B36" s="11"/>
      <c r="C36" s="61" t="s">
        <v>372</v>
      </c>
      <c r="D36" s="11"/>
      <c r="E36" s="11"/>
      <c r="F36" s="11"/>
      <c r="G36" s="11"/>
      <c r="H36" s="11"/>
      <c r="I36" s="11"/>
      <c r="J36" s="11"/>
    </row>
    <row r="37" spans="1:11" ht="17.25">
      <c r="A37" s="61" t="s">
        <v>371</v>
      </c>
      <c r="B37" s="11"/>
      <c r="C37" s="61" t="s">
        <v>370</v>
      </c>
      <c r="D37" s="11"/>
      <c r="E37" s="11"/>
      <c r="F37" s="11"/>
      <c r="G37" s="11"/>
      <c r="H37" s="11"/>
      <c r="I37" s="11"/>
      <c r="J37" s="11"/>
    </row>
    <row r="38" spans="1:11" ht="16.5">
      <c r="A38" s="42"/>
      <c r="B38" s="11"/>
      <c r="C38" s="42"/>
      <c r="D38" s="11"/>
      <c r="E38" s="11"/>
      <c r="F38" s="11"/>
      <c r="G38" s="11"/>
      <c r="H38" s="11"/>
      <c r="I38" s="11"/>
      <c r="J38" s="11"/>
    </row>
    <row r="39" spans="1:11" ht="16.5">
      <c r="A39" s="42"/>
      <c r="B39" s="11"/>
      <c r="C39" s="42"/>
      <c r="D39" s="11"/>
      <c r="E39" s="11"/>
      <c r="F39" s="11"/>
      <c r="G39" s="11"/>
      <c r="H39" s="11"/>
      <c r="I39" s="11"/>
      <c r="J39" s="11"/>
    </row>
    <row r="40" spans="1:11" ht="26.25">
      <c r="A40" s="22" t="s">
        <v>205</v>
      </c>
      <c r="B40" s="11"/>
      <c r="C40" s="22" t="s">
        <v>205</v>
      </c>
      <c r="D40" s="11"/>
      <c r="E40" s="11"/>
      <c r="F40" s="11"/>
      <c r="G40" s="11"/>
      <c r="H40" s="11"/>
      <c r="I40" s="11"/>
      <c r="J40" s="11"/>
    </row>
    <row r="41" spans="1:11" ht="16.5">
      <c r="A41" s="42"/>
      <c r="B41" s="11"/>
      <c r="C41" s="42"/>
      <c r="D41" s="11"/>
      <c r="E41" s="11"/>
      <c r="F41" s="11"/>
      <c r="G41" s="11"/>
      <c r="H41" s="11"/>
      <c r="I41" s="11"/>
      <c r="J41" s="11"/>
    </row>
    <row r="42" spans="1:11" ht="17.25">
      <c r="A42" s="61" t="s">
        <v>206</v>
      </c>
      <c r="B42" s="11"/>
      <c r="C42" s="61" t="s">
        <v>206</v>
      </c>
      <c r="D42" s="11"/>
      <c r="E42" s="11"/>
      <c r="F42" s="11"/>
      <c r="G42" s="11"/>
      <c r="H42" s="11"/>
      <c r="I42" s="11"/>
      <c r="J42" s="11"/>
    </row>
    <row r="43" spans="1:11" ht="17.25">
      <c r="A43" s="61" t="s">
        <v>204</v>
      </c>
      <c r="B43" s="11"/>
      <c r="C43" s="61" t="s">
        <v>204</v>
      </c>
      <c r="D43" s="11"/>
      <c r="E43" s="11"/>
      <c r="F43" s="11"/>
      <c r="G43" s="11"/>
      <c r="H43" s="11"/>
      <c r="I43" s="11"/>
      <c r="J43" s="11"/>
    </row>
    <row r="44" spans="1:11" ht="17.25">
      <c r="A44" s="61" t="s">
        <v>207</v>
      </c>
      <c r="B44" s="11"/>
      <c r="C44" s="61" t="s">
        <v>207</v>
      </c>
      <c r="D44" s="11"/>
      <c r="E44" s="11"/>
      <c r="F44" s="11"/>
      <c r="G44" s="11"/>
      <c r="H44" s="11"/>
      <c r="I44" s="11"/>
      <c r="J44" s="11"/>
    </row>
    <row r="45" spans="1:11" ht="17.25">
      <c r="A45" s="61" t="s">
        <v>374</v>
      </c>
      <c r="B45" s="11"/>
      <c r="C45" s="61" t="s">
        <v>373</v>
      </c>
      <c r="D45" s="11"/>
      <c r="E45" s="11"/>
      <c r="F45" s="11"/>
      <c r="G45" s="11"/>
      <c r="H45" s="11"/>
      <c r="I45" s="11"/>
      <c r="J45" s="11"/>
    </row>
    <row r="46" spans="1:11" ht="17.25">
      <c r="A46" s="61"/>
      <c r="B46" s="11"/>
      <c r="C46" s="61"/>
      <c r="D46" s="11"/>
      <c r="E46" s="11"/>
      <c r="F46" s="11"/>
      <c r="G46" s="11"/>
      <c r="H46" s="11"/>
      <c r="I46" s="11"/>
      <c r="J46" s="11"/>
    </row>
  </sheetData>
  <pageMargins left="0.25" right="0.25" top="0.75" bottom="0.75" header="0.3" footer="0.3"/>
  <pageSetup scale="4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08"/>
  <sheetViews>
    <sheetView view="pageBreakPreview" topLeftCell="A8" zoomScale="70" zoomScaleNormal="80" zoomScaleSheetLayoutView="70" workbookViewId="0">
      <selection activeCell="H36" sqref="H36"/>
    </sheetView>
  </sheetViews>
  <sheetFormatPr defaultRowHeight="15"/>
  <cols>
    <col min="1" max="1" width="47.85546875" customWidth="1"/>
    <col min="2" max="2" width="15.28515625" customWidth="1"/>
    <col min="3" max="3" width="24.5703125" customWidth="1"/>
    <col min="4" max="4" width="26.5703125" customWidth="1"/>
    <col min="5" max="5" width="32.28515625" customWidth="1"/>
    <col min="6" max="6" width="22.42578125" customWidth="1"/>
    <col min="7" max="7" width="27" customWidth="1"/>
    <col min="8" max="8" width="39.85546875" customWidth="1"/>
    <col min="9" max="9" width="15.28515625" customWidth="1"/>
    <col min="10" max="10" width="24.5703125" customWidth="1"/>
    <col min="11" max="11" width="24.140625" customWidth="1"/>
    <col min="13" max="13" width="10.5703125" customWidth="1"/>
  </cols>
  <sheetData>
    <row r="1" spans="1:9" ht="26.25">
      <c r="A1" s="22" t="s">
        <v>1</v>
      </c>
      <c r="B1" s="11"/>
      <c r="C1" s="11"/>
      <c r="D1" s="11"/>
      <c r="E1" s="11"/>
      <c r="F1" s="11"/>
      <c r="G1" s="11"/>
      <c r="H1" s="11"/>
      <c r="I1" s="11"/>
    </row>
    <row r="2" spans="1:9" ht="17.25">
      <c r="A2" s="23" t="s">
        <v>9</v>
      </c>
      <c r="B2" s="11"/>
      <c r="C2" s="11"/>
      <c r="D2" s="11"/>
      <c r="E2" s="11"/>
      <c r="F2" s="11"/>
      <c r="G2" s="11"/>
      <c r="H2" s="11"/>
      <c r="I2" s="11"/>
    </row>
    <row r="3" spans="1:9" ht="16.5">
      <c r="A3" s="24" t="s">
        <v>467</v>
      </c>
      <c r="B3" s="11"/>
      <c r="C3" s="11"/>
      <c r="D3" s="11"/>
      <c r="E3" s="11"/>
      <c r="F3" s="11"/>
      <c r="G3" s="11"/>
      <c r="H3" s="11"/>
      <c r="I3" s="11"/>
    </row>
    <row r="4" spans="1:9" ht="16.5">
      <c r="A4" s="24"/>
      <c r="B4" s="11"/>
      <c r="C4" s="11"/>
      <c r="D4" s="11"/>
      <c r="E4" s="11"/>
      <c r="F4" s="11"/>
      <c r="G4" s="11"/>
      <c r="H4" s="11"/>
      <c r="I4" s="11"/>
    </row>
    <row r="5" spans="1:9" ht="17.25" thickBot="1">
      <c r="A5" s="11"/>
      <c r="B5" s="11"/>
      <c r="C5" s="11"/>
      <c r="D5" s="11"/>
      <c r="E5" s="11"/>
      <c r="F5" s="11"/>
      <c r="G5" s="11"/>
      <c r="H5" s="11"/>
      <c r="I5" s="25"/>
    </row>
    <row r="6" spans="1:9" ht="21" thickBot="1">
      <c r="A6" s="275" t="str">
        <f>+'S&amp;D'!A12</f>
        <v>Natural Gas Transmission Pipeline Carrier</v>
      </c>
      <c r="B6" s="202"/>
      <c r="C6" s="11"/>
      <c r="D6" s="11"/>
      <c r="E6" s="11"/>
      <c r="F6" s="11"/>
      <c r="G6" s="11"/>
      <c r="H6" s="11"/>
      <c r="I6" s="11"/>
    </row>
    <row r="7" spans="1:9" ht="20.25">
      <c r="A7" s="29"/>
      <c r="B7" s="11"/>
      <c r="C7" s="11"/>
      <c r="D7" s="11"/>
      <c r="E7" s="11"/>
      <c r="F7" s="11"/>
      <c r="G7" s="11"/>
      <c r="H7" s="11"/>
      <c r="I7" s="11"/>
    </row>
    <row r="8" spans="1:9" ht="21" thickBot="1">
      <c r="A8" s="29"/>
      <c r="B8" s="11"/>
      <c r="C8" s="11"/>
      <c r="D8" s="27"/>
      <c r="E8" s="27"/>
      <c r="F8" s="27"/>
      <c r="G8" s="11"/>
      <c r="H8" s="11"/>
      <c r="I8" s="11"/>
    </row>
    <row r="9" spans="1:9" ht="26.25">
      <c r="A9" s="29"/>
      <c r="B9" s="11"/>
      <c r="C9" s="11"/>
      <c r="D9" s="11"/>
      <c r="E9" s="30" t="s">
        <v>183</v>
      </c>
      <c r="F9" s="11"/>
      <c r="G9" s="11"/>
      <c r="H9" s="11"/>
      <c r="I9" s="11"/>
    </row>
    <row r="10" spans="1:9" ht="21" thickBot="1">
      <c r="A10" s="29"/>
      <c r="B10" s="11"/>
      <c r="C10" s="11"/>
      <c r="D10" s="27"/>
      <c r="E10" s="31" t="s">
        <v>468</v>
      </c>
      <c r="F10" s="27"/>
      <c r="G10" s="11"/>
      <c r="H10" s="11"/>
      <c r="I10" s="11"/>
    </row>
    <row r="11" spans="1:9" ht="20.25">
      <c r="A11" s="29"/>
      <c r="B11" s="11"/>
      <c r="C11" s="11"/>
      <c r="D11" s="11"/>
      <c r="E11" s="11"/>
      <c r="F11" s="33"/>
      <c r="G11" s="33"/>
      <c r="H11" s="11"/>
      <c r="I11" s="11"/>
    </row>
    <row r="12" spans="1:9" ht="20.25">
      <c r="A12" s="29"/>
      <c r="B12" s="11"/>
      <c r="C12" s="11"/>
      <c r="D12" s="11" t="s">
        <v>0</v>
      </c>
      <c r="E12" s="11"/>
      <c r="F12" s="33"/>
      <c r="G12" s="33"/>
      <c r="H12" s="11"/>
      <c r="I12" s="11"/>
    </row>
    <row r="13" spans="1:9" ht="45.75" customHeight="1" thickBot="1">
      <c r="A13" s="32" t="s">
        <v>0</v>
      </c>
      <c r="B13" s="32" t="s">
        <v>0</v>
      </c>
      <c r="C13" s="32" t="s">
        <v>0</v>
      </c>
      <c r="D13" s="27"/>
      <c r="E13" s="27"/>
      <c r="F13" s="32" t="s">
        <v>0</v>
      </c>
      <c r="G13" s="32"/>
      <c r="H13" s="32"/>
      <c r="I13" s="11"/>
    </row>
    <row r="14" spans="1:9" ht="16.5">
      <c r="A14" s="33" t="s">
        <v>0</v>
      </c>
      <c r="B14" s="33" t="s">
        <v>3</v>
      </c>
      <c r="C14" s="33" t="s">
        <v>5</v>
      </c>
      <c r="D14" s="33" t="s">
        <v>179</v>
      </c>
      <c r="E14" s="33" t="s">
        <v>180</v>
      </c>
      <c r="F14" s="33" t="s">
        <v>184</v>
      </c>
      <c r="G14" s="33" t="s">
        <v>19</v>
      </c>
      <c r="H14" s="33" t="s">
        <v>186</v>
      </c>
      <c r="I14" s="11"/>
    </row>
    <row r="15" spans="1:9" ht="16.5">
      <c r="A15" s="33" t="s">
        <v>2</v>
      </c>
      <c r="B15" s="33" t="s">
        <v>4</v>
      </c>
      <c r="C15" s="33" t="s">
        <v>6</v>
      </c>
      <c r="D15" s="33" t="s">
        <v>396</v>
      </c>
      <c r="E15" s="33" t="s">
        <v>397</v>
      </c>
      <c r="F15" s="33" t="s">
        <v>128</v>
      </c>
      <c r="G15" s="33" t="s">
        <v>185</v>
      </c>
      <c r="H15" s="33" t="s">
        <v>174</v>
      </c>
      <c r="I15" s="11"/>
    </row>
    <row r="16" spans="1:9" ht="16.5">
      <c r="A16" s="33"/>
      <c r="B16" s="33" t="s">
        <v>0</v>
      </c>
      <c r="C16" s="33" t="s">
        <v>0</v>
      </c>
      <c r="D16" s="33" t="s">
        <v>0</v>
      </c>
      <c r="E16" s="34" t="s">
        <v>398</v>
      </c>
      <c r="F16" s="34" t="s">
        <v>0</v>
      </c>
      <c r="G16" s="33" t="s">
        <v>190</v>
      </c>
      <c r="H16" s="34" t="s">
        <v>191</v>
      </c>
      <c r="I16" s="11"/>
    </row>
    <row r="17" spans="1:11" ht="18" customHeight="1" thickBot="1">
      <c r="A17" s="65" t="s">
        <v>0</v>
      </c>
      <c r="B17" s="36" t="s">
        <v>0</v>
      </c>
      <c r="C17" s="36" t="s">
        <v>0</v>
      </c>
      <c r="D17" s="31" t="s">
        <v>188</v>
      </c>
      <c r="E17" s="31" t="s">
        <v>189</v>
      </c>
      <c r="F17" s="31" t="s">
        <v>187</v>
      </c>
      <c r="G17" s="33" t="s">
        <v>94</v>
      </c>
      <c r="H17" s="154"/>
      <c r="I17" s="11"/>
    </row>
    <row r="18" spans="1:11" ht="16.5">
      <c r="A18" s="37" t="s">
        <v>0</v>
      </c>
      <c r="B18" s="37" t="s">
        <v>0</v>
      </c>
      <c r="C18" s="37" t="s">
        <v>0</v>
      </c>
      <c r="D18" s="37" t="s">
        <v>7</v>
      </c>
      <c r="E18" s="37" t="s">
        <v>7</v>
      </c>
      <c r="F18" s="37" t="s">
        <v>0</v>
      </c>
      <c r="G18" s="66" t="s">
        <v>0</v>
      </c>
      <c r="H18" s="37" t="s">
        <v>0</v>
      </c>
      <c r="I18" s="11"/>
    </row>
    <row r="19" spans="1:11" ht="16.5">
      <c r="A19" s="33"/>
      <c r="B19" s="33"/>
      <c r="C19" s="33"/>
      <c r="D19" s="33"/>
      <c r="E19" s="11"/>
      <c r="F19" s="33"/>
      <c r="G19" s="11"/>
      <c r="H19" s="11"/>
      <c r="I19" s="11"/>
      <c r="J19" t="s">
        <v>0</v>
      </c>
      <c r="K19" t="s">
        <v>0</v>
      </c>
    </row>
    <row r="20" spans="1:11" ht="16.5">
      <c r="A20" s="11"/>
      <c r="B20" s="11"/>
      <c r="C20" s="11"/>
      <c r="D20" s="11"/>
      <c r="E20" s="11"/>
      <c r="F20" s="11"/>
      <c r="G20" s="11"/>
      <c r="H20" s="11" t="s">
        <v>0</v>
      </c>
      <c r="I20" s="11"/>
      <c r="J20" t="s">
        <v>0</v>
      </c>
      <c r="K20" t="s">
        <v>0</v>
      </c>
    </row>
    <row r="21" spans="1:11" ht="17.25">
      <c r="A21" s="61" t="str">
        <f>+'S&amp;D'!A22</f>
        <v>Enbridge Inc</v>
      </c>
      <c r="B21" s="88" t="str">
        <f>+'S&amp;D'!B22</f>
        <v>ENB.TO</v>
      </c>
      <c r="C21" s="33" t="str">
        <f>+'S&amp;D'!C22</f>
        <v>Oil &amp; Gas Distribution</v>
      </c>
      <c r="D21" s="64">
        <f>+'Dividends '!H16</f>
        <v>7.9664570230607953E-2</v>
      </c>
      <c r="E21" s="64">
        <f>+'Single Stage Div Growth Model'!H17</f>
        <v>0.05</v>
      </c>
      <c r="F21" s="64">
        <f>+'Growth &amp; Inflation Rates'!F93</f>
        <v>4.1099999999999998E-2</v>
      </c>
      <c r="G21" s="64">
        <f t="shared" ref="G21:G25" si="0">(F21+E21)/2</f>
        <v>4.555E-2</v>
      </c>
      <c r="H21" s="64">
        <f t="shared" ref="H21:H25" si="1">D21*(1+(0.5*G21))+(0.67*E21)+(0.33*F21)</f>
        <v>0.12854193081761006</v>
      </c>
      <c r="I21" s="11"/>
    </row>
    <row r="22" spans="1:11" ht="17.25">
      <c r="A22" s="61" t="str">
        <f>+'S&amp;D'!A23</f>
        <v>Energy Transfer LP</v>
      </c>
      <c r="B22" s="88" t="str">
        <f>+'S&amp;D'!B23</f>
        <v>ET</v>
      </c>
      <c r="C22" s="33" t="str">
        <f>+'S&amp;D'!C23</f>
        <v>Pipeline MLPs</v>
      </c>
      <c r="D22" s="64">
        <f>+'Dividends '!H17</f>
        <v>9.7826086956521743E-2</v>
      </c>
      <c r="E22" s="64">
        <f>+'Single Stage Div Growth Model'!H18</f>
        <v>7.4999999999999997E-2</v>
      </c>
      <c r="F22" s="64">
        <f>+'Growth &amp; Inflation Rates'!F93</f>
        <v>4.1099999999999998E-2</v>
      </c>
      <c r="G22" s="64">
        <f t="shared" si="0"/>
        <v>5.8049999999999997E-2</v>
      </c>
      <c r="H22" s="64">
        <f t="shared" si="1"/>
        <v>0.16447848913043478</v>
      </c>
      <c r="I22" s="11"/>
    </row>
    <row r="23" spans="1:11" ht="17.25">
      <c r="A23" s="61" t="str">
        <f>+'S&amp;D'!A24</f>
        <v>Enlink Midstream LLC</v>
      </c>
      <c r="B23" s="88" t="str">
        <f>+'S&amp;D'!B24</f>
        <v>ENLC</v>
      </c>
      <c r="C23" s="33" t="str">
        <f>+'S&amp;D'!C24</f>
        <v>Oil &amp; Gas Distribution</v>
      </c>
      <c r="D23" s="64">
        <f>+'Dividends '!H18</f>
        <v>4.6052631578947373E-2</v>
      </c>
      <c r="E23" s="64" t="str">
        <f>+'Single Stage Div Growth Model'!H19</f>
        <v>nmf</v>
      </c>
      <c r="F23" s="64">
        <f>+'Growth &amp; Inflation Rates'!F93</f>
        <v>4.1099999999999998E-2</v>
      </c>
      <c r="G23" s="64" t="s">
        <v>514</v>
      </c>
      <c r="H23" s="64" t="s">
        <v>514</v>
      </c>
      <c r="I23" s="11"/>
    </row>
    <row r="24" spans="1:11" ht="17.25">
      <c r="A24" s="61" t="str">
        <f>+'S&amp;D'!A25</f>
        <v>Enterprise Products Partnership LP</v>
      </c>
      <c r="B24" s="88" t="str">
        <f>+'S&amp;D'!B25</f>
        <v>EPD</v>
      </c>
      <c r="C24" s="33" t="str">
        <f>+'S&amp;D'!C25</f>
        <v>Pipeline MLPs</v>
      </c>
      <c r="D24" s="64">
        <f>+'Dividends '!H19</f>
        <v>8.7286527514231493E-2</v>
      </c>
      <c r="E24" s="64">
        <f>+'Single Stage Div Growth Model'!H20</f>
        <v>7.0000000000000007E-2</v>
      </c>
      <c r="F24" s="64">
        <f>+'Growth &amp; Inflation Rates'!F93</f>
        <v>4.1099999999999998E-2</v>
      </c>
      <c r="G24" s="64">
        <f t="shared" si="0"/>
        <v>5.5550000000000002E-2</v>
      </c>
      <c r="H24" s="64">
        <f t="shared" si="1"/>
        <v>0.15017391081593928</v>
      </c>
      <c r="I24" s="11"/>
    </row>
    <row r="25" spans="1:11" ht="17.25">
      <c r="A25" s="61" t="str">
        <f>+'S&amp;D'!A26</f>
        <v>Kinder Morgan Inc</v>
      </c>
      <c r="B25" s="88" t="str">
        <f>+'S&amp;D'!B26</f>
        <v>KMI</v>
      </c>
      <c r="C25" s="33" t="str">
        <f>+'S&amp;D'!C26</f>
        <v>Oil &amp; Gas Distribution</v>
      </c>
      <c r="D25" s="64">
        <f>+'Dividends '!H20</f>
        <v>6.8027210884353734E-2</v>
      </c>
      <c r="E25" s="64">
        <f>+'Single Stage Div Growth Model'!H21</f>
        <v>0.15</v>
      </c>
      <c r="F25" s="64">
        <f>+'Growth &amp; Inflation Rates'!F93</f>
        <v>4.1099999999999998E-2</v>
      </c>
      <c r="G25" s="64">
        <f t="shared" si="0"/>
        <v>9.5549999999999996E-2</v>
      </c>
      <c r="H25" s="64">
        <f t="shared" si="1"/>
        <v>0.18534021088435371</v>
      </c>
      <c r="I25" s="11"/>
    </row>
    <row r="26" spans="1:11" ht="17.25">
      <c r="A26" s="61" t="str">
        <f>+'S&amp;D'!A27</f>
        <v>ONEOK Inc</v>
      </c>
      <c r="B26" s="88" t="str">
        <f>+'S&amp;D'!B27</f>
        <v>OKE</v>
      </c>
      <c r="C26" s="33" t="str">
        <f>+'S&amp;D'!C27</f>
        <v>Oil &amp; Gas Distribution</v>
      </c>
      <c r="D26" s="64">
        <f>+'Dividends '!H21</f>
        <v>5.8387923668470516E-2</v>
      </c>
      <c r="E26" s="64">
        <f>+'Single Stage Div Growth Model'!H22</f>
        <v>0.13500000000000001</v>
      </c>
      <c r="F26" s="64">
        <f>+'Growth &amp; Inflation Rates'!F93</f>
        <v>4.1099999999999998E-2</v>
      </c>
      <c r="G26" s="64">
        <f t="shared" ref="G26:G28" si="2">(F26+E26)/2</f>
        <v>8.8050000000000003E-2</v>
      </c>
      <c r="H26" s="64">
        <f t="shared" ref="H26:H28" si="3">D26*(1+(0.5*G26))+(0.67*E26)+(0.33*F26)</f>
        <v>0.16497145200797494</v>
      </c>
      <c r="I26" s="11"/>
      <c r="J26" t="s">
        <v>0</v>
      </c>
      <c r="K26" t="s">
        <v>0</v>
      </c>
    </row>
    <row r="27" spans="1:11" ht="17.25">
      <c r="A27" s="61" t="str">
        <f>+'S&amp;D'!A28</f>
        <v>TC Energy Corp</v>
      </c>
      <c r="B27" s="88" t="str">
        <f>+'S&amp;D'!B28</f>
        <v>TRP</v>
      </c>
      <c r="C27" s="33" t="str">
        <f>+'S&amp;D'!C28</f>
        <v>Oil &amp; Gas Distribution</v>
      </c>
      <c r="D27" s="64">
        <f>+'Dividends '!H22</f>
        <v>7.930416986441545E-2</v>
      </c>
      <c r="E27" s="64">
        <f>+'Single Stage Div Growth Model'!H23</f>
        <v>0.12</v>
      </c>
      <c r="F27" s="64">
        <f>+'Growth &amp; Inflation Rates'!F93</f>
        <v>4.1099999999999998E-2</v>
      </c>
      <c r="G27" s="64">
        <f t="shared" si="2"/>
        <v>8.0549999999999997E-2</v>
      </c>
      <c r="H27" s="64">
        <f t="shared" si="3"/>
        <v>0.17646114530570478</v>
      </c>
      <c r="I27" s="11"/>
      <c r="J27" t="s">
        <v>0</v>
      </c>
      <c r="K27" t="s">
        <v>0</v>
      </c>
    </row>
    <row r="28" spans="1:11" ht="18" thickBot="1">
      <c r="A28" s="61" t="str">
        <f>+'S&amp;D'!A29</f>
        <v>Williams Companys Inc</v>
      </c>
      <c r="B28" s="88" t="str">
        <f>+'S&amp;D'!B29</f>
        <v>WMB</v>
      </c>
      <c r="C28" s="33" t="str">
        <f>+'S&amp;D'!C29</f>
        <v>Oil &amp; Gas Distribution</v>
      </c>
      <c r="D28" s="64">
        <f>+'Dividends '!H23</f>
        <v>5.7995980476600636E-2</v>
      </c>
      <c r="E28" s="64">
        <f>+'Single Stage Div Growth Model'!H24</f>
        <v>0.1</v>
      </c>
      <c r="F28" s="64">
        <f>+'Growth &amp; Inflation Rates'!F93</f>
        <v>4.1099999999999998E-2</v>
      </c>
      <c r="G28" s="64">
        <f t="shared" si="2"/>
        <v>7.0550000000000002E-2</v>
      </c>
      <c r="H28" s="373">
        <f t="shared" si="3"/>
        <v>0.14060478868791271</v>
      </c>
      <c r="I28" s="11"/>
      <c r="J28" t="s">
        <v>0</v>
      </c>
      <c r="K28" t="s">
        <v>0</v>
      </c>
    </row>
    <row r="29" spans="1:11" ht="17.25" thickTop="1">
      <c r="A29" s="11"/>
      <c r="B29" s="11"/>
      <c r="C29" s="11"/>
      <c r="D29" s="11"/>
      <c r="E29" s="11"/>
      <c r="F29" s="11"/>
      <c r="G29" s="194" t="s">
        <v>46</v>
      </c>
      <c r="H29" s="54">
        <f>+MAX(H21:H28)</f>
        <v>0.18534021088435371</v>
      </c>
      <c r="I29" s="11"/>
    </row>
    <row r="30" spans="1:11" ht="16.5">
      <c r="A30" s="11"/>
      <c r="B30" s="11"/>
      <c r="C30" s="13" t="s">
        <v>0</v>
      </c>
      <c r="D30" s="14" t="s">
        <v>0</v>
      </c>
      <c r="E30" s="14" t="s">
        <v>0</v>
      </c>
      <c r="F30" s="15" t="s">
        <v>0</v>
      </c>
      <c r="G30" s="15" t="s">
        <v>47</v>
      </c>
      <c r="H30" s="319">
        <f>MIN(H21:H28)</f>
        <v>0.12854193081761006</v>
      </c>
      <c r="I30" s="11"/>
    </row>
    <row r="31" spans="1:11" ht="16.5">
      <c r="A31" s="11"/>
      <c r="B31" s="11"/>
      <c r="D31" s="54" t="s">
        <v>0</v>
      </c>
      <c r="E31" s="49" t="s">
        <v>0</v>
      </c>
      <c r="F31" s="49" t="s">
        <v>0</v>
      </c>
      <c r="G31" s="13" t="s">
        <v>18</v>
      </c>
      <c r="H31" s="50">
        <f>MEDIAN(H21:H28)</f>
        <v>0.16447848913043478</v>
      </c>
      <c r="I31" s="11"/>
    </row>
    <row r="32" spans="1:11" ht="16.5">
      <c r="A32" s="11"/>
      <c r="B32" s="11"/>
      <c r="D32" s="54" t="s">
        <v>0</v>
      </c>
      <c r="E32" s="49" t="s">
        <v>0</v>
      </c>
      <c r="F32" s="54" t="s">
        <v>0</v>
      </c>
      <c r="G32" s="13" t="s">
        <v>428</v>
      </c>
      <c r="H32" s="50">
        <f>AVERAGE(H21:H28)</f>
        <v>0.15865313252141863</v>
      </c>
      <c r="I32" s="11"/>
    </row>
    <row r="33" spans="1:9" ht="16.5">
      <c r="A33" s="11"/>
      <c r="B33" s="11"/>
      <c r="C33" s="13"/>
      <c r="D33" s="17"/>
      <c r="E33" s="18"/>
      <c r="F33" s="17"/>
      <c r="G33" s="19"/>
      <c r="H33" s="19"/>
      <c r="I33" s="11"/>
    </row>
    <row r="34" spans="1:9" ht="17.25" thickBot="1">
      <c r="A34" s="11"/>
      <c r="B34" s="11"/>
      <c r="C34" s="11"/>
      <c r="D34" s="11"/>
      <c r="E34" s="11"/>
      <c r="F34" s="11"/>
      <c r="G34" s="11"/>
      <c r="H34" s="11"/>
      <c r="I34" s="11"/>
    </row>
    <row r="35" spans="1:9" ht="27" thickBot="1">
      <c r="A35" s="11"/>
      <c r="B35" s="11"/>
      <c r="C35" s="11"/>
      <c r="D35" s="11"/>
      <c r="F35" s="199"/>
      <c r="G35" s="200" t="s">
        <v>239</v>
      </c>
      <c r="H35" s="331">
        <v>0.15870000000000001</v>
      </c>
      <c r="I35" s="11"/>
    </row>
    <row r="36" spans="1:9" ht="16.5">
      <c r="A36" s="11"/>
      <c r="B36" s="11"/>
      <c r="C36" s="11"/>
      <c r="D36" s="11"/>
      <c r="E36" s="11"/>
      <c r="F36" s="11"/>
      <c r="G36" s="11"/>
      <c r="H36" s="11"/>
      <c r="I36" s="11"/>
    </row>
    <row r="37" spans="1:9" ht="27">
      <c r="A37" s="22" t="s">
        <v>0</v>
      </c>
      <c r="B37" s="11"/>
      <c r="C37" s="11"/>
      <c r="D37" s="11"/>
      <c r="E37" s="11"/>
      <c r="F37" s="11"/>
      <c r="G37" s="21" t="s">
        <v>0</v>
      </c>
      <c r="H37" s="11"/>
      <c r="I37" s="11"/>
    </row>
    <row r="38" spans="1:9" ht="16.5">
      <c r="A38" s="42"/>
      <c r="B38" s="11"/>
      <c r="C38" s="11"/>
      <c r="D38" s="11"/>
      <c r="E38" s="11"/>
      <c r="F38" s="11"/>
      <c r="G38" s="11"/>
      <c r="H38" s="11"/>
      <c r="I38" s="11"/>
    </row>
    <row r="39" spans="1:9" ht="26.25">
      <c r="A39" s="22" t="s">
        <v>319</v>
      </c>
      <c r="B39" s="11"/>
      <c r="C39" s="11"/>
      <c r="D39" s="11"/>
      <c r="E39" s="11"/>
      <c r="F39" s="11"/>
      <c r="G39" s="11"/>
      <c r="H39" s="11"/>
      <c r="I39" s="11"/>
    </row>
    <row r="40" spans="1:9" ht="16.5">
      <c r="A40" s="42"/>
      <c r="B40" s="11"/>
      <c r="C40" s="11"/>
      <c r="D40" s="11"/>
      <c r="E40" s="11"/>
      <c r="F40" s="11"/>
      <c r="G40" s="11"/>
      <c r="H40" s="11"/>
      <c r="I40" s="11"/>
    </row>
    <row r="41" spans="1:9" ht="17.25">
      <c r="A41" s="61" t="s">
        <v>206</v>
      </c>
      <c r="B41" s="11"/>
      <c r="C41" s="11"/>
      <c r="D41" s="11"/>
      <c r="E41" s="11"/>
      <c r="F41" s="11"/>
      <c r="G41" s="11"/>
      <c r="H41" s="11"/>
      <c r="I41" s="11"/>
    </row>
    <row r="42" spans="1:9" ht="17.25">
      <c r="A42" s="61" t="s">
        <v>322</v>
      </c>
      <c r="B42" s="11"/>
      <c r="C42" s="11"/>
      <c r="D42" s="11"/>
      <c r="E42" s="11"/>
      <c r="F42" s="11"/>
      <c r="G42" s="11"/>
      <c r="H42" s="11"/>
      <c r="I42" s="11"/>
    </row>
    <row r="43" spans="1:9" ht="17.25">
      <c r="A43" s="61" t="s">
        <v>320</v>
      </c>
      <c r="B43" s="11"/>
      <c r="C43" s="11"/>
      <c r="D43" s="11"/>
      <c r="E43" s="11"/>
      <c r="F43" s="11"/>
      <c r="G43" s="11"/>
      <c r="H43" s="11"/>
      <c r="I43" s="11"/>
    </row>
    <row r="44" spans="1:9" ht="17.25">
      <c r="A44" s="61" t="s">
        <v>321</v>
      </c>
      <c r="B44" s="11"/>
      <c r="C44" s="11"/>
      <c r="D44" s="11"/>
      <c r="E44" s="11"/>
      <c r="F44" s="11"/>
      <c r="G44" s="11"/>
      <c r="H44" s="11"/>
      <c r="I44" s="11"/>
    </row>
    <row r="45" spans="1:9" ht="17.25">
      <c r="A45" s="61" t="s">
        <v>323</v>
      </c>
      <c r="B45" s="11"/>
      <c r="C45" s="11"/>
      <c r="D45" s="11"/>
      <c r="E45" s="11"/>
      <c r="F45" s="11"/>
      <c r="G45" s="11"/>
      <c r="H45" s="11"/>
      <c r="I45" s="11"/>
    </row>
    <row r="46" spans="1:9" ht="16.5">
      <c r="A46" s="11"/>
      <c r="B46" s="11"/>
      <c r="C46" s="11"/>
      <c r="D46" s="11"/>
      <c r="E46" s="11"/>
      <c r="F46" s="11"/>
      <c r="G46" s="11"/>
      <c r="H46" s="11"/>
      <c r="I46" s="11"/>
    </row>
    <row r="47" spans="1:9" ht="16.5">
      <c r="A47" s="11"/>
      <c r="B47" s="11"/>
      <c r="C47" s="11"/>
      <c r="D47" s="11"/>
      <c r="E47" s="11"/>
      <c r="F47" s="11"/>
      <c r="G47" s="11"/>
      <c r="H47" s="11"/>
      <c r="I47" s="11"/>
    </row>
    <row r="48" spans="1:9" ht="16.5">
      <c r="A48" s="11"/>
      <c r="B48" s="11"/>
      <c r="C48" s="11"/>
      <c r="D48" s="11"/>
      <c r="E48" s="11"/>
      <c r="F48" s="11"/>
      <c r="G48" s="11"/>
      <c r="H48" s="11"/>
      <c r="I48" s="11"/>
    </row>
    <row r="49" spans="1:9" ht="16.5">
      <c r="A49" s="11"/>
      <c r="B49" s="11"/>
      <c r="C49" s="11"/>
      <c r="D49" s="11"/>
      <c r="E49" s="11"/>
      <c r="F49" s="11"/>
      <c r="G49" s="11"/>
      <c r="H49" s="11"/>
      <c r="I49" s="11"/>
    </row>
    <row r="50" spans="1:9" ht="16.5">
      <c r="A50" s="11"/>
      <c r="B50" s="11"/>
      <c r="C50" s="11"/>
      <c r="D50" s="11"/>
      <c r="E50" s="11"/>
      <c r="F50" s="11"/>
      <c r="G50" s="11"/>
      <c r="H50" s="11"/>
      <c r="I50" s="11"/>
    </row>
    <row r="51" spans="1:9" ht="16.5">
      <c r="A51" s="11"/>
      <c r="B51" s="11"/>
      <c r="C51" s="11"/>
      <c r="D51" s="11"/>
      <c r="E51" s="11"/>
      <c r="F51" s="11"/>
      <c r="G51" s="11"/>
      <c r="H51" s="11"/>
      <c r="I51" s="11"/>
    </row>
    <row r="52" spans="1:9" ht="16.5">
      <c r="A52" s="11"/>
      <c r="B52" s="11"/>
      <c r="C52" s="11"/>
      <c r="D52" s="11"/>
      <c r="E52" s="11"/>
      <c r="F52" s="11"/>
      <c r="G52" s="11"/>
      <c r="H52" s="11"/>
      <c r="I52" s="11"/>
    </row>
    <row r="53" spans="1:9" ht="16.5">
      <c r="A53" s="11"/>
      <c r="B53" s="11"/>
      <c r="C53" s="11"/>
      <c r="D53" s="11"/>
      <c r="E53" s="11"/>
      <c r="F53" s="11"/>
      <c r="G53" s="11"/>
      <c r="H53" s="11"/>
      <c r="I53" s="11"/>
    </row>
    <row r="54" spans="1:9" ht="16.5">
      <c r="A54" s="11"/>
      <c r="B54" s="11"/>
      <c r="C54" s="11"/>
      <c r="D54" s="11"/>
      <c r="E54" s="11"/>
      <c r="F54" s="11"/>
      <c r="G54" s="11"/>
      <c r="H54" s="11"/>
      <c r="I54" s="11"/>
    </row>
    <row r="55" spans="1:9" ht="16.5">
      <c r="A55" s="11"/>
      <c r="B55" s="11"/>
      <c r="C55" s="11"/>
      <c r="D55" s="11"/>
      <c r="E55" s="11"/>
      <c r="F55" s="11"/>
      <c r="G55" s="11"/>
      <c r="H55" s="11"/>
      <c r="I55" s="11"/>
    </row>
    <row r="56" spans="1:9" ht="16.5">
      <c r="A56" s="11"/>
      <c r="B56" s="11"/>
      <c r="C56" s="11"/>
      <c r="D56" s="11"/>
      <c r="E56" s="11"/>
      <c r="F56" s="11"/>
      <c r="G56" s="11"/>
      <c r="H56" s="11"/>
      <c r="I56" s="11"/>
    </row>
    <row r="57" spans="1:9" ht="16.5">
      <c r="A57" s="11"/>
      <c r="B57" s="11"/>
      <c r="C57" s="11"/>
      <c r="D57" s="11"/>
      <c r="E57" s="11"/>
      <c r="F57" s="11"/>
      <c r="G57" s="11"/>
      <c r="H57" s="11"/>
      <c r="I57" s="11"/>
    </row>
    <row r="58" spans="1:9" ht="16.5">
      <c r="A58" s="11"/>
      <c r="B58" s="11"/>
      <c r="C58" s="11"/>
      <c r="D58" s="11"/>
      <c r="E58" s="11"/>
      <c r="F58" s="11"/>
      <c r="G58" s="11"/>
      <c r="H58" s="11"/>
      <c r="I58" s="11"/>
    </row>
    <row r="59" spans="1:9" ht="16.5">
      <c r="A59" s="11"/>
      <c r="B59" s="11"/>
      <c r="C59" s="11"/>
      <c r="D59" s="11"/>
      <c r="E59" s="11"/>
      <c r="F59" s="11"/>
      <c r="G59" s="11"/>
      <c r="H59" s="11"/>
      <c r="I59" s="11"/>
    </row>
    <row r="60" spans="1:9" ht="16.5">
      <c r="A60" s="11"/>
      <c r="B60" s="11"/>
      <c r="C60" s="11"/>
      <c r="D60" s="11"/>
      <c r="E60" s="11"/>
      <c r="F60" s="11"/>
      <c r="G60" s="11"/>
      <c r="H60" s="11"/>
      <c r="I60" s="11"/>
    </row>
    <row r="61" spans="1:9" ht="16.5">
      <c r="A61" s="11"/>
      <c r="B61" s="11"/>
      <c r="C61" s="11"/>
      <c r="D61" s="11"/>
      <c r="E61" s="11"/>
      <c r="F61" s="11"/>
      <c r="G61" s="11"/>
      <c r="H61" s="11"/>
      <c r="I61" s="11"/>
    </row>
    <row r="62" spans="1:9" ht="16.5">
      <c r="A62" s="11"/>
      <c r="B62" s="11"/>
      <c r="C62" s="11"/>
      <c r="D62" s="11"/>
      <c r="E62" s="11"/>
      <c r="F62" s="11"/>
      <c r="G62" s="11"/>
      <c r="H62" s="11"/>
      <c r="I62" s="11"/>
    </row>
    <row r="63" spans="1:9" ht="16.5">
      <c r="A63" s="11"/>
      <c r="B63" s="11"/>
      <c r="C63" s="11"/>
      <c r="D63" s="11"/>
      <c r="E63" s="11"/>
      <c r="F63" s="11"/>
      <c r="G63" s="11"/>
      <c r="H63" s="11"/>
      <c r="I63" s="11"/>
    </row>
    <row r="64" spans="1:9" ht="16.5">
      <c r="A64" s="11"/>
      <c r="B64" s="11"/>
      <c r="C64" s="11"/>
      <c r="D64" s="11"/>
      <c r="E64" s="11"/>
      <c r="F64" s="11"/>
      <c r="G64" s="11"/>
      <c r="H64" s="11"/>
      <c r="I64" s="11"/>
    </row>
    <row r="65" spans="1:9" ht="16.5">
      <c r="A65" s="11"/>
      <c r="B65" s="11"/>
      <c r="C65" s="11"/>
      <c r="D65" s="11"/>
      <c r="E65" s="11"/>
      <c r="F65" s="11"/>
      <c r="G65" s="11"/>
      <c r="H65" s="11"/>
      <c r="I65" s="11"/>
    </row>
    <row r="66" spans="1:9" ht="16.5">
      <c r="A66" s="11"/>
      <c r="B66" s="11"/>
      <c r="C66" s="11"/>
      <c r="D66" s="11"/>
      <c r="E66" s="11"/>
      <c r="F66" s="11"/>
      <c r="G66" s="11"/>
      <c r="H66" s="11"/>
      <c r="I66" s="11"/>
    </row>
    <row r="67" spans="1:9" ht="16.5">
      <c r="A67" s="11"/>
      <c r="B67" s="11"/>
      <c r="C67" s="11"/>
      <c r="D67" s="11"/>
      <c r="E67" s="11"/>
      <c r="F67" s="11"/>
      <c r="G67" s="11"/>
      <c r="H67" s="11"/>
      <c r="I67" s="11"/>
    </row>
    <row r="68" spans="1:9" ht="16.5">
      <c r="A68" s="11"/>
      <c r="B68" s="11"/>
      <c r="C68" s="11"/>
      <c r="D68" s="11"/>
      <c r="E68" s="11"/>
      <c r="F68" s="11"/>
      <c r="G68" s="11"/>
      <c r="H68" s="11"/>
      <c r="I68" s="11"/>
    </row>
    <row r="69" spans="1:9" ht="16.5">
      <c r="A69" s="11"/>
      <c r="B69" s="11"/>
      <c r="C69" s="11"/>
      <c r="D69" s="11"/>
      <c r="E69" s="11"/>
      <c r="F69" s="11"/>
      <c r="G69" s="11"/>
      <c r="H69" s="11"/>
      <c r="I69" s="11"/>
    </row>
    <row r="70" spans="1:9" ht="16.5">
      <c r="A70" s="11"/>
      <c r="B70" s="11"/>
      <c r="C70" s="11"/>
      <c r="D70" s="11"/>
      <c r="E70" s="11"/>
      <c r="F70" s="11"/>
      <c r="G70" s="11"/>
      <c r="H70" s="11"/>
      <c r="I70" s="11"/>
    </row>
    <row r="71" spans="1:9" ht="16.5">
      <c r="A71" s="11"/>
      <c r="B71" s="11"/>
      <c r="C71" s="11"/>
      <c r="D71" s="11"/>
      <c r="E71" s="11"/>
      <c r="F71" s="11"/>
      <c r="G71" s="11"/>
      <c r="H71" s="11"/>
      <c r="I71" s="11"/>
    </row>
    <row r="72" spans="1:9" ht="16.5">
      <c r="A72" s="11"/>
      <c r="B72" s="11"/>
      <c r="C72" s="11"/>
      <c r="D72" s="11"/>
      <c r="E72" s="11"/>
      <c r="F72" s="11"/>
      <c r="G72" s="11"/>
      <c r="H72" s="11"/>
      <c r="I72" s="11"/>
    </row>
    <row r="73" spans="1:9" ht="16.5">
      <c r="A73" s="11"/>
      <c r="B73" s="11"/>
      <c r="C73" s="11"/>
      <c r="D73" s="11"/>
      <c r="E73" s="11"/>
      <c r="F73" s="11"/>
      <c r="G73" s="11"/>
      <c r="H73" s="11"/>
      <c r="I73" s="11"/>
    </row>
    <row r="74" spans="1:9" ht="16.5">
      <c r="A74" s="11"/>
      <c r="B74" s="11"/>
      <c r="C74" s="11"/>
      <c r="D74" s="11"/>
      <c r="E74" s="11"/>
      <c r="F74" s="11"/>
      <c r="G74" s="11"/>
      <c r="H74" s="11"/>
      <c r="I74" s="11"/>
    </row>
    <row r="75" spans="1:9" ht="16.5">
      <c r="A75" s="11"/>
      <c r="B75" s="11"/>
      <c r="C75" s="11"/>
      <c r="D75" s="11"/>
      <c r="E75" s="11"/>
      <c r="F75" s="11"/>
      <c r="G75" s="11"/>
      <c r="H75" s="11"/>
      <c r="I75" s="11"/>
    </row>
    <row r="76" spans="1:9" ht="16.5">
      <c r="A76" s="11"/>
      <c r="B76" s="11"/>
      <c r="C76" s="11"/>
      <c r="D76" s="11"/>
      <c r="E76" s="11"/>
      <c r="F76" s="11"/>
      <c r="G76" s="11"/>
      <c r="H76" s="11"/>
      <c r="I76" s="11"/>
    </row>
    <row r="77" spans="1:9" ht="16.5">
      <c r="A77" s="11"/>
      <c r="B77" s="11"/>
      <c r="C77" s="11"/>
      <c r="D77" s="11"/>
      <c r="E77" s="11"/>
      <c r="F77" s="11"/>
      <c r="G77" s="11"/>
      <c r="H77" s="11"/>
      <c r="I77" s="11"/>
    </row>
    <row r="78" spans="1:9" ht="16.5">
      <c r="A78" s="11"/>
      <c r="B78" s="11"/>
      <c r="C78" s="11"/>
      <c r="D78" s="11"/>
      <c r="E78" s="11"/>
      <c r="F78" s="11"/>
      <c r="G78" s="11"/>
      <c r="H78" s="11"/>
      <c r="I78" s="11"/>
    </row>
    <row r="79" spans="1:9" ht="16.5">
      <c r="A79" s="11"/>
      <c r="B79" s="11"/>
      <c r="C79" s="11"/>
      <c r="D79" s="11"/>
      <c r="E79" s="11"/>
      <c r="F79" s="11"/>
      <c r="G79" s="11"/>
      <c r="H79" s="11"/>
      <c r="I79" s="11"/>
    </row>
    <row r="80" spans="1:9" ht="16.5">
      <c r="A80" s="11"/>
      <c r="B80" s="11"/>
      <c r="C80" s="11"/>
      <c r="D80" s="11"/>
      <c r="E80" s="11"/>
      <c r="F80" s="11"/>
      <c r="G80" s="11"/>
      <c r="H80" s="11"/>
      <c r="I80" s="11"/>
    </row>
    <row r="81" spans="1:9" ht="16.5">
      <c r="A81" s="11"/>
      <c r="B81" s="11"/>
      <c r="C81" s="11"/>
      <c r="D81" s="11"/>
      <c r="E81" s="11"/>
      <c r="F81" s="11"/>
      <c r="G81" s="11"/>
      <c r="H81" s="11"/>
      <c r="I81" s="11"/>
    </row>
    <row r="82" spans="1:9" ht="16.5">
      <c r="A82" s="11"/>
      <c r="B82" s="11"/>
      <c r="C82" s="11"/>
      <c r="D82" s="11"/>
      <c r="E82" s="11"/>
      <c r="F82" s="11"/>
      <c r="G82" s="11"/>
      <c r="H82" s="11"/>
      <c r="I82" s="11"/>
    </row>
    <row r="83" spans="1:9" ht="16.5">
      <c r="A83" s="11"/>
      <c r="B83" s="11"/>
      <c r="C83" s="11"/>
      <c r="D83" s="11"/>
      <c r="E83" s="11"/>
      <c r="F83" s="11"/>
      <c r="G83" s="11"/>
      <c r="H83" s="11"/>
      <c r="I83" s="11"/>
    </row>
    <row r="84" spans="1:9" ht="16.5">
      <c r="A84" s="11"/>
      <c r="B84" s="11"/>
      <c r="C84" s="11"/>
      <c r="D84" s="11"/>
      <c r="E84" s="11"/>
      <c r="F84" s="11"/>
      <c r="G84" s="11"/>
      <c r="H84" s="11"/>
      <c r="I84" s="11"/>
    </row>
    <row r="85" spans="1:9" ht="16.5">
      <c r="A85" s="11"/>
      <c r="B85" s="11"/>
      <c r="C85" s="11"/>
      <c r="D85" s="11"/>
      <c r="E85" s="11"/>
      <c r="F85" s="11"/>
      <c r="G85" s="11"/>
      <c r="H85" s="11"/>
      <c r="I85" s="11"/>
    </row>
    <row r="86" spans="1:9" ht="16.5">
      <c r="A86" s="11"/>
      <c r="B86" s="11"/>
      <c r="C86" s="11"/>
      <c r="D86" s="11"/>
      <c r="E86" s="11"/>
      <c r="F86" s="11"/>
      <c r="G86" s="11"/>
      <c r="H86" s="11"/>
      <c r="I86" s="11"/>
    </row>
    <row r="87" spans="1:9" ht="16.5">
      <c r="A87" s="11"/>
      <c r="B87" s="11"/>
      <c r="C87" s="11"/>
      <c r="D87" s="11"/>
      <c r="E87" s="11"/>
      <c r="F87" s="11"/>
      <c r="G87" s="11"/>
      <c r="H87" s="11"/>
      <c r="I87" s="11"/>
    </row>
    <row r="88" spans="1:9" ht="16.5">
      <c r="A88" s="11"/>
      <c r="B88" s="11"/>
      <c r="C88" s="11"/>
      <c r="D88" s="11"/>
      <c r="E88" s="11"/>
      <c r="F88" s="11"/>
      <c r="G88" s="11"/>
      <c r="H88" s="11"/>
      <c r="I88" s="11"/>
    </row>
    <row r="89" spans="1:9" ht="16.5">
      <c r="A89" s="11"/>
      <c r="B89" s="11"/>
      <c r="C89" s="11"/>
      <c r="D89" s="11"/>
      <c r="E89" s="11"/>
      <c r="F89" s="11"/>
      <c r="G89" s="11"/>
      <c r="H89" s="11"/>
      <c r="I89" s="11"/>
    </row>
    <row r="90" spans="1:9" ht="16.5">
      <c r="A90" s="11"/>
      <c r="B90" s="11"/>
      <c r="C90" s="11"/>
      <c r="D90" s="11"/>
      <c r="E90" s="11"/>
      <c r="F90" s="11"/>
      <c r="G90" s="11"/>
      <c r="H90" s="11"/>
      <c r="I90" s="11"/>
    </row>
    <row r="91" spans="1:9" ht="16.5">
      <c r="A91" s="11"/>
      <c r="B91" s="11"/>
      <c r="C91" s="11"/>
      <c r="D91" s="11"/>
      <c r="E91" s="11"/>
      <c r="F91" s="11"/>
      <c r="G91" s="11"/>
      <c r="H91" s="11"/>
      <c r="I91" s="11"/>
    </row>
    <row r="92" spans="1:9" ht="16.5">
      <c r="A92" s="11"/>
      <c r="B92" s="11"/>
      <c r="C92" s="11"/>
      <c r="D92" s="11"/>
      <c r="E92" s="11"/>
      <c r="F92" s="11"/>
      <c r="G92" s="11"/>
      <c r="H92" s="11"/>
      <c r="I92" s="11"/>
    </row>
    <row r="93" spans="1:9" ht="16.5">
      <c r="A93" s="11"/>
      <c r="B93" s="11"/>
      <c r="C93" s="11"/>
      <c r="D93" s="11"/>
      <c r="E93" s="11"/>
      <c r="F93" s="11"/>
      <c r="G93" s="11"/>
      <c r="H93" s="11"/>
      <c r="I93" s="11"/>
    </row>
    <row r="94" spans="1:9" ht="16.5">
      <c r="A94" s="11"/>
      <c r="B94" s="11"/>
      <c r="C94" s="11"/>
      <c r="D94" s="11"/>
      <c r="E94" s="11"/>
      <c r="F94" s="11"/>
      <c r="G94" s="11"/>
      <c r="H94" s="11"/>
      <c r="I94" s="11"/>
    </row>
    <row r="95" spans="1:9" ht="16.5">
      <c r="A95" s="11"/>
      <c r="B95" s="11"/>
      <c r="C95" s="11"/>
      <c r="D95" s="11"/>
      <c r="E95" s="11"/>
      <c r="F95" s="11"/>
      <c r="G95" s="11"/>
      <c r="H95" s="11"/>
      <c r="I95" s="11"/>
    </row>
    <row r="96" spans="1:9" ht="16.5">
      <c r="A96" s="11"/>
      <c r="B96" s="11"/>
      <c r="C96" s="11"/>
      <c r="D96" s="11"/>
      <c r="E96" s="11"/>
      <c r="F96" s="11"/>
      <c r="G96" s="11"/>
      <c r="H96" s="11"/>
      <c r="I96" s="11"/>
    </row>
    <row r="97" spans="1:9" ht="16.5">
      <c r="A97" s="11"/>
      <c r="B97" s="11"/>
      <c r="C97" s="11"/>
      <c r="D97" s="11"/>
      <c r="E97" s="11"/>
      <c r="F97" s="11"/>
      <c r="G97" s="11"/>
      <c r="H97" s="11"/>
      <c r="I97" s="11"/>
    </row>
    <row r="98" spans="1:9" ht="16.5">
      <c r="A98" s="11"/>
      <c r="B98" s="11"/>
      <c r="C98" s="11"/>
      <c r="D98" s="11"/>
      <c r="E98" s="11"/>
      <c r="F98" s="11"/>
      <c r="G98" s="11"/>
      <c r="H98" s="11"/>
      <c r="I98" s="11"/>
    </row>
    <row r="99" spans="1:9" ht="16.5">
      <c r="A99" s="11"/>
      <c r="B99" s="11"/>
      <c r="C99" s="11"/>
      <c r="D99" s="11"/>
      <c r="E99" s="11"/>
      <c r="F99" s="11"/>
      <c r="G99" s="11"/>
      <c r="H99" s="11"/>
      <c r="I99" s="11"/>
    </row>
    <row r="100" spans="1:9" ht="16.5">
      <c r="A100" s="11"/>
      <c r="B100" s="11"/>
      <c r="C100" s="11"/>
      <c r="D100" s="11"/>
      <c r="E100" s="11"/>
      <c r="F100" s="11"/>
      <c r="G100" s="11"/>
      <c r="H100" s="11"/>
      <c r="I100" s="11"/>
    </row>
    <row r="101" spans="1:9" ht="16.5">
      <c r="A101" s="11"/>
      <c r="B101" s="11"/>
      <c r="C101" s="11"/>
      <c r="D101" s="11"/>
      <c r="E101" s="11"/>
      <c r="F101" s="11"/>
      <c r="G101" s="11"/>
      <c r="H101" s="11"/>
      <c r="I101" s="11"/>
    </row>
    <row r="102" spans="1:9" ht="16.5">
      <c r="A102" s="11"/>
      <c r="B102" s="11"/>
      <c r="C102" s="11"/>
      <c r="D102" s="11"/>
      <c r="E102" s="11"/>
      <c r="F102" s="11"/>
      <c r="G102" s="11"/>
      <c r="H102" s="11"/>
      <c r="I102" s="11"/>
    </row>
    <row r="103" spans="1:9" ht="16.5">
      <c r="A103" s="11"/>
      <c r="B103" s="11"/>
      <c r="C103" s="11"/>
      <c r="D103" s="11"/>
      <c r="E103" s="11"/>
      <c r="F103" s="11"/>
      <c r="G103" s="11"/>
      <c r="H103" s="11"/>
      <c r="I103" s="11"/>
    </row>
    <row r="104" spans="1:9" ht="16.5">
      <c r="A104" s="11"/>
      <c r="B104" s="11"/>
      <c r="C104" s="11"/>
      <c r="D104" s="11"/>
      <c r="E104" s="11"/>
      <c r="F104" s="11"/>
      <c r="G104" s="11"/>
      <c r="H104" s="11"/>
      <c r="I104" s="11"/>
    </row>
    <row r="105" spans="1:9" ht="16.5">
      <c r="A105" s="11"/>
      <c r="B105" s="11"/>
      <c r="C105" s="11"/>
      <c r="D105" s="11"/>
      <c r="E105" s="11"/>
      <c r="F105" s="11"/>
      <c r="G105" s="11"/>
      <c r="H105" s="11"/>
      <c r="I105" s="11"/>
    </row>
    <row r="106" spans="1:9" ht="16.5">
      <c r="A106" s="11"/>
      <c r="B106" s="11"/>
      <c r="C106" s="11"/>
      <c r="D106" s="11"/>
      <c r="E106" s="11"/>
      <c r="F106" s="11"/>
      <c r="G106" s="11"/>
      <c r="H106" s="11"/>
      <c r="I106" s="11"/>
    </row>
    <row r="107" spans="1:9" ht="16.5">
      <c r="A107" s="11"/>
      <c r="B107" s="11"/>
      <c r="C107" s="11"/>
      <c r="D107" s="11"/>
      <c r="E107" s="11"/>
      <c r="F107" s="11"/>
      <c r="G107" s="11"/>
      <c r="H107" s="11"/>
      <c r="I107" s="11"/>
    </row>
    <row r="108" spans="1:9" ht="16.5">
      <c r="A108" s="11"/>
      <c r="B108" s="11"/>
      <c r="C108" s="11"/>
      <c r="D108" s="11"/>
      <c r="E108" s="11"/>
      <c r="F108" s="11"/>
      <c r="G108" s="11"/>
      <c r="H108" s="11"/>
      <c r="I108" s="11"/>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8509-4469-4CA1-837E-28DCE856C1A1}">
  <sheetPr>
    <tabColor rgb="FF92D050"/>
  </sheetPr>
  <dimension ref="A1:N49"/>
  <sheetViews>
    <sheetView view="pageBreakPreview" zoomScale="60" zoomScaleNormal="80" workbookViewId="0">
      <selection activeCell="H33" sqref="H33"/>
    </sheetView>
  </sheetViews>
  <sheetFormatPr defaultRowHeight="15"/>
  <cols>
    <col min="1" max="1" width="21.5703125" customWidth="1"/>
    <col min="2" max="2" width="45.7109375" customWidth="1"/>
    <col min="3" max="3" width="20.85546875" customWidth="1"/>
    <col min="4" max="4" width="24" customWidth="1"/>
    <col min="5" max="5" width="29.28515625" customWidth="1"/>
    <col min="6" max="6" width="25.5703125" customWidth="1"/>
    <col min="7" max="8" width="27.28515625" customWidth="1"/>
    <col min="9" max="9" width="18.7109375" customWidth="1"/>
    <col min="10" max="10" width="21.28515625" customWidth="1"/>
    <col min="11" max="11" width="4.42578125" customWidth="1"/>
    <col min="12" max="12" width="22.7109375" customWidth="1"/>
    <col min="13" max="13" width="17.28515625" customWidth="1"/>
  </cols>
  <sheetData>
    <row r="1" spans="1:14" ht="26.25">
      <c r="A1" s="22" t="s">
        <v>1</v>
      </c>
      <c r="C1" s="11"/>
      <c r="D1" s="11"/>
      <c r="E1" s="11"/>
      <c r="F1" s="11"/>
      <c r="G1" s="11"/>
      <c r="H1" s="11"/>
      <c r="I1" s="11"/>
      <c r="J1" s="11"/>
      <c r="K1" s="11"/>
      <c r="L1" s="11"/>
      <c r="M1" s="11"/>
      <c r="N1" s="11"/>
    </row>
    <row r="2" spans="1:14" ht="17.25">
      <c r="A2" s="61" t="s">
        <v>9</v>
      </c>
      <c r="C2" s="11"/>
      <c r="D2" s="11"/>
      <c r="E2" s="11"/>
      <c r="F2" s="11"/>
      <c r="G2" s="11"/>
      <c r="H2" s="11"/>
      <c r="I2" s="11"/>
      <c r="J2" s="11"/>
      <c r="K2" s="11"/>
      <c r="L2" s="11"/>
      <c r="M2" s="11"/>
      <c r="N2" s="11"/>
    </row>
    <row r="3" spans="1:14" ht="16.5">
      <c r="A3" s="24" t="s">
        <v>467</v>
      </c>
      <c r="C3" s="11"/>
      <c r="D3" s="11"/>
      <c r="E3" s="11"/>
      <c r="F3" s="11"/>
      <c r="G3" s="11"/>
      <c r="H3" s="11"/>
      <c r="I3" s="11"/>
      <c r="J3" s="11"/>
      <c r="K3" s="11"/>
      <c r="L3" s="11"/>
      <c r="M3" s="11"/>
      <c r="N3" s="11"/>
    </row>
    <row r="4" spans="1:14" ht="16.5">
      <c r="A4" s="11"/>
      <c r="C4" s="11"/>
      <c r="D4" s="11"/>
      <c r="E4" s="25" t="s">
        <v>0</v>
      </c>
      <c r="F4" s="11"/>
      <c r="G4" s="11"/>
      <c r="H4" s="11"/>
      <c r="I4" s="11"/>
      <c r="J4" s="11"/>
      <c r="K4" s="11"/>
      <c r="L4" s="11"/>
      <c r="M4" s="11"/>
      <c r="N4" s="11"/>
    </row>
    <row r="5" spans="1:14" ht="18" thickBot="1">
      <c r="A5" s="61"/>
      <c r="C5" s="11"/>
      <c r="D5" s="11"/>
      <c r="E5" s="11"/>
      <c r="F5" s="11"/>
      <c r="G5" s="11"/>
      <c r="H5" s="11"/>
      <c r="I5" s="11"/>
      <c r="J5" s="11"/>
      <c r="K5" s="11"/>
      <c r="L5" s="11"/>
      <c r="M5" s="11"/>
      <c r="N5" s="11"/>
    </row>
    <row r="6" spans="1:14" ht="21" thickBot="1">
      <c r="A6" s="275" t="str">
        <f>+'S&amp;D'!A12</f>
        <v>Natural Gas Transmission Pipeline Carrier</v>
      </c>
      <c r="B6" s="196"/>
      <c r="C6" s="11"/>
      <c r="D6" s="11"/>
      <c r="E6" s="11"/>
      <c r="F6" s="11"/>
      <c r="G6" s="11"/>
      <c r="H6" s="11"/>
    </row>
    <row r="7" spans="1:14" ht="18" thickBot="1">
      <c r="A7" s="61"/>
      <c r="C7" s="11"/>
      <c r="D7" s="27"/>
      <c r="E7" s="27"/>
      <c r="F7" s="27"/>
      <c r="G7" s="11"/>
      <c r="H7" s="11"/>
    </row>
    <row r="8" spans="1:14" ht="26.25">
      <c r="C8" s="11"/>
      <c r="D8" s="11"/>
      <c r="E8" s="30" t="s">
        <v>384</v>
      </c>
      <c r="F8" s="11"/>
      <c r="G8" s="11"/>
      <c r="H8" s="11"/>
    </row>
    <row r="9" spans="1:14" ht="21" thickBot="1">
      <c r="B9" s="29"/>
      <c r="C9" s="11"/>
      <c r="D9" s="27"/>
      <c r="E9" s="31" t="s">
        <v>468</v>
      </c>
      <c r="F9" s="27"/>
      <c r="G9" s="11"/>
      <c r="H9" s="11"/>
    </row>
    <row r="10" spans="1:14" ht="17.25" thickBot="1">
      <c r="B10" s="32" t="s">
        <v>0</v>
      </c>
      <c r="C10" s="32" t="s">
        <v>0</v>
      </c>
      <c r="D10" s="32" t="s">
        <v>0</v>
      </c>
      <c r="E10" s="32" t="s">
        <v>0</v>
      </c>
      <c r="F10" s="32" t="s">
        <v>0</v>
      </c>
      <c r="G10" s="32" t="s">
        <v>0</v>
      </c>
      <c r="H10" s="27"/>
    </row>
    <row r="11" spans="1:14" ht="16.5">
      <c r="B11" s="33" t="s">
        <v>0</v>
      </c>
      <c r="C11" s="33" t="s">
        <v>3</v>
      </c>
      <c r="D11" s="33" t="s">
        <v>355</v>
      </c>
      <c r="E11" s="33" t="s">
        <v>356</v>
      </c>
      <c r="F11" s="33" t="s">
        <v>234</v>
      </c>
      <c r="G11" s="33" t="s">
        <v>383</v>
      </c>
      <c r="H11" s="33" t="s">
        <v>383</v>
      </c>
    </row>
    <row r="12" spans="1:14" ht="17.25" thickBot="1">
      <c r="B12" s="35" t="s">
        <v>2</v>
      </c>
      <c r="C12" s="35" t="s">
        <v>4</v>
      </c>
      <c r="D12" s="35" t="s">
        <v>28</v>
      </c>
      <c r="E12" s="35" t="s">
        <v>169</v>
      </c>
      <c r="F12" s="35" t="s">
        <v>385</v>
      </c>
      <c r="G12" s="35" t="s">
        <v>418</v>
      </c>
      <c r="H12" s="35" t="s">
        <v>29</v>
      </c>
    </row>
    <row r="13" spans="1:14">
      <c r="B13" s="37" t="s">
        <v>0</v>
      </c>
      <c r="C13" s="37" t="s">
        <v>0</v>
      </c>
      <c r="D13" s="38" t="s">
        <v>113</v>
      </c>
      <c r="E13" s="37" t="s">
        <v>114</v>
      </c>
      <c r="F13" s="37" t="s">
        <v>0</v>
      </c>
      <c r="G13" s="37" t="s">
        <v>114</v>
      </c>
      <c r="H13" s="37" t="s">
        <v>0</v>
      </c>
    </row>
    <row r="14" spans="1:14" ht="16.5">
      <c r="B14" s="33"/>
      <c r="C14" s="33"/>
      <c r="D14" s="33"/>
      <c r="E14" s="33"/>
      <c r="F14" s="33"/>
      <c r="G14" s="33"/>
      <c r="H14" s="33"/>
    </row>
    <row r="15" spans="1:14" ht="16.5">
      <c r="B15" s="11"/>
      <c r="C15" s="11"/>
      <c r="D15" s="11"/>
      <c r="E15" s="11"/>
      <c r="F15" s="11"/>
      <c r="G15" s="11"/>
      <c r="H15" s="11"/>
    </row>
    <row r="16" spans="1:14" ht="17.25">
      <c r="B16" s="61" t="str">
        <f>+'S&amp;D'!A22</f>
        <v>Enbridge Inc</v>
      </c>
      <c r="C16" s="88" t="str">
        <f>+'S&amp;D'!B22</f>
        <v>ENB.TO</v>
      </c>
      <c r="D16" s="190">
        <f>+'S&amp;D'!G22</f>
        <v>47.7</v>
      </c>
      <c r="E16" s="330">
        <v>21.25</v>
      </c>
      <c r="F16" s="381">
        <f t="shared" ref="F16:F20" si="0">D16/E16</f>
        <v>2.2447058823529411</v>
      </c>
      <c r="G16" s="330">
        <v>31.2</v>
      </c>
      <c r="H16" s="381">
        <f t="shared" ref="H16:H23" si="1">D16/G16</f>
        <v>1.528846153846154</v>
      </c>
    </row>
    <row r="17" spans="2:8" ht="17.25">
      <c r="B17" s="61" t="str">
        <f>+'S&amp;D'!A23</f>
        <v>Energy Transfer LP</v>
      </c>
      <c r="C17" s="88" t="str">
        <f>+'S&amp;D'!B23</f>
        <v>ET</v>
      </c>
      <c r="D17" s="190">
        <f>+'S&amp;D'!G23</f>
        <v>13.8</v>
      </c>
      <c r="E17" s="330">
        <v>26.55</v>
      </c>
      <c r="F17" s="381">
        <f t="shared" si="0"/>
        <v>0.51977401129943501</v>
      </c>
      <c r="G17" s="330">
        <v>10.95</v>
      </c>
      <c r="H17" s="381">
        <f t="shared" si="1"/>
        <v>1.2602739726027399</v>
      </c>
    </row>
    <row r="18" spans="2:8" ht="17.25">
      <c r="B18" s="61" t="str">
        <f>+'S&amp;D'!A24</f>
        <v>Enlink Midstream LLC</v>
      </c>
      <c r="C18" s="88" t="str">
        <f>+'S&amp;D'!B24</f>
        <v>ENLC</v>
      </c>
      <c r="D18" s="190">
        <f>+'S&amp;D'!G24</f>
        <v>12.16</v>
      </c>
      <c r="E18" s="330">
        <v>17.649999999999999</v>
      </c>
      <c r="F18" s="381">
        <f t="shared" si="0"/>
        <v>0.68895184135977339</v>
      </c>
      <c r="G18" s="330">
        <v>3.25</v>
      </c>
      <c r="H18" s="381">
        <f t="shared" si="1"/>
        <v>3.7415384615384615</v>
      </c>
    </row>
    <row r="19" spans="2:8" ht="17.25">
      <c r="B19" s="61" t="str">
        <f>+'S&amp;D'!A25</f>
        <v>Enterprise Products Partnership LP</v>
      </c>
      <c r="C19" s="88" t="str">
        <f>+'S&amp;D'!B25</f>
        <v>EPD</v>
      </c>
      <c r="D19" s="190">
        <f>+'S&amp;D'!G25</f>
        <v>26.35</v>
      </c>
      <c r="E19" s="330">
        <v>23.1</v>
      </c>
      <c r="F19" s="381">
        <f t="shared" si="0"/>
        <v>1.1406926406926408</v>
      </c>
      <c r="G19" s="330">
        <v>15.2</v>
      </c>
      <c r="H19" s="381">
        <f t="shared" si="1"/>
        <v>1.7335526315789476</v>
      </c>
    </row>
    <row r="20" spans="2:8" ht="17.25">
      <c r="B20" s="61" t="str">
        <f>+'S&amp;D'!A26</f>
        <v>Kinder Morgan Inc</v>
      </c>
      <c r="C20" s="88" t="str">
        <f>+'S&amp;D'!B26</f>
        <v>KMI</v>
      </c>
      <c r="D20" s="190">
        <f>+'S&amp;D'!G26</f>
        <v>17.64</v>
      </c>
      <c r="E20" s="330">
        <v>7.8</v>
      </c>
      <c r="F20" s="381">
        <f t="shared" si="0"/>
        <v>2.2615384615384615</v>
      </c>
      <c r="G20" s="330">
        <v>15.3</v>
      </c>
      <c r="H20" s="381">
        <f t="shared" si="1"/>
        <v>1.1529411764705881</v>
      </c>
    </row>
    <row r="21" spans="2:8" ht="17.25">
      <c r="B21" s="61" t="str">
        <f>+'S&amp;D'!A27</f>
        <v>ONEOK Inc</v>
      </c>
      <c r="C21" s="88" t="str">
        <f>+'S&amp;D'!B27</f>
        <v>OKE</v>
      </c>
      <c r="D21" s="190">
        <f>+'S&amp;D'!G27</f>
        <v>70.22</v>
      </c>
      <c r="E21" s="330">
        <v>38.25</v>
      </c>
      <c r="F21" s="381">
        <f t="shared" ref="F21:F23" si="2">D21/E21</f>
        <v>1.8358169934640522</v>
      </c>
      <c r="G21" s="330">
        <v>29.55</v>
      </c>
      <c r="H21" s="381">
        <f t="shared" si="1"/>
        <v>2.376311336717428</v>
      </c>
    </row>
    <row r="22" spans="2:8" ht="17.25">
      <c r="B22" s="61" t="str">
        <f>+'S&amp;D'!A28</f>
        <v>TC Energy Corp</v>
      </c>
      <c r="C22" s="88" t="str">
        <f>+'S&amp;D'!B28</f>
        <v>TRP</v>
      </c>
      <c r="D22" s="190">
        <f>+'S&amp;D'!G28</f>
        <v>39.090000000000003</v>
      </c>
      <c r="E22" s="330">
        <v>11.8</v>
      </c>
      <c r="F22" s="381">
        <f t="shared" si="2"/>
        <v>3.3127118644067797</v>
      </c>
      <c r="G22" s="330">
        <v>24.55</v>
      </c>
      <c r="H22" s="381">
        <f t="shared" si="1"/>
        <v>1.5922606924643585</v>
      </c>
    </row>
    <row r="23" spans="2:8" ht="17.25">
      <c r="B23" s="61" t="str">
        <f>+'S&amp;D'!A29</f>
        <v>Williams Companys Inc</v>
      </c>
      <c r="C23" s="88" t="str">
        <f>+'S&amp;D'!B29</f>
        <v>WMB</v>
      </c>
      <c r="D23" s="190">
        <f>+'S&amp;D'!G29</f>
        <v>34.83</v>
      </c>
      <c r="E23" s="330">
        <v>9.9</v>
      </c>
      <c r="F23" s="381">
        <f t="shared" si="2"/>
        <v>3.5181818181818181</v>
      </c>
      <c r="G23" s="330">
        <v>9.65</v>
      </c>
      <c r="H23" s="381">
        <f t="shared" si="1"/>
        <v>3.6093264248704662</v>
      </c>
    </row>
    <row r="24" spans="2:8" ht="11.25" customHeight="1" thickBot="1">
      <c r="B24" s="11"/>
      <c r="C24" s="68"/>
      <c r="D24" s="68"/>
      <c r="E24" s="68"/>
      <c r="F24" s="382"/>
      <c r="G24" s="68"/>
      <c r="H24" s="382"/>
    </row>
    <row r="25" spans="2:8" ht="17.25" thickTop="1">
      <c r="B25" s="11"/>
      <c r="D25" s="13" t="s">
        <v>46</v>
      </c>
      <c r="E25" s="69"/>
      <c r="F25" s="69">
        <f t="shared" ref="F25:H25" si="3">MAX(F16:F23)</f>
        <v>3.5181818181818181</v>
      </c>
      <c r="G25" s="69"/>
      <c r="H25" s="69">
        <f t="shared" si="3"/>
        <v>3.7415384615384615</v>
      </c>
    </row>
    <row r="26" spans="2:8" ht="16.5">
      <c r="B26" s="11"/>
      <c r="D26" s="347" t="s">
        <v>47</v>
      </c>
      <c r="E26" s="351"/>
      <c r="F26" s="351">
        <f t="shared" ref="F26:H26" si="4">MIN(F16:F23)</f>
        <v>0.51977401129943501</v>
      </c>
      <c r="G26" s="351"/>
      <c r="H26" s="351">
        <f t="shared" si="4"/>
        <v>1.1529411764705881</v>
      </c>
    </row>
    <row r="27" spans="2:8" ht="16.5">
      <c r="B27" s="11"/>
      <c r="D27" s="13" t="s">
        <v>18</v>
      </c>
      <c r="E27" s="70" t="s">
        <v>0</v>
      </c>
      <c r="F27" s="20">
        <f>MEDIAN(F16:F23)</f>
        <v>2.0402614379084967</v>
      </c>
      <c r="G27" s="70" t="s">
        <v>0</v>
      </c>
      <c r="H27" s="17">
        <f>MEDIAN(H16:H23)</f>
        <v>1.662906662021653</v>
      </c>
    </row>
    <row r="28" spans="2:8" ht="16.5">
      <c r="B28" s="11"/>
      <c r="D28" s="13" t="s">
        <v>428</v>
      </c>
      <c r="E28" s="16" t="s">
        <v>0</v>
      </c>
      <c r="F28" s="18">
        <f>AVERAGE(F16:F23)</f>
        <v>1.9402966891619877</v>
      </c>
      <c r="G28" s="16" t="s">
        <v>0</v>
      </c>
      <c r="H28" s="17">
        <f>AVERAGE(H16:H23)</f>
        <v>2.1243813562611429</v>
      </c>
    </row>
    <row r="29" spans="2:8" ht="16.5">
      <c r="B29" s="11"/>
      <c r="C29" s="11"/>
      <c r="D29" s="11"/>
      <c r="E29" s="11"/>
      <c r="F29" s="11"/>
      <c r="G29" s="11"/>
      <c r="H29" s="11"/>
    </row>
    <row r="30" spans="2:8" ht="16.5">
      <c r="B30" s="11"/>
      <c r="C30" s="11"/>
      <c r="D30" s="11"/>
      <c r="E30" s="11"/>
      <c r="F30" s="11"/>
      <c r="G30" s="11"/>
      <c r="H30" s="11"/>
    </row>
    <row r="31" spans="2:8" ht="17.25" thickBot="1">
      <c r="B31" s="11"/>
      <c r="C31" s="11"/>
      <c r="D31" s="11"/>
      <c r="E31" s="11"/>
      <c r="F31" s="11"/>
      <c r="H31" s="11"/>
    </row>
    <row r="32" spans="2:8" ht="27" thickBot="1">
      <c r="B32" s="73" t="s">
        <v>0</v>
      </c>
      <c r="C32" s="11"/>
      <c r="D32" s="22" t="s">
        <v>124</v>
      </c>
      <c r="E32" s="22"/>
      <c r="F32" s="247">
        <v>1.94</v>
      </c>
      <c r="H32" s="247">
        <v>2.12</v>
      </c>
    </row>
    <row r="33" spans="1:14" ht="16.5">
      <c r="B33" s="73" t="s">
        <v>0</v>
      </c>
      <c r="C33" s="11"/>
      <c r="D33" s="11"/>
      <c r="E33" s="11"/>
      <c r="F33" s="11"/>
      <c r="H33" s="11"/>
    </row>
    <row r="34" spans="1:14" ht="16.5">
      <c r="B34" s="73"/>
      <c r="C34" s="11"/>
      <c r="D34" s="11"/>
      <c r="E34" s="11"/>
      <c r="F34" s="11"/>
      <c r="H34" s="11"/>
    </row>
    <row r="35" spans="1:14" ht="17.25">
      <c r="A35" s="104" t="s">
        <v>386</v>
      </c>
      <c r="B35" s="73"/>
      <c r="C35" s="11"/>
      <c r="D35" s="11"/>
      <c r="E35" s="11"/>
      <c r="F35" s="11"/>
      <c r="H35" s="11"/>
    </row>
    <row r="36" spans="1:14" ht="17.25">
      <c r="A36" s="104" t="s">
        <v>360</v>
      </c>
      <c r="B36" s="73"/>
      <c r="C36" s="11"/>
      <c r="D36" s="11"/>
      <c r="E36" s="11"/>
      <c r="F36" s="11"/>
      <c r="G36" s="11"/>
      <c r="H36" s="11"/>
    </row>
    <row r="37" spans="1:14" ht="16.5">
      <c r="B37" s="73"/>
      <c r="C37" s="11"/>
      <c r="D37" s="11"/>
      <c r="E37" s="11"/>
      <c r="F37" s="11"/>
      <c r="G37" s="11"/>
      <c r="H37" s="11"/>
    </row>
    <row r="38" spans="1:14" ht="17.25">
      <c r="A38" s="104" t="s">
        <v>387</v>
      </c>
      <c r="B38" s="73"/>
      <c r="C38" s="11"/>
      <c r="D38" s="11"/>
      <c r="E38" s="11"/>
      <c r="F38" s="11"/>
      <c r="G38" s="11"/>
      <c r="H38" s="11"/>
    </row>
    <row r="39" spans="1:14" ht="17.25">
      <c r="A39" s="104" t="s">
        <v>358</v>
      </c>
      <c r="B39" s="73"/>
      <c r="C39" s="11"/>
      <c r="D39" s="11"/>
      <c r="E39" s="11"/>
      <c r="F39" s="11"/>
      <c r="G39" s="11"/>
      <c r="H39" s="11"/>
    </row>
    <row r="40" spans="1:14" ht="17.25">
      <c r="A40" s="104" t="s">
        <v>359</v>
      </c>
      <c r="B40" s="73"/>
      <c r="C40" s="11"/>
      <c r="D40" s="11"/>
      <c r="E40" s="11"/>
      <c r="F40" s="11"/>
      <c r="G40" s="11"/>
      <c r="H40" s="11"/>
    </row>
    <row r="41" spans="1:14" ht="16.5">
      <c r="B41" s="11"/>
      <c r="C41" s="11"/>
      <c r="D41" s="11"/>
      <c r="E41" s="11"/>
      <c r="F41" s="11"/>
      <c r="G41" s="11"/>
      <c r="H41" s="11"/>
      <c r="I41" s="11"/>
      <c r="J41" s="11"/>
      <c r="K41" s="11"/>
      <c r="L41" s="11"/>
      <c r="M41" s="11"/>
      <c r="N41" s="11"/>
    </row>
    <row r="42" spans="1:14" ht="16.5">
      <c r="B42" s="11"/>
      <c r="C42" s="11"/>
      <c r="D42" s="11"/>
      <c r="E42" s="11"/>
      <c r="F42" s="11"/>
      <c r="G42" s="11"/>
      <c r="H42" s="11"/>
      <c r="I42" s="11"/>
      <c r="J42" s="11"/>
      <c r="K42" s="11"/>
      <c r="L42" s="11"/>
      <c r="M42" s="11"/>
      <c r="N42" s="11"/>
    </row>
    <row r="43" spans="1:14" ht="16.5">
      <c r="B43" s="73"/>
      <c r="C43" s="11"/>
      <c r="D43" s="11"/>
      <c r="E43" s="11"/>
      <c r="F43" s="11"/>
      <c r="G43" s="11"/>
      <c r="H43" s="11"/>
    </row>
    <row r="47" spans="1:14" ht="17.25">
      <c r="A47" s="104"/>
      <c r="B47" s="287"/>
      <c r="C47" s="286" t="s">
        <v>0</v>
      </c>
    </row>
    <row r="48" spans="1:14" ht="17.25">
      <c r="C48" s="286" t="s">
        <v>0</v>
      </c>
    </row>
    <row r="49" spans="3:3" ht="17.25">
      <c r="C49" s="286" t="s">
        <v>0</v>
      </c>
    </row>
  </sheetData>
  <pageMargins left="0.25" right="0.25" top="0.75" bottom="0.75" header="0.3" footer="0.3"/>
  <pageSetup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tabSelected="1" view="pageBreakPreview" topLeftCell="A10" zoomScale="80" zoomScaleNormal="80" zoomScaleSheetLayoutView="80" workbookViewId="0">
      <selection activeCell="G30" sqref="G30"/>
    </sheetView>
  </sheetViews>
  <sheetFormatPr defaultRowHeight="15"/>
  <cols>
    <col min="1" max="1" width="22.28515625" customWidth="1"/>
    <col min="2" max="2" width="39.7109375" customWidth="1"/>
    <col min="3" max="3" width="16.85546875" customWidth="1"/>
    <col min="4" max="4" width="35.28515625" customWidth="1"/>
    <col min="5" max="5" width="18" customWidth="1"/>
    <col min="6" max="6" width="20.85546875" bestFit="1" customWidth="1"/>
    <col min="7" max="7" width="22" customWidth="1"/>
    <col min="8" max="8" width="23.7109375" customWidth="1"/>
  </cols>
  <sheetData>
    <row r="1" spans="1:11" ht="26.25">
      <c r="A1" s="22" t="s">
        <v>1</v>
      </c>
      <c r="C1" s="11"/>
      <c r="D1" s="11"/>
      <c r="E1" s="11"/>
      <c r="F1" s="11"/>
      <c r="G1" s="11"/>
      <c r="H1" s="11"/>
      <c r="I1" s="11"/>
      <c r="J1" s="11"/>
      <c r="K1" s="11"/>
    </row>
    <row r="2" spans="1:11" ht="17.25">
      <c r="A2" s="23" t="s">
        <v>9</v>
      </c>
      <c r="C2" s="11"/>
      <c r="D2" s="11"/>
      <c r="E2" s="11"/>
      <c r="F2" s="11"/>
      <c r="G2" s="11"/>
      <c r="H2" s="11"/>
      <c r="I2" s="11"/>
      <c r="J2" s="11"/>
      <c r="K2" s="11"/>
    </row>
    <row r="3" spans="1:11" ht="17.25" customHeight="1">
      <c r="A3" s="24" t="s">
        <v>467</v>
      </c>
      <c r="C3" s="11"/>
      <c r="D3" s="11"/>
      <c r="E3" s="11"/>
      <c r="F3" s="11"/>
      <c r="G3" s="11"/>
      <c r="H3" s="11"/>
      <c r="I3" s="11"/>
      <c r="J3" s="11"/>
      <c r="K3" s="11"/>
    </row>
    <row r="4" spans="1:11" ht="17.25" customHeight="1">
      <c r="B4" s="24"/>
      <c r="C4" s="11"/>
      <c r="D4" s="11"/>
      <c r="E4" s="11"/>
      <c r="F4" s="11"/>
      <c r="G4" s="11"/>
      <c r="H4" s="11"/>
      <c r="I4" s="11"/>
      <c r="J4" s="11"/>
      <c r="K4" s="11"/>
    </row>
    <row r="5" spans="1:11" ht="17.25" customHeight="1">
      <c r="B5" s="149"/>
      <c r="C5" s="11"/>
      <c r="D5" s="11"/>
      <c r="E5" s="11"/>
      <c r="F5" s="11"/>
      <c r="G5" s="11"/>
      <c r="H5" s="11"/>
      <c r="I5" s="11"/>
      <c r="J5" s="11"/>
      <c r="K5" s="11"/>
    </row>
    <row r="6" spans="1:11" ht="17.25" customHeight="1">
      <c r="B6" s="149"/>
      <c r="C6" s="11"/>
      <c r="D6" s="11"/>
      <c r="E6" s="11"/>
      <c r="F6" s="11"/>
      <c r="G6" s="11"/>
      <c r="H6" s="11"/>
      <c r="I6" s="11"/>
      <c r="J6" s="11"/>
      <c r="K6" s="11"/>
    </row>
    <row r="7" spans="1:11" ht="17.25" customHeight="1">
      <c r="B7" s="149"/>
      <c r="C7" s="11"/>
      <c r="D7" s="11"/>
      <c r="E7" s="11"/>
      <c r="F7" s="11"/>
      <c r="G7" s="11"/>
      <c r="H7" s="11"/>
      <c r="I7" s="11"/>
      <c r="J7" s="11"/>
      <c r="K7" s="11"/>
    </row>
    <row r="8" spans="1:11" ht="16.5">
      <c r="B8" s="24"/>
      <c r="C8" s="11"/>
      <c r="D8" s="11"/>
      <c r="E8" s="11"/>
      <c r="F8" s="11"/>
      <c r="G8" s="11"/>
      <c r="H8" s="11"/>
      <c r="I8" s="11"/>
      <c r="J8" s="11"/>
      <c r="K8" s="11"/>
    </row>
    <row r="9" spans="1:11" ht="20.25">
      <c r="B9" s="11"/>
      <c r="C9" s="11"/>
      <c r="D9" s="76" t="s">
        <v>0</v>
      </c>
      <c r="E9" s="11"/>
      <c r="F9" s="11"/>
      <c r="G9" s="11"/>
      <c r="H9" s="11"/>
      <c r="I9" s="11"/>
      <c r="J9" s="11"/>
      <c r="K9" s="11"/>
    </row>
    <row r="10" spans="1:11" ht="20.25">
      <c r="B10" s="11"/>
      <c r="C10" s="11"/>
      <c r="D10" s="76" t="s">
        <v>64</v>
      </c>
      <c r="E10" s="11"/>
      <c r="F10" s="11"/>
      <c r="G10" s="11"/>
      <c r="H10" s="11"/>
      <c r="I10" s="11"/>
      <c r="J10" s="11"/>
      <c r="K10" s="11"/>
    </row>
    <row r="11" spans="1:11" ht="16.5">
      <c r="B11" s="11"/>
      <c r="C11" s="11"/>
      <c r="D11" s="11"/>
      <c r="E11" s="11"/>
      <c r="F11" s="11"/>
      <c r="G11" s="11"/>
      <c r="H11" s="11"/>
      <c r="I11" s="11"/>
      <c r="J11" s="11"/>
      <c r="K11" s="11"/>
    </row>
    <row r="12" spans="1:11" ht="16.5">
      <c r="B12" s="11"/>
      <c r="C12" s="11"/>
      <c r="D12" s="11"/>
      <c r="E12" s="11"/>
      <c r="F12" s="11"/>
      <c r="G12" s="11"/>
      <c r="H12" s="11"/>
      <c r="I12" s="11"/>
      <c r="J12" s="11"/>
      <c r="K12" s="11"/>
    </row>
    <row r="13" spans="1:11" ht="16.5">
      <c r="B13" s="11"/>
      <c r="C13" s="11"/>
      <c r="D13" s="11"/>
      <c r="E13" s="25"/>
      <c r="F13" s="11"/>
      <c r="G13" s="11"/>
      <c r="H13" s="11"/>
      <c r="I13" s="11"/>
      <c r="J13" s="11"/>
      <c r="K13" s="11"/>
    </row>
    <row r="14" spans="1:11" ht="16.5">
      <c r="B14" s="11"/>
      <c r="C14" s="11"/>
      <c r="D14" s="11"/>
      <c r="E14" s="11"/>
      <c r="F14" s="11"/>
      <c r="G14" s="11"/>
      <c r="H14" s="11"/>
      <c r="I14" s="11"/>
      <c r="J14" s="11"/>
      <c r="K14" s="11"/>
    </row>
    <row r="15" spans="1:11" ht="17.25" thickBot="1">
      <c r="B15" s="11"/>
      <c r="C15" s="27"/>
      <c r="D15" s="27"/>
      <c r="E15" s="27"/>
      <c r="F15" s="11"/>
      <c r="G15" s="11"/>
      <c r="H15" s="11"/>
      <c r="I15" s="11"/>
      <c r="J15" s="11"/>
      <c r="K15" s="11"/>
    </row>
    <row r="16" spans="1:11" ht="26.25">
      <c r="B16" s="11"/>
      <c r="C16" s="11"/>
      <c r="D16" s="30" t="str">
        <f>+'S&amp;D'!A12</f>
        <v>Natural Gas Transmission Pipeline Carrier</v>
      </c>
      <c r="E16" s="11"/>
      <c r="F16" s="11"/>
      <c r="G16" s="11"/>
      <c r="H16" s="11"/>
      <c r="I16" s="11"/>
      <c r="J16" s="11"/>
      <c r="K16" s="11"/>
    </row>
    <row r="17" spans="2:11" ht="17.25" thickBot="1">
      <c r="B17" s="11"/>
      <c r="C17" s="27"/>
      <c r="D17" s="35" t="s">
        <v>0</v>
      </c>
      <c r="E17" s="27"/>
      <c r="F17" s="11"/>
      <c r="G17" s="11"/>
      <c r="H17" s="11"/>
      <c r="I17" s="11"/>
      <c r="J17" s="11"/>
      <c r="K17" s="11"/>
    </row>
    <row r="18" spans="2:11" ht="17.25" thickBot="1">
      <c r="B18" s="27"/>
      <c r="C18" s="27"/>
      <c r="D18" s="35" t="s">
        <v>0</v>
      </c>
      <c r="E18" s="27"/>
      <c r="F18" s="27"/>
      <c r="G18" s="27"/>
      <c r="H18" s="11"/>
      <c r="I18" s="11"/>
      <c r="J18" s="11"/>
      <c r="K18" s="11"/>
    </row>
    <row r="19" spans="2:11" ht="16.5">
      <c r="B19" s="33" t="s">
        <v>32</v>
      </c>
      <c r="C19" s="33" t="s">
        <v>33</v>
      </c>
      <c r="D19" s="33" t="s">
        <v>34</v>
      </c>
      <c r="E19" s="33" t="s">
        <v>68</v>
      </c>
      <c r="F19" s="33" t="s">
        <v>34</v>
      </c>
      <c r="G19" s="33" t="s">
        <v>35</v>
      </c>
      <c r="H19" s="11"/>
      <c r="I19" s="11"/>
      <c r="J19" s="11"/>
      <c r="K19" s="11"/>
    </row>
    <row r="20" spans="2:11" ht="17.25" thickBot="1">
      <c r="B20" s="35" t="s">
        <v>33</v>
      </c>
      <c r="C20" s="35" t="s">
        <v>36</v>
      </c>
      <c r="D20" s="35" t="s">
        <v>37</v>
      </c>
      <c r="E20" s="35" t="s">
        <v>23</v>
      </c>
      <c r="F20" s="35" t="s">
        <v>38</v>
      </c>
      <c r="G20" s="35" t="s">
        <v>39</v>
      </c>
      <c r="H20" s="11"/>
      <c r="I20" s="11"/>
      <c r="J20" s="11"/>
      <c r="K20" s="11"/>
    </row>
    <row r="21" spans="2:11" ht="16.5">
      <c r="B21" s="37" t="s">
        <v>0</v>
      </c>
      <c r="C21" s="37" t="s">
        <v>0</v>
      </c>
      <c r="D21" s="37" t="s">
        <v>0</v>
      </c>
      <c r="E21" s="37" t="s">
        <v>0</v>
      </c>
      <c r="F21" s="37" t="s">
        <v>0</v>
      </c>
      <c r="G21" s="37" t="s">
        <v>0</v>
      </c>
      <c r="H21" s="11"/>
      <c r="I21" s="11"/>
      <c r="J21" s="11"/>
      <c r="K21" s="11"/>
    </row>
    <row r="22" spans="2:11" ht="16.5">
      <c r="B22" s="33"/>
      <c r="C22" s="33"/>
      <c r="D22" s="33"/>
      <c r="E22" s="33"/>
      <c r="F22" s="33"/>
      <c r="G22" s="33"/>
      <c r="H22" s="11"/>
      <c r="I22" s="11"/>
      <c r="J22" s="11"/>
      <c r="K22" s="11"/>
    </row>
    <row r="23" spans="2:11" ht="17.25">
      <c r="B23" s="88" t="s">
        <v>40</v>
      </c>
      <c r="C23" s="141">
        <f>'S&amp;D'!I51</f>
        <v>0.56999999999999995</v>
      </c>
      <c r="D23" s="141">
        <f>+'Indicated Yield Equity Rate '!D52</f>
        <v>0.1046</v>
      </c>
      <c r="E23" s="101" t="s">
        <v>41</v>
      </c>
      <c r="F23" s="141">
        <f>+D23</f>
        <v>0.1046</v>
      </c>
      <c r="G23" s="142">
        <f>+F23*C23</f>
        <v>5.9621999999999994E-2</v>
      </c>
      <c r="H23" s="11"/>
      <c r="I23" s="11"/>
      <c r="J23" s="11"/>
      <c r="K23" s="11"/>
    </row>
    <row r="24" spans="2:11" ht="17.25">
      <c r="B24" s="88" t="s">
        <v>0</v>
      </c>
      <c r="C24" s="101" t="s">
        <v>0</v>
      </c>
      <c r="D24" s="101" t="s">
        <v>0</v>
      </c>
      <c r="E24" s="101" t="s">
        <v>0</v>
      </c>
      <c r="F24" s="143" t="s">
        <v>0</v>
      </c>
      <c r="G24" s="125" t="s">
        <v>0</v>
      </c>
      <c r="H24" s="11"/>
      <c r="I24" s="11"/>
      <c r="J24" s="11"/>
      <c r="K24" s="11"/>
    </row>
    <row r="25" spans="2:11" ht="17.25">
      <c r="B25" s="88" t="s">
        <v>42</v>
      </c>
      <c r="C25" s="141">
        <f>'S&amp;D'!J51</f>
        <v>0.43</v>
      </c>
      <c r="D25" s="141">
        <f>+'Yield Debt'!J30</f>
        <v>5.9900000000000002E-2</v>
      </c>
      <c r="E25" s="141">
        <v>0.26</v>
      </c>
      <c r="F25" s="141">
        <f>+D25*(1-E25)</f>
        <v>4.4326000000000004E-2</v>
      </c>
      <c r="G25" s="142">
        <f>+C25*F25</f>
        <v>1.9060180000000003E-2</v>
      </c>
      <c r="H25" s="11"/>
      <c r="I25" s="11"/>
      <c r="J25" s="11"/>
      <c r="K25" s="11"/>
    </row>
    <row r="26" spans="2:11" ht="18" thickBot="1">
      <c r="B26" s="95" t="s">
        <v>0</v>
      </c>
      <c r="C26" s="95" t="s">
        <v>0</v>
      </c>
      <c r="D26" s="95" t="s">
        <v>0</v>
      </c>
      <c r="E26" s="95" t="s">
        <v>0</v>
      </c>
      <c r="F26" s="144" t="s">
        <v>0</v>
      </c>
      <c r="G26" s="145" t="s">
        <v>0</v>
      </c>
      <c r="H26" s="11"/>
      <c r="I26" s="11"/>
      <c r="J26" s="11"/>
      <c r="K26" s="11"/>
    </row>
    <row r="27" spans="2:11" ht="17.25">
      <c r="B27" s="88" t="s">
        <v>71</v>
      </c>
      <c r="C27" s="146">
        <f>+C23+C25</f>
        <v>1</v>
      </c>
      <c r="D27" s="88" t="s">
        <v>0</v>
      </c>
      <c r="E27" s="88" t="s">
        <v>0</v>
      </c>
      <c r="F27" s="147" t="s">
        <v>0</v>
      </c>
      <c r="G27" s="142">
        <f>+G23+G25</f>
        <v>7.868217999999999E-2</v>
      </c>
      <c r="H27" s="11"/>
      <c r="I27" s="11"/>
      <c r="J27" s="11"/>
      <c r="K27" s="11"/>
    </row>
    <row r="28" spans="2:11" ht="18" thickBot="1">
      <c r="B28" s="61"/>
      <c r="C28" s="61"/>
      <c r="D28" s="61"/>
      <c r="E28" s="61"/>
      <c r="F28" s="61"/>
      <c r="G28" s="148"/>
      <c r="H28" s="11"/>
      <c r="I28" s="11"/>
      <c r="J28" s="11"/>
      <c r="K28" s="11"/>
    </row>
    <row r="29" spans="2:11" ht="18" thickBot="1">
      <c r="B29" s="11"/>
      <c r="C29" s="11"/>
      <c r="D29" s="11"/>
      <c r="E29" s="11"/>
      <c r="F29" s="212" t="s">
        <v>74</v>
      </c>
      <c r="G29" s="315">
        <v>7.8700000000000006E-2</v>
      </c>
      <c r="H29" s="11"/>
      <c r="I29" s="11"/>
      <c r="J29" s="11"/>
      <c r="K29" s="11"/>
    </row>
    <row r="30" spans="2:11" ht="16.5">
      <c r="B30" s="11"/>
      <c r="C30" s="11"/>
      <c r="D30" s="11"/>
      <c r="E30" s="11"/>
      <c r="F30" s="11"/>
      <c r="G30" s="11"/>
      <c r="H30" s="11"/>
      <c r="I30" s="11"/>
      <c r="J30" s="11"/>
      <c r="K30" s="11"/>
    </row>
    <row r="31" spans="2:11" ht="16.5">
      <c r="B31" s="11"/>
      <c r="C31" s="11"/>
      <c r="D31" s="11"/>
      <c r="E31" s="11"/>
      <c r="F31" s="11"/>
      <c r="G31" s="11"/>
      <c r="H31" s="11"/>
      <c r="I31" s="11"/>
      <c r="J31" s="11"/>
      <c r="K31" s="11"/>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Q47" sqref="Q47"/>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topLeftCell="A20" zoomScale="80" zoomScaleNormal="80" zoomScaleSheetLayoutView="80" workbookViewId="0">
      <selection activeCell="G63" sqref="G63"/>
    </sheetView>
  </sheetViews>
  <sheetFormatPr defaultRowHeight="15"/>
  <cols>
    <col min="1" max="1" width="17.28515625" customWidth="1"/>
    <col min="2" max="2" width="31.7109375" customWidth="1"/>
    <col min="3" max="3" width="16.5703125" customWidth="1"/>
    <col min="4" max="4" width="35.28515625" customWidth="1"/>
    <col min="5" max="5" width="14.85546875" customWidth="1"/>
    <col min="6" max="6" width="25.85546875" customWidth="1"/>
    <col min="7" max="7" width="24.140625" customWidth="1"/>
    <col min="8" max="8" width="17.7109375" customWidth="1"/>
  </cols>
  <sheetData>
    <row r="1" spans="1:11" ht="26.25">
      <c r="A1" s="22" t="s">
        <v>1</v>
      </c>
      <c r="C1" s="11"/>
      <c r="D1" s="11"/>
      <c r="E1" s="11"/>
      <c r="F1" s="11"/>
      <c r="G1" s="11"/>
      <c r="H1" s="11"/>
      <c r="I1" s="11"/>
      <c r="J1" s="11"/>
      <c r="K1" s="11"/>
    </row>
    <row r="2" spans="1:11" ht="17.25">
      <c r="A2" s="23" t="s">
        <v>9</v>
      </c>
      <c r="C2" s="11"/>
      <c r="D2" s="11"/>
      <c r="E2" s="11"/>
      <c r="F2" s="11"/>
      <c r="G2" s="11"/>
      <c r="H2" s="11"/>
      <c r="I2" s="11"/>
      <c r="J2" s="11"/>
      <c r="K2" s="11"/>
    </row>
    <row r="3" spans="1:11" ht="16.5">
      <c r="A3" s="24" t="s">
        <v>467</v>
      </c>
      <c r="C3" s="11"/>
      <c r="D3" s="11"/>
      <c r="E3" s="11"/>
      <c r="F3" s="11"/>
      <c r="G3" s="11"/>
      <c r="H3" s="11"/>
      <c r="I3" s="11"/>
      <c r="J3" s="11"/>
      <c r="K3" s="11"/>
    </row>
    <row r="4" spans="1:11" ht="16.5">
      <c r="B4" s="24"/>
      <c r="C4" s="11"/>
      <c r="D4" s="11"/>
      <c r="E4" s="11"/>
      <c r="F4" s="11"/>
      <c r="G4" s="11"/>
      <c r="H4" s="11"/>
      <c r="I4" s="11"/>
      <c r="J4" s="11"/>
      <c r="K4" s="11"/>
    </row>
    <row r="5" spans="1:11" ht="16.5">
      <c r="B5" s="24"/>
      <c r="C5" s="11"/>
      <c r="D5" s="11"/>
      <c r="E5" s="11"/>
      <c r="F5" s="11"/>
      <c r="G5" s="11"/>
      <c r="H5" s="11"/>
      <c r="I5" s="11"/>
      <c r="J5" s="11"/>
      <c r="K5" s="11"/>
    </row>
    <row r="6" spans="1:11" ht="16.5">
      <c r="B6" s="24"/>
      <c r="C6" s="11"/>
      <c r="D6" s="11"/>
      <c r="E6" s="11"/>
      <c r="F6" s="11"/>
      <c r="G6" s="11"/>
      <c r="H6" s="11"/>
      <c r="I6" s="11"/>
      <c r="J6" s="11"/>
      <c r="K6" s="11"/>
    </row>
    <row r="7" spans="1:11" ht="16.5">
      <c r="B7" s="24"/>
      <c r="C7" s="11"/>
      <c r="D7" s="11"/>
      <c r="E7" s="11"/>
      <c r="F7" s="11"/>
      <c r="G7" s="11"/>
      <c r="H7" s="11"/>
      <c r="I7" s="11"/>
      <c r="J7" s="11"/>
      <c r="K7" s="11"/>
    </row>
    <row r="8" spans="1:11" ht="16.5">
      <c r="B8" s="24"/>
      <c r="C8" s="11"/>
      <c r="D8" s="11"/>
      <c r="E8" s="11"/>
      <c r="F8" s="11"/>
      <c r="G8" s="11"/>
      <c r="H8" s="11"/>
      <c r="I8" s="11"/>
      <c r="J8" s="11"/>
      <c r="K8" s="11"/>
    </row>
    <row r="9" spans="1:11" ht="16.5">
      <c r="B9" s="24"/>
      <c r="C9" s="11"/>
      <c r="D9" s="11"/>
      <c r="E9" s="11"/>
      <c r="F9" s="11"/>
      <c r="G9" s="11"/>
      <c r="H9" s="11"/>
      <c r="I9" s="11"/>
      <c r="J9" s="11"/>
      <c r="K9" s="11"/>
    </row>
    <row r="10" spans="1:11" ht="20.25">
      <c r="B10" s="11"/>
      <c r="C10" s="11"/>
      <c r="D10" s="76" t="s">
        <v>0</v>
      </c>
      <c r="E10" s="11"/>
      <c r="F10" s="11"/>
      <c r="G10" s="11"/>
      <c r="H10" s="11"/>
      <c r="I10" s="11"/>
      <c r="J10" s="11"/>
      <c r="K10" s="11"/>
    </row>
    <row r="11" spans="1:11" ht="20.25">
      <c r="B11" s="11"/>
      <c r="C11" s="11"/>
      <c r="D11" s="76" t="s">
        <v>63</v>
      </c>
      <c r="E11" s="11"/>
      <c r="F11" s="11"/>
      <c r="G11" s="11"/>
      <c r="H11" s="11"/>
      <c r="I11" s="11"/>
      <c r="J11" s="11"/>
      <c r="K11" s="11"/>
    </row>
    <row r="12" spans="1:11" ht="16.5">
      <c r="B12" s="11"/>
      <c r="C12" s="11"/>
      <c r="D12" s="11"/>
      <c r="E12" s="11"/>
      <c r="F12" s="11"/>
      <c r="G12" s="11"/>
      <c r="H12" s="11"/>
      <c r="I12" s="11"/>
      <c r="J12" s="11"/>
      <c r="K12" s="11"/>
    </row>
    <row r="13" spans="1:11" ht="16.5">
      <c r="B13" s="11"/>
      <c r="C13" s="11"/>
      <c r="D13" s="11"/>
      <c r="E13" s="11"/>
      <c r="F13" s="11"/>
      <c r="G13" s="11"/>
      <c r="H13" s="11"/>
      <c r="I13" s="11"/>
      <c r="J13" s="11"/>
      <c r="K13" s="11"/>
    </row>
    <row r="14" spans="1:11" ht="17.25" thickBot="1">
      <c r="B14" s="11"/>
      <c r="C14" s="27"/>
      <c r="D14" s="27"/>
      <c r="E14" s="27"/>
      <c r="F14" s="11"/>
      <c r="G14" s="11"/>
      <c r="H14" s="11"/>
      <c r="I14" s="11"/>
      <c r="J14" s="11"/>
      <c r="K14" s="11"/>
    </row>
    <row r="15" spans="1:11" ht="26.25">
      <c r="B15" s="11"/>
      <c r="C15" s="11"/>
      <c r="D15" s="30" t="str">
        <f>'S&amp;D'!A12</f>
        <v>Natural Gas Transmission Pipeline Carrier</v>
      </c>
      <c r="E15" s="11"/>
      <c r="F15" s="11"/>
      <c r="G15" s="11"/>
      <c r="H15" s="11"/>
      <c r="I15" s="11"/>
      <c r="J15" s="11"/>
      <c r="K15" s="11"/>
    </row>
    <row r="16" spans="1:11" ht="21" thickBot="1">
      <c r="B16" s="11"/>
      <c r="C16" s="27"/>
      <c r="D16" s="140" t="s">
        <v>70</v>
      </c>
      <c r="E16" s="27"/>
      <c r="F16" s="11"/>
      <c r="G16" s="11"/>
      <c r="H16" s="11"/>
      <c r="I16" s="11"/>
      <c r="J16" s="11"/>
      <c r="K16" s="11"/>
    </row>
    <row r="17" spans="2:11" ht="16.5">
      <c r="H17" s="11"/>
      <c r="I17" s="11"/>
      <c r="J17" s="11"/>
      <c r="K17" s="11"/>
    </row>
    <row r="18" spans="2:11" ht="17.25" thickBot="1">
      <c r="B18" s="27"/>
      <c r="C18" s="27"/>
      <c r="D18" s="35" t="s">
        <v>0</v>
      </c>
      <c r="E18" s="27"/>
      <c r="F18" s="27"/>
      <c r="G18" s="27"/>
      <c r="H18" s="11"/>
      <c r="I18" s="11"/>
      <c r="J18" s="11"/>
      <c r="K18" s="11"/>
    </row>
    <row r="19" spans="2:11" ht="16.5">
      <c r="B19" s="33" t="s">
        <v>32</v>
      </c>
      <c r="C19" s="33" t="s">
        <v>33</v>
      </c>
      <c r="D19" s="33" t="s">
        <v>67</v>
      </c>
      <c r="E19" s="33" t="s">
        <v>68</v>
      </c>
      <c r="F19" s="33" t="s">
        <v>66</v>
      </c>
      <c r="G19" s="33" t="s">
        <v>35</v>
      </c>
      <c r="H19" s="11"/>
      <c r="I19" s="11"/>
      <c r="J19" s="11"/>
      <c r="K19" s="11"/>
    </row>
    <row r="20" spans="2:11" ht="17.25" thickBot="1">
      <c r="B20" s="35" t="s">
        <v>33</v>
      </c>
      <c r="C20" s="35" t="s">
        <v>36</v>
      </c>
      <c r="D20" s="35" t="s">
        <v>37</v>
      </c>
      <c r="E20" s="35" t="s">
        <v>23</v>
      </c>
      <c r="F20" s="35" t="s">
        <v>38</v>
      </c>
      <c r="G20" s="35" t="s">
        <v>69</v>
      </c>
      <c r="H20" s="11"/>
      <c r="I20" s="11"/>
      <c r="J20" s="11"/>
      <c r="K20" s="11"/>
    </row>
    <row r="21" spans="2:11" ht="16.5">
      <c r="B21" s="37" t="s">
        <v>0</v>
      </c>
      <c r="C21" s="37" t="s">
        <v>0</v>
      </c>
      <c r="D21" s="37" t="s">
        <v>0</v>
      </c>
      <c r="E21" s="37" t="s">
        <v>0</v>
      </c>
      <c r="F21" s="37" t="s">
        <v>0</v>
      </c>
      <c r="G21" s="37" t="s">
        <v>0</v>
      </c>
      <c r="H21" s="11"/>
      <c r="I21" s="11"/>
      <c r="J21" s="11"/>
      <c r="K21" s="11"/>
    </row>
    <row r="22" spans="2:11" ht="16.5">
      <c r="B22" s="33"/>
      <c r="C22" s="33"/>
      <c r="D22" s="33"/>
      <c r="E22" s="33"/>
      <c r="F22" s="33"/>
      <c r="G22" s="33"/>
      <c r="H22" s="11"/>
      <c r="I22" s="11"/>
      <c r="J22" s="11"/>
      <c r="K22" s="11"/>
    </row>
    <row r="23" spans="2:11" ht="17.25">
      <c r="B23" s="88" t="s">
        <v>40</v>
      </c>
      <c r="C23" s="141">
        <f>'S&amp;D'!I51</f>
        <v>0.56999999999999995</v>
      </c>
      <c r="D23" s="141">
        <f>+'Direct NOPAT'!J34</f>
        <v>7.7100000000000002E-2</v>
      </c>
      <c r="E23" s="101" t="s">
        <v>41</v>
      </c>
      <c r="F23" s="141">
        <f>+D23</f>
        <v>7.7100000000000002E-2</v>
      </c>
      <c r="G23" s="142">
        <f>+F23*C23</f>
        <v>4.3947E-2</v>
      </c>
      <c r="H23" s="11"/>
      <c r="I23" s="11"/>
      <c r="J23" s="11"/>
      <c r="K23" s="11"/>
    </row>
    <row r="24" spans="2:11" ht="17.25">
      <c r="B24" s="88" t="s">
        <v>0</v>
      </c>
      <c r="C24" s="101" t="s">
        <v>0</v>
      </c>
      <c r="D24" s="101" t="s">
        <v>0</v>
      </c>
      <c r="E24" s="101" t="s">
        <v>0</v>
      </c>
      <c r="F24" s="143" t="s">
        <v>0</v>
      </c>
      <c r="G24" s="125" t="s">
        <v>0</v>
      </c>
      <c r="H24" s="11"/>
      <c r="I24" s="11"/>
      <c r="J24" s="11"/>
      <c r="K24" s="11"/>
    </row>
    <row r="25" spans="2:11" ht="17.25">
      <c r="B25" s="88" t="s">
        <v>42</v>
      </c>
      <c r="C25" s="141">
        <f>'S&amp;D'!J51</f>
        <v>0.43</v>
      </c>
      <c r="D25" s="141">
        <f>+'Direct Debt'!I34</f>
        <v>5.4600000000000003E-2</v>
      </c>
      <c r="E25" s="141">
        <v>0.26</v>
      </c>
      <c r="F25" s="141">
        <f>+D25*(1-E25)</f>
        <v>4.0404000000000002E-2</v>
      </c>
      <c r="G25" s="142">
        <f>+C25*F25</f>
        <v>1.7373720000000002E-2</v>
      </c>
      <c r="H25" s="11"/>
      <c r="I25" s="11"/>
      <c r="J25" s="11"/>
      <c r="K25" s="11"/>
    </row>
    <row r="26" spans="2:11" ht="18" thickBot="1">
      <c r="B26" s="95" t="s">
        <v>0</v>
      </c>
      <c r="C26" s="95" t="s">
        <v>0</v>
      </c>
      <c r="D26" s="95" t="s">
        <v>0</v>
      </c>
      <c r="E26" s="95" t="s">
        <v>0</v>
      </c>
      <c r="F26" s="144" t="s">
        <v>0</v>
      </c>
      <c r="G26" s="145" t="s">
        <v>0</v>
      </c>
      <c r="H26" s="11"/>
      <c r="I26" s="11"/>
      <c r="J26" s="11"/>
      <c r="K26" s="11"/>
    </row>
    <row r="27" spans="2:11" ht="17.25">
      <c r="B27" s="88" t="s">
        <v>43</v>
      </c>
      <c r="C27" s="146">
        <f>+C23+C25</f>
        <v>1</v>
      </c>
      <c r="D27" s="88" t="s">
        <v>0</v>
      </c>
      <c r="E27" s="88" t="s">
        <v>0</v>
      </c>
      <c r="F27" s="147" t="s">
        <v>0</v>
      </c>
      <c r="G27" s="142">
        <f>+G23+G25</f>
        <v>6.1320720000000002E-2</v>
      </c>
      <c r="H27" s="11"/>
      <c r="I27" s="11"/>
      <c r="J27" s="11"/>
      <c r="K27" s="11"/>
    </row>
    <row r="28" spans="2:11" ht="18" thickBot="1">
      <c r="B28" s="61"/>
      <c r="C28" s="61"/>
      <c r="D28" s="61"/>
      <c r="E28" s="61"/>
      <c r="F28" s="61"/>
      <c r="G28" s="148"/>
      <c r="H28" s="11"/>
      <c r="I28" s="11"/>
      <c r="J28" s="11"/>
      <c r="K28" s="11"/>
    </row>
    <row r="29" spans="2:11" ht="18" thickBot="1">
      <c r="B29" s="11"/>
      <c r="C29" s="11"/>
      <c r="D29" s="11"/>
      <c r="E29" s="11"/>
      <c r="F29" s="212" t="s">
        <v>74</v>
      </c>
      <c r="G29" s="315">
        <v>6.13E-2</v>
      </c>
      <c r="H29" s="11"/>
      <c r="I29" s="11"/>
      <c r="J29" s="11"/>
      <c r="K29" s="11"/>
    </row>
    <row r="30" spans="2:11" ht="18" thickBot="1">
      <c r="B30" s="11"/>
      <c r="C30" s="11"/>
      <c r="D30" s="11"/>
      <c r="E30" s="11"/>
      <c r="F30" s="147"/>
      <c r="G30" s="142"/>
      <c r="H30" s="11"/>
      <c r="I30" s="11"/>
      <c r="J30" s="11"/>
      <c r="K30" s="11"/>
    </row>
    <row r="31" spans="2:11" ht="18" thickBot="1">
      <c r="B31" s="11"/>
      <c r="C31" s="11"/>
      <c r="D31" s="11"/>
      <c r="E31" s="11"/>
      <c r="F31" s="212" t="s">
        <v>235</v>
      </c>
      <c r="G31" s="248">
        <f>1/G29</f>
        <v>16.31321370309951</v>
      </c>
      <c r="H31" s="11"/>
      <c r="I31" s="11"/>
      <c r="J31" s="11"/>
      <c r="K31" s="11"/>
    </row>
    <row r="32" spans="2:11" ht="17.25">
      <c r="B32" s="11"/>
      <c r="C32" s="11"/>
      <c r="D32" s="11"/>
      <c r="E32" s="11"/>
      <c r="F32" s="147"/>
      <c r="G32" s="142"/>
      <c r="H32" s="11"/>
      <c r="I32" s="11"/>
      <c r="J32" s="11"/>
      <c r="K32" s="11"/>
    </row>
    <row r="33" spans="1:11" ht="17.25">
      <c r="B33" s="11"/>
      <c r="C33" s="11"/>
      <c r="D33" s="11"/>
      <c r="E33" s="11"/>
      <c r="F33" s="147"/>
      <c r="G33" s="142"/>
      <c r="H33" s="11"/>
      <c r="I33" s="11"/>
      <c r="J33" s="11"/>
      <c r="K33" s="11"/>
    </row>
    <row r="34" spans="1:11" ht="26.25">
      <c r="A34" s="22" t="s">
        <v>1</v>
      </c>
      <c r="C34" s="11"/>
      <c r="D34" s="11"/>
      <c r="E34" s="11"/>
      <c r="F34" s="147"/>
      <c r="G34" s="142"/>
      <c r="H34" s="11"/>
      <c r="I34" s="11"/>
      <c r="J34" s="11"/>
      <c r="K34" s="11"/>
    </row>
    <row r="35" spans="1:11" ht="17.25">
      <c r="A35" s="23" t="s">
        <v>9</v>
      </c>
      <c r="C35" s="11"/>
      <c r="D35" s="11"/>
      <c r="E35" s="11"/>
      <c r="F35" s="147"/>
      <c r="G35" s="142"/>
      <c r="H35" s="11"/>
      <c r="I35" s="11"/>
      <c r="J35" s="11"/>
      <c r="K35" s="11"/>
    </row>
    <row r="36" spans="1:11" ht="17.25">
      <c r="A36" s="24" t="s">
        <v>467</v>
      </c>
      <c r="C36" s="11"/>
      <c r="D36" s="11"/>
      <c r="E36" s="11"/>
      <c r="F36" s="147"/>
      <c r="G36" s="142"/>
      <c r="H36" s="11"/>
      <c r="I36" s="11"/>
      <c r="J36" s="11"/>
      <c r="K36" s="11"/>
    </row>
    <row r="37" spans="1:11" ht="17.25">
      <c r="A37" s="24"/>
      <c r="C37" s="11"/>
      <c r="D37" s="11"/>
      <c r="E37" s="11"/>
      <c r="F37" s="147"/>
      <c r="G37" s="142"/>
      <c r="H37" s="11"/>
      <c r="I37" s="11"/>
      <c r="J37" s="11"/>
      <c r="K37" s="11"/>
    </row>
    <row r="38" spans="1:11" ht="17.25">
      <c r="A38" s="24"/>
      <c r="C38" s="11"/>
      <c r="D38" s="11"/>
      <c r="E38" s="11"/>
      <c r="F38" s="147"/>
      <c r="G38" s="142"/>
      <c r="H38" s="11"/>
      <c r="I38" s="11"/>
      <c r="J38" s="11"/>
      <c r="K38" s="11"/>
    </row>
    <row r="39" spans="1:11" ht="17.25">
      <c r="A39" s="24"/>
      <c r="C39" s="11"/>
      <c r="D39" s="11"/>
      <c r="E39" s="11"/>
      <c r="F39" s="147"/>
      <c r="G39" s="142"/>
      <c r="H39" s="11"/>
      <c r="I39" s="11"/>
      <c r="J39" s="11"/>
      <c r="K39" s="11"/>
    </row>
    <row r="40" spans="1:11" ht="17.25">
      <c r="A40" s="24"/>
      <c r="C40" s="11"/>
      <c r="D40" s="11"/>
      <c r="E40" s="11"/>
      <c r="F40" s="147"/>
      <c r="G40" s="142"/>
      <c r="H40" s="11"/>
      <c r="I40" s="11"/>
      <c r="J40" s="11"/>
      <c r="K40" s="11"/>
    </row>
    <row r="41" spans="1:11" ht="17.25">
      <c r="A41" s="24"/>
      <c r="C41" s="11"/>
      <c r="D41" s="11"/>
      <c r="E41" s="11"/>
      <c r="F41" s="147"/>
      <c r="G41" s="142"/>
      <c r="H41" s="11"/>
      <c r="I41" s="11"/>
      <c r="J41" s="11"/>
      <c r="K41" s="11"/>
    </row>
    <row r="42" spans="1:11" ht="17.25">
      <c r="A42" s="24"/>
      <c r="C42" s="11"/>
      <c r="D42" s="11"/>
      <c r="E42" s="11"/>
      <c r="F42" s="147"/>
      <c r="G42" s="142"/>
      <c r="H42" s="11"/>
      <c r="I42" s="11"/>
      <c r="J42" s="11"/>
      <c r="K42" s="11"/>
    </row>
    <row r="43" spans="1:11" ht="17.25">
      <c r="A43" s="24"/>
      <c r="C43" s="11"/>
      <c r="D43" s="11"/>
      <c r="E43" s="11"/>
      <c r="F43" s="147"/>
      <c r="G43" s="142"/>
      <c r="H43" s="11"/>
      <c r="I43" s="11"/>
      <c r="J43" s="11"/>
      <c r="K43" s="11"/>
    </row>
    <row r="44" spans="1:11" ht="20.25">
      <c r="A44" s="24"/>
      <c r="C44" s="11"/>
      <c r="D44" s="76" t="s">
        <v>63</v>
      </c>
      <c r="E44" s="11"/>
      <c r="F44" s="147"/>
      <c r="G44" s="142"/>
      <c r="H44" s="11"/>
      <c r="I44" s="11"/>
      <c r="J44" s="11"/>
      <c r="K44" s="11"/>
    </row>
    <row r="45" spans="1:11" ht="20.25">
      <c r="A45" s="24"/>
      <c r="C45" s="11"/>
      <c r="D45" s="76"/>
      <c r="E45" s="11"/>
      <c r="F45" s="147"/>
      <c r="G45" s="142"/>
      <c r="H45" s="11"/>
      <c r="I45" s="11"/>
      <c r="J45" s="11"/>
      <c r="K45" s="11"/>
    </row>
    <row r="46" spans="1:11" ht="20.25">
      <c r="A46" s="24"/>
      <c r="C46" s="11"/>
      <c r="D46" s="76"/>
      <c r="E46" s="11"/>
      <c r="F46" s="147"/>
      <c r="G46" s="142"/>
      <c r="H46" s="11"/>
      <c r="I46" s="11"/>
      <c r="J46" s="11"/>
      <c r="K46" s="11"/>
    </row>
    <row r="47" spans="1:11" ht="17.25" thickBot="1">
      <c r="B47" s="11"/>
      <c r="C47" s="27"/>
      <c r="D47" s="27"/>
      <c r="E47" s="27"/>
      <c r="F47" s="11"/>
      <c r="G47" s="11"/>
      <c r="H47" s="11"/>
      <c r="I47" s="11"/>
      <c r="J47" s="11"/>
      <c r="K47" s="11"/>
    </row>
    <row r="48" spans="1:11" ht="26.25">
      <c r="B48" s="11"/>
      <c r="C48" s="11"/>
      <c r="D48" s="30" t="str">
        <f>+'S&amp;D'!A12</f>
        <v>Natural Gas Transmission Pipeline Carrier</v>
      </c>
      <c r="E48" s="11"/>
      <c r="F48" s="11"/>
      <c r="G48" s="11"/>
      <c r="H48" s="11"/>
      <c r="I48" s="11"/>
      <c r="J48" s="11"/>
      <c r="K48" s="11"/>
    </row>
    <row r="49" spans="2:11" ht="21" thickBot="1">
      <c r="B49" s="11"/>
      <c r="C49" s="27"/>
      <c r="D49" s="140" t="s">
        <v>65</v>
      </c>
      <c r="E49" s="27"/>
      <c r="F49" s="11"/>
      <c r="G49" s="11"/>
      <c r="H49" s="11"/>
      <c r="I49" s="11"/>
      <c r="J49" s="11"/>
      <c r="K49" s="11"/>
    </row>
    <row r="50" spans="2:11" ht="16.5">
      <c r="B50" s="11"/>
      <c r="C50" s="11"/>
      <c r="D50" s="11"/>
      <c r="E50" s="11"/>
      <c r="F50" s="11"/>
      <c r="G50" s="11"/>
      <c r="H50" s="11"/>
      <c r="I50" s="11"/>
      <c r="J50" s="11"/>
      <c r="K50" s="11"/>
    </row>
    <row r="51" spans="2:11" ht="17.25" thickBot="1">
      <c r="B51" s="27"/>
      <c r="C51" s="27"/>
      <c r="D51" s="35" t="s">
        <v>0</v>
      </c>
      <c r="E51" s="27"/>
      <c r="F51" s="27"/>
      <c r="G51" s="27"/>
      <c r="H51" s="11"/>
      <c r="I51" s="11"/>
      <c r="J51" s="11"/>
      <c r="K51" s="11"/>
    </row>
    <row r="52" spans="2:11" ht="16.5">
      <c r="B52" s="33" t="s">
        <v>32</v>
      </c>
      <c r="C52" s="33" t="s">
        <v>33</v>
      </c>
      <c r="D52" s="33" t="s">
        <v>67</v>
      </c>
      <c r="E52" s="33" t="s">
        <v>68</v>
      </c>
      <c r="F52" s="33" t="s">
        <v>66</v>
      </c>
      <c r="G52" s="33" t="s">
        <v>35</v>
      </c>
      <c r="H52" s="11"/>
      <c r="I52" s="11"/>
      <c r="J52" s="11"/>
      <c r="K52" s="11"/>
    </row>
    <row r="53" spans="2:11" ht="17.25" thickBot="1">
      <c r="B53" s="35" t="s">
        <v>33</v>
      </c>
      <c r="C53" s="35" t="s">
        <v>36</v>
      </c>
      <c r="D53" s="35" t="s">
        <v>37</v>
      </c>
      <c r="E53" s="35" t="s">
        <v>23</v>
      </c>
      <c r="F53" s="35" t="s">
        <v>38</v>
      </c>
      <c r="G53" s="35" t="s">
        <v>69</v>
      </c>
      <c r="H53" s="11"/>
      <c r="I53" s="11"/>
      <c r="J53" s="11"/>
      <c r="K53" s="11"/>
    </row>
    <row r="54" spans="2:11" ht="16.5">
      <c r="B54" s="37" t="s">
        <v>0</v>
      </c>
      <c r="C54" s="37" t="s">
        <v>0</v>
      </c>
      <c r="D54" s="37" t="s">
        <v>0</v>
      </c>
      <c r="E54" s="37" t="s">
        <v>0</v>
      </c>
      <c r="F54" s="37" t="s">
        <v>0</v>
      </c>
      <c r="G54" s="37" t="s">
        <v>0</v>
      </c>
      <c r="H54" s="11"/>
      <c r="I54" s="11"/>
      <c r="J54" s="11"/>
      <c r="K54" s="11"/>
    </row>
    <row r="55" spans="2:11" ht="16.5">
      <c r="B55" s="33"/>
      <c r="C55" s="33"/>
      <c r="D55" s="33"/>
      <c r="E55" s="33"/>
      <c r="F55" s="33"/>
      <c r="G55" s="33"/>
      <c r="H55" s="11"/>
      <c r="I55" s="11"/>
      <c r="J55" s="11"/>
      <c r="K55" s="11"/>
    </row>
    <row r="56" spans="2:11" ht="17.25">
      <c r="B56" s="88" t="s">
        <v>40</v>
      </c>
      <c r="C56" s="141">
        <f>'S&amp;D'!I51</f>
        <v>0.56999999999999995</v>
      </c>
      <c r="D56" s="141">
        <f>+'Direct GCF'!H33</f>
        <v>0.13780000000000001</v>
      </c>
      <c r="E56" s="101" t="s">
        <v>41</v>
      </c>
      <c r="F56" s="141">
        <f>+D56</f>
        <v>0.13780000000000001</v>
      </c>
      <c r="G56" s="142">
        <f>+F56*C56</f>
        <v>7.8545999999999991E-2</v>
      </c>
      <c r="H56" s="11"/>
      <c r="I56" s="11"/>
      <c r="J56" s="11"/>
      <c r="K56" s="11"/>
    </row>
    <row r="57" spans="2:11" ht="17.25">
      <c r="B57" s="88" t="s">
        <v>0</v>
      </c>
      <c r="C57" s="101" t="s">
        <v>0</v>
      </c>
      <c r="D57" s="101" t="s">
        <v>0</v>
      </c>
      <c r="E57" s="101" t="s">
        <v>0</v>
      </c>
      <c r="F57" s="143" t="s">
        <v>0</v>
      </c>
      <c r="G57" s="125" t="s">
        <v>0</v>
      </c>
      <c r="H57" s="11"/>
      <c r="I57" s="11"/>
      <c r="J57" s="11"/>
      <c r="K57" s="11"/>
    </row>
    <row r="58" spans="2:11" ht="17.25">
      <c r="B58" s="88" t="s">
        <v>42</v>
      </c>
      <c r="C58" s="141">
        <f>'S&amp;D'!J51</f>
        <v>0.43</v>
      </c>
      <c r="D58" s="141">
        <f>+'Direct Debt'!I34</f>
        <v>5.4600000000000003E-2</v>
      </c>
      <c r="E58" s="141">
        <v>0.26</v>
      </c>
      <c r="F58" s="141">
        <f>+D58*(1-E58)</f>
        <v>4.0404000000000002E-2</v>
      </c>
      <c r="G58" s="142">
        <f>+C58*F58</f>
        <v>1.7373720000000002E-2</v>
      </c>
      <c r="H58" s="11"/>
      <c r="I58" s="11"/>
      <c r="J58" s="11"/>
      <c r="K58" s="11"/>
    </row>
    <row r="59" spans="2:11" ht="18" thickBot="1">
      <c r="B59" s="95" t="s">
        <v>0</v>
      </c>
      <c r="C59" s="95" t="s">
        <v>0</v>
      </c>
      <c r="D59" s="95" t="s">
        <v>0</v>
      </c>
      <c r="E59" s="95" t="s">
        <v>0</v>
      </c>
      <c r="F59" s="144" t="s">
        <v>0</v>
      </c>
      <c r="G59" s="145" t="s">
        <v>0</v>
      </c>
      <c r="H59" s="11"/>
      <c r="I59" s="11"/>
      <c r="J59" s="11"/>
      <c r="K59" s="11"/>
    </row>
    <row r="60" spans="2:11" ht="17.25">
      <c r="B60" s="88" t="s">
        <v>43</v>
      </c>
      <c r="C60" s="146">
        <f>+C56+C58</f>
        <v>1</v>
      </c>
      <c r="D60" s="88" t="s">
        <v>0</v>
      </c>
      <c r="E60" s="88" t="s">
        <v>0</v>
      </c>
      <c r="F60" s="147" t="s">
        <v>0</v>
      </c>
      <c r="G60" s="142">
        <f>+G56+G58</f>
        <v>9.5919719999999986E-2</v>
      </c>
      <c r="H60" s="11"/>
      <c r="I60" s="11"/>
      <c r="J60" s="11"/>
      <c r="K60" s="11"/>
    </row>
    <row r="61" spans="2:11" ht="18" thickBot="1">
      <c r="B61" s="61"/>
      <c r="C61" s="61"/>
      <c r="D61" s="61"/>
      <c r="E61" s="61"/>
      <c r="F61" s="61"/>
      <c r="G61" s="148"/>
      <c r="H61" s="11"/>
      <c r="I61" s="11"/>
      <c r="J61" s="11"/>
      <c r="K61" s="11"/>
    </row>
    <row r="62" spans="2:11" ht="18" thickBot="1">
      <c r="B62" s="11"/>
      <c r="C62" s="11"/>
      <c r="D62" s="11"/>
      <c r="E62" s="11"/>
      <c r="F62" s="212" t="s">
        <v>74</v>
      </c>
      <c r="G62" s="315">
        <v>9.5899999999999999E-2</v>
      </c>
      <c r="H62" s="11"/>
      <c r="I62" s="11"/>
      <c r="J62" s="11"/>
      <c r="K62" s="11"/>
    </row>
    <row r="63" spans="2:11" ht="15.75" thickBot="1"/>
    <row r="64" spans="2:11" ht="18" thickBot="1">
      <c r="F64" s="212" t="s">
        <v>235</v>
      </c>
      <c r="G64" s="248">
        <f>1/G62</f>
        <v>10.427528675703858</v>
      </c>
    </row>
  </sheetData>
  <pageMargins left="0.25" right="0.25" top="0.75" bottom="0.75" header="0.3" footer="0.3"/>
  <pageSetup scale="72"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75"/>
  <sheetViews>
    <sheetView view="pageBreakPreview" topLeftCell="A28" zoomScale="60" zoomScaleNormal="80" zoomScalePageLayoutView="70" workbookViewId="0">
      <pane xSplit="1" topLeftCell="D1" activePane="topRight" state="frozen"/>
      <selection pane="topRight" activeCell="J52" sqref="J52"/>
    </sheetView>
  </sheetViews>
  <sheetFormatPr defaultRowHeight="15"/>
  <cols>
    <col min="1" max="1" width="63" customWidth="1"/>
    <col min="2" max="2" width="11.5703125" bestFit="1" customWidth="1"/>
    <col min="3" max="3" width="26.5703125" customWidth="1"/>
    <col min="4" max="4" width="25.5703125" bestFit="1" customWidth="1"/>
    <col min="5" max="5" width="28" customWidth="1"/>
    <col min="6" max="7" width="29.140625" customWidth="1"/>
    <col min="8" max="8" width="31.85546875" customWidth="1"/>
    <col min="9" max="9" width="31.5703125" customWidth="1"/>
    <col min="10" max="10" width="30.85546875" customWidth="1"/>
    <col min="11" max="11" width="12.85546875" customWidth="1"/>
    <col min="12" max="12" width="25.85546875" bestFit="1" customWidth="1"/>
    <col min="13" max="13" width="30.140625" bestFit="1" customWidth="1"/>
    <col min="14" max="14" width="9.140625" customWidth="1"/>
  </cols>
  <sheetData>
    <row r="1" spans="1:12" ht="26.25">
      <c r="A1" s="22" t="s">
        <v>1</v>
      </c>
      <c r="B1" s="11"/>
      <c r="C1" s="11"/>
      <c r="D1" s="11"/>
      <c r="E1" s="11"/>
      <c r="F1" s="11"/>
      <c r="G1" s="11"/>
      <c r="H1" s="11"/>
      <c r="I1" s="11"/>
      <c r="J1" s="11"/>
      <c r="K1" s="11"/>
    </row>
    <row r="2" spans="1:12" ht="17.25">
      <c r="A2" s="23" t="s">
        <v>9</v>
      </c>
      <c r="B2" s="11"/>
      <c r="C2" s="11"/>
      <c r="D2" s="11"/>
      <c r="E2" s="11"/>
      <c r="F2" s="11"/>
      <c r="G2" s="11"/>
      <c r="H2" s="11"/>
      <c r="I2" s="11"/>
      <c r="J2" s="11"/>
      <c r="K2" s="11"/>
    </row>
    <row r="3" spans="1:12" ht="16.5">
      <c r="A3" s="24" t="s">
        <v>467</v>
      </c>
      <c r="B3" s="11"/>
      <c r="C3" s="11"/>
      <c r="D3" s="11"/>
      <c r="E3" s="11"/>
      <c r="F3" s="11"/>
      <c r="G3" s="11"/>
      <c r="H3" s="11"/>
      <c r="I3" s="11"/>
      <c r="J3" s="11"/>
      <c r="K3" s="11"/>
    </row>
    <row r="4" spans="1:12" ht="16.5">
      <c r="A4" s="24"/>
      <c r="B4" s="11"/>
      <c r="C4" s="11"/>
      <c r="D4" s="11"/>
      <c r="E4" s="11"/>
      <c r="F4" s="210" t="s">
        <v>0</v>
      </c>
      <c r="G4" s="11"/>
      <c r="H4" s="11"/>
      <c r="I4" s="11"/>
      <c r="J4" s="11"/>
      <c r="K4" s="11"/>
    </row>
    <row r="5" spans="1:12" ht="16.5">
      <c r="B5" s="11"/>
      <c r="C5" s="11"/>
      <c r="D5" s="11"/>
      <c r="E5" s="25"/>
      <c r="F5" s="210" t="s">
        <v>0</v>
      </c>
      <c r="G5" s="11"/>
      <c r="H5" s="11"/>
      <c r="I5" s="11"/>
      <c r="J5" s="11"/>
      <c r="K5" s="11" t="s">
        <v>0</v>
      </c>
    </row>
    <row r="6" spans="1:12" ht="16.5">
      <c r="A6" s="11"/>
      <c r="B6" s="11"/>
      <c r="C6" s="11"/>
      <c r="D6" s="11"/>
      <c r="E6" s="11"/>
      <c r="F6" s="11"/>
      <c r="G6" s="11"/>
      <c r="H6" s="11"/>
      <c r="I6" s="11"/>
      <c r="J6" s="11"/>
      <c r="K6" s="11"/>
    </row>
    <row r="7" spans="1:12" ht="16.5">
      <c r="A7" s="11"/>
      <c r="B7" s="33"/>
      <c r="C7" s="33"/>
      <c r="D7" s="33"/>
      <c r="E7" s="33"/>
      <c r="F7" s="33"/>
      <c r="G7" s="13"/>
      <c r="H7" s="42"/>
      <c r="I7" s="42"/>
      <c r="J7" s="83"/>
      <c r="K7" s="83"/>
      <c r="L7" s="3"/>
    </row>
    <row r="8" spans="1:12" ht="16.5">
      <c r="A8" s="84"/>
      <c r="B8" s="33"/>
      <c r="C8" s="33"/>
      <c r="D8" s="33"/>
      <c r="E8" s="33"/>
      <c r="F8" s="33"/>
      <c r="G8" s="13"/>
      <c r="H8" s="42"/>
      <c r="I8" s="42"/>
      <c r="J8" s="83"/>
      <c r="K8" s="83"/>
      <c r="L8" s="3"/>
    </row>
    <row r="9" spans="1:12" ht="16.5">
      <c r="A9" s="84"/>
      <c r="B9" s="33"/>
      <c r="C9" s="33"/>
      <c r="D9" s="33"/>
      <c r="E9" s="33"/>
      <c r="F9" s="33"/>
      <c r="G9" s="13"/>
      <c r="H9" s="42"/>
      <c r="I9" s="42"/>
      <c r="J9" s="83"/>
      <c r="K9" s="83"/>
      <c r="L9" s="3"/>
    </row>
    <row r="10" spans="1:12" ht="16.5">
      <c r="A10" s="42"/>
      <c r="D10" s="42"/>
      <c r="E10" s="42"/>
      <c r="F10" s="42"/>
      <c r="G10" s="42"/>
      <c r="H10" s="42"/>
      <c r="I10" s="42"/>
      <c r="J10" s="42"/>
      <c r="K10" s="42"/>
      <c r="L10" s="2"/>
    </row>
    <row r="11" spans="1:12" ht="17.25" thickBot="1">
      <c r="A11" s="42"/>
      <c r="D11" s="42"/>
      <c r="E11" s="85"/>
      <c r="F11" s="27"/>
      <c r="G11" s="85"/>
      <c r="H11" s="42"/>
      <c r="I11" s="42"/>
      <c r="J11" s="42"/>
      <c r="K11" s="42"/>
      <c r="L11" s="2"/>
    </row>
    <row r="12" spans="1:12" ht="27" thickBot="1">
      <c r="A12" s="26" t="s">
        <v>437</v>
      </c>
      <c r="D12" s="42"/>
      <c r="E12" s="42"/>
      <c r="F12" s="30" t="s">
        <v>75</v>
      </c>
      <c r="G12" s="42"/>
      <c r="H12" s="42"/>
      <c r="I12" s="42"/>
      <c r="J12" s="42"/>
      <c r="K12" s="11"/>
    </row>
    <row r="13" spans="1:12" ht="21" thickBot="1">
      <c r="A13" s="29"/>
      <c r="D13" s="42"/>
      <c r="E13" s="85"/>
      <c r="F13" s="35" t="s">
        <v>468</v>
      </c>
      <c r="G13" s="85"/>
      <c r="H13" s="42"/>
      <c r="I13" s="42" t="s">
        <v>0</v>
      </c>
      <c r="J13" s="42"/>
      <c r="K13" s="11"/>
    </row>
    <row r="14" spans="1:12" ht="20.25">
      <c r="A14" s="29"/>
      <c r="B14" s="42"/>
      <c r="C14" s="42"/>
      <c r="D14" s="42"/>
      <c r="E14" s="42"/>
      <c r="F14" s="12" t="s">
        <v>0</v>
      </c>
      <c r="G14" s="42"/>
      <c r="H14" s="42"/>
      <c r="I14" s="42"/>
      <c r="J14" s="42"/>
      <c r="K14" s="11"/>
    </row>
    <row r="15" spans="1:12" ht="17.25" thickBot="1">
      <c r="A15" s="40" t="s">
        <v>0</v>
      </c>
      <c r="B15" s="40" t="s">
        <v>0</v>
      </c>
      <c r="C15" s="40" t="s">
        <v>0</v>
      </c>
      <c r="D15" s="40"/>
      <c r="E15" s="40"/>
      <c r="F15" s="40"/>
      <c r="G15" s="40" t="s">
        <v>0</v>
      </c>
      <c r="H15" s="85"/>
      <c r="I15" s="85"/>
      <c r="J15" s="85"/>
      <c r="K15" s="11"/>
    </row>
    <row r="16" spans="1:12" ht="17.25">
      <c r="A16" s="264"/>
      <c r="B16" s="265"/>
      <c r="C16" s="282"/>
      <c r="D16" s="249" t="s">
        <v>13</v>
      </c>
      <c r="E16" s="279" t="s">
        <v>13</v>
      </c>
      <c r="F16" s="249" t="s">
        <v>13</v>
      </c>
      <c r="G16" s="266" t="s">
        <v>246</v>
      </c>
      <c r="H16" s="90" t="s">
        <v>470</v>
      </c>
      <c r="I16" s="90" t="s">
        <v>470</v>
      </c>
      <c r="J16" s="90" t="s">
        <v>470</v>
      </c>
      <c r="K16" s="11"/>
    </row>
    <row r="17" spans="1:14" ht="17.25">
      <c r="A17" s="86" t="s">
        <v>0</v>
      </c>
      <c r="B17" s="87" t="s">
        <v>3</v>
      </c>
      <c r="C17" s="252" t="s">
        <v>5</v>
      </c>
      <c r="D17" s="89" t="s">
        <v>10</v>
      </c>
      <c r="E17" s="280" t="s">
        <v>10</v>
      </c>
      <c r="F17" s="89" t="s">
        <v>19</v>
      </c>
      <c r="G17" s="90" t="s">
        <v>470</v>
      </c>
      <c r="H17" s="87" t="s">
        <v>12</v>
      </c>
      <c r="I17" s="91" t="s">
        <v>11</v>
      </c>
      <c r="J17" s="92" t="s">
        <v>153</v>
      </c>
      <c r="K17" s="11"/>
    </row>
    <row r="18" spans="1:14" ht="17.25">
      <c r="A18" s="86" t="s">
        <v>2</v>
      </c>
      <c r="B18" s="87" t="s">
        <v>4</v>
      </c>
      <c r="C18" s="252" t="s">
        <v>6</v>
      </c>
      <c r="D18" s="89" t="s">
        <v>46</v>
      </c>
      <c r="E18" s="280" t="s">
        <v>47</v>
      </c>
      <c r="F18" s="89" t="s">
        <v>10</v>
      </c>
      <c r="G18" s="90" t="s">
        <v>10</v>
      </c>
      <c r="H18" s="87" t="s">
        <v>73</v>
      </c>
      <c r="I18" s="270" t="s">
        <v>381</v>
      </c>
      <c r="J18" s="92" t="s">
        <v>247</v>
      </c>
      <c r="K18" s="11" t="s">
        <v>0</v>
      </c>
    </row>
    <row r="19" spans="1:14" ht="18" thickBot="1">
      <c r="A19" s="93" t="s">
        <v>0</v>
      </c>
      <c r="B19" s="94" t="s">
        <v>0</v>
      </c>
      <c r="C19" s="113" t="s">
        <v>0</v>
      </c>
      <c r="D19" s="378" t="s">
        <v>419</v>
      </c>
      <c r="E19" s="378" t="s">
        <v>419</v>
      </c>
      <c r="F19" s="378" t="s">
        <v>419</v>
      </c>
      <c r="G19" s="378" t="s">
        <v>419</v>
      </c>
      <c r="H19" s="96" t="s">
        <v>62</v>
      </c>
      <c r="I19" s="97" t="s">
        <v>61</v>
      </c>
      <c r="J19" s="96" t="s">
        <v>61</v>
      </c>
      <c r="K19" s="11"/>
    </row>
    <row r="20" spans="1:14" ht="16.5">
      <c r="A20" s="283" t="s">
        <v>7</v>
      </c>
      <c r="B20" s="305" t="s">
        <v>7</v>
      </c>
      <c r="C20" s="283" t="s">
        <v>7</v>
      </c>
      <c r="D20" s="312" t="s">
        <v>7</v>
      </c>
      <c r="E20" s="312" t="s">
        <v>7</v>
      </c>
      <c r="F20" s="41" t="s">
        <v>15</v>
      </c>
      <c r="G20" s="283" t="s">
        <v>7</v>
      </c>
      <c r="H20" s="283" t="s">
        <v>8</v>
      </c>
      <c r="I20" s="283" t="s">
        <v>8</v>
      </c>
      <c r="J20" s="283" t="s">
        <v>8</v>
      </c>
      <c r="K20" s="11"/>
    </row>
    <row r="21" spans="1:14" ht="17.25">
      <c r="A21" s="87"/>
      <c r="B21" s="88"/>
      <c r="C21" s="87"/>
      <c r="D21" s="252"/>
      <c r="E21" s="88"/>
      <c r="F21" s="86"/>
      <c r="G21" s="87"/>
      <c r="H21" s="87"/>
      <c r="I21" s="115"/>
      <c r="J21" s="99"/>
      <c r="K21" s="11"/>
    </row>
    <row r="22" spans="1:14" ht="17.25">
      <c r="A22" s="363" t="s">
        <v>399</v>
      </c>
      <c r="B22" s="78" t="s">
        <v>400</v>
      </c>
      <c r="C22" s="87" t="s">
        <v>401</v>
      </c>
      <c r="D22" s="102">
        <v>48.25</v>
      </c>
      <c r="E22" s="102">
        <v>42.75</v>
      </c>
      <c r="F22" s="102">
        <f t="shared" ref="F22:F29" si="0">AVERAGE(D22,E22)</f>
        <v>45.5</v>
      </c>
      <c r="G22" s="102">
        <v>47.7</v>
      </c>
      <c r="H22" s="103">
        <v>2125000000</v>
      </c>
      <c r="I22" s="339">
        <f>6818000000*0.7453</f>
        <v>5081455400</v>
      </c>
      <c r="J22" s="340">
        <f>(74715000000+6084000000)*0.7453</f>
        <v>60219494700</v>
      </c>
      <c r="M22" s="11" t="s">
        <v>511</v>
      </c>
      <c r="N22" s="208"/>
    </row>
    <row r="23" spans="1:14" ht="17.25">
      <c r="A23" s="363" t="s">
        <v>376</v>
      </c>
      <c r="B23" s="78" t="s">
        <v>377</v>
      </c>
      <c r="C23" s="87" t="s">
        <v>375</v>
      </c>
      <c r="D23" s="58">
        <v>14.15</v>
      </c>
      <c r="E23" s="102">
        <v>12.9</v>
      </c>
      <c r="F23" s="58">
        <f t="shared" si="0"/>
        <v>13.525</v>
      </c>
      <c r="G23" s="102">
        <v>13.8</v>
      </c>
      <c r="H23" s="103">
        <v>3367525806</v>
      </c>
      <c r="I23" s="339">
        <f>6459000000-2000000</f>
        <v>6457000000</v>
      </c>
      <c r="J23" s="339">
        <f>1008000000+51380000000</f>
        <v>52388000000</v>
      </c>
      <c r="M23" s="11"/>
    </row>
    <row r="24" spans="1:14" ht="17.25">
      <c r="A24" s="363" t="s">
        <v>402</v>
      </c>
      <c r="B24" s="78" t="s">
        <v>403</v>
      </c>
      <c r="C24" s="87" t="s">
        <v>401</v>
      </c>
      <c r="D24" s="102">
        <v>13.98</v>
      </c>
      <c r="E24" s="102">
        <v>11.44</v>
      </c>
      <c r="F24" s="102">
        <f t="shared" si="0"/>
        <v>12.71</v>
      </c>
      <c r="G24" s="102">
        <v>12.16</v>
      </c>
      <c r="H24" s="103">
        <v>451614086</v>
      </c>
      <c r="I24" s="339"/>
      <c r="J24" s="340">
        <v>4471000000</v>
      </c>
      <c r="M24" s="11"/>
    </row>
    <row r="25" spans="1:14" ht="17.25">
      <c r="A25" s="363" t="s">
        <v>378</v>
      </c>
      <c r="B25" s="91" t="s">
        <v>379</v>
      </c>
      <c r="C25" s="87" t="s">
        <v>375</v>
      </c>
      <c r="D25" s="102">
        <v>27.95</v>
      </c>
      <c r="E25" s="102">
        <v>25.61</v>
      </c>
      <c r="F25" s="102">
        <f>AVERAGE(D25,E25)</f>
        <v>26.78</v>
      </c>
      <c r="G25" s="102">
        <v>26.35</v>
      </c>
      <c r="H25" s="364">
        <v>2168245238</v>
      </c>
      <c r="I25" s="339">
        <v>49000000</v>
      </c>
      <c r="J25" s="379">
        <f>1300000000+27448000000</f>
        <v>28748000000</v>
      </c>
      <c r="M25" s="11"/>
    </row>
    <row r="26" spans="1:14" ht="17.25">
      <c r="A26" s="363" t="s">
        <v>404</v>
      </c>
      <c r="B26" s="91" t="s">
        <v>405</v>
      </c>
      <c r="C26" s="87" t="s">
        <v>401</v>
      </c>
      <c r="D26" s="102">
        <v>17.899999999999999</v>
      </c>
      <c r="E26" s="102">
        <v>15.89</v>
      </c>
      <c r="F26" s="102">
        <f>AVERAGE(D26,E26)</f>
        <v>16.895</v>
      </c>
      <c r="G26" s="102">
        <v>17.64</v>
      </c>
      <c r="H26" s="103">
        <v>2219729644</v>
      </c>
      <c r="I26" s="339"/>
      <c r="J26" s="340">
        <f>4049000000+28067000000</f>
        <v>32116000000</v>
      </c>
      <c r="M26" s="11"/>
      <c r="N26" t="s">
        <v>0</v>
      </c>
    </row>
    <row r="27" spans="1:14" ht="17.25">
      <c r="A27" s="363" t="s">
        <v>406</v>
      </c>
      <c r="B27" s="91" t="s">
        <v>407</v>
      </c>
      <c r="C27" s="87" t="s">
        <v>401</v>
      </c>
      <c r="D27" s="102">
        <v>71.44</v>
      </c>
      <c r="E27" s="102">
        <v>60.58</v>
      </c>
      <c r="F27" s="102">
        <f t="shared" si="0"/>
        <v>66.009999999999991</v>
      </c>
      <c r="G27" s="102">
        <v>70.22</v>
      </c>
      <c r="H27" s="103">
        <v>583093100</v>
      </c>
      <c r="I27" s="339"/>
      <c r="J27" s="103">
        <f>484000000+21183000000</f>
        <v>21667000000</v>
      </c>
      <c r="M27" s="11"/>
      <c r="N27" t="s">
        <v>0</v>
      </c>
    </row>
    <row r="28" spans="1:14" ht="17.25">
      <c r="A28" s="363" t="s">
        <v>408</v>
      </c>
      <c r="B28" s="91" t="s">
        <v>409</v>
      </c>
      <c r="C28" s="87" t="s">
        <v>401</v>
      </c>
      <c r="D28" s="102">
        <v>40.630000000000003</v>
      </c>
      <c r="E28" s="102">
        <v>32.520000000000003</v>
      </c>
      <c r="F28" s="102">
        <f>AVERAGE(D28,E28)</f>
        <v>36.575000000000003</v>
      </c>
      <c r="G28" s="102">
        <v>39.090000000000003</v>
      </c>
      <c r="H28" s="103">
        <v>1037000000</v>
      </c>
      <c r="I28" s="339">
        <f>2499000000*0.7453</f>
        <v>1862504700</v>
      </c>
      <c r="J28" s="340">
        <f>(2938000000+49976000000)*0.7453</f>
        <v>39436804200</v>
      </c>
      <c r="M28" s="11" t="s">
        <v>511</v>
      </c>
      <c r="N28" s="208"/>
    </row>
    <row r="29" spans="1:14" ht="18" thickBot="1">
      <c r="A29" s="365" t="s">
        <v>410</v>
      </c>
      <c r="B29" s="366" t="s">
        <v>411</v>
      </c>
      <c r="C29" s="94" t="s">
        <v>401</v>
      </c>
      <c r="D29" s="376">
        <v>37.450000000000003</v>
      </c>
      <c r="E29" s="376">
        <v>32.5</v>
      </c>
      <c r="F29" s="376">
        <f t="shared" si="0"/>
        <v>34.975000000000001</v>
      </c>
      <c r="G29" s="376">
        <v>34.83</v>
      </c>
      <c r="H29" s="367">
        <f>1256000000-39000000</f>
        <v>1217000000</v>
      </c>
      <c r="I29" s="337">
        <v>35000000</v>
      </c>
      <c r="J29" s="338">
        <f>2337000000+23376000000</f>
        <v>25713000000</v>
      </c>
      <c r="K29" s="11"/>
      <c r="L29" t="s">
        <v>0</v>
      </c>
    </row>
    <row r="30" spans="1:14" ht="17.25">
      <c r="A30" s="104"/>
      <c r="B30" s="104"/>
      <c r="C30" s="104"/>
      <c r="D30" s="104"/>
      <c r="E30" s="104"/>
      <c r="F30" s="104"/>
      <c r="G30" s="104"/>
      <c r="H30" s="104"/>
      <c r="I30" s="104"/>
      <c r="J30" s="104"/>
      <c r="K30" s="11"/>
      <c r="L30" t="s">
        <v>0</v>
      </c>
    </row>
    <row r="31" spans="1:14" ht="18" thickBot="1">
      <c r="A31" s="105" t="s">
        <v>0</v>
      </c>
      <c r="B31" s="106"/>
      <c r="C31" s="106"/>
      <c r="D31" s="106"/>
      <c r="E31" s="106"/>
      <c r="F31" s="27"/>
      <c r="G31" s="106"/>
      <c r="H31" s="106"/>
      <c r="I31" s="106"/>
      <c r="J31" s="104"/>
      <c r="K31" s="104"/>
      <c r="L31" s="4"/>
    </row>
    <row r="32" spans="1:14" ht="17.25">
      <c r="A32" s="107"/>
      <c r="B32" s="108"/>
      <c r="C32" s="108"/>
      <c r="D32" s="108"/>
      <c r="E32" s="109" t="s">
        <v>0</v>
      </c>
      <c r="F32" s="109" t="s">
        <v>0</v>
      </c>
      <c r="G32" s="110"/>
      <c r="H32" s="108"/>
      <c r="I32" s="108"/>
      <c r="J32" s="111"/>
      <c r="K32" s="104"/>
      <c r="L32" s="4"/>
    </row>
    <row r="33" spans="1:13" ht="17.25">
      <c r="A33" s="86"/>
      <c r="B33" s="88"/>
      <c r="C33" s="88"/>
      <c r="D33" s="90" t="s">
        <v>470</v>
      </c>
      <c r="E33" s="90" t="s">
        <v>470</v>
      </c>
      <c r="F33" s="90" t="s">
        <v>470</v>
      </c>
      <c r="G33" s="90" t="s">
        <v>470</v>
      </c>
      <c r="H33" s="90" t="s">
        <v>470</v>
      </c>
      <c r="I33" s="90" t="s">
        <v>470</v>
      </c>
      <c r="J33" s="90" t="s">
        <v>470</v>
      </c>
      <c r="K33" s="11"/>
      <c r="L33" s="5"/>
    </row>
    <row r="34" spans="1:13" ht="17.25">
      <c r="A34" s="86" t="s">
        <v>0</v>
      </c>
      <c r="B34" s="88" t="s">
        <v>3</v>
      </c>
      <c r="C34" s="88" t="s">
        <v>5</v>
      </c>
      <c r="D34" s="88" t="s">
        <v>12</v>
      </c>
      <c r="E34" s="101" t="s">
        <v>152</v>
      </c>
      <c r="F34" s="101" t="s">
        <v>297</v>
      </c>
      <c r="G34" s="88" t="s">
        <v>211</v>
      </c>
      <c r="H34" s="101" t="s">
        <v>16</v>
      </c>
      <c r="I34" s="101" t="s">
        <v>17</v>
      </c>
      <c r="J34" s="112" t="s">
        <v>52</v>
      </c>
      <c r="K34" s="11"/>
      <c r="L34" s="5"/>
    </row>
    <row r="35" spans="1:13" ht="18" thickBot="1">
      <c r="A35" s="93" t="s">
        <v>2</v>
      </c>
      <c r="B35" s="95" t="s">
        <v>4</v>
      </c>
      <c r="C35" s="95" t="s">
        <v>6</v>
      </c>
      <c r="D35" s="95" t="s">
        <v>14</v>
      </c>
      <c r="E35" s="95" t="s">
        <v>14</v>
      </c>
      <c r="F35" s="95" t="s">
        <v>310</v>
      </c>
      <c r="G35" s="95" t="s">
        <v>14</v>
      </c>
      <c r="H35" s="95" t="s">
        <v>365</v>
      </c>
      <c r="I35" s="95" t="s">
        <v>0</v>
      </c>
      <c r="J35" s="113" t="s">
        <v>366</v>
      </c>
      <c r="K35" s="11"/>
      <c r="L35" s="1"/>
    </row>
    <row r="36" spans="1:13" ht="16.5">
      <c r="A36" s="304" t="s">
        <v>7</v>
      </c>
      <c r="B36" s="305" t="s">
        <v>7</v>
      </c>
      <c r="C36" s="305" t="s">
        <v>7</v>
      </c>
      <c r="D36" s="305" t="s">
        <v>15</v>
      </c>
      <c r="E36" s="305" t="s">
        <v>8</v>
      </c>
      <c r="F36" s="305" t="s">
        <v>8</v>
      </c>
      <c r="G36" s="305" t="s">
        <v>8</v>
      </c>
      <c r="H36" s="305" t="s">
        <v>15</v>
      </c>
      <c r="I36" s="305" t="s">
        <v>15</v>
      </c>
      <c r="J36" s="312" t="s">
        <v>15</v>
      </c>
      <c r="K36" s="11"/>
      <c r="L36" s="5"/>
    </row>
    <row r="37" spans="1:13" ht="17.25">
      <c r="A37" s="86"/>
      <c r="B37" s="88"/>
      <c r="C37" s="88"/>
      <c r="D37" s="104"/>
      <c r="E37" s="104"/>
      <c r="F37" s="104"/>
      <c r="G37" s="104"/>
      <c r="H37" s="61"/>
      <c r="I37" s="61"/>
      <c r="J37" s="115"/>
      <c r="K37" s="11"/>
      <c r="L37" s="4"/>
    </row>
    <row r="38" spans="1:13" ht="17.25">
      <c r="A38" s="100" t="str">
        <f t="shared" ref="A38:C45" si="1">+A22</f>
        <v>Enbridge Inc</v>
      </c>
      <c r="B38" s="88" t="str">
        <f t="shared" si="1"/>
        <v>ENB.TO</v>
      </c>
      <c r="C38" s="88" t="str">
        <f t="shared" si="1"/>
        <v>Oil &amp; Gas Distribution</v>
      </c>
      <c r="D38" s="116">
        <f t="shared" ref="D38:D45" si="2">(+H22)*G22</f>
        <v>101362500000</v>
      </c>
      <c r="E38" s="116">
        <f t="shared" ref="E38:E45" si="3">(1/1)*I22</f>
        <v>5081455400</v>
      </c>
      <c r="F38" s="116">
        <f>750000000*0.7453</f>
        <v>558975000</v>
      </c>
      <c r="G38" s="116">
        <f>J22*(78.1/81.2)</f>
        <v>57920474582.142845</v>
      </c>
      <c r="H38" s="103">
        <f t="shared" ref="H38:H43" si="4">+D38+E38+F38+G38</f>
        <v>164923404982.14285</v>
      </c>
      <c r="I38" s="117">
        <f t="shared" ref="I38:I42" si="5">(+D38)/H38</f>
        <v>0.61460348827369327</v>
      </c>
      <c r="J38" s="118">
        <f t="shared" ref="J38:J42" si="6">(+E38+F38+G38)/H38</f>
        <v>0.38539651172630668</v>
      </c>
      <c r="K38" s="11"/>
      <c r="L38" s="4"/>
      <c r="M38" s="11" t="s">
        <v>511</v>
      </c>
    </row>
    <row r="39" spans="1:13" ht="17.25">
      <c r="A39" s="100" t="str">
        <f t="shared" si="1"/>
        <v>Energy Transfer LP</v>
      </c>
      <c r="B39" s="88" t="str">
        <f t="shared" si="1"/>
        <v>ET</v>
      </c>
      <c r="C39" s="88" t="str">
        <f t="shared" si="1"/>
        <v>Pipeline MLPs</v>
      </c>
      <c r="D39" s="116">
        <f t="shared" si="2"/>
        <v>46471856122.800003</v>
      </c>
      <c r="E39" s="116">
        <f t="shared" si="3"/>
        <v>6457000000</v>
      </c>
      <c r="F39" s="116">
        <f>56000000+778000000</f>
        <v>834000000</v>
      </c>
      <c r="G39" s="116">
        <f>(51.93/52.39)*J23</f>
        <v>51928017560.603172</v>
      </c>
      <c r="H39" s="103">
        <f t="shared" si="4"/>
        <v>105690873683.40317</v>
      </c>
      <c r="I39" s="117">
        <f t="shared" si="5"/>
        <v>0.43969601634675071</v>
      </c>
      <c r="J39" s="118">
        <f t="shared" si="6"/>
        <v>0.5603039836532494</v>
      </c>
      <c r="K39" s="11"/>
      <c r="L39" s="4"/>
    </row>
    <row r="40" spans="1:13" ht="17.25">
      <c r="A40" s="363" t="str">
        <f t="shared" si="1"/>
        <v>Enlink Midstream LLC</v>
      </c>
      <c r="B40" s="88" t="str">
        <f t="shared" si="1"/>
        <v>ENLC</v>
      </c>
      <c r="C40" s="88" t="str">
        <f t="shared" si="1"/>
        <v>Oil &amp; Gas Distribution</v>
      </c>
      <c r="D40" s="116">
        <f t="shared" si="2"/>
        <v>5491627285.7600002</v>
      </c>
      <c r="E40" s="116">
        <f t="shared" si="3"/>
        <v>0</v>
      </c>
      <c r="F40" s="116">
        <v>97800000</v>
      </c>
      <c r="G40" s="116">
        <f>J24*(4427/4568.9)</f>
        <v>4332140558.9966955</v>
      </c>
      <c r="H40" s="103">
        <f t="shared" si="4"/>
        <v>9921567844.7566948</v>
      </c>
      <c r="I40" s="117">
        <f t="shared" si="5"/>
        <v>0.55350397958143183</v>
      </c>
      <c r="J40" s="118">
        <f t="shared" si="6"/>
        <v>0.44649602041856828</v>
      </c>
      <c r="K40" s="11"/>
      <c r="L40" s="4"/>
    </row>
    <row r="41" spans="1:13" ht="17.25">
      <c r="A41" s="100" t="str">
        <f t="shared" si="1"/>
        <v>Enterprise Products Partnership LP</v>
      </c>
      <c r="B41" s="88" t="str">
        <f t="shared" si="1"/>
        <v>EPD</v>
      </c>
      <c r="C41" s="88" t="str">
        <f t="shared" si="1"/>
        <v>Pipeline MLPs</v>
      </c>
      <c r="D41" s="116">
        <f t="shared" si="2"/>
        <v>57133262021.300003</v>
      </c>
      <c r="E41" s="116">
        <f t="shared" si="3"/>
        <v>49000000</v>
      </c>
      <c r="F41" s="116">
        <v>398000000</v>
      </c>
      <c r="G41" s="103">
        <f>J25*(26.7/28)</f>
        <v>27413271428.571426</v>
      </c>
      <c r="H41" s="103">
        <f t="shared" si="4"/>
        <v>84993533449.871429</v>
      </c>
      <c r="I41" s="117">
        <f t="shared" si="5"/>
        <v>0.6722071633249227</v>
      </c>
      <c r="J41" s="118">
        <f t="shared" si="6"/>
        <v>0.3277928366750773</v>
      </c>
      <c r="K41" s="11"/>
      <c r="L41" s="4"/>
    </row>
    <row r="42" spans="1:13" ht="17.25">
      <c r="A42" s="100" t="str">
        <f t="shared" si="1"/>
        <v>Kinder Morgan Inc</v>
      </c>
      <c r="B42" s="88" t="str">
        <f t="shared" si="1"/>
        <v>KMI</v>
      </c>
      <c r="C42" s="88" t="str">
        <f t="shared" si="1"/>
        <v>Oil &amp; Gas Distribution</v>
      </c>
      <c r="D42" s="116">
        <f t="shared" si="2"/>
        <v>39156030920.160004</v>
      </c>
      <c r="E42" s="116">
        <f t="shared" si="3"/>
        <v>0</v>
      </c>
      <c r="F42" s="116">
        <f>55000000+230000000</f>
        <v>285000000</v>
      </c>
      <c r="G42" s="103">
        <f>J26*(29317/30063)</f>
        <v>31319055716.329041</v>
      </c>
      <c r="H42" s="103">
        <f t="shared" si="4"/>
        <v>70760086636.489044</v>
      </c>
      <c r="I42" s="117">
        <f t="shared" si="5"/>
        <v>0.55336324164374762</v>
      </c>
      <c r="J42" s="118">
        <f t="shared" si="6"/>
        <v>0.44663675835625238</v>
      </c>
      <c r="K42" s="11"/>
      <c r="L42" s="4"/>
    </row>
    <row r="43" spans="1:13" ht="17.25">
      <c r="A43" s="100" t="str">
        <f t="shared" si="1"/>
        <v>ONEOK Inc</v>
      </c>
      <c r="B43" s="88" t="str">
        <f t="shared" si="1"/>
        <v>OKE</v>
      </c>
      <c r="C43" s="88" t="str">
        <f t="shared" si="1"/>
        <v>Oil &amp; Gas Distribution</v>
      </c>
      <c r="D43" s="116">
        <f>(+H27)*G27</f>
        <v>40944797482</v>
      </c>
      <c r="E43" s="116">
        <f t="shared" si="3"/>
        <v>0</v>
      </c>
      <c r="F43" s="116">
        <f>23000000+74000000</f>
        <v>97000000</v>
      </c>
      <c r="G43" s="103">
        <f>J27*(21.4/21.7)</f>
        <v>21367456221.198154</v>
      </c>
      <c r="H43" s="103">
        <f t="shared" si="4"/>
        <v>62409253703.198151</v>
      </c>
      <c r="I43" s="117">
        <f t="shared" ref="I43:I45" si="7">(+D43)/H43</f>
        <v>0.65606933351138264</v>
      </c>
      <c r="J43" s="118">
        <f t="shared" ref="J43:J45" si="8">(+E43+F43+G43)/H43</f>
        <v>0.34393066648861742</v>
      </c>
      <c r="K43" s="11"/>
      <c r="L43" s="4" t="s">
        <v>0</v>
      </c>
    </row>
    <row r="44" spans="1:13" ht="17.25">
      <c r="A44" s="100" t="str">
        <f t="shared" si="1"/>
        <v>TC Energy Corp</v>
      </c>
      <c r="B44" s="88" t="str">
        <f t="shared" si="1"/>
        <v>TRP</v>
      </c>
      <c r="C44" s="88" t="str">
        <f t="shared" si="1"/>
        <v>Oil &amp; Gas Distribution</v>
      </c>
      <c r="D44" s="116">
        <f t="shared" si="2"/>
        <v>40536330000</v>
      </c>
      <c r="E44" s="116">
        <f t="shared" si="3"/>
        <v>1862504700</v>
      </c>
      <c r="F44" s="116">
        <f>459000000*0.7453</f>
        <v>342092700</v>
      </c>
      <c r="G44" s="103">
        <f>J28*(63201/62032)</f>
        <v>40179995199.964531</v>
      </c>
      <c r="H44" s="103">
        <f t="shared" ref="H44" si="9">+D44+E44+F44+G44</f>
        <v>82920922599.964539</v>
      </c>
      <c r="I44" s="117">
        <f t="shared" ref="I44" si="10">(+D44)/H44</f>
        <v>0.48885526992456951</v>
      </c>
      <c r="J44" s="118">
        <f t="shared" ref="J44" si="11">(+E44+F44+G44)/H44</f>
        <v>0.51114473007543038</v>
      </c>
      <c r="K44" s="11"/>
      <c r="L44" s="4"/>
      <c r="M44" s="11" t="s">
        <v>511</v>
      </c>
    </row>
    <row r="45" spans="1:13" ht="18" thickBot="1">
      <c r="A45" s="309" t="str">
        <f t="shared" si="1"/>
        <v>Williams Companys Inc</v>
      </c>
      <c r="B45" s="95" t="str">
        <f t="shared" si="1"/>
        <v>WMB</v>
      </c>
      <c r="C45" s="95" t="str">
        <f t="shared" si="1"/>
        <v>Oil &amp; Gas Distribution</v>
      </c>
      <c r="D45" s="368">
        <f t="shared" si="2"/>
        <v>42388110000</v>
      </c>
      <c r="E45" s="368">
        <f t="shared" si="3"/>
        <v>35000000</v>
      </c>
      <c r="F45" s="368">
        <f>24000000+148000000</f>
        <v>172000000</v>
      </c>
      <c r="G45" s="367">
        <f>J29*(25713/25553)</f>
        <v>25874001839.314365</v>
      </c>
      <c r="H45" s="367">
        <f t="shared" ref="H45" si="12">+D45+E45+F45+G45</f>
        <v>68469111839.314362</v>
      </c>
      <c r="I45" s="369">
        <f t="shared" si="7"/>
        <v>0.61908368403372682</v>
      </c>
      <c r="J45" s="370">
        <f t="shared" si="8"/>
        <v>0.38091631596627318</v>
      </c>
      <c r="K45" s="11"/>
      <c r="L45" s="4"/>
    </row>
    <row r="46" spans="1:13" ht="17.25">
      <c r="A46" s="11"/>
      <c r="B46" s="11"/>
      <c r="C46" s="11"/>
      <c r="D46" s="11"/>
      <c r="E46" s="11"/>
      <c r="F46" s="11"/>
      <c r="G46" s="11"/>
      <c r="H46" s="121" t="s">
        <v>46</v>
      </c>
      <c r="I46" s="124">
        <f>MAX(I38:I45)</f>
        <v>0.6722071633249227</v>
      </c>
      <c r="J46" s="124">
        <f>MAX(J38:J45)</f>
        <v>0.5603039836532494</v>
      </c>
      <c r="K46" s="11"/>
    </row>
    <row r="47" spans="1:13" ht="17.25">
      <c r="E47" s="11" t="s">
        <v>0</v>
      </c>
      <c r="G47" s="11" t="s">
        <v>0</v>
      </c>
      <c r="H47" s="349" t="s">
        <v>47</v>
      </c>
      <c r="I47" s="380">
        <f>MIN(I38:I45)</f>
        <v>0.43969601634675071</v>
      </c>
      <c r="J47" s="380">
        <f>MIN(J38:J45)</f>
        <v>0.3277928366750773</v>
      </c>
      <c r="K47" s="11"/>
    </row>
    <row r="48" spans="1:13" ht="17.25">
      <c r="E48" s="122"/>
      <c r="F48" s="313" t="s">
        <v>0</v>
      </c>
      <c r="G48" s="11" t="s">
        <v>0</v>
      </c>
      <c r="H48" s="13" t="s">
        <v>18</v>
      </c>
      <c r="I48" s="123">
        <f>MEDIAN(I38:I45)</f>
        <v>0.58405373392756255</v>
      </c>
      <c r="J48" s="124">
        <f>MEDIAN(J38:J45)</f>
        <v>0.41594626607243745</v>
      </c>
      <c r="K48" s="11"/>
    </row>
    <row r="49" spans="1:11" ht="17.25">
      <c r="E49" s="314" t="s">
        <v>0</v>
      </c>
      <c r="F49" s="313" t="s">
        <v>0</v>
      </c>
      <c r="G49" s="11" t="s">
        <v>0</v>
      </c>
      <c r="H49" s="13" t="s">
        <v>428</v>
      </c>
      <c r="I49" s="123">
        <f>AVERAGE(I38:I45)</f>
        <v>0.57467277208002809</v>
      </c>
      <c r="J49" s="124">
        <f>AVERAGE(J38:J45)</f>
        <v>0.42532722791997185</v>
      </c>
      <c r="K49" s="11"/>
    </row>
    <row r="50" spans="1:11" ht="18" thickBot="1">
      <c r="E50" s="122"/>
      <c r="G50" s="11"/>
      <c r="H50" s="11"/>
      <c r="I50" s="61"/>
      <c r="J50" s="61"/>
      <c r="K50" s="11"/>
    </row>
    <row r="51" spans="1:11" ht="27" thickBot="1">
      <c r="E51" s="122"/>
      <c r="G51" s="11"/>
      <c r="H51" s="211" t="s">
        <v>213</v>
      </c>
      <c r="I51" s="418">
        <v>0.56999999999999995</v>
      </c>
      <c r="J51" s="419">
        <v>0.43</v>
      </c>
      <c r="K51" s="11"/>
    </row>
    <row r="52" spans="1:11" ht="17.25">
      <c r="E52" s="122"/>
      <c r="F52" s="11"/>
      <c r="G52" s="11"/>
      <c r="H52" s="11"/>
      <c r="I52" s="61"/>
      <c r="J52" s="61" t="s">
        <v>0</v>
      </c>
      <c r="K52" s="11"/>
    </row>
    <row r="53" spans="1:11" ht="16.5">
      <c r="E53" s="122"/>
      <c r="F53" s="11"/>
      <c r="G53" s="11"/>
      <c r="H53" s="11"/>
      <c r="I53" s="11"/>
      <c r="J53" s="11"/>
      <c r="K53" s="11"/>
    </row>
    <row r="54" spans="1:11" ht="16.5">
      <c r="E54" s="122"/>
      <c r="F54" s="11"/>
      <c r="G54" s="11"/>
      <c r="H54" s="11"/>
      <c r="I54" s="11"/>
      <c r="J54" s="11"/>
      <c r="K54" s="11"/>
    </row>
    <row r="55" spans="1:11" ht="26.25">
      <c r="A55" s="21" t="s">
        <v>72</v>
      </c>
      <c r="B55" s="11"/>
      <c r="C55" s="73"/>
      <c r="D55" s="126"/>
      <c r="E55" s="122"/>
      <c r="F55" s="11"/>
      <c r="G55" s="11"/>
      <c r="H55" s="11"/>
      <c r="I55" s="11"/>
      <c r="J55" s="11"/>
      <c r="K55" s="11"/>
    </row>
    <row r="56" spans="1:11" ht="16.5">
      <c r="A56" s="84" t="s">
        <v>55</v>
      </c>
      <c r="B56" s="11"/>
      <c r="C56" s="73"/>
      <c r="D56" s="126"/>
      <c r="E56" s="122"/>
      <c r="F56" s="11"/>
      <c r="G56" s="11"/>
      <c r="H56" s="11"/>
      <c r="I56" s="11"/>
      <c r="J56" s="11"/>
      <c r="K56" s="11"/>
    </row>
    <row r="57" spans="1:11" ht="16.5">
      <c r="A57" s="11" t="s">
        <v>0</v>
      </c>
      <c r="B57" s="11"/>
      <c r="C57" s="73"/>
      <c r="D57" s="126"/>
      <c r="E57" s="122"/>
      <c r="F57" s="11"/>
      <c r="G57" s="11"/>
      <c r="H57" s="11"/>
      <c r="I57" s="11"/>
      <c r="J57" s="11"/>
      <c r="K57" s="11"/>
    </row>
    <row r="58" spans="1:11" ht="16.5">
      <c r="A58" s="11" t="s">
        <v>156</v>
      </c>
    </row>
    <row r="59" spans="1:11" ht="16.5">
      <c r="A59" s="11" t="s">
        <v>154</v>
      </c>
    </row>
    <row r="60" spans="1:11" ht="16.5">
      <c r="A60" s="11" t="s">
        <v>155</v>
      </c>
    </row>
    <row r="61" spans="1:11" ht="16.5">
      <c r="A61" s="11" t="s">
        <v>317</v>
      </c>
    </row>
    <row r="64" spans="1:11" ht="26.25">
      <c r="A64" s="281" t="s">
        <v>318</v>
      </c>
    </row>
    <row r="65" spans="1:5" ht="17.25" customHeight="1">
      <c r="A65" s="11" t="s">
        <v>412</v>
      </c>
      <c r="B65" s="336"/>
      <c r="C65" s="336"/>
      <c r="D65" s="332"/>
      <c r="E65" s="332"/>
    </row>
    <row r="66" spans="1:5" ht="16.5">
      <c r="A66" s="11" t="s">
        <v>413</v>
      </c>
      <c r="B66" s="336"/>
      <c r="C66" s="336"/>
      <c r="D66" s="332"/>
      <c r="E66" s="332"/>
    </row>
    <row r="67" spans="1:5" ht="16.5">
      <c r="A67" s="11" t="s">
        <v>414</v>
      </c>
      <c r="B67" s="332"/>
      <c r="C67" s="332"/>
      <c r="D67" s="332"/>
      <c r="E67" s="332"/>
    </row>
    <row r="68" spans="1:5" ht="16.5">
      <c r="A68" s="11" t="s">
        <v>415</v>
      </c>
      <c r="B68" s="332"/>
      <c r="C68" s="332"/>
      <c r="D68" s="332"/>
      <c r="E68" s="332"/>
    </row>
    <row r="69" spans="1:5" ht="16.5">
      <c r="A69" s="130" t="s">
        <v>510</v>
      </c>
      <c r="B69" s="332"/>
      <c r="C69" s="332"/>
      <c r="D69" s="332"/>
      <c r="E69" s="332"/>
    </row>
    <row r="70" spans="1:5" ht="16.5">
      <c r="A70" s="11"/>
    </row>
    <row r="71" spans="1:5" ht="20.25" customHeight="1">
      <c r="A71" s="281" t="s">
        <v>416</v>
      </c>
    </row>
    <row r="72" spans="1:5" ht="16.5">
      <c r="A72" s="371" t="s">
        <v>0</v>
      </c>
    </row>
    <row r="73" spans="1:5" ht="17.25">
      <c r="A73" s="148" t="s">
        <v>0</v>
      </c>
    </row>
    <row r="74" spans="1:5" ht="26.25">
      <c r="A74" s="281" t="s">
        <v>380</v>
      </c>
    </row>
    <row r="75" spans="1:5" ht="16.5">
      <c r="A75" s="210" t="s">
        <v>417</v>
      </c>
    </row>
  </sheetData>
  <pageMargins left="0.25" right="0.25" top="0.75" bottom="0.75" header="0.3" footer="0.3"/>
  <pageSetup scale="38" orientation="landscape" r:id="rId1"/>
  <rowBreaks count="1" manualBreakCount="1">
    <brk id="51" max="11" man="1"/>
  </rowBreaks>
  <colBreaks count="1" manualBreakCount="1">
    <brk id="11" max="94"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J62"/>
  <sheetViews>
    <sheetView view="pageBreakPreview" topLeftCell="A6" zoomScale="70" zoomScaleNormal="80" zoomScaleSheetLayoutView="70" zoomScalePageLayoutView="70" workbookViewId="0">
      <pane xSplit="1" topLeftCell="B1" activePane="topRight" state="frozen"/>
      <selection pane="topRight" activeCell="E29" sqref="E29"/>
    </sheetView>
  </sheetViews>
  <sheetFormatPr defaultRowHeight="15"/>
  <cols>
    <col min="1" max="1" width="62.42578125" customWidth="1"/>
    <col min="2" max="2" width="11.5703125" bestFit="1" customWidth="1"/>
    <col min="3" max="3" width="26.28515625" customWidth="1"/>
    <col min="4" max="4" width="30.140625" customWidth="1"/>
    <col min="5" max="5" width="28" customWidth="1"/>
    <col min="6" max="6" width="29.140625" customWidth="1"/>
    <col min="7" max="7" width="34.42578125" customWidth="1"/>
    <col min="8" max="8" width="12.85546875" customWidth="1"/>
    <col min="9" max="9" width="25.85546875" bestFit="1" customWidth="1"/>
    <col min="10" max="10" width="30.140625" bestFit="1" customWidth="1"/>
    <col min="11" max="11" width="9.140625" customWidth="1"/>
  </cols>
  <sheetData>
    <row r="1" spans="1:9" ht="26.25">
      <c r="A1" s="22" t="s">
        <v>1</v>
      </c>
      <c r="B1" s="11"/>
      <c r="C1" s="11"/>
      <c r="D1" s="11"/>
      <c r="E1" s="11"/>
      <c r="F1" s="11"/>
      <c r="G1" s="11"/>
      <c r="H1" s="11"/>
    </row>
    <row r="2" spans="1:9" ht="17.25">
      <c r="A2" s="23" t="s">
        <v>9</v>
      </c>
      <c r="B2" s="11"/>
      <c r="C2" s="11"/>
      <c r="D2" s="11"/>
      <c r="E2" s="11"/>
      <c r="F2" s="11"/>
      <c r="G2" s="11"/>
      <c r="H2" s="11"/>
    </row>
    <row r="3" spans="1:9" ht="16.5">
      <c r="A3" s="24" t="s">
        <v>467</v>
      </c>
      <c r="B3" s="11"/>
      <c r="C3" s="11"/>
      <c r="D3" s="11"/>
      <c r="E3" s="11"/>
      <c r="F3" s="11"/>
      <c r="G3" s="11"/>
      <c r="H3" s="11"/>
    </row>
    <row r="4" spans="1:9" ht="16.5">
      <c r="A4" s="24"/>
      <c r="B4" s="11"/>
      <c r="C4" s="11"/>
      <c r="D4" s="11"/>
      <c r="E4" s="11"/>
      <c r="F4" s="210" t="s">
        <v>0</v>
      </c>
      <c r="G4" s="11"/>
      <c r="H4" s="11"/>
    </row>
    <row r="5" spans="1:9" ht="16.5">
      <c r="B5" s="11"/>
      <c r="C5" s="11"/>
      <c r="D5" s="11"/>
      <c r="E5" s="25"/>
      <c r="F5" s="210" t="s">
        <v>0</v>
      </c>
      <c r="G5" s="11"/>
      <c r="H5" s="11" t="s">
        <v>0</v>
      </c>
    </row>
    <row r="6" spans="1:9" ht="16.5">
      <c r="A6" s="84"/>
      <c r="B6" s="33"/>
      <c r="C6" s="33"/>
      <c r="D6" s="33"/>
      <c r="E6" s="33"/>
      <c r="F6" s="33"/>
      <c r="G6" s="13"/>
      <c r="H6" s="83"/>
      <c r="I6" s="3"/>
    </row>
    <row r="7" spans="1:9" ht="16.5">
      <c r="A7" s="42"/>
      <c r="B7" s="42"/>
      <c r="C7" s="42"/>
      <c r="D7" s="42"/>
      <c r="E7" s="42"/>
      <c r="F7" s="42"/>
      <c r="G7" s="42"/>
      <c r="H7" s="42"/>
      <c r="I7" s="2"/>
    </row>
    <row r="8" spans="1:9" ht="17.25" thickBot="1">
      <c r="A8" s="42"/>
      <c r="B8" s="42"/>
      <c r="C8" s="42"/>
      <c r="D8" s="85"/>
      <c r="E8" s="27"/>
      <c r="F8" s="85"/>
      <c r="H8" s="42"/>
      <c r="I8" s="2"/>
    </row>
    <row r="9" spans="1:9" ht="27" thickBot="1">
      <c r="A9" s="26" t="str">
        <f>+'S&amp;D'!A12</f>
        <v>Natural Gas Transmission Pipeline Carrier</v>
      </c>
      <c r="B9" s="42"/>
      <c r="C9" s="42"/>
      <c r="D9" s="42"/>
      <c r="E9" s="30" t="s">
        <v>308</v>
      </c>
      <c r="F9" s="42"/>
      <c r="H9" s="11"/>
    </row>
    <row r="10" spans="1:9" ht="21" thickBot="1">
      <c r="A10" s="29"/>
      <c r="B10" s="42"/>
      <c r="C10" s="42"/>
      <c r="D10" s="85"/>
      <c r="E10" s="35" t="s">
        <v>468</v>
      </c>
      <c r="F10" s="85"/>
      <c r="H10" s="11"/>
    </row>
    <row r="11" spans="1:9" ht="20.25">
      <c r="A11" s="29"/>
      <c r="B11" s="42"/>
      <c r="C11" s="42"/>
      <c r="D11" s="42"/>
      <c r="E11" s="33"/>
      <c r="F11" s="42"/>
      <c r="H11" s="11"/>
    </row>
    <row r="12" spans="1:9" ht="20.25">
      <c r="A12" s="29"/>
      <c r="B12" s="42"/>
      <c r="C12" s="42"/>
      <c r="D12" s="42"/>
      <c r="E12" s="33"/>
      <c r="F12" s="42"/>
      <c r="H12" s="11"/>
    </row>
    <row r="13" spans="1:9" ht="16.5">
      <c r="B13" s="42"/>
      <c r="C13" s="42"/>
      <c r="D13" s="42"/>
      <c r="E13" s="33"/>
      <c r="F13" s="42"/>
      <c r="H13" s="11"/>
    </row>
    <row r="14" spans="1:9" ht="20.25">
      <c r="A14" s="29"/>
      <c r="B14" s="42"/>
      <c r="C14" s="42"/>
      <c r="D14" s="42"/>
      <c r="E14" s="12" t="s">
        <v>0</v>
      </c>
      <c r="F14" s="42"/>
      <c r="H14" s="11"/>
    </row>
    <row r="15" spans="1:9" ht="17.25" thickBot="1">
      <c r="A15" s="40" t="s">
        <v>0</v>
      </c>
      <c r="B15" s="40" t="s">
        <v>0</v>
      </c>
      <c r="C15" s="40" t="s">
        <v>0</v>
      </c>
      <c r="D15" s="40"/>
      <c r="E15" s="40"/>
      <c r="F15" s="40"/>
      <c r="H15" s="11"/>
    </row>
    <row r="16" spans="1:9" ht="17.25">
      <c r="A16" s="264"/>
      <c r="B16" s="265"/>
      <c r="C16" s="266"/>
      <c r="D16" s="249" t="s">
        <v>0</v>
      </c>
      <c r="E16" s="250" t="s">
        <v>0</v>
      </c>
      <c r="F16" s="249" t="s">
        <v>0</v>
      </c>
      <c r="H16" s="11"/>
    </row>
    <row r="17" spans="1:10" ht="17.25">
      <c r="A17" s="86" t="s">
        <v>0</v>
      </c>
      <c r="B17" s="87" t="s">
        <v>3</v>
      </c>
      <c r="C17" s="88" t="s">
        <v>5</v>
      </c>
      <c r="D17" s="89" t="s">
        <v>0</v>
      </c>
      <c r="E17" s="251" t="s">
        <v>0</v>
      </c>
      <c r="F17" s="89" t="s">
        <v>300</v>
      </c>
      <c r="H17" s="11"/>
    </row>
    <row r="18" spans="1:10" ht="17.25">
      <c r="A18" s="86"/>
      <c r="B18" s="87" t="s">
        <v>4</v>
      </c>
      <c r="C18" s="88" t="s">
        <v>6</v>
      </c>
      <c r="D18" s="89" t="s">
        <v>309</v>
      </c>
      <c r="E18" s="251" t="s">
        <v>309</v>
      </c>
      <c r="F18" s="89" t="s">
        <v>130</v>
      </c>
      <c r="H18" s="11"/>
    </row>
    <row r="19" spans="1:10" ht="18" thickBot="1">
      <c r="A19" s="93" t="s">
        <v>2</v>
      </c>
      <c r="B19" s="94" t="s">
        <v>0</v>
      </c>
      <c r="C19" s="95" t="s">
        <v>0</v>
      </c>
      <c r="D19" s="303" t="s">
        <v>298</v>
      </c>
      <c r="E19" s="302" t="s">
        <v>61</v>
      </c>
      <c r="F19" s="94" t="s">
        <v>0</v>
      </c>
      <c r="H19" s="11"/>
    </row>
    <row r="20" spans="1:10" ht="16.5">
      <c r="A20" s="304" t="s">
        <v>7</v>
      </c>
      <c r="B20" s="283" t="s">
        <v>7</v>
      </c>
      <c r="C20" s="305" t="s">
        <v>7</v>
      </c>
      <c r="D20" s="283" t="s">
        <v>7</v>
      </c>
      <c r="E20" s="114" t="s">
        <v>299</v>
      </c>
      <c r="F20" s="98"/>
      <c r="H20" s="11"/>
    </row>
    <row r="21" spans="1:10" ht="17.25">
      <c r="A21" s="86"/>
      <c r="B21" s="87"/>
      <c r="C21" s="88"/>
      <c r="D21" s="87"/>
      <c r="E21" s="252"/>
      <c r="F21" s="87"/>
      <c r="H21" s="11"/>
    </row>
    <row r="22" spans="1:10" ht="17.25">
      <c r="A22" s="100" t="str">
        <f>+'S&amp;D'!A22</f>
        <v>Enbridge Inc</v>
      </c>
      <c r="B22" s="78" t="str">
        <f>+'S&amp;D'!B22</f>
        <v>ENB.TO</v>
      </c>
      <c r="C22" s="88" t="str">
        <f>+'S&amp;D'!C22</f>
        <v>Oil &amp; Gas Distribution</v>
      </c>
      <c r="D22" s="267">
        <f>+'S&amp;D'!D38</f>
        <v>101362500000</v>
      </c>
      <c r="E22" s="268">
        <f>61454000000*0.7453</f>
        <v>45801666200</v>
      </c>
      <c r="F22" s="102">
        <f t="shared" ref="F22:F28" si="0">+D22/E22</f>
        <v>2.2130745103766554</v>
      </c>
      <c r="H22" s="11" t="s">
        <v>511</v>
      </c>
      <c r="I22" s="11"/>
    </row>
    <row r="23" spans="1:10" ht="17.25">
      <c r="A23" s="100" t="str">
        <f>+'S&amp;D'!A23</f>
        <v>Energy Transfer LP</v>
      </c>
      <c r="B23" s="78" t="str">
        <f>+'S&amp;D'!B23</f>
        <v>ET</v>
      </c>
      <c r="C23" s="88" t="str">
        <f>+'S&amp;D'!C23</f>
        <v>Pipeline MLPs</v>
      </c>
      <c r="D23" s="267">
        <f>+'S&amp;D'!D39</f>
        <v>46471856122.800003</v>
      </c>
      <c r="E23" s="268">
        <v>36682000000</v>
      </c>
      <c r="F23" s="102">
        <f t="shared" si="0"/>
        <v>1.26688446984352</v>
      </c>
      <c r="H23" s="11"/>
    </row>
    <row r="24" spans="1:10" ht="17.25">
      <c r="A24" s="100" t="str">
        <f>+'S&amp;D'!A24</f>
        <v>Enlink Midstream LLC</v>
      </c>
      <c r="B24" s="78" t="str">
        <f>+'S&amp;D'!B24</f>
        <v>ENLC</v>
      </c>
      <c r="C24" s="88" t="str">
        <f>+'S&amp;D'!C24</f>
        <v>Oil &amp; Gas Distribution</v>
      </c>
      <c r="D24" s="267">
        <f>+'S&amp;D'!D40</f>
        <v>5491627285.7600002</v>
      </c>
      <c r="E24" s="268">
        <v>1000500000</v>
      </c>
      <c r="F24" s="102">
        <f t="shared" si="0"/>
        <v>5.488882844337831</v>
      </c>
      <c r="H24" s="11"/>
    </row>
    <row r="25" spans="1:10" ht="17.25">
      <c r="A25" s="100" t="str">
        <f>+'S&amp;D'!A25</f>
        <v>Enterprise Products Partnership LP</v>
      </c>
      <c r="B25" s="78" t="str">
        <f>+'S&amp;D'!B25</f>
        <v>EPD</v>
      </c>
      <c r="C25" s="88" t="str">
        <f>+'S&amp;D'!C25</f>
        <v>Pipeline MLPs</v>
      </c>
      <c r="D25" s="267">
        <f>+'S&amp;D'!D41</f>
        <v>57133262021.300003</v>
      </c>
      <c r="E25" s="268">
        <v>27673000000</v>
      </c>
      <c r="F25" s="102">
        <f t="shared" si="0"/>
        <v>2.06458504756622</v>
      </c>
      <c r="H25" s="11"/>
    </row>
    <row r="26" spans="1:10" ht="17.25">
      <c r="A26" s="100" t="str">
        <f>+'S&amp;D'!A26</f>
        <v>Kinder Morgan Inc</v>
      </c>
      <c r="B26" s="78" t="str">
        <f>+'S&amp;D'!B26</f>
        <v>KMI</v>
      </c>
      <c r="C26" s="88" t="str">
        <f>+'S&amp;D'!C26</f>
        <v>Oil &amp; Gas Distribution</v>
      </c>
      <c r="D26" s="267">
        <f>+'S&amp;D'!D42</f>
        <v>39156030920.160004</v>
      </c>
      <c r="E26" s="268">
        <v>30306000000</v>
      </c>
      <c r="F26" s="102">
        <f t="shared" si="0"/>
        <v>1.2920224021698674</v>
      </c>
      <c r="H26" s="11"/>
    </row>
    <row r="27" spans="1:10" ht="17.25">
      <c r="A27" s="100" t="str">
        <f>+'S&amp;D'!A27</f>
        <v>ONEOK Inc</v>
      </c>
      <c r="B27" s="78" t="str">
        <f>+'S&amp;D'!B27</f>
        <v>OKE</v>
      </c>
      <c r="C27" s="88" t="str">
        <f>+'S&amp;D'!C27</f>
        <v>Oil &amp; Gas Distribution</v>
      </c>
      <c r="D27" s="267">
        <f>+'S&amp;D'!D43</f>
        <v>40944797482</v>
      </c>
      <c r="E27" s="268">
        <v>16484000000</v>
      </c>
      <c r="F27" s="102">
        <f t="shared" si="0"/>
        <v>2.4839115191701042</v>
      </c>
      <c r="H27" s="11"/>
    </row>
    <row r="28" spans="1:10" ht="17.25">
      <c r="A28" s="100" t="str">
        <f>+'S&amp;D'!A28</f>
        <v>TC Energy Corp</v>
      </c>
      <c r="B28" s="78" t="str">
        <f>+'S&amp;D'!B28</f>
        <v>TRP</v>
      </c>
      <c r="C28" s="88" t="str">
        <f>+'S&amp;D'!C28</f>
        <v>Oil &amp; Gas Distribution</v>
      </c>
      <c r="D28" s="267">
        <f>+'S&amp;D'!D44</f>
        <v>40536330000</v>
      </c>
      <c r="E28" s="268">
        <f>29553000000*0.7453</f>
        <v>22025850900</v>
      </c>
      <c r="F28" s="102">
        <f t="shared" si="0"/>
        <v>1.8403979117101896</v>
      </c>
      <c r="H28" s="11" t="s">
        <v>511</v>
      </c>
    </row>
    <row r="29" spans="1:10" ht="18" thickBot="1">
      <c r="A29" s="309" t="str">
        <f>+'S&amp;D'!A29</f>
        <v>Williams Companys Inc</v>
      </c>
      <c r="B29" s="79" t="str">
        <f>+'S&amp;D'!B29</f>
        <v>WMB</v>
      </c>
      <c r="C29" s="95" t="str">
        <f>+'S&amp;D'!C29</f>
        <v>Oil &amp; Gas Distribution</v>
      </c>
      <c r="D29" s="310">
        <f>+'S&amp;D'!D45</f>
        <v>42388110000</v>
      </c>
      <c r="E29" s="377">
        <v>14891000000</v>
      </c>
      <c r="F29" s="102">
        <f t="shared" ref="F29" si="1">+D29/E29</f>
        <v>2.8465589953663288</v>
      </c>
      <c r="H29" s="11"/>
      <c r="J29" s="10" t="s">
        <v>0</v>
      </c>
    </row>
    <row r="30" spans="1:10" ht="27" customHeight="1" thickBot="1">
      <c r="A30" s="119"/>
      <c r="B30" s="106"/>
      <c r="C30" s="106"/>
      <c r="D30" s="120"/>
      <c r="E30" s="308" t="s">
        <v>307</v>
      </c>
      <c r="F30" s="212">
        <f>AVERAGE(F22:F29)</f>
        <v>2.4370397125675898</v>
      </c>
      <c r="H30" s="11"/>
    </row>
    <row r="31" spans="1:10" ht="17.25">
      <c r="A31" s="104"/>
      <c r="B31" s="104"/>
      <c r="C31" s="104"/>
      <c r="D31" s="104"/>
      <c r="E31" s="261"/>
      <c r="F31" s="263"/>
      <c r="H31" s="11"/>
    </row>
    <row r="32" spans="1:10" ht="17.25">
      <c r="A32" s="104"/>
      <c r="B32" s="104"/>
      <c r="C32" s="104"/>
      <c r="D32" s="104"/>
      <c r="E32" s="261"/>
      <c r="F32" s="263"/>
      <c r="H32" s="11"/>
    </row>
    <row r="33" spans="1:8" ht="17.25">
      <c r="A33" s="104"/>
      <c r="B33" s="104"/>
      <c r="C33" s="104"/>
      <c r="D33" s="104"/>
      <c r="E33" s="261"/>
      <c r="F33" s="263"/>
      <c r="H33" s="11"/>
    </row>
    <row r="34" spans="1:8" ht="18" thickBot="1">
      <c r="A34" s="104"/>
      <c r="B34" s="104"/>
      <c r="C34" s="104"/>
      <c r="D34" s="104"/>
      <c r="E34" s="104"/>
      <c r="F34" s="104"/>
      <c r="H34" s="11"/>
    </row>
    <row r="35" spans="1:8" ht="17.25">
      <c r="A35" s="264"/>
      <c r="B35" s="265"/>
      <c r="C35" s="266"/>
      <c r="D35" s="249" t="s">
        <v>0</v>
      </c>
      <c r="E35" s="250" t="s">
        <v>0</v>
      </c>
      <c r="F35" s="249" t="s">
        <v>0</v>
      </c>
      <c r="H35" s="11"/>
    </row>
    <row r="36" spans="1:8" ht="17.25">
      <c r="A36" s="86" t="s">
        <v>0</v>
      </c>
      <c r="B36" s="87" t="s">
        <v>3</v>
      </c>
      <c r="C36" s="88" t="s">
        <v>5</v>
      </c>
      <c r="D36" s="89" t="s">
        <v>0</v>
      </c>
      <c r="E36" s="251" t="s">
        <v>0</v>
      </c>
      <c r="F36" s="89" t="s">
        <v>300</v>
      </c>
      <c r="H36" s="11"/>
    </row>
    <row r="37" spans="1:8" ht="17.25">
      <c r="A37" s="86"/>
      <c r="B37" s="87" t="s">
        <v>4</v>
      </c>
      <c r="C37" s="88" t="s">
        <v>6</v>
      </c>
      <c r="D37" s="89" t="s">
        <v>301</v>
      </c>
      <c r="E37" s="251" t="s">
        <v>301</v>
      </c>
      <c r="F37" s="89" t="s">
        <v>130</v>
      </c>
    </row>
    <row r="38" spans="1:8" ht="18" thickBot="1">
      <c r="A38" s="93" t="s">
        <v>2</v>
      </c>
      <c r="B38" s="94" t="s">
        <v>0</v>
      </c>
      <c r="C38" s="95" t="s">
        <v>0</v>
      </c>
      <c r="D38" s="303" t="s">
        <v>298</v>
      </c>
      <c r="E38" s="302" t="s">
        <v>61</v>
      </c>
      <c r="F38" s="94" t="s">
        <v>0</v>
      </c>
    </row>
    <row r="39" spans="1:8">
      <c r="A39" s="304" t="s">
        <v>7</v>
      </c>
      <c r="B39" s="283" t="s">
        <v>7</v>
      </c>
      <c r="C39" s="305" t="s">
        <v>7</v>
      </c>
      <c r="D39" s="283" t="s">
        <v>299</v>
      </c>
      <c r="E39" s="114" t="s">
        <v>299</v>
      </c>
      <c r="F39" s="98"/>
    </row>
    <row r="40" spans="1:8" ht="18" thickBot="1">
      <c r="A40" s="86"/>
      <c r="B40" s="87"/>
      <c r="C40" s="88"/>
      <c r="D40" s="87"/>
      <c r="E40" s="372"/>
      <c r="F40" s="372"/>
    </row>
    <row r="41" spans="1:8" ht="17.25">
      <c r="A41" s="100" t="str">
        <f t="shared" ref="A41:C48" si="2">+A22</f>
        <v>Enbridge Inc</v>
      </c>
      <c r="B41" s="78" t="str">
        <f t="shared" si="2"/>
        <v>ENB.TO</v>
      </c>
      <c r="C41" s="88" t="str">
        <f t="shared" si="2"/>
        <v>Oil &amp; Gas Distribution</v>
      </c>
      <c r="D41" s="267">
        <f>+'S&amp;D'!G38</f>
        <v>57920474582.142845</v>
      </c>
      <c r="E41" s="268">
        <f>+'S&amp;D'!J22</f>
        <v>60219494700</v>
      </c>
      <c r="F41" s="102">
        <f t="shared" ref="F41:F45" si="3">+D41/E41</f>
        <v>0.96182266009852202</v>
      </c>
    </row>
    <row r="42" spans="1:8" ht="17.25">
      <c r="A42" s="100" t="str">
        <f t="shared" si="2"/>
        <v>Energy Transfer LP</v>
      </c>
      <c r="B42" s="78" t="str">
        <f t="shared" si="2"/>
        <v>ET</v>
      </c>
      <c r="C42" s="88" t="str">
        <f t="shared" si="2"/>
        <v>Pipeline MLPs</v>
      </c>
      <c r="D42" s="267">
        <f>+'S&amp;D'!G39</f>
        <v>51928017560.603172</v>
      </c>
      <c r="E42" s="268">
        <f>+'S&amp;D'!J23</f>
        <v>52388000000</v>
      </c>
      <c r="F42" s="102">
        <f t="shared" si="3"/>
        <v>0.99121969841572821</v>
      </c>
    </row>
    <row r="43" spans="1:8" ht="17.25">
      <c r="A43" s="100" t="str">
        <f t="shared" si="2"/>
        <v>Enlink Midstream LLC</v>
      </c>
      <c r="B43" s="78" t="str">
        <f t="shared" si="2"/>
        <v>ENLC</v>
      </c>
      <c r="C43" s="88" t="str">
        <f t="shared" si="2"/>
        <v>Oil &amp; Gas Distribution</v>
      </c>
      <c r="D43" s="267">
        <f>+'S&amp;D'!G40</f>
        <v>4332140558.9966955</v>
      </c>
      <c r="E43" s="268">
        <f>+'S&amp;D'!J24</f>
        <v>4471000000</v>
      </c>
      <c r="F43" s="102">
        <f t="shared" si="3"/>
        <v>0.96894219615224686</v>
      </c>
    </row>
    <row r="44" spans="1:8" ht="17.25">
      <c r="A44" s="100" t="str">
        <f t="shared" si="2"/>
        <v>Enterprise Products Partnership LP</v>
      </c>
      <c r="B44" s="78" t="str">
        <f t="shared" si="2"/>
        <v>EPD</v>
      </c>
      <c r="C44" s="88" t="str">
        <f t="shared" si="2"/>
        <v>Pipeline MLPs</v>
      </c>
      <c r="D44" s="267">
        <f>+'S&amp;D'!G41</f>
        <v>27413271428.571426</v>
      </c>
      <c r="E44" s="268">
        <f>+'S&amp;D'!J25</f>
        <v>28748000000</v>
      </c>
      <c r="F44" s="102">
        <f t="shared" si="3"/>
        <v>0.95357142857142851</v>
      </c>
    </row>
    <row r="45" spans="1:8" ht="17.25">
      <c r="A45" s="100" t="str">
        <f t="shared" si="2"/>
        <v>Kinder Morgan Inc</v>
      </c>
      <c r="B45" s="78" t="str">
        <f t="shared" si="2"/>
        <v>KMI</v>
      </c>
      <c r="C45" s="88" t="str">
        <f t="shared" si="2"/>
        <v>Oil &amp; Gas Distribution</v>
      </c>
      <c r="D45" s="267">
        <f>+'S&amp;D'!G42</f>
        <v>31319055716.329041</v>
      </c>
      <c r="E45" s="268">
        <f>+'S&amp;D'!J26</f>
        <v>32116000000</v>
      </c>
      <c r="F45" s="102">
        <f t="shared" si="3"/>
        <v>0.97518544390114092</v>
      </c>
    </row>
    <row r="46" spans="1:8" ht="17.25">
      <c r="A46" s="100" t="str">
        <f t="shared" si="2"/>
        <v>ONEOK Inc</v>
      </c>
      <c r="B46" s="78" t="str">
        <f t="shared" si="2"/>
        <v>OKE</v>
      </c>
      <c r="C46" s="88" t="str">
        <f t="shared" si="2"/>
        <v>Oil &amp; Gas Distribution</v>
      </c>
      <c r="D46" s="267">
        <f>+'S&amp;D'!G43</f>
        <v>21367456221.198154</v>
      </c>
      <c r="E46" s="268">
        <f>+'S&amp;D'!J27</f>
        <v>21667000000</v>
      </c>
      <c r="F46" s="102">
        <f>+D46/E46</f>
        <v>0.98617511520737322</v>
      </c>
    </row>
    <row r="47" spans="1:8" ht="17.25">
      <c r="A47" s="100" t="str">
        <f t="shared" si="2"/>
        <v>TC Energy Corp</v>
      </c>
      <c r="B47" s="78" t="str">
        <f t="shared" si="2"/>
        <v>TRP</v>
      </c>
      <c r="C47" s="88" t="str">
        <f t="shared" si="2"/>
        <v>Oil &amp; Gas Distribution</v>
      </c>
      <c r="D47" s="267">
        <f>+'S&amp;D'!G44</f>
        <v>40179995199.964531</v>
      </c>
      <c r="E47" s="268">
        <f>+'S&amp;D'!J28</f>
        <v>39436804200</v>
      </c>
      <c r="F47" s="102">
        <f t="shared" ref="F47" si="4">+D47/E47</f>
        <v>1.0188451122001547</v>
      </c>
    </row>
    <row r="48" spans="1:8" ht="18" thickBot="1">
      <c r="A48" s="309" t="str">
        <f t="shared" si="2"/>
        <v>Williams Companys Inc</v>
      </c>
      <c r="B48" s="79" t="str">
        <f t="shared" si="2"/>
        <v>WMB</v>
      </c>
      <c r="C48" s="95" t="str">
        <f t="shared" si="2"/>
        <v>Oil &amp; Gas Distribution</v>
      </c>
      <c r="D48" s="310">
        <f>+'S&amp;D'!G45</f>
        <v>25874001839.314365</v>
      </c>
      <c r="E48" s="268">
        <f>+'S&amp;D'!J29</f>
        <v>25713000000</v>
      </c>
      <c r="F48" s="102">
        <f t="shared" ref="F48" si="5">+D48/E48</f>
        <v>1.0062614957147888</v>
      </c>
    </row>
    <row r="49" spans="1:6" ht="27.75" customHeight="1" thickBot="1">
      <c r="A49" s="306"/>
      <c r="B49" s="154"/>
      <c r="C49" s="154"/>
      <c r="D49" s="307"/>
      <c r="E49" s="308" t="s">
        <v>307</v>
      </c>
      <c r="F49" s="212">
        <f>AVERAGE(F41:F48)</f>
        <v>0.98275289378267294</v>
      </c>
    </row>
    <row r="54" spans="1:6">
      <c r="C54" s="253" t="s">
        <v>302</v>
      </c>
      <c r="D54" s="253" t="s">
        <v>303</v>
      </c>
      <c r="E54" s="253"/>
    </row>
    <row r="55" spans="1:6">
      <c r="A55" s="255"/>
      <c r="B55" s="255"/>
      <c r="C55" s="254" t="s">
        <v>36</v>
      </c>
      <c r="D55" s="254" t="s">
        <v>304</v>
      </c>
      <c r="E55" s="254" t="s">
        <v>305</v>
      </c>
    </row>
    <row r="56" spans="1:6" ht="17.25">
      <c r="A56" s="88" t="s">
        <v>40</v>
      </c>
      <c r="B56" s="141" t="s">
        <v>0</v>
      </c>
      <c r="C56" s="141">
        <f>+'Yield CapRate'!C23</f>
        <v>0.56999999999999995</v>
      </c>
      <c r="D56" s="259">
        <f>+F30</f>
        <v>2.4370397125675898</v>
      </c>
      <c r="E56" s="260">
        <f>+C56*D56</f>
        <v>1.389112636163526</v>
      </c>
      <c r="F56" s="142" t="s">
        <v>0</v>
      </c>
    </row>
    <row r="57" spans="1:6" ht="17.25">
      <c r="A57" s="256" t="s">
        <v>42</v>
      </c>
      <c r="B57" s="257" t="str">
        <f>'S&amp;D'!I35</f>
        <v xml:space="preserve"> </v>
      </c>
      <c r="C57" s="257">
        <f>+'Yield CapRate'!C25</f>
        <v>0.43</v>
      </c>
      <c r="D57" s="258">
        <f>+F49</f>
        <v>0.98275289378267294</v>
      </c>
      <c r="E57" s="258">
        <f>+C57*D57</f>
        <v>0.42258374432654938</v>
      </c>
      <c r="F57" s="142" t="s">
        <v>0</v>
      </c>
    </row>
    <row r="58" spans="1:6">
      <c r="D58" s="261" t="s">
        <v>306</v>
      </c>
      <c r="E58" s="262">
        <f>+E56+E57</f>
        <v>1.8116963804900754</v>
      </c>
    </row>
    <row r="61" spans="1:6" ht="20.25">
      <c r="A61" s="29" t="s">
        <v>430</v>
      </c>
    </row>
    <row r="62" spans="1:6" ht="19.5" customHeight="1">
      <c r="A62" s="29" t="s">
        <v>389</v>
      </c>
    </row>
  </sheetData>
  <pageMargins left="0.25" right="0.25" top="0.75" bottom="0.75" header="0.3" footer="0.3"/>
  <pageSetup scale="47" orientation="landscape" r:id="rId1"/>
  <rowBreaks count="1" manualBreakCount="1">
    <brk id="34"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N76"/>
  <sheetViews>
    <sheetView view="pageBreakPreview" topLeftCell="A15" zoomScale="70" zoomScaleNormal="80" zoomScaleSheetLayoutView="70" workbookViewId="0">
      <selection activeCell="L35" sqref="L35"/>
    </sheetView>
  </sheetViews>
  <sheetFormatPr defaultRowHeight="15"/>
  <cols>
    <col min="1" max="1" width="41" customWidth="1"/>
    <col min="2" max="2" width="10.85546875" bestFit="1" customWidth="1"/>
    <col min="3" max="3" width="10.7109375" customWidth="1"/>
    <col min="4" max="4" width="28.5703125" customWidth="1"/>
    <col min="5" max="5" width="22.28515625" customWidth="1"/>
    <col min="6" max="6" width="26.5703125" customWidth="1"/>
    <col min="7" max="7" width="26.42578125" customWidth="1"/>
    <col min="8" max="8" width="23.85546875" customWidth="1"/>
    <col min="9" max="9" width="15" customWidth="1"/>
    <col min="10" max="10" width="14.140625" bestFit="1" customWidth="1"/>
    <col min="11" max="11" width="16.7109375" customWidth="1"/>
    <col min="12" max="12" width="23.140625" customWidth="1"/>
  </cols>
  <sheetData>
    <row r="1" spans="1:12" ht="26.25">
      <c r="A1" s="22" t="s">
        <v>1</v>
      </c>
      <c r="B1" s="11"/>
      <c r="C1" s="11"/>
      <c r="D1" s="11"/>
      <c r="E1" s="11"/>
      <c r="F1" s="11"/>
      <c r="G1" s="11"/>
      <c r="H1" s="11"/>
      <c r="I1" s="11"/>
      <c r="J1" s="11"/>
      <c r="K1" s="11"/>
      <c r="L1" s="11"/>
    </row>
    <row r="2" spans="1:12" ht="17.25">
      <c r="A2" s="23" t="s">
        <v>9</v>
      </c>
      <c r="B2" s="11"/>
      <c r="C2" s="11"/>
      <c r="D2" s="11"/>
      <c r="E2" s="11"/>
      <c r="F2" s="11"/>
      <c r="G2" s="11"/>
      <c r="H2" s="11"/>
      <c r="I2" s="11"/>
      <c r="J2" s="11"/>
      <c r="K2" s="11"/>
      <c r="L2" s="11"/>
    </row>
    <row r="3" spans="1:12" ht="16.5">
      <c r="A3" s="24" t="s">
        <v>467</v>
      </c>
      <c r="B3" s="11"/>
      <c r="C3" s="11"/>
      <c r="D3" s="11"/>
      <c r="E3" s="11"/>
      <c r="F3" s="11"/>
      <c r="G3" s="11"/>
      <c r="H3" s="11"/>
      <c r="I3" s="11"/>
      <c r="J3" s="11"/>
      <c r="K3" s="11"/>
      <c r="L3" s="11"/>
    </row>
    <row r="4" spans="1:12" ht="16.5">
      <c r="A4" s="24"/>
      <c r="B4" s="11"/>
      <c r="C4" s="11"/>
      <c r="D4" s="11"/>
      <c r="E4" s="11"/>
      <c r="F4" s="11"/>
      <c r="G4" s="11"/>
      <c r="H4" s="11"/>
      <c r="I4" s="11"/>
      <c r="J4" s="11"/>
      <c r="K4" s="11"/>
      <c r="L4" s="11"/>
    </row>
    <row r="5" spans="1:12" ht="16.5">
      <c r="A5" s="24"/>
      <c r="B5" s="11"/>
      <c r="C5" s="11"/>
      <c r="D5" s="11"/>
      <c r="E5" s="11"/>
      <c r="F5" s="11"/>
      <c r="G5" s="11"/>
      <c r="H5" s="11"/>
      <c r="I5" s="11"/>
      <c r="J5" s="11"/>
      <c r="K5" s="11"/>
      <c r="L5" s="11"/>
    </row>
    <row r="6" spans="1:12" ht="16.5">
      <c r="A6" s="24"/>
      <c r="B6" s="11"/>
      <c r="C6" s="11"/>
      <c r="D6" s="11"/>
      <c r="E6" s="11"/>
      <c r="F6" s="11"/>
      <c r="G6" s="11"/>
      <c r="H6" s="11"/>
      <c r="I6" s="11"/>
      <c r="J6" s="11"/>
      <c r="K6" s="11"/>
      <c r="L6" s="11"/>
    </row>
    <row r="7" spans="1:12" ht="17.25" thickBot="1">
      <c r="A7" s="11"/>
      <c r="B7" s="11"/>
      <c r="C7" s="11"/>
      <c r="D7" s="11"/>
      <c r="E7" s="11"/>
      <c r="F7" s="27"/>
      <c r="G7" s="27"/>
      <c r="H7" s="28" t="s">
        <v>0</v>
      </c>
      <c r="I7" s="11"/>
      <c r="J7" s="11"/>
      <c r="K7" s="11"/>
      <c r="L7" s="11"/>
    </row>
    <row r="8" spans="1:12" ht="27" thickBot="1">
      <c r="A8" s="275" t="str">
        <f>+'S&amp;D'!A12</f>
        <v>Natural Gas Transmission Pipeline Carrier</v>
      </c>
      <c r="B8" s="276"/>
      <c r="C8" s="202"/>
      <c r="D8" s="11"/>
      <c r="E8" s="11"/>
      <c r="F8" s="11"/>
      <c r="G8" s="30" t="s">
        <v>76</v>
      </c>
      <c r="H8" s="11"/>
      <c r="I8" s="11"/>
      <c r="J8" s="11"/>
      <c r="K8" s="11"/>
      <c r="L8" s="11"/>
    </row>
    <row r="9" spans="1:12" ht="20.25">
      <c r="A9" s="29"/>
      <c r="B9" s="11"/>
      <c r="C9" s="11"/>
      <c r="D9" s="11"/>
      <c r="E9" s="11"/>
      <c r="F9" s="11"/>
      <c r="G9" s="88" t="s">
        <v>77</v>
      </c>
      <c r="H9" s="11"/>
      <c r="I9" s="11"/>
      <c r="J9" s="11"/>
      <c r="K9" s="11"/>
      <c r="L9" s="11"/>
    </row>
    <row r="10" spans="1:12" ht="18" customHeight="1" thickBot="1">
      <c r="A10" s="39" t="s">
        <v>0</v>
      </c>
      <c r="B10" s="39" t="s">
        <v>0</v>
      </c>
      <c r="C10" s="39" t="s">
        <v>0</v>
      </c>
      <c r="D10" s="11"/>
      <c r="E10" s="11"/>
      <c r="F10" s="32" t="s">
        <v>0</v>
      </c>
      <c r="G10" s="35" t="s">
        <v>468</v>
      </c>
      <c r="H10" s="32" t="s">
        <v>0</v>
      </c>
      <c r="I10" s="39" t="s">
        <v>0</v>
      </c>
      <c r="J10" s="11"/>
      <c r="K10" s="11"/>
      <c r="L10" s="11"/>
    </row>
    <row r="11" spans="1:12" ht="18" customHeight="1">
      <c r="A11" s="39"/>
      <c r="B11" s="39"/>
      <c r="C11" s="39"/>
      <c r="D11" s="11"/>
      <c r="E11" s="11"/>
      <c r="J11" s="11"/>
      <c r="K11" s="11"/>
      <c r="L11" s="11"/>
    </row>
    <row r="12" spans="1:12" ht="18" customHeight="1">
      <c r="A12" s="39"/>
      <c r="B12" s="39"/>
      <c r="C12" s="39"/>
      <c r="D12" s="11" t="s">
        <v>0</v>
      </c>
      <c r="E12" s="11" t="s">
        <v>0</v>
      </c>
      <c r="G12" s="12" t="s">
        <v>0</v>
      </c>
      <c r="J12" s="11"/>
      <c r="K12" s="11"/>
      <c r="L12" s="11" t="s">
        <v>0</v>
      </c>
    </row>
    <row r="13" spans="1:12" ht="17.25" thickBot="1">
      <c r="A13" s="32"/>
      <c r="B13" s="32"/>
      <c r="C13" s="32"/>
      <c r="D13" s="32"/>
      <c r="E13" s="35"/>
      <c r="F13" s="32"/>
      <c r="G13" s="32"/>
      <c r="H13" s="32"/>
      <c r="I13" s="32"/>
      <c r="J13" s="27"/>
      <c r="K13" s="27"/>
      <c r="L13" s="27"/>
    </row>
    <row r="14" spans="1:12" ht="15" customHeight="1" thickBot="1">
      <c r="A14" s="32" t="s">
        <v>24</v>
      </c>
      <c r="B14" s="32" t="s">
        <v>89</v>
      </c>
      <c r="C14" s="32" t="s">
        <v>90</v>
      </c>
      <c r="D14" s="40" t="s">
        <v>91</v>
      </c>
      <c r="E14" s="32" t="s">
        <v>92</v>
      </c>
      <c r="F14" s="32" t="s">
        <v>93</v>
      </c>
      <c r="G14" s="32" t="s">
        <v>94</v>
      </c>
      <c r="H14" s="32" t="s">
        <v>95</v>
      </c>
      <c r="I14" s="32" t="s">
        <v>96</v>
      </c>
      <c r="J14" s="32" t="s">
        <v>97</v>
      </c>
      <c r="K14" s="32" t="s">
        <v>98</v>
      </c>
      <c r="L14" s="32" t="s">
        <v>106</v>
      </c>
    </row>
    <row r="15" spans="1:12" ht="16.5">
      <c r="A15" s="33" t="s">
        <v>0</v>
      </c>
      <c r="B15" s="33" t="s">
        <v>3</v>
      </c>
      <c r="C15" s="33" t="s">
        <v>78</v>
      </c>
      <c r="D15" s="33" t="s">
        <v>81</v>
      </c>
      <c r="E15" s="33" t="s">
        <v>81</v>
      </c>
      <c r="F15" s="33" t="s">
        <v>82</v>
      </c>
      <c r="G15" s="33" t="s">
        <v>85</v>
      </c>
      <c r="H15" s="33" t="s">
        <v>87</v>
      </c>
      <c r="I15" s="33" t="s">
        <v>109</v>
      </c>
      <c r="J15" s="33" t="s">
        <v>109</v>
      </c>
      <c r="K15" s="33" t="s">
        <v>102</v>
      </c>
      <c r="L15" s="33" t="s">
        <v>104</v>
      </c>
    </row>
    <row r="16" spans="1:12" ht="17.25" thickBot="1">
      <c r="A16" s="35" t="s">
        <v>2</v>
      </c>
      <c r="B16" s="35" t="s">
        <v>4</v>
      </c>
      <c r="C16" s="35" t="s">
        <v>79</v>
      </c>
      <c r="D16" s="35" t="s">
        <v>84</v>
      </c>
      <c r="E16" s="35" t="s">
        <v>83</v>
      </c>
      <c r="F16" s="35" t="s">
        <v>19</v>
      </c>
      <c r="G16" s="35" t="s">
        <v>86</v>
      </c>
      <c r="H16" s="35" t="s">
        <v>88</v>
      </c>
      <c r="I16" s="35" t="s">
        <v>0</v>
      </c>
      <c r="J16" s="35" t="s">
        <v>0</v>
      </c>
      <c r="K16" s="35" t="s">
        <v>103</v>
      </c>
      <c r="L16" s="35" t="s">
        <v>85</v>
      </c>
    </row>
    <row r="17" spans="1:14">
      <c r="A17" s="41" t="s">
        <v>7</v>
      </c>
      <c r="B17" s="41" t="s">
        <v>7</v>
      </c>
      <c r="C17" s="41" t="s">
        <v>80</v>
      </c>
      <c r="D17" s="41" t="s">
        <v>249</v>
      </c>
      <c r="E17" s="41" t="s">
        <v>249</v>
      </c>
      <c r="F17" s="41" t="s">
        <v>107</v>
      </c>
      <c r="G17" s="41" t="s">
        <v>248</v>
      </c>
      <c r="H17" s="41" t="s">
        <v>99</v>
      </c>
      <c r="I17" s="41" t="s">
        <v>100</v>
      </c>
      <c r="J17" s="41" t="s">
        <v>101</v>
      </c>
      <c r="K17" s="41" t="s">
        <v>108</v>
      </c>
      <c r="L17" s="41" t="s">
        <v>105</v>
      </c>
    </row>
    <row r="18" spans="1:14" ht="16.5">
      <c r="A18" s="33"/>
      <c r="B18" s="33"/>
      <c r="C18" s="33"/>
      <c r="D18" s="33"/>
      <c r="E18" s="33"/>
      <c r="F18" s="33"/>
      <c r="G18" s="33"/>
      <c r="H18" s="33"/>
      <c r="I18" s="33"/>
      <c r="J18" s="33"/>
      <c r="K18" s="33"/>
      <c r="L18" s="33"/>
    </row>
    <row r="19" spans="1:14" ht="16.5">
      <c r="A19" s="11"/>
      <c r="B19" s="11"/>
      <c r="C19" s="11"/>
      <c r="D19" s="11"/>
      <c r="E19" s="11"/>
      <c r="F19" s="11"/>
      <c r="G19" s="11"/>
      <c r="H19" s="11"/>
      <c r="I19" s="11"/>
      <c r="J19" s="11"/>
      <c r="K19" s="11"/>
      <c r="L19" s="11"/>
    </row>
    <row r="20" spans="1:14" ht="22.5" customHeight="1">
      <c r="A20" s="61" t="str">
        <f>+'S&amp;D'!A22</f>
        <v>Enbridge Inc</v>
      </c>
      <c r="B20" s="88" t="str">
        <f>+'S&amp;D'!B22</f>
        <v>ENB.TO</v>
      </c>
      <c r="C20" s="64">
        <f>+'Growth &amp; Inflation Rates'!D93</f>
        <v>2.2200000000000001E-2</v>
      </c>
      <c r="D20" s="417">
        <f>137199000000*0.7453</f>
        <v>102254414700</v>
      </c>
      <c r="E20" s="137">
        <f>134000000000*0.7453</f>
        <v>99870200000</v>
      </c>
      <c r="F20" s="137">
        <f t="shared" ref="F20:F24" si="0">(D20+E20)/2</f>
        <v>101062307350</v>
      </c>
      <c r="G20" s="137">
        <f>4613000000*0.7453</f>
        <v>3438068900</v>
      </c>
      <c r="H20" s="17">
        <f t="shared" ref="H20:H24" si="1">+F20/G20</f>
        <v>29.395079124214178</v>
      </c>
      <c r="I20" s="43">
        <f t="shared" ref="I20:I24" si="2">+C20*H20</f>
        <v>0.65257075655755481</v>
      </c>
      <c r="J20" s="44">
        <f t="shared" ref="J20:J24" si="3">1/(1+C20)^H20</f>
        <v>0.52443558459777229</v>
      </c>
      <c r="K20" s="138">
        <f t="shared" ref="K20:K24" si="4">(G20*I20)/(1-J20)</f>
        <v>4717727295.2022696</v>
      </c>
      <c r="L20" s="139">
        <f t="shared" ref="L20:L24" si="5">+K20/G20</f>
        <v>1.3722026615587226</v>
      </c>
      <c r="M20" s="11" t="s">
        <v>511</v>
      </c>
      <c r="N20" s="11"/>
    </row>
    <row r="21" spans="1:14" ht="22.5" customHeight="1">
      <c r="A21" s="61" t="str">
        <f>+'S&amp;D'!A23</f>
        <v>Energy Transfer LP</v>
      </c>
      <c r="B21" s="88" t="str">
        <f>+'S&amp;D'!B23</f>
        <v>ET</v>
      </c>
      <c r="C21" s="64">
        <f>+'Growth &amp; Inflation Rates'!D93</f>
        <v>2.2200000000000001E-2</v>
      </c>
      <c r="D21" s="417">
        <v>114932000000</v>
      </c>
      <c r="E21" s="137">
        <v>105996000000</v>
      </c>
      <c r="F21" s="137">
        <f t="shared" si="0"/>
        <v>110464000000</v>
      </c>
      <c r="G21" s="137">
        <v>4385000000</v>
      </c>
      <c r="H21" s="17">
        <f t="shared" si="1"/>
        <v>25.191334093500569</v>
      </c>
      <c r="I21" s="43">
        <f t="shared" si="2"/>
        <v>0.55924761687571267</v>
      </c>
      <c r="J21" s="44">
        <f t="shared" si="3"/>
        <v>0.57514658599330637</v>
      </c>
      <c r="K21" s="138">
        <f t="shared" si="4"/>
        <v>5772110377.7251596</v>
      </c>
      <c r="L21" s="139">
        <f t="shared" si="5"/>
        <v>1.3163307588882918</v>
      </c>
    </row>
    <row r="22" spans="1:14" ht="22.5" customHeight="1">
      <c r="A22" s="61" t="str">
        <f>+'S&amp;D'!A24</f>
        <v>Enlink Midstream LLC</v>
      </c>
      <c r="B22" s="88" t="str">
        <f>+'S&amp;D'!B24</f>
        <v>ENLC</v>
      </c>
      <c r="C22" s="64">
        <f>+'Growth &amp; Inflation Rates'!D93</f>
        <v>2.2200000000000001E-2</v>
      </c>
      <c r="D22" s="417">
        <v>11544200000</v>
      </c>
      <c r="E22" s="137">
        <v>11330500000</v>
      </c>
      <c r="F22" s="137">
        <f t="shared" si="0"/>
        <v>11437350000</v>
      </c>
      <c r="G22" s="137">
        <v>657100000</v>
      </c>
      <c r="H22" s="17">
        <f t="shared" si="1"/>
        <v>17.40579820423071</v>
      </c>
      <c r="I22" s="43">
        <f t="shared" si="2"/>
        <v>0.38640872013392175</v>
      </c>
      <c r="J22" s="44">
        <f t="shared" si="3"/>
        <v>0.6823708339864526</v>
      </c>
      <c r="K22" s="138">
        <f t="shared" si="4"/>
        <v>799388712.2732625</v>
      </c>
      <c r="L22" s="139">
        <f t="shared" si="5"/>
        <v>1.2165404234869313</v>
      </c>
    </row>
    <row r="23" spans="1:14" ht="22.5" customHeight="1">
      <c r="A23" s="61" t="str">
        <f>+'S&amp;D'!A25</f>
        <v>Enterprise Products Partnership LP</v>
      </c>
      <c r="B23" s="88" t="str">
        <f>+'S&amp;D'!B25</f>
        <v>EPD</v>
      </c>
      <c r="C23" s="64">
        <f>+'Growth &amp; Inflation Rates'!D93</f>
        <v>2.2200000000000001E-2</v>
      </c>
      <c r="D23" s="417">
        <v>66217000000</v>
      </c>
      <c r="E23" s="137">
        <v>63122000000</v>
      </c>
      <c r="F23" s="137">
        <f t="shared" si="0"/>
        <v>64669500000</v>
      </c>
      <c r="G23" s="137">
        <v>2279000000</v>
      </c>
      <c r="H23" s="17">
        <f t="shared" si="1"/>
        <v>28.376261518209741</v>
      </c>
      <c r="I23" s="43">
        <f t="shared" si="2"/>
        <v>0.62995300570425627</v>
      </c>
      <c r="J23" s="44">
        <f t="shared" si="3"/>
        <v>0.53629959778191516</v>
      </c>
      <c r="K23" s="138">
        <f t="shared" si="4"/>
        <v>3096100182.6450596</v>
      </c>
      <c r="L23" s="139">
        <f t="shared" si="5"/>
        <v>1.3585345250746204</v>
      </c>
    </row>
    <row r="24" spans="1:14" ht="22.5" customHeight="1">
      <c r="A24" s="61" t="str">
        <f>+'S&amp;D'!A26</f>
        <v>Kinder Morgan Inc</v>
      </c>
      <c r="B24" s="88" t="str">
        <f>+'S&amp;D'!B26</f>
        <v>KMI</v>
      </c>
      <c r="C24" s="64">
        <f>+'Growth &amp; Inflation Rates'!D93</f>
        <v>2.2200000000000001E-2</v>
      </c>
      <c r="D24" s="417">
        <f>37297000000+11774000000</f>
        <v>49071000000</v>
      </c>
      <c r="E24" s="137">
        <v>46128000000</v>
      </c>
      <c r="F24" s="137">
        <f t="shared" si="0"/>
        <v>47599500000</v>
      </c>
      <c r="G24" s="137">
        <v>2250000000</v>
      </c>
      <c r="H24" s="17">
        <f t="shared" si="1"/>
        <v>21.155333333333335</v>
      </c>
      <c r="I24" s="43">
        <f t="shared" si="2"/>
        <v>0.46964840000000008</v>
      </c>
      <c r="J24" s="44">
        <f t="shared" si="3"/>
        <v>0.62844221620668328</v>
      </c>
      <c r="K24" s="138">
        <f t="shared" si="4"/>
        <v>2843996132.2080836</v>
      </c>
      <c r="L24" s="139">
        <f t="shared" si="5"/>
        <v>1.2639982809813706</v>
      </c>
    </row>
    <row r="25" spans="1:14" ht="22.5" customHeight="1">
      <c r="A25" s="61" t="str">
        <f>+'S&amp;D'!A27</f>
        <v>ONEOK Inc</v>
      </c>
      <c r="B25" s="88" t="str">
        <f>+'S&amp;D'!B27</f>
        <v>OKE</v>
      </c>
      <c r="C25" s="64">
        <f>+'Growth &amp; Inflation Rates'!D93</f>
        <v>2.2200000000000001E-2</v>
      </c>
      <c r="D25" s="417">
        <v>38454000000</v>
      </c>
      <c r="E25" s="137">
        <v>25015000000</v>
      </c>
      <c r="F25" s="137">
        <f t="shared" ref="F25:F27" si="6">(D25+E25)/2</f>
        <v>31734500000</v>
      </c>
      <c r="G25" s="137">
        <v>769000000</v>
      </c>
      <c r="H25" s="17">
        <f>+F25/G25</f>
        <v>41.267230169050713</v>
      </c>
      <c r="I25" s="43">
        <f>+C25*H25</f>
        <v>0.91613250975292582</v>
      </c>
      <c r="J25" s="44">
        <f>1/(1+C25)^H25</f>
        <v>0.40409249509241379</v>
      </c>
      <c r="K25" s="138">
        <f>(G25*I25)/(1-J25)</f>
        <v>1182240354.7497785</v>
      </c>
      <c r="L25" s="139">
        <f>+K25/G25</f>
        <v>1.5373736732766952</v>
      </c>
    </row>
    <row r="26" spans="1:14" ht="22.5" customHeight="1">
      <c r="A26" s="61" t="str">
        <f>+'S&amp;D'!A28</f>
        <v>TC Energy Corp</v>
      </c>
      <c r="B26" s="88" t="str">
        <f>+'S&amp;D'!B28</f>
        <v>TRP</v>
      </c>
      <c r="C26" s="64">
        <f>+'Growth &amp; Inflation Rates'!D93</f>
        <v>2.2200000000000001E-2</v>
      </c>
      <c r="D26" s="417">
        <f>117171000000*0.7453</f>
        <v>87327546300</v>
      </c>
      <c r="E26" s="137">
        <v>81478296100</v>
      </c>
      <c r="F26" s="137">
        <f t="shared" si="6"/>
        <v>84402921200</v>
      </c>
      <c r="G26" s="137">
        <f>2778000000*0.7453</f>
        <v>2070443400</v>
      </c>
      <c r="H26" s="17">
        <f>+F26/G26</f>
        <v>40.765625952392611</v>
      </c>
      <c r="I26" s="43">
        <f>+C26*H26</f>
        <v>0.90499689614311596</v>
      </c>
      <c r="J26" s="44">
        <f>1/(1+C26)^H26</f>
        <v>0.40856769137590493</v>
      </c>
      <c r="K26" s="138">
        <f>(G26*I26)/(1-J26)</f>
        <v>3168147602.5533161</v>
      </c>
      <c r="L26" s="139">
        <f>+K26/G26</f>
        <v>1.5301783195586589</v>
      </c>
      <c r="M26" s="11" t="s">
        <v>511</v>
      </c>
    </row>
    <row r="27" spans="1:14" ht="22.5" customHeight="1">
      <c r="A27" s="61" t="str">
        <f>+'S&amp;D'!A29</f>
        <v>Williams Companys Inc</v>
      </c>
      <c r="B27" s="88" t="str">
        <f>+'S&amp;D'!B29</f>
        <v>WMB</v>
      </c>
      <c r="C27" s="64">
        <f>+'Growth &amp; Inflation Rates'!D93</f>
        <v>2.2200000000000001E-2</v>
      </c>
      <c r="D27" s="417">
        <v>51842000000</v>
      </c>
      <c r="E27" s="137">
        <v>47057000000</v>
      </c>
      <c r="F27" s="137">
        <f t="shared" si="6"/>
        <v>49449500000</v>
      </c>
      <c r="G27" s="137">
        <v>2071000000</v>
      </c>
      <c r="H27" s="17">
        <f t="shared" ref="H27" si="7">+F27/G27</f>
        <v>23.877112506035733</v>
      </c>
      <c r="I27" s="43">
        <f t="shared" ref="I27" si="8">+C27*H27</f>
        <v>0.53007189763399332</v>
      </c>
      <c r="J27" s="44">
        <f t="shared" ref="J27" si="9">1/(1+C27)^H27</f>
        <v>0.59198513442702949</v>
      </c>
      <c r="K27" s="138">
        <f t="shared" ref="K27" si="10">(G27*I27)/(1-J27)</f>
        <v>2690536528.5120239</v>
      </c>
      <c r="L27" s="139">
        <f t="shared" ref="L27" si="11">+K27/G27</f>
        <v>1.299148492762928</v>
      </c>
    </row>
    <row r="28" spans="1:14" ht="22.5" customHeight="1" thickBot="1">
      <c r="A28" s="68"/>
      <c r="B28" s="68"/>
      <c r="C28" s="45"/>
      <c r="D28" s="45"/>
      <c r="E28" s="45"/>
      <c r="F28" s="45"/>
      <c r="G28" s="45" t="s">
        <v>0</v>
      </c>
      <c r="H28" s="45"/>
      <c r="I28" s="45" t="s">
        <v>45</v>
      </c>
      <c r="J28" s="45"/>
      <c r="K28" s="45"/>
      <c r="L28" s="45"/>
    </row>
    <row r="29" spans="1:14" ht="22.5" customHeight="1" thickTop="1">
      <c r="A29" s="11"/>
      <c r="B29" s="11"/>
      <c r="C29" s="46" t="s">
        <v>0</v>
      </c>
      <c r="D29" s="46" t="s">
        <v>0</v>
      </c>
      <c r="E29" s="33" t="s">
        <v>0</v>
      </c>
      <c r="F29" s="33"/>
      <c r="G29" s="46" t="s">
        <v>0</v>
      </c>
      <c r="H29" s="33"/>
      <c r="I29" s="46" t="s">
        <v>0</v>
      </c>
      <c r="J29" s="46" t="s">
        <v>0</v>
      </c>
      <c r="K29" s="13" t="s">
        <v>46</v>
      </c>
      <c r="L29" s="321">
        <f>MAX(L20:L27)</f>
        <v>1.5373736732766952</v>
      </c>
    </row>
    <row r="30" spans="1:14" ht="22.5" customHeight="1">
      <c r="B30" s="11"/>
      <c r="C30" s="46"/>
      <c r="D30" s="46"/>
      <c r="E30" s="33"/>
      <c r="F30" s="33"/>
      <c r="G30" s="46"/>
      <c r="H30" s="33"/>
      <c r="I30" s="46"/>
      <c r="J30" s="46"/>
      <c r="K30" s="347" t="s">
        <v>47</v>
      </c>
      <c r="L30" s="344">
        <f>MIN(L20:L27)</f>
        <v>1.2165404234869313</v>
      </c>
    </row>
    <row r="31" spans="1:14" ht="22.5" customHeight="1">
      <c r="B31" s="11"/>
      <c r="C31" s="11"/>
      <c r="D31" s="11"/>
      <c r="E31" s="11"/>
      <c r="F31" s="11"/>
      <c r="G31" s="11"/>
      <c r="H31" s="11"/>
      <c r="I31" s="11"/>
      <c r="J31" s="11"/>
      <c r="K31" s="13" t="s">
        <v>18</v>
      </c>
      <c r="L31" s="53">
        <f>MEDIAN(L20:L27)</f>
        <v>1.3374326419814562</v>
      </c>
    </row>
    <row r="32" spans="1:14" ht="22.5" customHeight="1">
      <c r="A32" s="11" t="s">
        <v>0</v>
      </c>
      <c r="B32" s="11"/>
      <c r="C32" s="11"/>
      <c r="D32" s="11"/>
      <c r="E32" s="11"/>
      <c r="F32" s="11"/>
      <c r="G32" s="11"/>
      <c r="H32" s="11"/>
      <c r="I32" s="11"/>
      <c r="J32" s="11"/>
      <c r="K32" s="13" t="s">
        <v>428</v>
      </c>
      <c r="L32" s="53">
        <f>AVERAGE(L20:L27)</f>
        <v>1.3617883919485272</v>
      </c>
    </row>
    <row r="33" spans="1:12" ht="22.5" customHeight="1" thickBot="1">
      <c r="A33" s="11"/>
      <c r="B33" s="11"/>
      <c r="C33" s="11"/>
      <c r="D33" s="11"/>
      <c r="E33" s="11"/>
      <c r="F33" s="11"/>
      <c r="G33" s="11" t="s">
        <v>0</v>
      </c>
      <c r="H33" s="11"/>
      <c r="I33" s="11"/>
      <c r="J33" s="11"/>
      <c r="K33" s="11"/>
      <c r="L33" s="11"/>
    </row>
    <row r="34" spans="1:12" ht="22.5" customHeight="1" thickBot="1">
      <c r="A34" s="11"/>
      <c r="B34" s="11"/>
      <c r="C34" s="11"/>
      <c r="D34" s="11"/>
      <c r="E34" s="11"/>
      <c r="F34" s="11"/>
      <c r="G34" s="11"/>
      <c r="H34" s="11"/>
      <c r="I34" s="11"/>
      <c r="J34" s="11"/>
      <c r="K34" s="209" t="s">
        <v>213</v>
      </c>
      <c r="L34" s="406">
        <v>1.3617999999999999</v>
      </c>
    </row>
    <row r="35" spans="1:12" ht="16.5">
      <c r="A35" s="11"/>
      <c r="B35" s="11"/>
      <c r="C35" s="11"/>
      <c r="D35" s="11"/>
      <c r="E35" s="11"/>
      <c r="F35" s="11"/>
      <c r="G35" s="11"/>
      <c r="H35" s="11"/>
      <c r="I35" s="11"/>
      <c r="J35" s="11"/>
      <c r="K35" s="11"/>
      <c r="L35" s="11"/>
    </row>
    <row r="36" spans="1:12" ht="16.5">
      <c r="A36" s="11"/>
      <c r="B36" s="11"/>
      <c r="C36" s="11"/>
      <c r="D36" s="11"/>
      <c r="E36" s="11"/>
      <c r="F36" s="11"/>
      <c r="G36" s="11"/>
      <c r="H36" s="11"/>
      <c r="I36" s="11"/>
      <c r="J36" s="11"/>
      <c r="K36" s="11"/>
      <c r="L36" s="11"/>
    </row>
    <row r="37" spans="1:12" ht="16.5">
      <c r="A37" s="11" t="s">
        <v>72</v>
      </c>
      <c r="B37" s="11"/>
      <c r="C37" s="11"/>
      <c r="D37" s="11"/>
      <c r="E37" s="11"/>
      <c r="F37" s="11"/>
      <c r="G37" s="11"/>
      <c r="H37" s="11"/>
      <c r="I37" s="11"/>
      <c r="J37" s="11"/>
      <c r="K37" s="11"/>
      <c r="L37" s="11"/>
    </row>
    <row r="38" spans="1:12" ht="16.5">
      <c r="A38" s="11" t="s">
        <v>270</v>
      </c>
    </row>
    <row r="39" spans="1:12" ht="16.5">
      <c r="A39" s="11"/>
    </row>
    <row r="40" spans="1:12" ht="16.5">
      <c r="A40" s="11" t="s">
        <v>388</v>
      </c>
    </row>
    <row r="41" spans="1:12" ht="20.25">
      <c r="A41" s="245"/>
      <c r="B41" s="245"/>
      <c r="C41" s="245"/>
      <c r="D41" s="245"/>
      <c r="E41" s="245"/>
      <c r="F41" s="245"/>
      <c r="G41" s="245"/>
      <c r="H41" s="245"/>
      <c r="I41" s="245"/>
      <c r="J41" s="245"/>
      <c r="K41" s="245"/>
      <c r="L41" s="245"/>
    </row>
    <row r="42" spans="1:12" ht="26.25">
      <c r="A42" s="22" t="s">
        <v>1</v>
      </c>
      <c r="B42" s="11"/>
      <c r="C42" s="11"/>
      <c r="D42" s="11"/>
      <c r="E42" s="11"/>
      <c r="F42" s="11"/>
      <c r="G42" s="11"/>
      <c r="H42" s="11"/>
      <c r="I42" s="11"/>
      <c r="J42" s="11"/>
      <c r="K42" s="245"/>
      <c r="L42" s="245"/>
    </row>
    <row r="43" spans="1:12" ht="20.25">
      <c r="A43" s="23" t="s">
        <v>9</v>
      </c>
      <c r="B43" s="11"/>
      <c r="C43" s="11"/>
      <c r="D43" s="11"/>
      <c r="E43" s="11"/>
      <c r="F43" s="11"/>
      <c r="G43" s="11"/>
      <c r="H43" s="11"/>
      <c r="I43" s="11"/>
      <c r="J43" s="11"/>
      <c r="K43" s="245"/>
      <c r="L43" s="245"/>
    </row>
    <row r="44" spans="1:12" ht="20.25">
      <c r="A44" s="24" t="s">
        <v>467</v>
      </c>
      <c r="B44" s="11"/>
      <c r="C44" s="11"/>
      <c r="D44" s="11"/>
      <c r="E44" s="11"/>
      <c r="F44" s="11"/>
      <c r="G44" s="11"/>
      <c r="H44" s="11"/>
      <c r="I44" s="11"/>
      <c r="J44" s="11"/>
      <c r="K44" s="245"/>
      <c r="L44" s="245"/>
    </row>
    <row r="45" spans="1:12" ht="20.25">
      <c r="A45" s="24"/>
      <c r="B45" s="11"/>
      <c r="C45" s="11"/>
      <c r="D45" s="11"/>
      <c r="E45" s="11"/>
      <c r="F45" s="11"/>
      <c r="G45" s="11"/>
      <c r="H45" s="11"/>
      <c r="I45" s="11"/>
      <c r="J45" s="11"/>
      <c r="K45" s="245"/>
      <c r="L45" s="245"/>
    </row>
    <row r="46" spans="1:12" ht="20.25">
      <c r="A46" s="24"/>
      <c r="B46" s="11"/>
      <c r="C46" s="11"/>
      <c r="D46" s="11"/>
      <c r="E46" s="11"/>
      <c r="F46" s="11"/>
      <c r="G46" s="11"/>
      <c r="H46" s="11"/>
      <c r="I46" s="11"/>
      <c r="J46" s="11"/>
      <c r="K46" s="245"/>
      <c r="L46" s="245"/>
    </row>
    <row r="47" spans="1:12" ht="20.25">
      <c r="A47" s="24"/>
      <c r="B47" s="11"/>
      <c r="C47" s="11"/>
      <c r="D47" s="11"/>
      <c r="E47" s="11"/>
      <c r="F47" s="11"/>
      <c r="G47" s="11"/>
      <c r="H47" s="11"/>
      <c r="I47" s="11"/>
      <c r="J47" s="11"/>
      <c r="K47" s="245"/>
      <c r="L47" s="245"/>
    </row>
    <row r="48" spans="1:12" ht="21" thickBot="1">
      <c r="B48" s="11"/>
      <c r="C48" s="11"/>
      <c r="D48" s="11"/>
      <c r="E48" s="11"/>
      <c r="F48" s="27"/>
      <c r="G48" s="27"/>
      <c r="H48" s="28" t="s">
        <v>0</v>
      </c>
      <c r="I48" s="11"/>
      <c r="J48" s="11"/>
      <c r="K48" s="245"/>
      <c r="L48" s="245"/>
    </row>
    <row r="49" spans="1:12" ht="26.25">
      <c r="B49" s="11"/>
      <c r="C49" s="11"/>
      <c r="D49" s="11"/>
      <c r="E49" s="11"/>
      <c r="F49" s="11"/>
      <c r="G49" s="30" t="s">
        <v>295</v>
      </c>
      <c r="H49" s="11"/>
      <c r="I49" s="11"/>
      <c r="J49" s="11"/>
      <c r="K49" s="245"/>
      <c r="L49" s="245"/>
    </row>
    <row r="50" spans="1:12" ht="21" thickBot="1">
      <c r="B50" s="39" t="s">
        <v>0</v>
      </c>
      <c r="C50" s="39" t="s">
        <v>0</v>
      </c>
      <c r="D50" s="11"/>
      <c r="E50" s="11"/>
      <c r="F50" s="32" t="s">
        <v>0</v>
      </c>
      <c r="G50" s="35" t="s">
        <v>468</v>
      </c>
      <c r="H50" s="32" t="s">
        <v>0</v>
      </c>
      <c r="I50" s="39" t="s">
        <v>0</v>
      </c>
      <c r="J50" s="11"/>
      <c r="K50" s="245"/>
      <c r="L50" s="245"/>
    </row>
    <row r="51" spans="1:12" ht="20.25">
      <c r="A51" s="245"/>
      <c r="B51" s="245"/>
      <c r="C51" s="245"/>
      <c r="D51" s="245"/>
      <c r="E51" s="245"/>
      <c r="F51" s="245"/>
      <c r="G51" s="245"/>
      <c r="H51" s="245"/>
      <c r="I51" s="245"/>
      <c r="J51" s="245"/>
      <c r="K51" s="245"/>
      <c r="L51" s="245"/>
    </row>
    <row r="52" spans="1:12" ht="20.25">
      <c r="A52" s="245"/>
      <c r="B52" s="245"/>
      <c r="C52" s="245"/>
      <c r="D52" s="245"/>
      <c r="E52" s="245"/>
      <c r="F52" s="245"/>
      <c r="G52" s="245"/>
      <c r="H52" s="245"/>
      <c r="I52" s="245"/>
      <c r="J52" s="245"/>
      <c r="K52" s="245"/>
      <c r="L52" s="245"/>
    </row>
    <row r="53" spans="1:12" ht="20.25">
      <c r="A53" s="245"/>
      <c r="B53" s="245"/>
      <c r="C53" s="245"/>
      <c r="D53" s="245"/>
      <c r="E53" s="245"/>
      <c r="F53" s="245"/>
      <c r="G53" s="245"/>
      <c r="H53" s="245"/>
      <c r="I53" s="245"/>
      <c r="J53" s="245"/>
      <c r="K53" s="245"/>
      <c r="L53" s="245"/>
    </row>
    <row r="54" spans="1:12" ht="16.5">
      <c r="A54" s="39"/>
      <c r="B54" s="39"/>
      <c r="C54" s="39"/>
      <c r="D54" s="11"/>
      <c r="E54" s="11"/>
      <c r="J54" s="11"/>
      <c r="K54" s="11"/>
      <c r="L54" s="11"/>
    </row>
    <row r="55" spans="1:12" ht="31.5">
      <c r="A55" s="239" t="s">
        <v>284</v>
      </c>
      <c r="B55" s="39"/>
      <c r="C55" s="241" t="s">
        <v>289</v>
      </c>
      <c r="D55" s="11"/>
      <c r="E55" s="11"/>
      <c r="J55" s="11"/>
      <c r="K55" s="11"/>
      <c r="L55" s="11"/>
    </row>
    <row r="56" spans="1:12" ht="31.5">
      <c r="A56" s="239" t="s">
        <v>288</v>
      </c>
      <c r="B56" s="39"/>
      <c r="C56" s="241" t="s">
        <v>294</v>
      </c>
      <c r="D56" s="11"/>
      <c r="E56" s="11"/>
      <c r="J56" s="11"/>
      <c r="K56" s="11"/>
      <c r="L56" s="11"/>
    </row>
    <row r="57" spans="1:12" ht="17.25">
      <c r="A57" s="240" t="s">
        <v>285</v>
      </c>
      <c r="B57" s="39"/>
      <c r="C57" s="39"/>
      <c r="D57" s="11"/>
      <c r="E57" s="11"/>
      <c r="J57" s="11"/>
      <c r="K57" s="11"/>
      <c r="L57" s="11"/>
    </row>
    <row r="58" spans="1:12" ht="17.25">
      <c r="A58" s="240" t="s">
        <v>286</v>
      </c>
      <c r="B58" s="39"/>
      <c r="C58" s="39"/>
      <c r="D58" s="11"/>
      <c r="E58" s="11"/>
      <c r="J58" s="11"/>
      <c r="K58" s="11"/>
      <c r="L58" s="11"/>
    </row>
    <row r="59" spans="1:12" ht="17.25">
      <c r="A59" s="240" t="s">
        <v>287</v>
      </c>
      <c r="B59" s="39"/>
      <c r="C59" s="39"/>
      <c r="D59" s="11"/>
      <c r="E59" s="11"/>
      <c r="J59" s="11"/>
      <c r="K59" s="11"/>
      <c r="L59" s="11"/>
    </row>
    <row r="65" spans="1:9" ht="31.5">
      <c r="A65" s="242" t="s">
        <v>293</v>
      </c>
      <c r="B65" s="104"/>
      <c r="C65" s="104"/>
      <c r="D65" s="104"/>
      <c r="E65" s="104"/>
      <c r="F65" s="104"/>
      <c r="G65" s="11"/>
      <c r="H65" s="11"/>
      <c r="I65" s="11"/>
    </row>
    <row r="66" spans="1:9" ht="17.25">
      <c r="A66" s="104"/>
      <c r="B66" s="104"/>
      <c r="C66" s="104"/>
      <c r="D66" s="104"/>
      <c r="E66" s="104"/>
      <c r="F66" s="104"/>
      <c r="G66" s="11"/>
      <c r="H66" s="11"/>
      <c r="I66" s="11"/>
    </row>
    <row r="67" spans="1:9" ht="18" thickBot="1">
      <c r="A67" s="243" t="s">
        <v>290</v>
      </c>
      <c r="B67" s="106"/>
      <c r="C67" s="106"/>
      <c r="D67" s="244" t="s">
        <v>292</v>
      </c>
      <c r="E67" s="106"/>
      <c r="F67" s="104"/>
      <c r="G67" s="11"/>
      <c r="H67" s="11"/>
      <c r="I67" s="11"/>
    </row>
    <row r="68" spans="1:9" ht="17.25">
      <c r="A68" s="104"/>
      <c r="B68" s="104"/>
      <c r="C68" s="104"/>
      <c r="D68" s="104" t="s">
        <v>291</v>
      </c>
      <c r="E68" s="104"/>
      <c r="F68" s="104"/>
      <c r="G68" s="11"/>
      <c r="H68" s="11"/>
      <c r="I68" s="11"/>
    </row>
    <row r="69" spans="1:9" ht="17.25">
      <c r="A69" s="104"/>
      <c r="B69" s="104"/>
      <c r="C69" s="104"/>
      <c r="D69" s="104"/>
      <c r="E69" s="104"/>
      <c r="F69" s="104"/>
      <c r="G69" s="11"/>
      <c r="H69" s="11"/>
      <c r="I69" s="11"/>
    </row>
    <row r="70" spans="1:9" ht="16.5">
      <c r="A70" s="11"/>
      <c r="B70" s="11"/>
      <c r="C70" s="11"/>
      <c r="D70" s="11"/>
      <c r="E70" s="11"/>
      <c r="F70" s="11"/>
      <c r="G70" s="11"/>
      <c r="H70" s="11"/>
      <c r="I70" s="11"/>
    </row>
    <row r="71" spans="1:9" ht="16.5">
      <c r="A71" s="11"/>
      <c r="B71" s="11"/>
      <c r="C71" s="11"/>
      <c r="D71" s="11"/>
      <c r="E71" s="11"/>
      <c r="F71" s="11"/>
      <c r="G71" s="11"/>
      <c r="H71" s="11"/>
      <c r="I71" s="11"/>
    </row>
    <row r="72" spans="1:9" ht="16.5">
      <c r="A72" s="11"/>
      <c r="B72" s="11"/>
      <c r="C72" s="11"/>
      <c r="D72" s="11"/>
      <c r="E72" s="11"/>
      <c r="F72" s="11"/>
      <c r="G72" s="11"/>
      <c r="H72" s="11"/>
      <c r="I72" s="11"/>
    </row>
    <row r="73" spans="1:9" ht="16.5">
      <c r="A73" s="11"/>
      <c r="B73" s="11"/>
      <c r="C73" s="11"/>
      <c r="D73" s="11"/>
      <c r="E73" s="11"/>
      <c r="F73" s="11"/>
      <c r="G73" s="11"/>
      <c r="H73" s="11"/>
      <c r="I73" s="11"/>
    </row>
    <row r="74" spans="1:9" ht="16.5">
      <c r="A74" s="11"/>
      <c r="B74" s="11"/>
      <c r="C74" s="11"/>
      <c r="D74" s="11"/>
      <c r="E74" s="11"/>
      <c r="F74" s="11"/>
      <c r="G74" s="11"/>
      <c r="H74" s="11"/>
      <c r="I74" s="11"/>
    </row>
    <row r="75" spans="1:9" ht="16.5">
      <c r="A75" s="11" t="s">
        <v>0</v>
      </c>
      <c r="B75" s="11"/>
      <c r="C75" s="11"/>
      <c r="D75" s="11"/>
      <c r="E75" s="11"/>
      <c r="F75" s="11"/>
      <c r="G75" s="11"/>
      <c r="H75" s="11"/>
      <c r="I75" s="11"/>
    </row>
    <row r="76" spans="1:9" ht="16.5">
      <c r="A76" s="11"/>
      <c r="B76" s="11"/>
      <c r="C76" s="11"/>
      <c r="D76" s="11"/>
      <c r="E76" s="11"/>
      <c r="F76" s="11"/>
      <c r="G76" s="11"/>
      <c r="H76" s="11"/>
      <c r="I76" s="11"/>
    </row>
  </sheetData>
  <pageMargins left="0.25" right="0.25" top="0.75" bottom="0.75" header="0.3" footer="0.3"/>
  <pageSetup scale="51" orientation="landscape" r:id="rId1"/>
  <rowBreaks count="1" manualBreakCount="1">
    <brk id="40"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I35"/>
  <sheetViews>
    <sheetView view="pageBreakPreview" topLeftCell="A8" zoomScale="60" zoomScaleNormal="80" workbookViewId="0">
      <selection activeCell="I26" sqref="I26"/>
    </sheetView>
  </sheetViews>
  <sheetFormatPr defaultRowHeight="15"/>
  <cols>
    <col min="1" max="1" width="45.140625" customWidth="1"/>
    <col min="2" max="2" width="17" customWidth="1"/>
    <col min="3" max="3" width="30.140625" customWidth="1"/>
    <col min="4" max="4" width="20.140625" customWidth="1"/>
    <col min="5" max="5" width="24.5703125" customWidth="1"/>
    <col min="6" max="6" width="23.5703125" customWidth="1"/>
    <col min="7" max="7" width="21.28515625" customWidth="1"/>
    <col min="8" max="8" width="19.7109375" customWidth="1"/>
    <col min="9" max="9" width="28.28515625" customWidth="1"/>
    <col min="10" max="10" width="14.140625" bestFit="1" customWidth="1"/>
    <col min="12" max="12" width="10.5703125" customWidth="1"/>
  </cols>
  <sheetData>
    <row r="1" spans="1:9" ht="26.25">
      <c r="A1" s="22" t="s">
        <v>1</v>
      </c>
      <c r="B1" s="11"/>
      <c r="C1" s="11"/>
      <c r="D1" s="11"/>
      <c r="E1" s="11"/>
      <c r="F1" s="11"/>
      <c r="G1" s="11"/>
      <c r="H1" s="11"/>
      <c r="I1" s="11"/>
    </row>
    <row r="2" spans="1:9" ht="17.25">
      <c r="A2" s="23" t="s">
        <v>9</v>
      </c>
      <c r="B2" s="11"/>
      <c r="C2" s="11"/>
      <c r="D2" s="11"/>
      <c r="E2" s="11"/>
      <c r="F2" s="11"/>
      <c r="G2" s="11"/>
      <c r="H2" s="11"/>
      <c r="I2" s="11"/>
    </row>
    <row r="3" spans="1:9" ht="16.5">
      <c r="A3" s="24" t="s">
        <v>467</v>
      </c>
      <c r="B3" s="11"/>
      <c r="C3" s="11"/>
      <c r="D3" s="11"/>
      <c r="E3" s="11"/>
      <c r="F3" s="11"/>
      <c r="G3" s="11"/>
      <c r="H3" s="11"/>
      <c r="I3" s="11"/>
    </row>
    <row r="4" spans="1:9" ht="16.5">
      <c r="A4" s="24"/>
      <c r="B4" s="11"/>
      <c r="C4" s="11"/>
      <c r="D4" s="11"/>
      <c r="E4" s="11"/>
      <c r="F4" s="11"/>
      <c r="G4" s="11"/>
      <c r="H4" s="11"/>
      <c r="I4" s="11"/>
    </row>
    <row r="5" spans="1:9" ht="16.5">
      <c r="A5" s="24"/>
      <c r="B5" s="11"/>
      <c r="C5" s="11"/>
      <c r="D5" s="11"/>
      <c r="E5" s="11"/>
      <c r="F5" s="11"/>
      <c r="G5" s="11"/>
      <c r="H5" s="11"/>
      <c r="I5" s="11"/>
    </row>
    <row r="6" spans="1:9" ht="16.5">
      <c r="A6" s="24"/>
      <c r="B6" s="11"/>
      <c r="C6" s="11"/>
      <c r="D6" s="11"/>
      <c r="E6" s="11"/>
      <c r="F6" s="11"/>
      <c r="G6" s="11"/>
      <c r="H6" s="11"/>
      <c r="I6" s="11"/>
    </row>
    <row r="7" spans="1:9" ht="17.25" thickBot="1">
      <c r="A7" s="11"/>
      <c r="B7" s="11"/>
      <c r="C7" s="11"/>
      <c r="H7" s="25"/>
      <c r="I7" s="11"/>
    </row>
    <row r="8" spans="1:9" ht="21" thickBot="1">
      <c r="A8" s="275" t="str">
        <f>+'S&amp;D'!A12</f>
        <v>Natural Gas Transmission Pipeline Carrier</v>
      </c>
      <c r="B8" s="202"/>
      <c r="C8" s="11"/>
      <c r="D8" s="27"/>
      <c r="E8" s="27"/>
      <c r="F8" s="27"/>
      <c r="H8" s="11"/>
      <c r="I8" s="11"/>
    </row>
    <row r="9" spans="1:9" ht="26.25">
      <c r="A9" s="29"/>
      <c r="B9" s="11"/>
      <c r="C9" s="11"/>
      <c r="D9" s="11"/>
      <c r="E9" s="30" t="s">
        <v>123</v>
      </c>
      <c r="F9" s="30"/>
      <c r="H9" s="11"/>
      <c r="I9" s="11"/>
    </row>
    <row r="10" spans="1:9" ht="21" thickBot="1">
      <c r="A10" s="29"/>
      <c r="B10" s="11"/>
      <c r="C10" s="11"/>
      <c r="D10" s="27"/>
      <c r="E10" s="35" t="s">
        <v>468</v>
      </c>
      <c r="F10" s="35"/>
      <c r="H10" s="11"/>
      <c r="I10" s="11"/>
    </row>
    <row r="11" spans="1:9" ht="20.25">
      <c r="A11" s="29"/>
      <c r="B11" s="11"/>
      <c r="I11" s="11"/>
    </row>
    <row r="12" spans="1:9" ht="17.25" thickBot="1">
      <c r="A12" s="32" t="s">
        <v>0</v>
      </c>
      <c r="B12" s="32" t="s">
        <v>0</v>
      </c>
      <c r="C12" s="32" t="s">
        <v>0</v>
      </c>
      <c r="D12" s="32" t="s">
        <v>0</v>
      </c>
      <c r="E12" s="32" t="s">
        <v>0</v>
      </c>
      <c r="F12" s="32"/>
      <c r="G12" s="32"/>
      <c r="H12" s="27"/>
      <c r="I12" s="27"/>
    </row>
    <row r="13" spans="1:9" ht="17.25">
      <c r="A13" s="88" t="s">
        <v>0</v>
      </c>
      <c r="B13" s="88" t="s">
        <v>3</v>
      </c>
      <c r="C13" s="88" t="s">
        <v>5</v>
      </c>
      <c r="D13" s="88" t="s">
        <v>171</v>
      </c>
      <c r="E13" s="187" t="s">
        <v>233</v>
      </c>
      <c r="F13" s="187" t="s">
        <v>341</v>
      </c>
      <c r="G13" s="88" t="s">
        <v>20</v>
      </c>
      <c r="H13" s="88" t="s">
        <v>147</v>
      </c>
      <c r="I13" s="88" t="s">
        <v>147</v>
      </c>
    </row>
    <row r="14" spans="1:9" ht="18" thickBot="1">
      <c r="A14" s="95" t="s">
        <v>2</v>
      </c>
      <c r="B14" s="95" t="s">
        <v>4</v>
      </c>
      <c r="C14" s="95" t="s">
        <v>6</v>
      </c>
      <c r="D14" s="95" t="s">
        <v>23</v>
      </c>
      <c r="E14" s="95" t="s">
        <v>342</v>
      </c>
      <c r="F14" s="95" t="s">
        <v>194</v>
      </c>
      <c r="G14" s="95" t="s">
        <v>22</v>
      </c>
      <c r="H14" s="95" t="s">
        <v>171</v>
      </c>
      <c r="I14" s="95" t="s">
        <v>119</v>
      </c>
    </row>
    <row r="15" spans="1:9">
      <c r="A15" s="37" t="s">
        <v>7</v>
      </c>
      <c r="B15" s="37" t="s">
        <v>7</v>
      </c>
      <c r="C15" s="37" t="s">
        <v>7</v>
      </c>
      <c r="D15" s="37" t="s">
        <v>7</v>
      </c>
      <c r="E15" s="236" t="s">
        <v>469</v>
      </c>
      <c r="F15" s="236" t="s">
        <v>469</v>
      </c>
      <c r="G15" s="37" t="s">
        <v>7</v>
      </c>
      <c r="H15" s="37" t="s">
        <v>7</v>
      </c>
      <c r="I15" s="236" t="s">
        <v>469</v>
      </c>
    </row>
    <row r="16" spans="1:9" ht="17.25" thickBot="1">
      <c r="A16" s="33"/>
      <c r="B16" s="33"/>
      <c r="C16" s="33"/>
      <c r="D16" s="33"/>
      <c r="G16" s="33"/>
      <c r="H16" s="33"/>
      <c r="I16" s="33"/>
    </row>
    <row r="17" spans="1:9" ht="16.5">
      <c r="A17" s="156"/>
      <c r="B17" s="110"/>
      <c r="C17" s="110"/>
      <c r="D17" s="110"/>
      <c r="E17" s="317"/>
      <c r="F17" s="317"/>
      <c r="G17" s="110"/>
      <c r="H17" s="110"/>
      <c r="I17" s="157"/>
    </row>
    <row r="18" spans="1:9" ht="20.25" customHeight="1">
      <c r="A18" s="100" t="str">
        <f>+'S&amp;D'!A22</f>
        <v>Enbridge Inc</v>
      </c>
      <c r="B18" s="88" t="str">
        <f>+'S&amp;D'!B22</f>
        <v>ENB.TO</v>
      </c>
      <c r="C18" s="88" t="str">
        <f>+'S&amp;D'!C22</f>
        <v>Oil &amp; Gas Distribution</v>
      </c>
      <c r="D18" s="271">
        <v>0.15</v>
      </c>
      <c r="E18" s="271">
        <v>0.08</v>
      </c>
      <c r="F18" s="374" t="s">
        <v>508</v>
      </c>
      <c r="G18" s="88" t="s">
        <v>26</v>
      </c>
      <c r="H18" s="396">
        <v>0.85</v>
      </c>
      <c r="I18" s="396">
        <v>0.85</v>
      </c>
    </row>
    <row r="19" spans="1:9" ht="20.25" customHeight="1">
      <c r="A19" s="100" t="str">
        <f>+'S&amp;D'!A23</f>
        <v>Energy Transfer LP</v>
      </c>
      <c r="B19" s="88" t="str">
        <f>+'S&amp;D'!B23</f>
        <v>ET</v>
      </c>
      <c r="C19" s="88" t="str">
        <f>+'S&amp;D'!C23</f>
        <v>Pipeline MLPs</v>
      </c>
      <c r="D19" s="374" t="s">
        <v>508</v>
      </c>
      <c r="E19" s="271">
        <v>0.11</v>
      </c>
      <c r="F19" s="374" t="s">
        <v>509</v>
      </c>
      <c r="G19" s="88" t="s">
        <v>25</v>
      </c>
      <c r="H19" s="396">
        <v>1.1000000000000001</v>
      </c>
      <c r="I19" s="396">
        <v>1.1000000000000001</v>
      </c>
    </row>
    <row r="20" spans="1:9" ht="20.25" customHeight="1">
      <c r="A20" s="100" t="str">
        <f>+'S&amp;D'!A24</f>
        <v>Enlink Midstream LLC</v>
      </c>
      <c r="B20" s="88" t="str">
        <f>+'S&amp;D'!B24</f>
        <v>ENLC</v>
      </c>
      <c r="C20" s="88" t="str">
        <f>+'S&amp;D'!C24</f>
        <v>Oil &amp; Gas Distribution</v>
      </c>
      <c r="D20" s="374" t="s">
        <v>509</v>
      </c>
      <c r="E20" s="271">
        <v>0.155</v>
      </c>
      <c r="F20" s="374" t="s">
        <v>509</v>
      </c>
      <c r="G20" s="88" t="s">
        <v>382</v>
      </c>
      <c r="H20" s="396">
        <v>1.5</v>
      </c>
      <c r="I20" s="396">
        <v>1.5</v>
      </c>
    </row>
    <row r="21" spans="1:9" ht="20.25" customHeight="1">
      <c r="A21" s="100" t="str">
        <f>+'S&amp;D'!A25</f>
        <v>Enterprise Products Partnership LP</v>
      </c>
      <c r="B21" s="88" t="str">
        <f>+'S&amp;D'!B25</f>
        <v>EPD</v>
      </c>
      <c r="C21" s="88" t="str">
        <f>+'S&amp;D'!C25</f>
        <v>Pipeline MLPs</v>
      </c>
      <c r="D21" s="271">
        <v>1.4999999999999999E-2</v>
      </c>
      <c r="E21" s="271">
        <v>0.20499999999999999</v>
      </c>
      <c r="F21" s="271">
        <v>0.04</v>
      </c>
      <c r="G21" s="88" t="s">
        <v>26</v>
      </c>
      <c r="H21" s="396">
        <v>1</v>
      </c>
      <c r="I21" s="396">
        <v>1</v>
      </c>
    </row>
    <row r="22" spans="1:9" ht="20.25" customHeight="1">
      <c r="A22" s="100" t="str">
        <f>+'S&amp;D'!A26</f>
        <v>Kinder Morgan Inc</v>
      </c>
      <c r="B22" s="88" t="str">
        <f>+'S&amp;D'!B26</f>
        <v>KMI</v>
      </c>
      <c r="C22" s="88" t="str">
        <f>+'S&amp;D'!C26</f>
        <v>Oil &amp; Gas Distribution</v>
      </c>
      <c r="D22" s="271">
        <v>0.21</v>
      </c>
      <c r="E22" s="271">
        <v>7.4999999999999997E-2</v>
      </c>
      <c r="F22" s="374" t="s">
        <v>509</v>
      </c>
      <c r="G22" s="88" t="s">
        <v>25</v>
      </c>
      <c r="H22" s="396">
        <v>1.1000000000000001</v>
      </c>
      <c r="I22" s="396">
        <v>1.1000000000000001</v>
      </c>
    </row>
    <row r="23" spans="1:9" ht="20.25" customHeight="1">
      <c r="A23" s="100" t="str">
        <f>+'S&amp;D'!A27</f>
        <v>ONEOK Inc</v>
      </c>
      <c r="B23" s="88" t="str">
        <f>+'S&amp;D'!B27</f>
        <v>OKE</v>
      </c>
      <c r="C23" s="88" t="str">
        <f>+'S&amp;D'!C27</f>
        <v>Oil &amp; Gas Distribution</v>
      </c>
      <c r="D23" s="271">
        <v>0.22</v>
      </c>
      <c r="E23" s="271">
        <v>0.185</v>
      </c>
      <c r="F23" s="271">
        <v>0.05</v>
      </c>
      <c r="G23" s="88" t="s">
        <v>25</v>
      </c>
      <c r="H23" s="396">
        <v>1.5</v>
      </c>
      <c r="I23" s="396">
        <v>1.5</v>
      </c>
    </row>
    <row r="24" spans="1:9" ht="20.25" customHeight="1">
      <c r="A24" s="100" t="str">
        <f>+'S&amp;D'!A28</f>
        <v>TC Energy Corp</v>
      </c>
      <c r="B24" s="88" t="str">
        <f>+'S&amp;D'!B28</f>
        <v>TRP</v>
      </c>
      <c r="C24" s="88" t="str">
        <f>+'S&amp;D'!C28</f>
        <v>Oil &amp; Gas Distribution</v>
      </c>
      <c r="D24" s="271">
        <v>0.24</v>
      </c>
      <c r="E24" s="271">
        <v>0.14499999999999999</v>
      </c>
      <c r="F24" s="271">
        <v>0.03</v>
      </c>
      <c r="G24" s="88" t="s">
        <v>26</v>
      </c>
      <c r="H24" s="396">
        <v>1.05</v>
      </c>
      <c r="I24" s="396">
        <v>1.05</v>
      </c>
    </row>
    <row r="25" spans="1:9" ht="20.25" customHeight="1" thickBot="1">
      <c r="A25" s="100" t="str">
        <f>+'S&amp;D'!A29</f>
        <v>Williams Companys Inc</v>
      </c>
      <c r="B25" s="88" t="str">
        <f>+'S&amp;D'!B29</f>
        <v>WMB</v>
      </c>
      <c r="C25" s="88" t="str">
        <f>+'S&amp;D'!C29</f>
        <v>Oil &amp; Gas Distribution</v>
      </c>
      <c r="D25" s="271">
        <v>0.21</v>
      </c>
      <c r="E25" s="271">
        <v>0.23499999999999999</v>
      </c>
      <c r="F25" s="271">
        <v>3.5000000000000003E-2</v>
      </c>
      <c r="G25" s="88" t="s">
        <v>25</v>
      </c>
      <c r="H25" s="397">
        <v>1.1000000000000001</v>
      </c>
      <c r="I25" s="397">
        <v>1.1000000000000001</v>
      </c>
    </row>
    <row r="26" spans="1:9" ht="20.25" customHeight="1" thickTop="1">
      <c r="A26" s="104"/>
      <c r="B26" s="104"/>
      <c r="C26" s="4"/>
      <c r="D26" s="181" t="s">
        <v>0</v>
      </c>
      <c r="E26" s="4"/>
      <c r="F26" s="4"/>
      <c r="G26" s="121" t="s">
        <v>46</v>
      </c>
      <c r="H26" s="182">
        <f>MAX(H18:H25)</f>
        <v>1.5</v>
      </c>
      <c r="I26" s="183">
        <f>MAX(I18:I25)</f>
        <v>1.5</v>
      </c>
    </row>
    <row r="27" spans="1:9" ht="20.25" customHeight="1">
      <c r="A27" s="104"/>
      <c r="B27" s="104"/>
      <c r="C27" s="4"/>
      <c r="D27" s="181" t="s">
        <v>0</v>
      </c>
      <c r="E27" s="4"/>
      <c r="F27" s="4"/>
      <c r="G27" s="121" t="s">
        <v>47</v>
      </c>
      <c r="H27" s="345">
        <f>MIN(H18:H25)</f>
        <v>0.85</v>
      </c>
      <c r="I27" s="346">
        <f>MIN(I18:I25)</f>
        <v>0.85</v>
      </c>
    </row>
    <row r="28" spans="1:9" ht="20.25" customHeight="1">
      <c r="A28" s="104"/>
      <c r="B28" s="104"/>
      <c r="C28" s="4"/>
      <c r="D28" s="184" t="s">
        <v>0</v>
      </c>
      <c r="E28" s="4"/>
      <c r="F28" s="4"/>
      <c r="G28" s="121" t="s">
        <v>18</v>
      </c>
      <c r="H28" s="185">
        <f>MEDIAN(H18:H25)</f>
        <v>1.1000000000000001</v>
      </c>
      <c r="I28" s="185">
        <f>MEDIAN(I18:I25)</f>
        <v>1.1000000000000001</v>
      </c>
    </row>
    <row r="29" spans="1:9" ht="20.25" customHeight="1">
      <c r="A29" s="104"/>
      <c r="B29" s="104"/>
      <c r="C29" s="4"/>
      <c r="D29" s="124" t="s">
        <v>0</v>
      </c>
      <c r="E29" s="4"/>
      <c r="F29" s="4"/>
      <c r="G29" s="121" t="s">
        <v>428</v>
      </c>
      <c r="H29" s="186">
        <f>AVERAGE(H18:H25)</f>
        <v>1.1500000000000001</v>
      </c>
      <c r="I29" s="186">
        <f>AVERAGE(I18:I25)</f>
        <v>1.1500000000000001</v>
      </c>
    </row>
    <row r="30" spans="1:9" ht="20.25" customHeight="1" thickBot="1">
      <c r="A30" s="11"/>
      <c r="B30" s="11"/>
      <c r="C30" s="11"/>
      <c r="D30" s="11" t="s">
        <v>0</v>
      </c>
      <c r="G30" s="11"/>
      <c r="H30" s="11"/>
      <c r="I30" s="11"/>
    </row>
    <row r="31" spans="1:9" ht="20.25" customHeight="1" thickBot="1">
      <c r="A31" s="11"/>
      <c r="B31" s="11"/>
      <c r="C31" s="11"/>
      <c r="D31" s="11"/>
      <c r="G31" s="11"/>
      <c r="H31" s="209" t="s">
        <v>74</v>
      </c>
      <c r="I31" s="316">
        <v>1.1499999999999999</v>
      </c>
    </row>
    <row r="32" spans="1:9" ht="20.25" customHeight="1">
      <c r="A32" s="11"/>
      <c r="B32" s="11"/>
      <c r="C32" s="11"/>
      <c r="D32" s="11"/>
      <c r="G32" s="11"/>
      <c r="H32" s="67"/>
      <c r="I32" s="293"/>
    </row>
    <row r="33" spans="1:9" ht="20.25" customHeight="1">
      <c r="A33" s="11"/>
      <c r="B33" s="11"/>
      <c r="C33" s="11"/>
      <c r="D33" s="11"/>
      <c r="G33" s="11"/>
      <c r="H33" s="67"/>
      <c r="I33" s="293"/>
    </row>
    <row r="34" spans="1:9" ht="17.25">
      <c r="A34" s="104" t="s">
        <v>344</v>
      </c>
    </row>
    <row r="35" spans="1:9" ht="17.25">
      <c r="A35" s="104" t="s">
        <v>343</v>
      </c>
    </row>
  </sheetData>
  <pageMargins left="0.25" right="0.25" top="0.75" bottom="0.75" header="0.3" footer="0.3"/>
  <pageSetup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K31"/>
  <sheetViews>
    <sheetView view="pageBreakPreview" topLeftCell="A5" zoomScale="60" zoomScaleNormal="80" workbookViewId="0">
      <selection activeCell="H26" sqref="H26"/>
    </sheetView>
  </sheetViews>
  <sheetFormatPr defaultRowHeight="15"/>
  <cols>
    <col min="1" max="1" width="50.42578125" customWidth="1"/>
    <col min="2" max="2" width="10.85546875" bestFit="1" customWidth="1"/>
    <col min="3" max="3" width="29.7109375" customWidth="1"/>
    <col min="4" max="4" width="15.28515625" customWidth="1"/>
    <col min="5" max="5" width="16" customWidth="1"/>
    <col min="6" max="6" width="20" customWidth="1"/>
    <col min="7" max="7" width="16.5703125" customWidth="1"/>
    <col min="8" max="8" width="19.140625" customWidth="1"/>
    <col min="9" max="10" width="20.140625" customWidth="1"/>
    <col min="11" max="11" width="17.7109375" customWidth="1"/>
    <col min="12" max="12" width="23.7109375" customWidth="1"/>
  </cols>
  <sheetData>
    <row r="1" spans="1:11" ht="26.25">
      <c r="A1" s="22" t="s">
        <v>1</v>
      </c>
      <c r="B1" s="11"/>
      <c r="C1" s="11"/>
      <c r="D1" s="11"/>
      <c r="E1" s="11"/>
      <c r="F1" s="11"/>
      <c r="G1" s="11"/>
      <c r="H1" s="11"/>
      <c r="I1" s="11"/>
      <c r="J1" s="11"/>
    </row>
    <row r="2" spans="1:11" ht="17.25">
      <c r="A2" s="23" t="s">
        <v>9</v>
      </c>
      <c r="B2" s="11"/>
      <c r="C2" s="11"/>
      <c r="D2" s="11"/>
      <c r="E2" s="11"/>
      <c r="F2" s="11"/>
      <c r="G2" s="11"/>
      <c r="H2" s="11"/>
      <c r="I2" s="11"/>
      <c r="J2" s="11"/>
    </row>
    <row r="3" spans="1:11" ht="16.5">
      <c r="A3" s="24" t="s">
        <v>467</v>
      </c>
      <c r="B3" s="11"/>
      <c r="C3" s="11"/>
      <c r="D3" s="11"/>
      <c r="E3" s="11"/>
      <c r="F3" s="11"/>
      <c r="G3" s="11"/>
      <c r="H3" s="11"/>
      <c r="I3" s="11"/>
      <c r="J3" s="11"/>
    </row>
    <row r="4" spans="1:11" ht="16.5">
      <c r="A4" s="24"/>
      <c r="B4" s="11"/>
      <c r="C4" s="11"/>
      <c r="D4" s="11"/>
      <c r="E4" s="11"/>
      <c r="F4" s="11"/>
      <c r="G4" s="11"/>
      <c r="H4" s="11"/>
      <c r="I4" s="11"/>
      <c r="J4" s="11"/>
    </row>
    <row r="5" spans="1:11" ht="17.25" thickBot="1">
      <c r="A5" s="11"/>
      <c r="B5" s="11"/>
      <c r="C5" s="11"/>
      <c r="D5" s="11"/>
      <c r="E5" s="11"/>
      <c r="F5" s="11"/>
      <c r="G5" s="25"/>
      <c r="H5" s="11"/>
      <c r="I5" s="11"/>
      <c r="J5" s="11"/>
    </row>
    <row r="6" spans="1:11" ht="21" thickBot="1">
      <c r="A6" s="275" t="str">
        <f>+'S&amp;D'!A12</f>
        <v>Natural Gas Transmission Pipeline Carrier</v>
      </c>
      <c r="B6" s="202"/>
      <c r="C6" s="11"/>
      <c r="D6" s="27"/>
      <c r="E6" s="27"/>
      <c r="F6" s="28" t="s">
        <v>0</v>
      </c>
      <c r="G6" s="11"/>
      <c r="H6" s="11"/>
      <c r="I6" s="11"/>
      <c r="J6" s="11"/>
    </row>
    <row r="7" spans="1:11" ht="26.25">
      <c r="A7" s="29"/>
      <c r="B7" s="11"/>
      <c r="C7" s="11"/>
      <c r="D7" s="11"/>
      <c r="E7" s="30" t="s">
        <v>172</v>
      </c>
      <c r="F7" s="11"/>
      <c r="G7" s="11"/>
      <c r="H7" s="11"/>
      <c r="I7" s="11"/>
      <c r="J7" s="11"/>
    </row>
    <row r="8" spans="1:11" ht="21" thickBot="1">
      <c r="A8" s="29"/>
      <c r="B8" s="11"/>
      <c r="C8" s="11"/>
      <c r="D8" s="27"/>
      <c r="E8" s="31" t="s">
        <v>468</v>
      </c>
      <c r="F8" s="27"/>
      <c r="G8" s="11"/>
      <c r="H8" s="11"/>
      <c r="I8" s="11"/>
      <c r="J8" s="11"/>
    </row>
    <row r="9" spans="1:11" ht="17.25" thickBot="1">
      <c r="A9" s="32" t="s">
        <v>0</v>
      </c>
      <c r="B9" s="32" t="s">
        <v>0</v>
      </c>
      <c r="C9" s="32" t="s">
        <v>0</v>
      </c>
      <c r="D9" s="32" t="s">
        <v>0</v>
      </c>
      <c r="E9" s="32" t="s">
        <v>0</v>
      </c>
      <c r="F9" s="32"/>
      <c r="G9" s="27"/>
      <c r="H9" s="27"/>
      <c r="I9" s="27"/>
      <c r="J9" s="27"/>
      <c r="K9" s="154"/>
    </row>
    <row r="10" spans="1:11" ht="16.5">
      <c r="A10" s="33" t="s">
        <v>0</v>
      </c>
      <c r="B10" s="33" t="s">
        <v>3</v>
      </c>
      <c r="C10" s="33" t="s">
        <v>5</v>
      </c>
      <c r="D10" s="33" t="s">
        <v>167</v>
      </c>
      <c r="E10" s="33" t="s">
        <v>168</v>
      </c>
      <c r="F10" s="33" t="s">
        <v>170</v>
      </c>
      <c r="G10" s="33" t="s">
        <v>168</v>
      </c>
      <c r="H10" s="33" t="s">
        <v>170</v>
      </c>
      <c r="I10" s="33" t="s">
        <v>168</v>
      </c>
      <c r="J10" s="33" t="s">
        <v>170</v>
      </c>
      <c r="K10" s="33" t="s">
        <v>277</v>
      </c>
    </row>
    <row r="11" spans="1:11" ht="16.5">
      <c r="A11" s="33"/>
      <c r="B11" s="33" t="s">
        <v>4</v>
      </c>
      <c r="C11" s="33" t="s">
        <v>6</v>
      </c>
      <c r="D11" s="33" t="s">
        <v>28</v>
      </c>
      <c r="E11" s="33" t="s">
        <v>169</v>
      </c>
      <c r="F11" s="33" t="s">
        <v>120</v>
      </c>
      <c r="G11" s="33" t="s">
        <v>169</v>
      </c>
      <c r="H11" s="33" t="s">
        <v>120</v>
      </c>
      <c r="I11" s="33" t="s">
        <v>169</v>
      </c>
      <c r="J11" s="33" t="s">
        <v>120</v>
      </c>
      <c r="K11" s="33" t="s">
        <v>185</v>
      </c>
    </row>
    <row r="12" spans="1:11" ht="17.25" thickBot="1">
      <c r="A12" s="35" t="s">
        <v>2</v>
      </c>
      <c r="B12" s="35" t="s">
        <v>0</v>
      </c>
      <c r="C12" s="35" t="s">
        <v>0</v>
      </c>
      <c r="D12" s="35" t="s">
        <v>0</v>
      </c>
      <c r="E12" s="35" t="s">
        <v>171</v>
      </c>
      <c r="F12" s="35" t="s">
        <v>171</v>
      </c>
      <c r="G12" s="35" t="s">
        <v>275</v>
      </c>
      <c r="H12" s="35" t="s">
        <v>275</v>
      </c>
      <c r="I12" s="35" t="s">
        <v>276</v>
      </c>
      <c r="J12" s="35" t="s">
        <v>276</v>
      </c>
      <c r="K12" s="237" t="s">
        <v>278</v>
      </c>
    </row>
    <row r="13" spans="1:11">
      <c r="A13" s="37" t="s">
        <v>7</v>
      </c>
      <c r="B13" s="37" t="s">
        <v>7</v>
      </c>
      <c r="C13" s="37" t="s">
        <v>7</v>
      </c>
      <c r="D13" s="38" t="s">
        <v>113</v>
      </c>
      <c r="E13" s="37" t="s">
        <v>7</v>
      </c>
      <c r="F13" s="37" t="s">
        <v>15</v>
      </c>
      <c r="G13" s="37" t="s">
        <v>7</v>
      </c>
      <c r="H13" s="37" t="s">
        <v>15</v>
      </c>
      <c r="I13" s="37" t="s">
        <v>7</v>
      </c>
      <c r="J13" s="37" t="s">
        <v>15</v>
      </c>
      <c r="K13" s="37" t="s">
        <v>15</v>
      </c>
    </row>
    <row r="14" spans="1:11" ht="16.5">
      <c r="A14" s="33"/>
      <c r="B14" s="33"/>
      <c r="C14" s="33"/>
      <c r="D14" s="33"/>
      <c r="E14" s="33"/>
      <c r="F14" s="33"/>
      <c r="G14" s="11"/>
      <c r="H14" s="11"/>
      <c r="I14" s="11"/>
      <c r="J14" s="11"/>
      <c r="K14" s="11"/>
    </row>
    <row r="15" spans="1:11" ht="16.5">
      <c r="A15" s="11"/>
      <c r="B15" s="11"/>
      <c r="C15" s="11"/>
      <c r="D15" s="11"/>
      <c r="E15" s="11"/>
      <c r="F15" s="11"/>
      <c r="G15" s="11"/>
      <c r="H15" s="11"/>
      <c r="I15" s="11"/>
      <c r="J15" s="11"/>
      <c r="K15" s="11"/>
    </row>
    <row r="16" spans="1:11" ht="17.25">
      <c r="A16" s="61" t="str">
        <f>+'S&amp;D'!A22</f>
        <v>Enbridge Inc</v>
      </c>
      <c r="B16" s="88" t="str">
        <f>+'S&amp;D'!B22</f>
        <v>ENB.TO</v>
      </c>
      <c r="C16" s="88" t="str">
        <f>+'S&amp;D'!C22</f>
        <v>Oil &amp; Gas Distribution</v>
      </c>
      <c r="D16" s="58">
        <f>+'S&amp;D'!G22</f>
        <v>47.7</v>
      </c>
      <c r="E16" s="381">
        <v>3.65</v>
      </c>
      <c r="F16" s="52">
        <f t="shared" ref="F16:F20" si="0">+E16/D16</f>
        <v>7.651991614255764E-2</v>
      </c>
      <c r="G16" s="381">
        <v>3.8</v>
      </c>
      <c r="H16" s="52">
        <f t="shared" ref="H16:H20" si="1">+G16/D16</f>
        <v>7.9664570230607953E-2</v>
      </c>
      <c r="I16" s="381">
        <v>4</v>
      </c>
      <c r="J16" s="52">
        <f t="shared" ref="J16:J20" si="2">+I16/D16</f>
        <v>8.3857442348008376E-2</v>
      </c>
      <c r="K16" s="399">
        <f t="shared" ref="K16:K20" si="3">RATE(3,,-G16,I16)</f>
        <v>1.7244768191104862E-2</v>
      </c>
    </row>
    <row r="17" spans="1:11" ht="17.25">
      <c r="A17" s="61" t="str">
        <f>+'S&amp;D'!A23</f>
        <v>Energy Transfer LP</v>
      </c>
      <c r="B17" s="88" t="str">
        <f>+'S&amp;D'!B23</f>
        <v>ET</v>
      </c>
      <c r="C17" s="88" t="str">
        <f>+'S&amp;D'!C23</f>
        <v>Pipeline MLPs</v>
      </c>
      <c r="D17" s="58">
        <f>+'S&amp;D'!G23</f>
        <v>13.8</v>
      </c>
      <c r="E17" s="381">
        <v>1.3</v>
      </c>
      <c r="F17" s="52">
        <f t="shared" si="0"/>
        <v>9.420289855072464E-2</v>
      </c>
      <c r="G17" s="381">
        <v>1.35</v>
      </c>
      <c r="H17" s="52">
        <f t="shared" si="1"/>
        <v>9.7826086956521743E-2</v>
      </c>
      <c r="I17" s="381">
        <v>1.5</v>
      </c>
      <c r="J17" s="52">
        <f t="shared" si="2"/>
        <v>0.10869565217391304</v>
      </c>
      <c r="K17" s="399">
        <f t="shared" si="3"/>
        <v>3.5744168651286448E-2</v>
      </c>
    </row>
    <row r="18" spans="1:11" ht="17.25">
      <c r="A18" s="61" t="str">
        <f>+'S&amp;D'!A24</f>
        <v>Enlink Midstream LLC</v>
      </c>
      <c r="B18" s="88" t="str">
        <f>+'S&amp;D'!B24</f>
        <v>ENLC</v>
      </c>
      <c r="C18" s="88" t="str">
        <f>+'S&amp;D'!C24</f>
        <v>Oil &amp; Gas Distribution</v>
      </c>
      <c r="D18" s="58">
        <f>+'S&amp;D'!G24</f>
        <v>12.16</v>
      </c>
      <c r="E18" s="381">
        <v>0.53</v>
      </c>
      <c r="F18" s="52">
        <f t="shared" si="0"/>
        <v>4.3585526315789477E-2</v>
      </c>
      <c r="G18" s="381">
        <v>0.56000000000000005</v>
      </c>
      <c r="H18" s="52">
        <f t="shared" si="1"/>
        <v>4.6052631578947373E-2</v>
      </c>
      <c r="I18" s="381">
        <v>0.6</v>
      </c>
      <c r="J18" s="52">
        <f t="shared" si="2"/>
        <v>4.9342105263157895E-2</v>
      </c>
      <c r="K18" s="399">
        <f t="shared" si="3"/>
        <v>2.3264108093814507E-2</v>
      </c>
    </row>
    <row r="19" spans="1:11" ht="17.25">
      <c r="A19" s="61" t="str">
        <f>+'S&amp;D'!A25</f>
        <v>Enterprise Products Partnership LP</v>
      </c>
      <c r="B19" s="88" t="str">
        <f>+'S&amp;D'!B25</f>
        <v>EPD</v>
      </c>
      <c r="C19" s="88" t="str">
        <f>+'S&amp;D'!C25</f>
        <v>Pipeline MLPs</v>
      </c>
      <c r="D19" s="58">
        <f>+'S&amp;D'!G25</f>
        <v>26.35</v>
      </c>
      <c r="E19" s="381">
        <v>2.12</v>
      </c>
      <c r="F19" s="52">
        <f t="shared" si="0"/>
        <v>8.0455407969639472E-2</v>
      </c>
      <c r="G19" s="381">
        <v>2.2999999999999998</v>
      </c>
      <c r="H19" s="52">
        <f t="shared" si="1"/>
        <v>8.7286527514231493E-2</v>
      </c>
      <c r="I19" s="381">
        <v>3.35</v>
      </c>
      <c r="J19" s="52">
        <f t="shared" si="2"/>
        <v>0.12713472485768501</v>
      </c>
      <c r="K19" s="399">
        <f t="shared" si="3"/>
        <v>0.13354558651132678</v>
      </c>
    </row>
    <row r="20" spans="1:11" ht="17.25">
      <c r="A20" s="61" t="str">
        <f>+'S&amp;D'!A26</f>
        <v>Kinder Morgan Inc</v>
      </c>
      <c r="B20" s="88" t="str">
        <f>+'S&amp;D'!B26</f>
        <v>KMI</v>
      </c>
      <c r="C20" s="88" t="str">
        <f>+'S&amp;D'!C26</f>
        <v>Oil &amp; Gas Distribution</v>
      </c>
      <c r="D20" s="58">
        <f>+'S&amp;D'!G26</f>
        <v>17.64</v>
      </c>
      <c r="E20" s="381">
        <v>1.1499999999999999</v>
      </c>
      <c r="F20" s="52">
        <f t="shared" si="0"/>
        <v>6.5192743764172334E-2</v>
      </c>
      <c r="G20" s="381">
        <v>1.2</v>
      </c>
      <c r="H20" s="52">
        <f t="shared" si="1"/>
        <v>6.8027210884353734E-2</v>
      </c>
      <c r="I20" s="381">
        <v>1.55</v>
      </c>
      <c r="J20" s="52">
        <f t="shared" si="2"/>
        <v>8.7868480725623588E-2</v>
      </c>
      <c r="K20" s="399">
        <f t="shared" si="3"/>
        <v>8.9055846181262416E-2</v>
      </c>
    </row>
    <row r="21" spans="1:11" ht="17.25">
      <c r="A21" s="61" t="str">
        <f>+'S&amp;D'!A27</f>
        <v>ONEOK Inc</v>
      </c>
      <c r="B21" s="88" t="str">
        <f>+'S&amp;D'!B27</f>
        <v>OKE</v>
      </c>
      <c r="C21" s="88" t="str">
        <f>+'S&amp;D'!C27</f>
        <v>Oil &amp; Gas Distribution</v>
      </c>
      <c r="D21" s="58">
        <f>+'S&amp;D'!G27</f>
        <v>70.22</v>
      </c>
      <c r="E21" s="381">
        <v>3.96</v>
      </c>
      <c r="F21" s="52">
        <f t="shared" ref="F21:F23" si="4">+E21/D21</f>
        <v>5.6394189689547139E-2</v>
      </c>
      <c r="G21" s="381">
        <v>4.0999999999999996</v>
      </c>
      <c r="H21" s="52">
        <f>+G21/D21</f>
        <v>5.8387923668470516E-2</v>
      </c>
      <c r="I21" s="381">
        <v>4.7</v>
      </c>
      <c r="J21" s="52">
        <f t="shared" ref="J21:J23" si="5">+I21/D21</f>
        <v>6.6932497863856452E-2</v>
      </c>
      <c r="K21" s="399">
        <f>RATE(3,,-G21,I21)</f>
        <v>4.6577355357731956E-2</v>
      </c>
    </row>
    <row r="22" spans="1:11" ht="17.25">
      <c r="A22" s="61" t="str">
        <f>+'S&amp;D'!A28</f>
        <v>TC Energy Corp</v>
      </c>
      <c r="B22" s="88" t="str">
        <f>+'S&amp;D'!B28</f>
        <v>TRP</v>
      </c>
      <c r="C22" s="88" t="str">
        <f>+'S&amp;D'!C28</f>
        <v>Oil &amp; Gas Distribution</v>
      </c>
      <c r="D22" s="58">
        <f>+'S&amp;D'!G28</f>
        <v>39.090000000000003</v>
      </c>
      <c r="E22" s="381">
        <v>2.9</v>
      </c>
      <c r="F22" s="52">
        <f t="shared" si="4"/>
        <v>7.4187771808646705E-2</v>
      </c>
      <c r="G22" s="381">
        <v>3.1</v>
      </c>
      <c r="H22" s="52">
        <f t="shared" ref="H22:H23" si="6">+G22/D22</f>
        <v>7.930416986441545E-2</v>
      </c>
      <c r="I22" s="381">
        <v>3.6</v>
      </c>
      <c r="J22" s="52">
        <f t="shared" si="5"/>
        <v>9.2095165003837298E-2</v>
      </c>
      <c r="K22" s="399">
        <f t="shared" ref="K22:K23" si="7">RATE(3,,-G22,I22)</f>
        <v>5.1107017667857989E-2</v>
      </c>
    </row>
    <row r="23" spans="1:11" ht="17.25">
      <c r="A23" s="61" t="str">
        <f>+'S&amp;D'!A29</f>
        <v>Williams Companys Inc</v>
      </c>
      <c r="B23" s="88" t="str">
        <f>+'S&amp;D'!B29</f>
        <v>WMB</v>
      </c>
      <c r="C23" s="88" t="str">
        <f>+'S&amp;D'!C29</f>
        <v>Oil &amp; Gas Distribution</v>
      </c>
      <c r="D23" s="58">
        <f>+'S&amp;D'!G29</f>
        <v>34.83</v>
      </c>
      <c r="E23" s="381">
        <v>1.9</v>
      </c>
      <c r="F23" s="52">
        <f t="shared" si="4"/>
        <v>5.4550674705713467E-2</v>
      </c>
      <c r="G23" s="381">
        <v>2.02</v>
      </c>
      <c r="H23" s="52">
        <f t="shared" si="6"/>
        <v>5.7995980476600636E-2</v>
      </c>
      <c r="I23" s="381">
        <v>2.2000000000000002</v>
      </c>
      <c r="J23" s="52">
        <f t="shared" si="5"/>
        <v>6.316393913293139E-2</v>
      </c>
      <c r="K23" s="399">
        <f t="shared" si="7"/>
        <v>2.8861944351566606E-2</v>
      </c>
    </row>
    <row r="24" spans="1:11" ht="17.25" thickBot="1">
      <c r="A24" s="11"/>
      <c r="B24" s="11"/>
      <c r="C24" s="42"/>
      <c r="D24" s="45"/>
      <c r="E24" s="45"/>
      <c r="F24" s="45"/>
      <c r="G24" s="45"/>
      <c r="H24" s="45"/>
      <c r="I24" s="45"/>
      <c r="J24" s="45"/>
      <c r="K24" s="45"/>
    </row>
    <row r="25" spans="1:11" ht="17.25" thickTop="1">
      <c r="A25" s="11"/>
      <c r="B25" s="11"/>
      <c r="D25" s="13" t="s">
        <v>46</v>
      </c>
      <c r="E25" s="15">
        <f>MAX(E16:E23)</f>
        <v>3.96</v>
      </c>
      <c r="F25" s="321">
        <f t="shared" ref="F25:K25" si="8">MAX(F16:F23)</f>
        <v>9.420289855072464E-2</v>
      </c>
      <c r="G25" s="15">
        <f t="shared" si="8"/>
        <v>4.0999999999999996</v>
      </c>
      <c r="H25" s="321">
        <f>MAX(H16:H23)</f>
        <v>9.7826086956521743E-2</v>
      </c>
      <c r="I25" s="15">
        <f t="shared" si="8"/>
        <v>4.7</v>
      </c>
      <c r="J25" s="321">
        <f t="shared" si="8"/>
        <v>0.12713472485768501</v>
      </c>
      <c r="K25" s="321">
        <f t="shared" si="8"/>
        <v>0.13354558651132678</v>
      </c>
    </row>
    <row r="26" spans="1:11" ht="16.5">
      <c r="A26" s="11"/>
      <c r="B26" s="11"/>
      <c r="D26" s="13" t="s">
        <v>47</v>
      </c>
      <c r="E26" s="343">
        <f>+MIN(E16:E23)</f>
        <v>0.53</v>
      </c>
      <c r="F26" s="344">
        <f t="shared" ref="F26:K26" si="9">+MIN(F16:F23)</f>
        <v>4.3585526315789477E-2</v>
      </c>
      <c r="G26" s="343">
        <f t="shared" si="9"/>
        <v>0.56000000000000005</v>
      </c>
      <c r="H26" s="344">
        <f t="shared" si="9"/>
        <v>4.6052631578947373E-2</v>
      </c>
      <c r="I26" s="343">
        <f t="shared" si="9"/>
        <v>0.6</v>
      </c>
      <c r="J26" s="344">
        <f t="shared" si="9"/>
        <v>4.9342105263157895E-2</v>
      </c>
      <c r="K26" s="344">
        <f t="shared" si="9"/>
        <v>1.7244768191104862E-2</v>
      </c>
    </row>
    <row r="27" spans="1:11" ht="16.5">
      <c r="A27" s="11"/>
      <c r="B27" s="11"/>
      <c r="D27" s="13" t="s">
        <v>18</v>
      </c>
      <c r="E27" s="16">
        <f t="shared" ref="E27:K27" si="10">MEDIAN(E16:E23)</f>
        <v>2.0099999999999998</v>
      </c>
      <c r="F27" s="53">
        <f t="shared" si="10"/>
        <v>6.9690257786409526E-2</v>
      </c>
      <c r="G27" s="16">
        <f t="shared" si="10"/>
        <v>2.16</v>
      </c>
      <c r="H27" s="53">
        <f t="shared" si="10"/>
        <v>7.3665690374384585E-2</v>
      </c>
      <c r="I27" s="16">
        <f t="shared" si="10"/>
        <v>2.7750000000000004</v>
      </c>
      <c r="J27" s="53" t="e">
        <f t="shared" si="10"/>
        <v>#NUM!</v>
      </c>
      <c r="K27" s="53">
        <f t="shared" si="10"/>
        <v>4.1160762004509202E-2</v>
      </c>
    </row>
    <row r="28" spans="1:11" ht="16.5">
      <c r="A28" s="11"/>
      <c r="B28" s="11"/>
      <c r="D28" s="13" t="s">
        <v>428</v>
      </c>
      <c r="E28" s="20">
        <f t="shared" ref="E28:K28" si="11">AVERAGE(E16:E23)</f>
        <v>2.1887500000000002</v>
      </c>
      <c r="F28" s="55">
        <f t="shared" si="11"/>
        <v>6.8136141118348856E-2</v>
      </c>
      <c r="G28" s="20">
        <f t="shared" si="11"/>
        <v>2.30375</v>
      </c>
      <c r="H28" s="55">
        <f t="shared" si="11"/>
        <v>7.1818137646768601E-2</v>
      </c>
      <c r="I28" s="20">
        <f t="shared" si="11"/>
        <v>2.6875</v>
      </c>
      <c r="J28" s="55">
        <f t="shared" si="11"/>
        <v>8.488625092112663E-2</v>
      </c>
      <c r="K28" s="55">
        <f t="shared" si="11"/>
        <v>5.3175099375743939E-2</v>
      </c>
    </row>
    <row r="29" spans="1:11" ht="16.5">
      <c r="A29" s="11"/>
      <c r="B29" s="11"/>
      <c r="C29" s="11"/>
      <c r="D29" s="11"/>
      <c r="E29" s="11"/>
      <c r="F29" s="11"/>
      <c r="G29" s="11"/>
      <c r="H29" s="11"/>
      <c r="I29" s="11"/>
      <c r="J29" s="11"/>
      <c r="K29" s="11"/>
    </row>
    <row r="30" spans="1:11" ht="26.25">
      <c r="A30" s="11"/>
      <c r="B30" s="11"/>
      <c r="C30" s="11"/>
      <c r="D30" s="11"/>
      <c r="E30" s="11"/>
      <c r="F30" s="48" t="s">
        <v>0</v>
      </c>
      <c r="G30" s="62" t="s">
        <v>0</v>
      </c>
      <c r="H30" s="11"/>
      <c r="I30" s="11"/>
      <c r="J30" s="11"/>
      <c r="K30" s="11"/>
    </row>
    <row r="31" spans="1:11" ht="18.75">
      <c r="A31" s="238" t="s">
        <v>279</v>
      </c>
    </row>
  </sheetData>
  <pageMargins left="0.25" right="0.25" top="0.75" bottom="0.75" header="0.3" footer="0.3"/>
  <pageSetup scale="5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K31"/>
  <sheetViews>
    <sheetView view="pageBreakPreview" topLeftCell="A10" zoomScale="70" zoomScaleNormal="80" workbookViewId="0">
      <selection activeCell="I30" sqref="I30"/>
    </sheetView>
  </sheetViews>
  <sheetFormatPr defaultRowHeight="15"/>
  <cols>
    <col min="1" max="1" width="51.5703125" customWidth="1"/>
    <col min="2" max="2" width="10.85546875" bestFit="1" customWidth="1"/>
    <col min="3" max="3" width="24.85546875" customWidth="1"/>
    <col min="4" max="4" width="15.28515625" customWidth="1"/>
    <col min="5" max="5" width="16" customWidth="1"/>
    <col min="6" max="6" width="20" customWidth="1"/>
    <col min="7" max="7" width="16.5703125" customWidth="1"/>
    <col min="8" max="8" width="19.140625" customWidth="1"/>
    <col min="9" max="10" width="20.140625" customWidth="1"/>
    <col min="11" max="11" width="17.7109375" customWidth="1"/>
    <col min="12" max="12" width="23.7109375" customWidth="1"/>
  </cols>
  <sheetData>
    <row r="1" spans="1:11" ht="26.25">
      <c r="A1" s="22" t="s">
        <v>1</v>
      </c>
      <c r="B1" s="11"/>
      <c r="C1" s="11"/>
      <c r="D1" s="11"/>
      <c r="E1" s="11"/>
      <c r="F1" s="11"/>
      <c r="G1" s="11"/>
      <c r="H1" s="11"/>
      <c r="I1" s="11"/>
      <c r="J1" s="11"/>
    </row>
    <row r="2" spans="1:11" ht="17.25">
      <c r="A2" s="23" t="s">
        <v>9</v>
      </c>
      <c r="B2" s="11"/>
      <c r="C2" s="11"/>
      <c r="D2" s="11"/>
      <c r="E2" s="11"/>
      <c r="F2" s="11"/>
      <c r="G2" s="11"/>
      <c r="H2" s="11"/>
      <c r="I2" s="11"/>
      <c r="J2" s="11"/>
    </row>
    <row r="3" spans="1:11" ht="16.5">
      <c r="A3" s="24" t="s">
        <v>467</v>
      </c>
      <c r="B3" s="11"/>
      <c r="C3" s="11"/>
      <c r="D3" s="11"/>
      <c r="E3" s="11"/>
      <c r="F3" s="11"/>
      <c r="G3" s="11"/>
      <c r="H3" s="11"/>
      <c r="I3" s="11"/>
      <c r="J3" s="11"/>
    </row>
    <row r="4" spans="1:11" ht="16.5">
      <c r="A4" s="24"/>
      <c r="B4" s="11"/>
      <c r="C4" s="11"/>
      <c r="D4" s="11"/>
      <c r="E4" s="11"/>
      <c r="F4" s="11"/>
      <c r="G4" s="11"/>
      <c r="H4" s="11"/>
      <c r="I4" s="11"/>
      <c r="J4" s="11"/>
    </row>
    <row r="5" spans="1:11" ht="17.25" thickBot="1">
      <c r="A5" s="11"/>
      <c r="B5" s="11"/>
      <c r="C5" s="11"/>
      <c r="D5" s="11"/>
      <c r="E5" s="11"/>
      <c r="F5" s="11"/>
      <c r="G5" s="25"/>
      <c r="H5" s="11"/>
      <c r="I5" s="11"/>
      <c r="J5" s="11"/>
    </row>
    <row r="6" spans="1:11" ht="21" thickBot="1">
      <c r="A6" s="275" t="str">
        <f>+'S&amp;D'!A12</f>
        <v>Natural Gas Transmission Pipeline Carrier</v>
      </c>
      <c r="B6" s="202"/>
      <c r="C6" s="11"/>
      <c r="D6" s="27"/>
      <c r="E6" s="27"/>
      <c r="F6" s="28" t="s">
        <v>0</v>
      </c>
      <c r="G6" s="11"/>
      <c r="H6" s="11"/>
      <c r="I6" s="11"/>
      <c r="J6" s="11"/>
    </row>
    <row r="7" spans="1:11" ht="26.25">
      <c r="A7" s="29"/>
      <c r="B7" s="11"/>
      <c r="C7" s="11"/>
      <c r="D7" s="11"/>
      <c r="E7" s="30" t="s">
        <v>280</v>
      </c>
      <c r="F7" s="11"/>
      <c r="G7" s="11"/>
      <c r="H7" s="11"/>
      <c r="I7" s="11"/>
      <c r="J7" s="11"/>
    </row>
    <row r="8" spans="1:11" ht="21" thickBot="1">
      <c r="A8" s="29"/>
      <c r="B8" s="11"/>
      <c r="C8" s="11"/>
      <c r="D8" s="27"/>
      <c r="E8" s="31" t="s">
        <v>468</v>
      </c>
      <c r="F8" s="27"/>
      <c r="G8" s="11"/>
      <c r="H8" s="11"/>
      <c r="I8" s="11"/>
      <c r="J8" s="11"/>
    </row>
    <row r="9" spans="1:11" ht="17.25" thickBot="1">
      <c r="A9" s="32" t="s">
        <v>0</v>
      </c>
      <c r="B9" s="32" t="s">
        <v>0</v>
      </c>
      <c r="C9" s="32" t="s">
        <v>0</v>
      </c>
      <c r="D9" s="32" t="s">
        <v>0</v>
      </c>
      <c r="E9" s="32" t="s">
        <v>0</v>
      </c>
      <c r="F9" s="32"/>
      <c r="G9" s="27"/>
      <c r="H9" s="27"/>
      <c r="I9" s="27"/>
      <c r="J9" s="27"/>
      <c r="K9" s="154"/>
    </row>
    <row r="10" spans="1:11" ht="16.5">
      <c r="A10" s="33" t="s">
        <v>0</v>
      </c>
      <c r="B10" s="33" t="s">
        <v>3</v>
      </c>
      <c r="C10" s="33" t="s">
        <v>5</v>
      </c>
      <c r="D10" s="33" t="s">
        <v>167</v>
      </c>
      <c r="E10" s="33" t="s">
        <v>173</v>
      </c>
      <c r="F10" s="33" t="s">
        <v>173</v>
      </c>
      <c r="G10" s="33" t="s">
        <v>173</v>
      </c>
      <c r="H10" s="33" t="s">
        <v>173</v>
      </c>
      <c r="I10" s="33" t="s">
        <v>173</v>
      </c>
      <c r="J10" s="33" t="s">
        <v>173</v>
      </c>
      <c r="K10" s="33" t="s">
        <v>277</v>
      </c>
    </row>
    <row r="11" spans="1:11" ht="16.5">
      <c r="A11" s="33"/>
      <c r="B11" s="33" t="s">
        <v>4</v>
      </c>
      <c r="C11" s="33" t="s">
        <v>6</v>
      </c>
      <c r="D11" s="33" t="s">
        <v>28</v>
      </c>
      <c r="E11" s="33" t="s">
        <v>169</v>
      </c>
      <c r="F11" s="33" t="s">
        <v>120</v>
      </c>
      <c r="G11" s="33" t="s">
        <v>169</v>
      </c>
      <c r="H11" s="33" t="s">
        <v>120</v>
      </c>
      <c r="I11" s="33" t="s">
        <v>169</v>
      </c>
      <c r="J11" s="33" t="s">
        <v>120</v>
      </c>
      <c r="K11" s="33" t="s">
        <v>185</v>
      </c>
    </row>
    <row r="12" spans="1:11" ht="17.25" thickBot="1">
      <c r="A12" s="35" t="s">
        <v>2</v>
      </c>
      <c r="B12" s="35" t="s">
        <v>0</v>
      </c>
      <c r="C12" s="35" t="s">
        <v>0</v>
      </c>
      <c r="D12" s="35" t="s">
        <v>0</v>
      </c>
      <c r="E12" s="35" t="s">
        <v>171</v>
      </c>
      <c r="F12" s="35" t="s">
        <v>171</v>
      </c>
      <c r="G12" s="35" t="s">
        <v>275</v>
      </c>
      <c r="H12" s="35" t="s">
        <v>275</v>
      </c>
      <c r="I12" s="35" t="s">
        <v>276</v>
      </c>
      <c r="J12" s="35" t="s">
        <v>276</v>
      </c>
      <c r="K12" s="237" t="s">
        <v>278</v>
      </c>
    </row>
    <row r="13" spans="1:11">
      <c r="A13" s="37" t="s">
        <v>7</v>
      </c>
      <c r="B13" s="37" t="s">
        <v>7</v>
      </c>
      <c r="C13" s="37" t="s">
        <v>7</v>
      </c>
      <c r="D13" s="38" t="s">
        <v>113</v>
      </c>
      <c r="E13" s="37" t="s">
        <v>7</v>
      </c>
      <c r="F13" s="37" t="s">
        <v>15</v>
      </c>
      <c r="G13" s="37" t="s">
        <v>7</v>
      </c>
      <c r="H13" s="37" t="s">
        <v>15</v>
      </c>
      <c r="I13" s="37" t="s">
        <v>7</v>
      </c>
      <c r="J13" s="37" t="s">
        <v>15</v>
      </c>
      <c r="K13" s="37" t="s">
        <v>15</v>
      </c>
    </row>
    <row r="14" spans="1:11" ht="16.5">
      <c r="A14" s="33"/>
      <c r="B14" s="33"/>
      <c r="C14" s="33"/>
      <c r="D14" s="33"/>
      <c r="E14" s="33"/>
      <c r="F14" s="33"/>
      <c r="G14" s="11"/>
      <c r="H14" s="11"/>
      <c r="I14" s="11"/>
      <c r="J14" s="11"/>
      <c r="K14" s="11"/>
    </row>
    <row r="15" spans="1:11" ht="16.5">
      <c r="A15" s="11"/>
      <c r="B15" s="11"/>
      <c r="C15" s="11"/>
      <c r="D15" s="11"/>
      <c r="E15" s="11"/>
      <c r="F15" s="11"/>
      <c r="G15" s="11"/>
      <c r="H15" s="11"/>
      <c r="I15" s="11"/>
      <c r="J15" s="11"/>
      <c r="K15" s="11"/>
    </row>
    <row r="16" spans="1:11" ht="17.25">
      <c r="A16" s="42" t="str">
        <f>+'S&amp;D'!A22</f>
        <v>Enbridge Inc</v>
      </c>
      <c r="B16" s="33" t="str">
        <f>+'S&amp;D'!B22</f>
        <v>ENB.TO</v>
      </c>
      <c r="C16" s="33" t="str">
        <f>+'S&amp;D'!C22</f>
        <v>Oil &amp; Gas Distribution</v>
      </c>
      <c r="D16" s="396">
        <f>+'S&amp;D'!G22</f>
        <v>47.7</v>
      </c>
      <c r="E16" s="381">
        <v>2.4500000000000002</v>
      </c>
      <c r="F16" s="52">
        <f t="shared" ref="F16:F20" si="0">+E16/D16</f>
        <v>5.1362683438155136E-2</v>
      </c>
      <c r="G16" s="381">
        <v>2.9</v>
      </c>
      <c r="H16" s="52">
        <f t="shared" ref="H16:H20" si="1">+G16/D16</f>
        <v>6.0796645702306071E-2</v>
      </c>
      <c r="I16" s="381">
        <v>3.8</v>
      </c>
      <c r="J16" s="52">
        <f t="shared" ref="J16:J20" si="2">+I16/D16</f>
        <v>7.9664570230607953E-2</v>
      </c>
      <c r="K16" s="399">
        <f t="shared" ref="K16:K20" si="3">RATE(3,,-G16,I16)</f>
        <v>9.4280179274302059E-2</v>
      </c>
    </row>
    <row r="17" spans="1:11" ht="17.25">
      <c r="A17" s="42" t="str">
        <f>+'S&amp;D'!A23</f>
        <v>Energy Transfer LP</v>
      </c>
      <c r="B17" s="33" t="str">
        <f>+'S&amp;D'!B23</f>
        <v>ET</v>
      </c>
      <c r="C17" s="33" t="str">
        <f>+'S&amp;D'!C23</f>
        <v>Pipeline MLPs</v>
      </c>
      <c r="D17" s="396">
        <f>+'S&amp;D'!G23</f>
        <v>13.8</v>
      </c>
      <c r="E17" s="381">
        <v>1.2</v>
      </c>
      <c r="F17" s="52">
        <f t="shared" si="0"/>
        <v>8.6956521739130432E-2</v>
      </c>
      <c r="G17" s="381">
        <v>1.5</v>
      </c>
      <c r="H17" s="52">
        <f t="shared" si="1"/>
        <v>0.10869565217391304</v>
      </c>
      <c r="I17" s="381">
        <v>2.25</v>
      </c>
      <c r="J17" s="52">
        <f t="shared" si="2"/>
        <v>0.16304347826086957</v>
      </c>
      <c r="K17" s="399">
        <f t="shared" si="3"/>
        <v>0.14471424255333196</v>
      </c>
    </row>
    <row r="18" spans="1:11" ht="17.25">
      <c r="A18" s="42" t="str">
        <f>+'S&amp;D'!A24</f>
        <v>Enlink Midstream LLC</v>
      </c>
      <c r="B18" s="33" t="str">
        <f>+'S&amp;D'!B24</f>
        <v>ENLC</v>
      </c>
      <c r="C18" s="33" t="str">
        <f>+'S&amp;D'!C24</f>
        <v>Oil &amp; Gas Distribution</v>
      </c>
      <c r="D18" s="396">
        <f>+'S&amp;D'!G24</f>
        <v>12.16</v>
      </c>
      <c r="E18" s="381">
        <v>0.5</v>
      </c>
      <c r="F18" s="52">
        <f t="shared" si="0"/>
        <v>4.1118421052631582E-2</v>
      </c>
      <c r="G18" s="381">
        <v>0.6</v>
      </c>
      <c r="H18" s="52">
        <f t="shared" si="1"/>
        <v>4.9342105263157895E-2</v>
      </c>
      <c r="I18" s="381">
        <v>1.1499999999999999</v>
      </c>
      <c r="J18" s="52">
        <f t="shared" si="2"/>
        <v>9.4572368421052627E-2</v>
      </c>
      <c r="K18" s="399">
        <f t="shared" si="3"/>
        <v>0.24217331895139518</v>
      </c>
    </row>
    <row r="19" spans="1:11" ht="17.25">
      <c r="A19" s="42" t="str">
        <f>+'S&amp;D'!A25</f>
        <v>Enterprise Products Partnership LP</v>
      </c>
      <c r="B19" s="33" t="str">
        <f>+'S&amp;D'!B25</f>
        <v>EPD</v>
      </c>
      <c r="C19" s="33" t="str">
        <f>+'S&amp;D'!C25</f>
        <v>Pipeline MLPs</v>
      </c>
      <c r="D19" s="396">
        <f>+'S&amp;D'!G25</f>
        <v>26.35</v>
      </c>
      <c r="E19" s="381">
        <v>2.7</v>
      </c>
      <c r="F19" s="52">
        <f t="shared" si="0"/>
        <v>0.10246679316888045</v>
      </c>
      <c r="G19" s="381">
        <v>2.8</v>
      </c>
      <c r="H19" s="52">
        <f t="shared" si="1"/>
        <v>0.10626185958254268</v>
      </c>
      <c r="I19" s="381">
        <v>3.35</v>
      </c>
      <c r="J19" s="52">
        <f t="shared" si="2"/>
        <v>0.12713472485768501</v>
      </c>
      <c r="K19" s="399">
        <f t="shared" si="3"/>
        <v>6.1603296823896252E-2</v>
      </c>
    </row>
    <row r="20" spans="1:11" ht="17.25">
      <c r="A20" s="42" t="str">
        <f>+'S&amp;D'!A26</f>
        <v>Kinder Morgan Inc</v>
      </c>
      <c r="B20" s="33" t="str">
        <f>+'S&amp;D'!B26</f>
        <v>KMI</v>
      </c>
      <c r="C20" s="33" t="str">
        <f>+'S&amp;D'!C26</f>
        <v>Oil &amp; Gas Distribution</v>
      </c>
      <c r="D20" s="396">
        <f>+'S&amp;D'!G26</f>
        <v>17.64</v>
      </c>
      <c r="E20" s="381">
        <v>1.1499999999999999</v>
      </c>
      <c r="F20" s="52">
        <f t="shared" si="0"/>
        <v>6.5192743764172334E-2</v>
      </c>
      <c r="G20" s="381">
        <v>1.25</v>
      </c>
      <c r="H20" s="52">
        <f t="shared" si="1"/>
        <v>7.0861678004535147E-2</v>
      </c>
      <c r="I20" s="381">
        <v>1.75</v>
      </c>
      <c r="J20" s="52">
        <f t="shared" si="2"/>
        <v>9.9206349206349201E-2</v>
      </c>
      <c r="K20" s="399">
        <f t="shared" si="3"/>
        <v>0.11868894208140653</v>
      </c>
    </row>
    <row r="21" spans="1:11" ht="17.25">
      <c r="A21" s="42" t="str">
        <f>+'S&amp;D'!A27</f>
        <v>ONEOK Inc</v>
      </c>
      <c r="B21" s="33" t="str">
        <f>+'S&amp;D'!B27</f>
        <v>OKE</v>
      </c>
      <c r="C21" s="33" t="str">
        <f>+'S&amp;D'!C27</f>
        <v>Oil &amp; Gas Distribution</v>
      </c>
      <c r="D21" s="396">
        <f>+'S&amp;D'!G27</f>
        <v>70.22</v>
      </c>
      <c r="E21" s="381">
        <v>5.5</v>
      </c>
      <c r="F21" s="52">
        <f t="shared" ref="F21:F23" si="4">+E21/D21</f>
        <v>7.8325263457704353E-2</v>
      </c>
      <c r="G21" s="381">
        <v>6.1</v>
      </c>
      <c r="H21" s="52">
        <f>+G21/D21</f>
        <v>8.6869837653090282E-2</v>
      </c>
      <c r="I21" s="381">
        <v>8</v>
      </c>
      <c r="J21" s="52">
        <f t="shared" ref="J21:J23" si="5">+I21/D21</f>
        <v>0.11392765593847906</v>
      </c>
      <c r="K21" s="399">
        <f t="shared" ref="K21:K23" si="6">RATE(3,,-G21,I21)</f>
        <v>9.459480844036687E-2</v>
      </c>
    </row>
    <row r="22" spans="1:11" ht="17.25">
      <c r="A22" s="42" t="str">
        <f>+'S&amp;D'!A28</f>
        <v>TC Energy Corp</v>
      </c>
      <c r="B22" s="33" t="str">
        <f>+'S&amp;D'!B28</f>
        <v>TRP</v>
      </c>
      <c r="C22" s="33" t="str">
        <f>+'S&amp;D'!C28</f>
        <v>Oil &amp; Gas Distribution</v>
      </c>
      <c r="D22" s="396">
        <f>+'S&amp;D'!G28</f>
        <v>39.090000000000003</v>
      </c>
      <c r="E22" s="381">
        <v>3.6</v>
      </c>
      <c r="F22" s="52">
        <f t="shared" si="4"/>
        <v>9.2095165003837298E-2</v>
      </c>
      <c r="G22" s="381">
        <v>3.95</v>
      </c>
      <c r="H22" s="52">
        <f t="shared" ref="H22:H23" si="7">+G22/D22</f>
        <v>0.10104886160143259</v>
      </c>
      <c r="I22" s="381">
        <v>4.5999999999999996</v>
      </c>
      <c r="J22" s="52">
        <f t="shared" si="5"/>
        <v>0.11767715528268097</v>
      </c>
      <c r="K22" s="399">
        <f t="shared" si="6"/>
        <v>5.2091661819897675E-2</v>
      </c>
    </row>
    <row r="23" spans="1:11" ht="17.25">
      <c r="A23" s="42" t="str">
        <f>+'S&amp;D'!A29</f>
        <v>Williams Companys Inc</v>
      </c>
      <c r="B23" s="33" t="str">
        <f>+'S&amp;D'!B29</f>
        <v>WMB</v>
      </c>
      <c r="C23" s="33" t="str">
        <f>+'S&amp;D'!C29</f>
        <v>Oil &amp; Gas Distribution</v>
      </c>
      <c r="D23" s="396">
        <f>+'S&amp;D'!G29</f>
        <v>34.83</v>
      </c>
      <c r="E23" s="381">
        <v>2.25</v>
      </c>
      <c r="F23" s="52">
        <f t="shared" si="4"/>
        <v>6.4599483204134375E-2</v>
      </c>
      <c r="G23" s="381">
        <v>2.35</v>
      </c>
      <c r="H23" s="52">
        <f t="shared" si="7"/>
        <v>6.7470571346540345E-2</v>
      </c>
      <c r="I23" s="381">
        <v>2.75</v>
      </c>
      <c r="J23" s="52">
        <f t="shared" si="5"/>
        <v>7.8954923916164224E-2</v>
      </c>
      <c r="K23" s="399">
        <f t="shared" si="6"/>
        <v>5.3792113089372207E-2</v>
      </c>
    </row>
    <row r="24" spans="1:11" ht="17.25" thickBot="1">
      <c r="A24" s="11"/>
      <c r="B24" s="11"/>
      <c r="C24" s="42"/>
      <c r="D24" s="45"/>
      <c r="E24" s="45"/>
      <c r="F24" s="45"/>
      <c r="G24" s="45"/>
      <c r="H24" s="45"/>
      <c r="I24" s="45"/>
      <c r="J24" s="45"/>
      <c r="K24" s="45"/>
    </row>
    <row r="25" spans="1:11" ht="17.25" thickTop="1">
      <c r="A25" s="11"/>
      <c r="B25" s="11"/>
      <c r="D25" s="13" t="s">
        <v>46</v>
      </c>
      <c r="E25" s="15">
        <f>+MAX(E16:E23)</f>
        <v>5.5</v>
      </c>
      <c r="F25" s="321">
        <f t="shared" ref="F25:K25" si="8">+MAX(F16:F23)</f>
        <v>0.10246679316888045</v>
      </c>
      <c r="G25" s="15">
        <f t="shared" si="8"/>
        <v>6.1</v>
      </c>
      <c r="H25" s="321">
        <f t="shared" si="8"/>
        <v>0.10869565217391304</v>
      </c>
      <c r="I25" s="15">
        <f t="shared" si="8"/>
        <v>8</v>
      </c>
      <c r="J25" s="321">
        <f t="shared" si="8"/>
        <v>0.16304347826086957</v>
      </c>
      <c r="K25" s="321">
        <f t="shared" si="8"/>
        <v>0.24217331895139518</v>
      </c>
    </row>
    <row r="26" spans="1:11" ht="16.5">
      <c r="A26" s="11"/>
      <c r="B26" s="11"/>
      <c r="D26" s="347" t="s">
        <v>47</v>
      </c>
      <c r="E26" s="343">
        <f>+MIN(E16:E23)</f>
        <v>0.5</v>
      </c>
      <c r="F26" s="344">
        <f t="shared" ref="F26:K26" si="9">+MIN(F16:F23)</f>
        <v>4.1118421052631582E-2</v>
      </c>
      <c r="G26" s="343">
        <f t="shared" si="9"/>
        <v>0.6</v>
      </c>
      <c r="H26" s="344">
        <f t="shared" si="9"/>
        <v>4.9342105263157895E-2</v>
      </c>
      <c r="I26" s="343">
        <f t="shared" si="9"/>
        <v>1.1499999999999999</v>
      </c>
      <c r="J26" s="344">
        <f t="shared" si="9"/>
        <v>7.8954923916164224E-2</v>
      </c>
      <c r="K26" s="344">
        <f t="shared" si="9"/>
        <v>5.2091661819897675E-2</v>
      </c>
    </row>
    <row r="27" spans="1:11" ht="16.5">
      <c r="A27" s="11"/>
      <c r="B27" s="11"/>
      <c r="D27" s="13" t="s">
        <v>18</v>
      </c>
      <c r="E27" s="16">
        <f t="shared" ref="E27:K27" si="10">MEDIAN(E16:E23)</f>
        <v>2.35</v>
      </c>
      <c r="F27" s="53">
        <f t="shared" si="10"/>
        <v>7.1759003610938343E-2</v>
      </c>
      <c r="G27" s="16">
        <f t="shared" si="10"/>
        <v>2.5750000000000002</v>
      </c>
      <c r="H27" s="53">
        <f t="shared" si="10"/>
        <v>7.8865757828812721E-2</v>
      </c>
      <c r="I27" s="16">
        <f t="shared" si="10"/>
        <v>3.05</v>
      </c>
      <c r="J27" s="53">
        <f t="shared" si="10"/>
        <v>0.10656700257241414</v>
      </c>
      <c r="K27" s="53">
        <f t="shared" si="10"/>
        <v>9.4437493857334465E-2</v>
      </c>
    </row>
    <row r="28" spans="1:11" ht="16.5">
      <c r="A28" s="11"/>
      <c r="B28" s="11"/>
      <c r="D28" s="13" t="s">
        <v>428</v>
      </c>
      <c r="E28" s="20">
        <f t="shared" ref="E28:K28" si="11">AVERAGE(E16:E23)</f>
        <v>2.4187500000000002</v>
      </c>
      <c r="F28" s="55">
        <f t="shared" si="11"/>
        <v>7.2764634353580743E-2</v>
      </c>
      <c r="G28" s="20">
        <f t="shared" si="11"/>
        <v>2.6812500000000004</v>
      </c>
      <c r="H28" s="55">
        <f t="shared" si="11"/>
        <v>8.1418401415939756E-2</v>
      </c>
      <c r="I28" s="20">
        <f t="shared" si="11"/>
        <v>3.4562499999999998</v>
      </c>
      <c r="J28" s="55">
        <f t="shared" si="11"/>
        <v>0.10927265326423609</v>
      </c>
      <c r="K28" s="55">
        <f t="shared" si="11"/>
        <v>0.10774232037924608</v>
      </c>
    </row>
    <row r="29" spans="1:11" ht="16.5">
      <c r="A29" s="11"/>
      <c r="B29" s="11"/>
      <c r="C29" s="11"/>
      <c r="D29" s="11"/>
      <c r="E29" s="11"/>
      <c r="F29" s="11"/>
      <c r="G29" s="11"/>
      <c r="H29" s="11"/>
      <c r="I29" s="11"/>
      <c r="J29" s="11"/>
      <c r="K29" s="11"/>
    </row>
    <row r="30" spans="1:11" ht="26.25">
      <c r="A30" s="11"/>
      <c r="B30" s="11"/>
      <c r="C30" s="11"/>
      <c r="D30" s="11"/>
      <c r="E30" s="11"/>
      <c r="F30" s="48" t="s">
        <v>0</v>
      </c>
      <c r="G30" s="62" t="s">
        <v>0</v>
      </c>
      <c r="H30" s="11"/>
      <c r="I30" s="11"/>
      <c r="J30" s="11"/>
      <c r="K30" s="11"/>
    </row>
    <row r="31" spans="1:11" ht="18.75">
      <c r="A31" s="238" t="s">
        <v>279</v>
      </c>
    </row>
  </sheetData>
  <pageMargins left="0.25" right="0.25" top="0.75" bottom="0.75" header="0.3" footer="0.3"/>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CD99C54C01C8BC45B805DF7256220975" ma:contentTypeVersion="1" ma:contentTypeDescription="Upload an image." ma:contentTypeScope="" ma:versionID="f51725491132dd0a64f9fd5ab78ea23f">
  <xsd:schema xmlns:xsd="http://www.w3.org/2001/XMLSchema" xmlns:xs="http://www.w3.org/2001/XMLSchema" xmlns:p="http://schemas.microsoft.com/office/2006/metadata/properties" xmlns:ns1="http://schemas.microsoft.com/sharepoint/v3" xmlns:ns2="6E03B4ED-B723-45B9-840F-361B28E24C99" xmlns:ns3="http://schemas.microsoft.com/sharepoint/v3/fields" targetNamespace="http://schemas.microsoft.com/office/2006/metadata/properties" ma:root="true" ma:fieldsID="97c48875acb44c11a63d22310fa806dc" ns1:_="" ns2:_="" ns3:_="">
    <xsd:import namespace="http://schemas.microsoft.com/sharepoint/v3"/>
    <xsd:import namespace="6E03B4ED-B723-45B9-840F-361B28E24C99"/>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03B4ED-B723-45B9-840F-361B28E24C99"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6E03B4ED-B723-45B9-840F-361B28E24C99"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0C6AE1FC-AA0A-408D-AD2B-8740FE8BEFA8}"/>
</file>

<file path=customXml/itemProps2.xml><?xml version="1.0" encoding="utf-8"?>
<ds:datastoreItem xmlns:ds="http://schemas.openxmlformats.org/officeDocument/2006/customXml" ds:itemID="{9F29654D-CE45-42A2-A765-93B11CD04C99}"/>
</file>

<file path=customXml/itemProps3.xml><?xml version="1.0" encoding="utf-8"?>
<ds:datastoreItem xmlns:ds="http://schemas.openxmlformats.org/officeDocument/2006/customXml" ds:itemID="{FAFDB778-BE33-44DD-B032-F49621A8FA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Dividends </vt:lpstr>
      <vt:lpstr>Earnings</vt:lpstr>
      <vt:lpstr>Direct Debt</vt:lpstr>
      <vt:lpstr>Yield Debt</vt:lpstr>
      <vt:lpstr>Direct GCF</vt:lpstr>
      <vt:lpstr>Direct NOPAT</vt:lpstr>
      <vt:lpstr>Growth &amp; Inflation Rates</vt:lpstr>
      <vt:lpstr>Indicated Yield Equity Rate </vt:lpstr>
      <vt:lpstr>CAPM</vt:lpstr>
      <vt:lpstr>Single Stage Div Growth Model</vt:lpstr>
      <vt:lpstr>Two-Stage Div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 '!Print_Area</vt:lpstr>
      <vt:lpstr>'Maintenance CapEx'!Print_Area</vt:lpstr>
      <vt:lpstr>'Market to Book Ratios'!Print_Area</vt:lpstr>
      <vt:lpstr>Multiples!Print_Area</vt:lpstr>
      <vt:lpstr>'S&amp;D'!Print_Area</vt:lpstr>
      <vt:lpstr>'Single Stage Div Growth Model'!Print_Area</vt:lpstr>
      <vt:lpstr>'Two-Stage Div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Natural Gas Transmission Pipelines</dc:title>
  <dc:creator>%USERNAME%</dc:creator>
  <cp:keywords/>
  <dc:description/>
  <cp:lastModifiedBy>Carbin, Robert A (DOR)</cp:lastModifiedBy>
  <cp:lastPrinted>2023-05-30T17:10:49Z</cp:lastPrinted>
  <dcterms:created xsi:type="dcterms:W3CDTF">2016-02-12T19:29:24Z</dcterms:created>
  <dcterms:modified xsi:type="dcterms:W3CDTF">2024-08-02T15:09:52Z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0x0101009148F5A04DDD49CBA7127AADA5FB792B00AADE34325A8B49CDA8BB4DB53328F21400CD99C54C01C8BC45B805DF7256220975</vt:lpwstr>
  </property>
</Properties>
</file>