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K:\CAP Rate Studies\CAP RATE STUDY 2024\2024 CAP Rate Study - All Industries\(2) Ready for Review\"/>
    </mc:Choice>
  </mc:AlternateContent>
  <xr:revisionPtr revIDLastSave="0" documentId="13_ncr:1_{FF47D49C-DB34-4D15-83BC-9135A76FB05D}" xr6:coauthVersionLast="47" xr6:coauthVersionMax="47" xr10:uidLastSave="{00000000-0000-0000-0000-000000000000}"/>
  <bookViews>
    <workbookView xWindow="-21720" yWindow="-1530" windowWidth="21840" windowHeight="13140" firstSheet="2" activeTab="3" xr2:uid="{00000000-000D-0000-FFFF-FFFF00000000}"/>
  </bookViews>
  <sheets>
    <sheet name="Cover Sheet" sheetId="6" r:id="rId1"/>
    <sheet name="Yield CapRate" sheetId="7" r:id="rId2"/>
    <sheet name="Direct CapRates" sheetId="10" r:id="rId3"/>
    <sheet name="S&amp;D" sheetId="3" r:id="rId4"/>
    <sheet name="Market to Book Ratios" sheetId="29" r:id="rId5"/>
    <sheet name="Maintenance CapEx" sheetId="11" r:id="rId6"/>
    <sheet name="Beta for CAPM" sheetId="14" r:id="rId7"/>
    <sheet name="Dividends " sheetId="17" r:id="rId8"/>
    <sheet name="Earnings" sheetId="27" r:id="rId9"/>
    <sheet name="Direct Debt" sheetId="13" r:id="rId10"/>
    <sheet name="Yield Debt" sheetId="8" r:id="rId11"/>
    <sheet name="Direct GCF" sheetId="5" r:id="rId12"/>
    <sheet name="Direct NOPAT" sheetId="12" r:id="rId13"/>
    <sheet name="Growth &amp; Inflation Rates" sheetId="24" r:id="rId14"/>
    <sheet name="Indicated Yield Equity Rate " sheetId="33" r:id="rId15"/>
    <sheet name="CAPM" sheetId="34" r:id="rId16"/>
    <sheet name="Single Stage Div Growth Model" sheetId="19" r:id="rId17"/>
    <sheet name="Two-Stage Div Growth Model" sheetId="20" r:id="rId18"/>
    <sheet name="Multiples" sheetId="25" r:id="rId19"/>
    <sheet name="Info" sheetId="9" r:id="rId20"/>
  </sheets>
  <definedNames>
    <definedName name="_xlnm.Print_Area" localSheetId="6">'Beta for CAPM'!$A$1:$I$34</definedName>
    <definedName name="_xlnm.Print_Area" localSheetId="15">CAPM!$A$1:$H$84</definedName>
    <definedName name="_xlnm.Print_Area" localSheetId="0">'Cover Sheet'!$A$1:$I$37</definedName>
    <definedName name="_xlnm.Print_Area" localSheetId="2">'Direct CapRates'!$A$1:$H$66</definedName>
    <definedName name="_xlnm.Print_Area" localSheetId="9">'Direct Debt'!$A$1:$K$32</definedName>
    <definedName name="_xlnm.Print_Area" localSheetId="11">'Direct GCF'!$A$1:$N$37</definedName>
    <definedName name="_xlnm.Print_Area" localSheetId="12">'Direct NOPAT'!$A$1:$N$56</definedName>
    <definedName name="_xlnm.Print_Area" localSheetId="7">'Dividends '!$A$1:$K$29</definedName>
    <definedName name="_xlnm.Print_Area" localSheetId="8">Earnings!$A$1:$K$29</definedName>
    <definedName name="_xlnm.Print_Area" localSheetId="13">'Growth &amp; Inflation Rates'!$A$1:$H$117</definedName>
    <definedName name="_xlnm.Print_Area" localSheetId="14">'Indicated Yield Equity Rate '!$A$1:$F$54</definedName>
    <definedName name="_xlnm.Print_Area" localSheetId="5">'Maintenance CapEx'!$A$1:$L$74</definedName>
    <definedName name="_xlnm.Print_Area" localSheetId="4">'Market to Book Ratios'!$A$1:$G$56</definedName>
    <definedName name="_xlnm.Print_Area" localSheetId="18">Multiples!$A$1:$J$39</definedName>
    <definedName name="_xlnm.Print_Area" localSheetId="3">'S&amp;D'!$A$1:$L$72</definedName>
    <definedName name="_xlnm.Print_Area" localSheetId="16">'Single Stage Div Growth Model'!$A$1:$K$45</definedName>
    <definedName name="_xlnm.Print_Area" localSheetId="17">'Two-Stage Div Growth Model'!$A$1:$I$43</definedName>
    <definedName name="_xlnm.Print_Area" localSheetId="1">'Yield CapRate'!$A$1:$H$35</definedName>
    <definedName name="_xlnm.Print_Area" localSheetId="10">'Yield Debt'!$A$1:$M$58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39" i="3" l="1"/>
  <c r="H39" i="3"/>
  <c r="E21" i="11"/>
  <c r="M40" i="3"/>
  <c r="I36" i="3"/>
  <c r="I37" i="3"/>
  <c r="K37" i="3" s="1"/>
  <c r="F37" i="3"/>
  <c r="I38" i="3"/>
  <c r="K38" i="3" s="1"/>
  <c r="I39" i="3"/>
  <c r="I40" i="3"/>
  <c r="K40" i="3" s="1"/>
  <c r="J26" i="3"/>
  <c r="K36" i="3" l="1"/>
  <c r="F40" i="3"/>
  <c r="J22" i="8"/>
  <c r="J21" i="8"/>
  <c r="I22" i="8"/>
  <c r="I21" i="8"/>
  <c r="G22" i="8"/>
  <c r="G21" i="8"/>
  <c r="H25" i="25"/>
  <c r="H24" i="25"/>
  <c r="E25" i="25"/>
  <c r="E24" i="25"/>
  <c r="H23" i="25"/>
  <c r="E23" i="25"/>
  <c r="H22" i="25"/>
  <c r="E22" i="25"/>
  <c r="H23" i="19"/>
  <c r="G23" i="19"/>
  <c r="H22" i="19"/>
  <c r="G22" i="19"/>
  <c r="D79" i="24"/>
  <c r="E88" i="24"/>
  <c r="E87" i="24"/>
  <c r="E51" i="12"/>
  <c r="E50" i="12"/>
  <c r="K23" i="12"/>
  <c r="K22" i="12"/>
  <c r="E23" i="12"/>
  <c r="E22" i="12"/>
  <c r="J24" i="5"/>
  <c r="J23" i="5"/>
  <c r="D24" i="5"/>
  <c r="D23" i="5"/>
  <c r="K23" i="27"/>
  <c r="I23" i="27"/>
  <c r="G23" i="27"/>
  <c r="K22" i="27"/>
  <c r="I22" i="27"/>
  <c r="G22" i="27"/>
  <c r="E23" i="27"/>
  <c r="E22" i="27"/>
  <c r="K23" i="17"/>
  <c r="I23" i="17"/>
  <c r="G23" i="17"/>
  <c r="K22" i="17"/>
  <c r="I22" i="17"/>
  <c r="G22" i="17"/>
  <c r="E23" i="17"/>
  <c r="E22" i="17"/>
  <c r="I24" i="14" l="1"/>
  <c r="I23" i="14"/>
  <c r="H24" i="14"/>
  <c r="H23" i="14"/>
  <c r="H40" i="3" l="1"/>
  <c r="J22" i="3"/>
  <c r="H36" i="3" s="1"/>
  <c r="C20" i="13" l="1"/>
  <c r="C19" i="13"/>
  <c r="G21" i="11"/>
  <c r="G20" i="11"/>
  <c r="E20" i="11"/>
  <c r="D21" i="11"/>
  <c r="D20" i="11"/>
  <c r="E23" i="29"/>
  <c r="E22" i="29"/>
  <c r="F36" i="3"/>
  <c r="J23" i="3"/>
  <c r="H37" i="3" s="1"/>
  <c r="E24" i="29"/>
  <c r="H26" i="3" l="1"/>
  <c r="J25" i="3"/>
  <c r="J24" i="3"/>
  <c r="H38" i="3" s="1"/>
  <c r="A6" i="17" l="1"/>
  <c r="F93" i="24"/>
  <c r="E90" i="24"/>
  <c r="E89" i="24"/>
  <c r="D86" i="24"/>
  <c r="F86" i="24" s="1"/>
  <c r="D85" i="24"/>
  <c r="F85" i="24" s="1"/>
  <c r="D84" i="24"/>
  <c r="F84" i="24" s="1"/>
  <c r="D83" i="24"/>
  <c r="F83" i="24" s="1"/>
  <c r="D82" i="24"/>
  <c r="F82" i="24" s="1"/>
  <c r="D81" i="24"/>
  <c r="F81" i="24" s="1"/>
  <c r="D80" i="24"/>
  <c r="A48" i="34"/>
  <c r="A47" i="34"/>
  <c r="A46" i="34"/>
  <c r="A45" i="34"/>
  <c r="E46" i="34"/>
  <c r="B58" i="34"/>
  <c r="E58" i="34" s="1"/>
  <c r="B48" i="34"/>
  <c r="E48" i="34" s="1"/>
  <c r="B47" i="34"/>
  <c r="E47" i="34" s="1"/>
  <c r="A6" i="25"/>
  <c r="A6" i="20"/>
  <c r="A6" i="19"/>
  <c r="A6" i="34"/>
  <c r="A6" i="33"/>
  <c r="A7" i="24"/>
  <c r="A6" i="12"/>
  <c r="A6" i="5"/>
  <c r="A6" i="8"/>
  <c r="A6" i="13"/>
  <c r="A6" i="27"/>
  <c r="A8" i="14"/>
  <c r="A8" i="11"/>
  <c r="A16" i="6"/>
  <c r="D16" i="7"/>
  <c r="D15" i="10"/>
  <c r="A9" i="29"/>
  <c r="F61" i="34"/>
  <c r="B61" i="34"/>
  <c r="B42" i="34"/>
  <c r="E42" i="34" s="1"/>
  <c r="B43" i="34"/>
  <c r="E43" i="34" s="1"/>
  <c r="I27" i="14"/>
  <c r="H27" i="14"/>
  <c r="D23" i="7"/>
  <c r="D44" i="33"/>
  <c r="D43" i="33"/>
  <c r="D42" i="33"/>
  <c r="D41" i="33"/>
  <c r="C16" i="34"/>
  <c r="C31" i="34" s="1"/>
  <c r="C57" i="34" s="1"/>
  <c r="B55" i="34"/>
  <c r="E55" i="34" s="1"/>
  <c r="B54" i="34"/>
  <c r="E54" i="34" s="1"/>
  <c r="B52" i="34"/>
  <c r="E52" i="34" s="1"/>
  <c r="B50" i="34"/>
  <c r="E50" i="34" s="1"/>
  <c r="B45" i="34"/>
  <c r="E45" i="34" s="1"/>
  <c r="B59" i="34"/>
  <c r="E59" i="34" s="1"/>
  <c r="B57" i="34"/>
  <c r="F21" i="20" l="1"/>
  <c r="E16" i="34"/>
  <c r="F80" i="24"/>
  <c r="D90" i="24"/>
  <c r="F90" i="24" s="1"/>
  <c r="D88" i="24"/>
  <c r="D89" i="24"/>
  <c r="F89" i="24" s="1"/>
  <c r="D87" i="24"/>
  <c r="C20" i="34"/>
  <c r="D20" i="34" s="1"/>
  <c r="F79" i="24"/>
  <c r="C22" i="34"/>
  <c r="C32" i="34"/>
  <c r="C21" i="34"/>
  <c r="D21" i="34" s="1"/>
  <c r="E61" i="34"/>
  <c r="C35" i="34"/>
  <c r="D35" i="34" s="1"/>
  <c r="F35" i="34" s="1"/>
  <c r="C26" i="34"/>
  <c r="D26" i="34" s="1"/>
  <c r="C33" i="34"/>
  <c r="C61" i="34" s="1"/>
  <c r="D61" i="34" s="1"/>
  <c r="C17" i="34"/>
  <c r="C29" i="34"/>
  <c r="C59" i="34" s="1"/>
  <c r="D59" i="34" s="1"/>
  <c r="C42" i="34"/>
  <c r="D42" i="34" s="1"/>
  <c r="C28" i="34"/>
  <c r="C19" i="34"/>
  <c r="C46" i="34" s="1"/>
  <c r="D46" i="34" s="1"/>
  <c r="D16" i="34"/>
  <c r="F16" i="34" s="1"/>
  <c r="D15" i="33" s="1"/>
  <c r="C24" i="34"/>
  <c r="D57" i="34"/>
  <c r="E57" i="34"/>
  <c r="D31" i="34"/>
  <c r="G42" i="34" l="1"/>
  <c r="D28" i="33" s="1"/>
  <c r="E33" i="34"/>
  <c r="F59" i="34" s="1"/>
  <c r="G59" i="34" s="1"/>
  <c r="D40" i="33" s="1"/>
  <c r="E21" i="34"/>
  <c r="F47" i="34" s="1"/>
  <c r="E26" i="34"/>
  <c r="F52" i="34" s="1"/>
  <c r="E24" i="34"/>
  <c r="F50" i="34" s="1"/>
  <c r="E32" i="34"/>
  <c r="F58" i="34" s="1"/>
  <c r="E20" i="34"/>
  <c r="F20" i="34" s="1"/>
  <c r="D18" i="33" s="1"/>
  <c r="E31" i="34"/>
  <c r="F57" i="34" s="1"/>
  <c r="E19" i="34"/>
  <c r="E29" i="34"/>
  <c r="F55" i="34" s="1"/>
  <c r="E17" i="34"/>
  <c r="F43" i="34" s="1"/>
  <c r="E28" i="34"/>
  <c r="F54" i="34" s="1"/>
  <c r="E22" i="34"/>
  <c r="F48" i="34" s="1"/>
  <c r="F42" i="34"/>
  <c r="F24" i="20"/>
  <c r="F22" i="20"/>
  <c r="F25" i="20"/>
  <c r="F23" i="20"/>
  <c r="F88" i="24"/>
  <c r="F87" i="24"/>
  <c r="G61" i="34"/>
  <c r="D32" i="34"/>
  <c r="F32" i="34" s="1"/>
  <c r="D26" i="33" s="1"/>
  <c r="C58" i="34"/>
  <c r="D58" i="34" s="1"/>
  <c r="G58" i="34" s="1"/>
  <c r="D39" i="33" s="1"/>
  <c r="C47" i="34"/>
  <c r="D47" i="34" s="1"/>
  <c r="C48" i="34"/>
  <c r="D48" i="34" s="1"/>
  <c r="G48" i="34" s="1"/>
  <c r="D33" i="33" s="1"/>
  <c r="D22" i="34"/>
  <c r="F22" i="34" s="1"/>
  <c r="D20" i="33" s="1"/>
  <c r="C52" i="34"/>
  <c r="D52" i="34" s="1"/>
  <c r="D33" i="34"/>
  <c r="D19" i="34"/>
  <c r="C45" i="34"/>
  <c r="D45" i="34" s="1"/>
  <c r="D29" i="34"/>
  <c r="C55" i="34"/>
  <c r="D55" i="34" s="1"/>
  <c r="G55" i="34" s="1"/>
  <c r="D37" i="33" s="1"/>
  <c r="D24" i="34"/>
  <c r="F24" i="34" s="1"/>
  <c r="D21" i="33" s="1"/>
  <c r="C50" i="34"/>
  <c r="D50" i="34" s="1"/>
  <c r="G50" i="34" s="1"/>
  <c r="D34" i="33" s="1"/>
  <c r="C54" i="34"/>
  <c r="D54" i="34" s="1"/>
  <c r="D28" i="34"/>
  <c r="C43" i="34"/>
  <c r="D43" i="34" s="1"/>
  <c r="D17" i="34"/>
  <c r="G57" i="34"/>
  <c r="D38" i="33" s="1"/>
  <c r="F45" i="34" l="1"/>
  <c r="F46" i="34"/>
  <c r="G46" i="34" s="1"/>
  <c r="D31" i="33" s="1"/>
  <c r="F31" i="34"/>
  <c r="D25" i="33" s="1"/>
  <c r="F29" i="34"/>
  <c r="D24" i="33" s="1"/>
  <c r="F17" i="34"/>
  <c r="D16" i="33" s="1"/>
  <c r="D47" i="33" s="1"/>
  <c r="G45" i="34"/>
  <c r="D30" i="33" s="1"/>
  <c r="G43" i="34"/>
  <c r="D29" i="33" s="1"/>
  <c r="F19" i="34"/>
  <c r="D17" i="33" s="1"/>
  <c r="F21" i="34"/>
  <c r="D19" i="33" s="1"/>
  <c r="F26" i="34"/>
  <c r="D22" i="33" s="1"/>
  <c r="G47" i="34"/>
  <c r="D32" i="33" s="1"/>
  <c r="F33" i="34"/>
  <c r="D27" i="33" s="1"/>
  <c r="F28" i="34"/>
  <c r="D23" i="33" s="1"/>
  <c r="G54" i="34"/>
  <c r="D36" i="33" s="1"/>
  <c r="G52" i="34"/>
  <c r="D35" i="33" s="1"/>
  <c r="D46" i="33" s="1"/>
  <c r="D48" i="33" l="1"/>
  <c r="D50" i="33"/>
  <c r="D49" i="33"/>
  <c r="C24" i="11" l="1"/>
  <c r="C23" i="11"/>
  <c r="C22" i="11"/>
  <c r="C21" i="11"/>
  <c r="C20" i="11"/>
  <c r="G24" i="24"/>
  <c r="F26" i="3" l="1"/>
  <c r="F25" i="3"/>
  <c r="F24" i="3"/>
  <c r="F23" i="3"/>
  <c r="F22" i="3"/>
  <c r="E21" i="20"/>
  <c r="A44" i="12" l="1"/>
  <c r="C44" i="12"/>
  <c r="D44" i="12"/>
  <c r="A45" i="12"/>
  <c r="C45" i="12"/>
  <c r="D45" i="12"/>
  <c r="A46" i="12"/>
  <c r="C46" i="12"/>
  <c r="D46" i="12"/>
  <c r="A47" i="12"/>
  <c r="C47" i="12"/>
  <c r="D47" i="12"/>
  <c r="A48" i="12"/>
  <c r="C48" i="12"/>
  <c r="D48" i="12"/>
  <c r="E52" i="12" l="1"/>
  <c r="F48" i="12"/>
  <c r="G48" i="12" s="1"/>
  <c r="F47" i="12"/>
  <c r="G47" i="12" s="1"/>
  <c r="F46" i="12"/>
  <c r="G46" i="12" s="1"/>
  <c r="F45" i="12"/>
  <c r="G45" i="12" s="1"/>
  <c r="F44" i="12"/>
  <c r="E53" i="12"/>
  <c r="F50" i="12" l="1"/>
  <c r="F51" i="12"/>
  <c r="F53" i="12"/>
  <c r="F52" i="12"/>
  <c r="G44" i="12"/>
  <c r="G52" i="12" l="1"/>
  <c r="G50" i="12"/>
  <c r="G51" i="12"/>
  <c r="G53" i="12"/>
  <c r="D40" i="3" l="1"/>
  <c r="D20" i="25"/>
  <c r="C20" i="25"/>
  <c r="B20" i="25"/>
  <c r="D19" i="25"/>
  <c r="C19" i="25"/>
  <c r="B19" i="25"/>
  <c r="D18" i="25"/>
  <c r="C18" i="25"/>
  <c r="B18" i="25"/>
  <c r="D17" i="25"/>
  <c r="C17" i="25"/>
  <c r="B17" i="25"/>
  <c r="E25" i="20"/>
  <c r="C25" i="20"/>
  <c r="B25" i="20"/>
  <c r="A25" i="20"/>
  <c r="E24" i="20"/>
  <c r="C24" i="20"/>
  <c r="B24" i="20"/>
  <c r="A24" i="20"/>
  <c r="E23" i="20"/>
  <c r="C23" i="20"/>
  <c r="B23" i="20"/>
  <c r="A23" i="20"/>
  <c r="E22" i="20"/>
  <c r="C22" i="20"/>
  <c r="B22" i="20"/>
  <c r="A22" i="20"/>
  <c r="D21" i="19"/>
  <c r="C21" i="19"/>
  <c r="B21" i="19"/>
  <c r="A21" i="19"/>
  <c r="D20" i="19"/>
  <c r="C20" i="19"/>
  <c r="B20" i="19"/>
  <c r="A20" i="19"/>
  <c r="D19" i="19"/>
  <c r="C19" i="19"/>
  <c r="B19" i="19"/>
  <c r="A19" i="19"/>
  <c r="D18" i="19"/>
  <c r="C18" i="19"/>
  <c r="B18" i="19"/>
  <c r="A18" i="19"/>
  <c r="D20" i="12"/>
  <c r="J20" i="12" s="1"/>
  <c r="L20" i="12" s="1"/>
  <c r="M20" i="12" s="1"/>
  <c r="C20" i="12"/>
  <c r="I20" i="12" s="1"/>
  <c r="A20" i="12"/>
  <c r="D19" i="12"/>
  <c r="J19" i="12" s="1"/>
  <c r="L19" i="12" s="1"/>
  <c r="M19" i="12" s="1"/>
  <c r="C19" i="12"/>
  <c r="I19" i="12" s="1"/>
  <c r="A19" i="12"/>
  <c r="D18" i="12"/>
  <c r="F18" i="12" s="1"/>
  <c r="G18" i="12" s="1"/>
  <c r="C18" i="12"/>
  <c r="I18" i="12" s="1"/>
  <c r="A18" i="12"/>
  <c r="D17" i="12"/>
  <c r="J17" i="12" s="1"/>
  <c r="L17" i="12" s="1"/>
  <c r="M17" i="12" s="1"/>
  <c r="C17" i="12"/>
  <c r="I17" i="12" s="1"/>
  <c r="A17" i="12"/>
  <c r="C21" i="5"/>
  <c r="E21" i="5" s="1"/>
  <c r="F21" i="5" s="1"/>
  <c r="B21" i="5"/>
  <c r="H21" i="5" s="1"/>
  <c r="A21" i="5"/>
  <c r="C20" i="5"/>
  <c r="I20" i="5" s="1"/>
  <c r="L20" i="5" s="1"/>
  <c r="M20" i="5" s="1"/>
  <c r="B20" i="5"/>
  <c r="H20" i="5" s="1"/>
  <c r="A20" i="5"/>
  <c r="C19" i="5"/>
  <c r="I19" i="5" s="1"/>
  <c r="L19" i="5" s="1"/>
  <c r="M19" i="5" s="1"/>
  <c r="B19" i="5"/>
  <c r="H19" i="5" s="1"/>
  <c r="A19" i="5"/>
  <c r="C18" i="5"/>
  <c r="E18" i="5" s="1"/>
  <c r="F18" i="5" s="1"/>
  <c r="B18" i="5"/>
  <c r="H18" i="5" s="1"/>
  <c r="A18" i="5"/>
  <c r="E19" i="8"/>
  <c r="D19" i="8"/>
  <c r="C19" i="8"/>
  <c r="B19" i="8"/>
  <c r="A19" i="8"/>
  <c r="E18" i="8"/>
  <c r="D18" i="8"/>
  <c r="C18" i="8"/>
  <c r="B18" i="8"/>
  <c r="A18" i="8"/>
  <c r="E17" i="8"/>
  <c r="D17" i="8"/>
  <c r="C17" i="8"/>
  <c r="B17" i="8"/>
  <c r="A17" i="8"/>
  <c r="E16" i="8"/>
  <c r="D16" i="8"/>
  <c r="C16" i="8"/>
  <c r="B16" i="8"/>
  <c r="A16" i="8"/>
  <c r="B23" i="13"/>
  <c r="A23" i="13"/>
  <c r="B22" i="13"/>
  <c r="A22" i="13"/>
  <c r="B21" i="13"/>
  <c r="A21" i="13"/>
  <c r="B20" i="13"/>
  <c r="A20" i="13"/>
  <c r="K20" i="27"/>
  <c r="D20" i="27"/>
  <c r="J20" i="27" s="1"/>
  <c r="C20" i="27"/>
  <c r="B20" i="27"/>
  <c r="A20" i="27"/>
  <c r="K19" i="27"/>
  <c r="D19" i="27"/>
  <c r="J19" i="27" s="1"/>
  <c r="C19" i="27"/>
  <c r="B19" i="27"/>
  <c r="A19" i="27"/>
  <c r="K18" i="27"/>
  <c r="D18" i="27"/>
  <c r="J18" i="27" s="1"/>
  <c r="C18" i="27"/>
  <c r="B18" i="27"/>
  <c r="A18" i="27"/>
  <c r="K17" i="27"/>
  <c r="D17" i="27"/>
  <c r="J17" i="27" s="1"/>
  <c r="C17" i="27"/>
  <c r="B17" i="27"/>
  <c r="A17" i="27"/>
  <c r="K20" i="17"/>
  <c r="D20" i="17"/>
  <c r="J20" i="17" s="1"/>
  <c r="C20" i="17"/>
  <c r="B20" i="17"/>
  <c r="A20" i="17"/>
  <c r="K19" i="17"/>
  <c r="D19" i="17"/>
  <c r="J19" i="17" s="1"/>
  <c r="C19" i="17"/>
  <c r="B19" i="17"/>
  <c r="A19" i="17"/>
  <c r="K18" i="17"/>
  <c r="D18" i="17"/>
  <c r="J18" i="17" s="1"/>
  <c r="C18" i="17"/>
  <c r="B18" i="17"/>
  <c r="A18" i="17"/>
  <c r="K17" i="17"/>
  <c r="D17" i="17"/>
  <c r="J17" i="17" s="1"/>
  <c r="C17" i="17"/>
  <c r="B17" i="17"/>
  <c r="A17" i="17"/>
  <c r="C22" i="14"/>
  <c r="B22" i="14"/>
  <c r="A22" i="14"/>
  <c r="C21" i="14"/>
  <c r="B21" i="14"/>
  <c r="A21" i="14"/>
  <c r="C20" i="14"/>
  <c r="B20" i="14"/>
  <c r="A20" i="14"/>
  <c r="C19" i="14"/>
  <c r="B19" i="14"/>
  <c r="A19" i="14"/>
  <c r="F24" i="11"/>
  <c r="H24" i="11" s="1"/>
  <c r="B24" i="11"/>
  <c r="A24" i="11"/>
  <c r="F23" i="11"/>
  <c r="H23" i="11" s="1"/>
  <c r="J23" i="11" s="1"/>
  <c r="B23" i="11"/>
  <c r="A23" i="11"/>
  <c r="F22" i="11"/>
  <c r="H22" i="11" s="1"/>
  <c r="B22" i="11"/>
  <c r="A22" i="11"/>
  <c r="F21" i="11"/>
  <c r="H21" i="11" s="1"/>
  <c r="B21" i="11"/>
  <c r="A21" i="11"/>
  <c r="C26" i="29"/>
  <c r="C42" i="29" s="1"/>
  <c r="B26" i="29"/>
  <c r="B42" i="29" s="1"/>
  <c r="A26" i="29"/>
  <c r="A42" i="29" s="1"/>
  <c r="C25" i="29"/>
  <c r="C41" i="29" s="1"/>
  <c r="B25" i="29"/>
  <c r="B41" i="29" s="1"/>
  <c r="A25" i="29"/>
  <c r="A41" i="29" s="1"/>
  <c r="C24" i="29"/>
  <c r="C40" i="29" s="1"/>
  <c r="B24" i="29"/>
  <c r="B40" i="29" s="1"/>
  <c r="A24" i="29"/>
  <c r="A40" i="29" s="1"/>
  <c r="C23" i="29"/>
  <c r="C39" i="29" s="1"/>
  <c r="B23" i="29"/>
  <c r="B39" i="29" s="1"/>
  <c r="A23" i="29"/>
  <c r="A39" i="29" s="1"/>
  <c r="E40" i="3"/>
  <c r="E39" i="3"/>
  <c r="D39" i="3"/>
  <c r="E20" i="19" s="1"/>
  <c r="E38" i="3"/>
  <c r="D38" i="3"/>
  <c r="E19" i="19" s="1"/>
  <c r="E37" i="3"/>
  <c r="D37" i="3"/>
  <c r="G23" i="13"/>
  <c r="E41" i="29"/>
  <c r="E40" i="29"/>
  <c r="C40" i="3"/>
  <c r="B40" i="3"/>
  <c r="A40" i="3"/>
  <c r="C39" i="3"/>
  <c r="B39" i="3"/>
  <c r="A39" i="3"/>
  <c r="C38" i="3"/>
  <c r="B38" i="3"/>
  <c r="A38" i="3"/>
  <c r="C37" i="3"/>
  <c r="B37" i="3"/>
  <c r="A37" i="3"/>
  <c r="F18" i="25" l="1"/>
  <c r="G18" i="25" s="1"/>
  <c r="I18" i="25"/>
  <c r="J18" i="25" s="1"/>
  <c r="F17" i="25"/>
  <c r="G17" i="25" s="1"/>
  <c r="I17" i="25"/>
  <c r="J17" i="25" s="1"/>
  <c r="F20" i="25"/>
  <c r="G20" i="25" s="1"/>
  <c r="I20" i="25"/>
  <c r="J20" i="25" s="1"/>
  <c r="F19" i="25"/>
  <c r="G19" i="25" s="1"/>
  <c r="I19" i="25"/>
  <c r="J19" i="25" s="1"/>
  <c r="J24" i="11"/>
  <c r="I23" i="11"/>
  <c r="K23" i="11" s="1"/>
  <c r="L23" i="11" s="1"/>
  <c r="I21" i="11"/>
  <c r="F19" i="17"/>
  <c r="E42" i="29"/>
  <c r="G21" i="13"/>
  <c r="F20" i="13"/>
  <c r="H20" i="13" s="1"/>
  <c r="I20" i="13" s="1"/>
  <c r="D39" i="29"/>
  <c r="F20" i="27"/>
  <c r="F18" i="17"/>
  <c r="F20" i="17"/>
  <c r="F18" i="27"/>
  <c r="G20" i="13"/>
  <c r="J39" i="3"/>
  <c r="E39" i="29"/>
  <c r="G22" i="13"/>
  <c r="J40" i="3"/>
  <c r="F19" i="12"/>
  <c r="G19" i="12" s="1"/>
  <c r="E19" i="5"/>
  <c r="F19" i="5" s="1"/>
  <c r="F17" i="27"/>
  <c r="F19" i="27"/>
  <c r="E20" i="5"/>
  <c r="F20" i="5" s="1"/>
  <c r="F17" i="17"/>
  <c r="F17" i="12"/>
  <c r="G17" i="12" s="1"/>
  <c r="E21" i="19"/>
  <c r="D26" i="29"/>
  <c r="F26" i="29" s="1"/>
  <c r="D23" i="29"/>
  <c r="F23" i="29" s="1"/>
  <c r="D24" i="29"/>
  <c r="F24" i="29" s="1"/>
  <c r="D25" i="29"/>
  <c r="F25" i="29" s="1"/>
  <c r="E18" i="19"/>
  <c r="F20" i="12"/>
  <c r="G20" i="12" s="1"/>
  <c r="J18" i="12"/>
  <c r="L18" i="12" s="1"/>
  <c r="M18" i="12" s="1"/>
  <c r="I21" i="5"/>
  <c r="L21" i="5" s="1"/>
  <c r="M21" i="5" s="1"/>
  <c r="I18" i="5"/>
  <c r="L18" i="5" s="1"/>
  <c r="M18" i="5" s="1"/>
  <c r="H17" i="27"/>
  <c r="H18" i="27"/>
  <c r="H19" i="27"/>
  <c r="H20" i="27"/>
  <c r="H17" i="17"/>
  <c r="H18" i="17"/>
  <c r="H19" i="17"/>
  <c r="H20" i="17"/>
  <c r="J21" i="11"/>
  <c r="I22" i="11"/>
  <c r="I24" i="11"/>
  <c r="J22" i="11"/>
  <c r="J37" i="3"/>
  <c r="D23" i="20" l="1"/>
  <c r="F19" i="19"/>
  <c r="J19" i="19" s="1"/>
  <c r="F18" i="19"/>
  <c r="D22" i="20"/>
  <c r="F21" i="19"/>
  <c r="J21" i="19" s="1"/>
  <c r="D25" i="20"/>
  <c r="D24" i="20"/>
  <c r="F20" i="19"/>
  <c r="J20" i="19" s="1"/>
  <c r="K24" i="11"/>
  <c r="L24" i="11" s="1"/>
  <c r="K21" i="11"/>
  <c r="L21" i="11" s="1"/>
  <c r="K22" i="11"/>
  <c r="L22" i="11" s="1"/>
  <c r="D41" i="29"/>
  <c r="F41" i="29" s="1"/>
  <c r="F22" i="13"/>
  <c r="F21" i="13"/>
  <c r="D40" i="29"/>
  <c r="F40" i="29" s="1"/>
  <c r="J20" i="13"/>
  <c r="D42" i="29"/>
  <c r="F42" i="29" s="1"/>
  <c r="F23" i="13"/>
  <c r="F39" i="29"/>
  <c r="I21" i="19" l="1"/>
  <c r="I19" i="19"/>
  <c r="I20" i="19"/>
  <c r="J21" i="13"/>
  <c r="H21" i="13"/>
  <c r="I21" i="13" s="1"/>
  <c r="J38" i="3"/>
  <c r="J22" i="13"/>
  <c r="H22" i="13"/>
  <c r="I22" i="13" s="1"/>
  <c r="H23" i="13"/>
  <c r="I23" i="13" s="1"/>
  <c r="J23" i="13"/>
  <c r="J18" i="19"/>
  <c r="I18" i="19"/>
  <c r="G25" i="8"/>
  <c r="G24" i="8"/>
  <c r="G23" i="8"/>
  <c r="G19" i="13" l="1"/>
  <c r="F19" i="13" l="1"/>
  <c r="A20" i="11"/>
  <c r="C21" i="20" l="1"/>
  <c r="B21" i="20"/>
  <c r="A21" i="20"/>
  <c r="C17" i="19"/>
  <c r="B17" i="19"/>
  <c r="A17" i="19"/>
  <c r="C16" i="12"/>
  <c r="I16" i="12" s="1"/>
  <c r="A16" i="12"/>
  <c r="B17" i="5"/>
  <c r="H17" i="5" s="1"/>
  <c r="A17" i="5"/>
  <c r="D15" i="8"/>
  <c r="C16" i="25" l="1"/>
  <c r="B16" i="25"/>
  <c r="C15" i="8"/>
  <c r="B15" i="8"/>
  <c r="A15" i="8"/>
  <c r="B19" i="13"/>
  <c r="A19" i="13"/>
  <c r="C16" i="27"/>
  <c r="B16" i="27"/>
  <c r="A16" i="27"/>
  <c r="C16" i="17"/>
  <c r="B16" i="17"/>
  <c r="A16" i="17"/>
  <c r="C18" i="14" l="1"/>
  <c r="B18" i="14"/>
  <c r="A18" i="14"/>
  <c r="B20" i="11" l="1"/>
  <c r="C22" i="29"/>
  <c r="C38" i="29" s="1"/>
  <c r="B22" i="29"/>
  <c r="B38" i="29" s="1"/>
  <c r="A22" i="29"/>
  <c r="A38" i="29" s="1"/>
  <c r="G64" i="10" l="1"/>
  <c r="K16" i="17"/>
  <c r="B51" i="29"/>
  <c r="I25" i="27"/>
  <c r="G25" i="27"/>
  <c r="E25" i="27"/>
  <c r="I24" i="27"/>
  <c r="G24" i="27"/>
  <c r="E24" i="27"/>
  <c r="K16" i="27"/>
  <c r="D16" i="27"/>
  <c r="J16" i="27" s="1"/>
  <c r="J25" i="8"/>
  <c r="I25" i="8"/>
  <c r="J22" i="27" l="1"/>
  <c r="J23" i="27"/>
  <c r="A15" i="24"/>
  <c r="A24" i="24"/>
  <c r="G22" i="20"/>
  <c r="H22" i="20" s="1"/>
  <c r="G24" i="20"/>
  <c r="H24" i="20" s="1"/>
  <c r="G23" i="20"/>
  <c r="H23" i="20" s="1"/>
  <c r="G25" i="20"/>
  <c r="H25" i="20" s="1"/>
  <c r="D48" i="10"/>
  <c r="K25" i="27"/>
  <c r="D16" i="24" s="1"/>
  <c r="K24" i="27"/>
  <c r="D15" i="24" s="1"/>
  <c r="F16" i="27"/>
  <c r="H16" i="27"/>
  <c r="K24" i="17"/>
  <c r="C15" i="24" s="1"/>
  <c r="K25" i="17"/>
  <c r="C16" i="24" s="1"/>
  <c r="H22" i="27" l="1"/>
  <c r="H23" i="27"/>
  <c r="F23" i="27"/>
  <c r="F22" i="27"/>
  <c r="J25" i="27"/>
  <c r="J24" i="27"/>
  <c r="F25" i="27"/>
  <c r="F24" i="27"/>
  <c r="H25" i="27"/>
  <c r="H24" i="27"/>
  <c r="I25" i="17" l="1"/>
  <c r="I24" i="17"/>
  <c r="H24" i="24" l="1"/>
  <c r="D58" i="10"/>
  <c r="G31" i="10" l="1"/>
  <c r="D16" i="25"/>
  <c r="I16" i="25" s="1"/>
  <c r="D25" i="10"/>
  <c r="J16" i="25" l="1"/>
  <c r="I22" i="25"/>
  <c r="I23" i="25"/>
  <c r="J24" i="25"/>
  <c r="J25" i="25"/>
  <c r="I25" i="25"/>
  <c r="I24" i="25"/>
  <c r="G21" i="20"/>
  <c r="F16" i="25"/>
  <c r="H25" i="19"/>
  <c r="G25" i="19"/>
  <c r="H24" i="19"/>
  <c r="G24" i="19"/>
  <c r="D17" i="19"/>
  <c r="G25" i="17"/>
  <c r="G24" i="17"/>
  <c r="D16" i="17"/>
  <c r="J16" i="17" s="1"/>
  <c r="E25" i="17"/>
  <c r="E24" i="17"/>
  <c r="I26" i="14"/>
  <c r="I25" i="14"/>
  <c r="I24" i="8"/>
  <c r="I23" i="8"/>
  <c r="F20" i="11"/>
  <c r="H20" i="11" s="1"/>
  <c r="E15" i="8"/>
  <c r="C17" i="5"/>
  <c r="I17" i="5" s="1"/>
  <c r="L17" i="5" s="1"/>
  <c r="J31" i="12"/>
  <c r="D23" i="10" s="1"/>
  <c r="I31" i="12"/>
  <c r="H26" i="14"/>
  <c r="H25" i="14"/>
  <c r="J19" i="13"/>
  <c r="H19" i="13"/>
  <c r="I19" i="13" s="1"/>
  <c r="K25" i="12"/>
  <c r="E25" i="12"/>
  <c r="K24" i="12"/>
  <c r="E24" i="12"/>
  <c r="D16" i="12"/>
  <c r="J16" i="12" s="1"/>
  <c r="L24" i="5" l="1"/>
  <c r="L23" i="5"/>
  <c r="I25" i="13"/>
  <c r="I26" i="13"/>
  <c r="J26" i="13"/>
  <c r="J25" i="13"/>
  <c r="J22" i="17"/>
  <c r="J23" i="17"/>
  <c r="G16" i="25"/>
  <c r="G25" i="25" s="1"/>
  <c r="F22" i="25"/>
  <c r="F23" i="25"/>
  <c r="J22" i="25"/>
  <c r="J23" i="25"/>
  <c r="J28" i="13"/>
  <c r="I28" i="13"/>
  <c r="J25" i="17"/>
  <c r="J24" i="17"/>
  <c r="J27" i="13"/>
  <c r="I27" i="13"/>
  <c r="L16" i="12"/>
  <c r="H16" i="17"/>
  <c r="F16" i="17"/>
  <c r="F25" i="25"/>
  <c r="F24" i="25"/>
  <c r="F16" i="12"/>
  <c r="F22" i="17" l="1"/>
  <c r="F23" i="17"/>
  <c r="H22" i="17"/>
  <c r="H23" i="17"/>
  <c r="G24" i="25"/>
  <c r="L23" i="12"/>
  <c r="L22" i="12"/>
  <c r="G22" i="25"/>
  <c r="G23" i="25"/>
  <c r="G16" i="12"/>
  <c r="F23" i="12"/>
  <c r="F22" i="12"/>
  <c r="F17" i="19"/>
  <c r="D21" i="20"/>
  <c r="H21" i="20" s="1"/>
  <c r="F24" i="17"/>
  <c r="F25" i="17"/>
  <c r="H24" i="17"/>
  <c r="H25" i="17"/>
  <c r="G24" i="12"/>
  <c r="F25" i="12"/>
  <c r="F24" i="12"/>
  <c r="M16" i="12"/>
  <c r="G25" i="12"/>
  <c r="F23" i="19" l="1"/>
  <c r="F22" i="19"/>
  <c r="M23" i="12"/>
  <c r="M22" i="12"/>
  <c r="G23" i="12"/>
  <c r="G22" i="12"/>
  <c r="H27" i="20"/>
  <c r="H26" i="20"/>
  <c r="H29" i="20"/>
  <c r="H28" i="20"/>
  <c r="L25" i="12"/>
  <c r="L24" i="12"/>
  <c r="J17" i="19"/>
  <c r="F25" i="19"/>
  <c r="F24" i="19"/>
  <c r="I17" i="19"/>
  <c r="M25" i="12"/>
  <c r="M24" i="12"/>
  <c r="J23" i="19" l="1"/>
  <c r="J22" i="19"/>
  <c r="I23" i="19"/>
  <c r="I22" i="19"/>
  <c r="J25" i="19"/>
  <c r="J24" i="19"/>
  <c r="I25" i="19"/>
  <c r="I24" i="19"/>
  <c r="J26" i="5"/>
  <c r="J25" i="5"/>
  <c r="J20" i="11"/>
  <c r="I20" i="11"/>
  <c r="C58" i="10"/>
  <c r="C56" i="10"/>
  <c r="F58" i="10"/>
  <c r="F25" i="10"/>
  <c r="C25" i="10"/>
  <c r="F23" i="10"/>
  <c r="C23" i="10"/>
  <c r="K20" i="11" l="1"/>
  <c r="L20" i="11" s="1"/>
  <c r="G25" i="10"/>
  <c r="C27" i="10"/>
  <c r="C60" i="10"/>
  <c r="G23" i="10"/>
  <c r="G58" i="10"/>
  <c r="L26" i="11" l="1"/>
  <c r="L27" i="11"/>
  <c r="D38" i="29"/>
  <c r="E38" i="29"/>
  <c r="L28" i="11"/>
  <c r="L29" i="11"/>
  <c r="G27" i="10"/>
  <c r="F38" i="29" l="1"/>
  <c r="M17" i="5"/>
  <c r="L25" i="5"/>
  <c r="L26" i="5"/>
  <c r="L28" i="5" s="1"/>
  <c r="M24" i="5" l="1"/>
  <c r="M23" i="5"/>
  <c r="F43" i="29"/>
  <c r="D51" i="29" s="1"/>
  <c r="M26" i="5"/>
  <c r="M28" i="5" s="1"/>
  <c r="M25" i="5"/>
  <c r="E17" i="5" l="1"/>
  <c r="E23" i="5" l="1"/>
  <c r="E24" i="5"/>
  <c r="C23" i="7"/>
  <c r="C50" i="29" s="1"/>
  <c r="C25" i="7"/>
  <c r="C51" i="29" s="1"/>
  <c r="E51" i="29" s="1"/>
  <c r="D25" i="7" l="1"/>
  <c r="J23" i="8" l="1"/>
  <c r="J24" i="8" l="1"/>
  <c r="D36" i="3" l="1"/>
  <c r="E17" i="19" l="1"/>
  <c r="D22" i="29"/>
  <c r="F22" i="29" s="1"/>
  <c r="F27" i="29" s="1"/>
  <c r="D50" i="29" s="1"/>
  <c r="E50" i="29" s="1"/>
  <c r="E52" i="29" s="1"/>
  <c r="D26" i="5" l="1"/>
  <c r="D25" i="5"/>
  <c r="E36" i="3" l="1"/>
  <c r="K43" i="3" l="1"/>
  <c r="K42" i="3"/>
  <c r="J36" i="3"/>
  <c r="K45" i="3"/>
  <c r="J44" i="3" l="1"/>
  <c r="J42" i="3"/>
  <c r="J43" i="3"/>
  <c r="C36" i="3"/>
  <c r="B36" i="3" l="1"/>
  <c r="A36" i="3"/>
  <c r="E25" i="5" l="1"/>
  <c r="K44" i="3"/>
  <c r="E26" i="5"/>
  <c r="E28" i="5" s="1"/>
  <c r="G30" i="5" s="1"/>
  <c r="J45" i="3"/>
  <c r="F17" i="5"/>
  <c r="F25" i="5" l="1"/>
  <c r="F23" i="5"/>
  <c r="F24" i="5"/>
  <c r="F23" i="7"/>
  <c r="G23" i="7" s="1"/>
  <c r="F26" i="5"/>
  <c r="F28" i="5" s="1"/>
  <c r="C27" i="7"/>
  <c r="F25" i="7"/>
  <c r="G25" i="7" s="1"/>
  <c r="H30" i="5" l="1"/>
  <c r="D56" i="10"/>
  <c r="F56" i="10" s="1"/>
  <c r="G56" i="10" s="1"/>
  <c r="G60" i="10" s="1"/>
  <c r="G27"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rev3569</author>
    <author>rev4175</author>
    <author>rev4287</author>
    <author>Baker, Mike A (DOR)</author>
    <author>rev3857</author>
  </authors>
  <commentList>
    <comment ref="J18" authorId="0" shapeId="0" xr:uid="{972DA2FB-7A83-4A04-9691-7A22BCBED2A1}">
      <text>
        <r>
          <rPr>
            <b/>
            <sz val="11"/>
            <color indexed="81"/>
            <rFont val="Tahoma"/>
            <family val="2"/>
          </rPr>
          <t>rev3569:</t>
        </r>
        <r>
          <rPr>
            <sz val="11"/>
            <color indexed="81"/>
            <rFont val="Tahoma"/>
            <family val="2"/>
          </rPr>
          <t xml:space="preserve">
identify present value in 10K</t>
        </r>
      </text>
    </comment>
    <comment ref="G22" authorId="1" shapeId="0" xr:uid="{B87E8307-8943-4DA8-9E9A-1918E0DEB59B}">
      <text>
        <r>
          <rPr>
            <b/>
            <sz val="9"/>
            <color indexed="81"/>
            <rFont val="Tahoma"/>
            <family val="2"/>
          </rPr>
          <t>rev4175:</t>
        </r>
        <r>
          <rPr>
            <sz val="9"/>
            <color indexed="81"/>
            <rFont val="Tahoma"/>
            <family val="2"/>
          </rPr>
          <t xml:space="preserve">
12/29/2023 Close</t>
        </r>
      </text>
    </comment>
    <comment ref="H22" authorId="2" shapeId="0" xr:uid="{B4A28626-1652-4FB8-9EB9-E535E8F69B6C}">
      <text>
        <r>
          <rPr>
            <b/>
            <sz val="9"/>
            <color indexed="81"/>
            <rFont val="Tahoma"/>
            <family val="2"/>
          </rPr>
          <t>rev4287:</t>
        </r>
        <r>
          <rPr>
            <sz val="9"/>
            <color indexed="81"/>
            <rFont val="Tahoma"/>
            <family val="2"/>
          </rPr>
          <t xml:space="preserve">
Page 2 of 40-F</t>
        </r>
      </text>
    </comment>
    <comment ref="J22" authorId="3" shapeId="0" xr:uid="{FBE6CA57-1AFA-497C-A7DF-31F36E620913}">
      <text>
        <r>
          <rPr>
            <b/>
            <sz val="9"/>
            <color indexed="81"/>
            <rFont val="Tahoma"/>
            <family val="2"/>
          </rPr>
          <t>Justus, Elizabeth (DOR):</t>
        </r>
        <r>
          <rPr>
            <sz val="9"/>
            <color indexed="81"/>
            <rFont val="Tahoma"/>
            <family val="2"/>
          </rPr>
          <t>Page 7 of pdf annual financial statements</t>
        </r>
      </text>
    </comment>
    <comment ref="G23" authorId="1" shapeId="0" xr:uid="{6D052080-BE16-42FB-9F23-D080F179C373}">
      <text>
        <r>
          <rPr>
            <b/>
            <sz val="9"/>
            <color indexed="81"/>
            <rFont val="Tahoma"/>
            <family val="2"/>
          </rPr>
          <t>rev4175:</t>
        </r>
        <r>
          <rPr>
            <sz val="9"/>
            <color indexed="81"/>
            <rFont val="Tahoma"/>
            <family val="2"/>
          </rPr>
          <t xml:space="preserve">
12/29/2023 Close</t>
        </r>
      </text>
    </comment>
    <comment ref="H23" authorId="2" shapeId="0" xr:uid="{67109EC3-A6F0-47FE-BBCB-763595EEFCB7}">
      <text>
        <r>
          <rPr>
            <b/>
            <sz val="9"/>
            <color indexed="81"/>
            <rFont val="Tahoma"/>
            <family val="2"/>
          </rPr>
          <t>rev4175:</t>
        </r>
        <r>
          <rPr>
            <sz val="9"/>
            <color indexed="81"/>
            <rFont val="Tahoma"/>
            <family val="2"/>
          </rPr>
          <t xml:space="preserve">
Page 73 of pdf of 10-K</t>
        </r>
      </text>
    </comment>
    <comment ref="J23" authorId="2" shapeId="0" xr:uid="{8A7EB733-9536-44AD-AF69-996269ABE180}">
      <text>
        <r>
          <rPr>
            <b/>
            <sz val="9"/>
            <color indexed="81"/>
            <rFont val="Tahoma"/>
            <family val="2"/>
          </rPr>
          <t>rev4175:</t>
        </r>
        <r>
          <rPr>
            <sz val="9"/>
            <color indexed="81"/>
            <rFont val="Tahoma"/>
            <family val="2"/>
          </rPr>
          <t xml:space="preserve">
Page 73 of pdf of 10-K</t>
        </r>
      </text>
    </comment>
    <comment ref="G24" authorId="1" shapeId="0" xr:uid="{A39CA99B-160A-4635-8EF8-C1EEF44CB656}">
      <text>
        <r>
          <rPr>
            <b/>
            <sz val="9"/>
            <color indexed="81"/>
            <rFont val="Tahoma"/>
            <family val="2"/>
          </rPr>
          <t>rev4175:</t>
        </r>
        <r>
          <rPr>
            <sz val="9"/>
            <color indexed="81"/>
            <rFont val="Tahoma"/>
            <family val="2"/>
          </rPr>
          <t xml:space="preserve">
12/29/2023 Close</t>
        </r>
      </text>
    </comment>
    <comment ref="H24" authorId="2" shapeId="0" xr:uid="{C545E967-A4AC-4260-A82A-069E3DD90599}">
      <text>
        <r>
          <rPr>
            <b/>
            <sz val="9"/>
            <color indexed="81"/>
            <rFont val="Tahoma"/>
            <family val="2"/>
          </rPr>
          <t>rev4175
10K page 63 of pdf</t>
        </r>
      </text>
    </comment>
    <comment ref="J24" authorId="3" shapeId="0" xr:uid="{0A1DB4DD-C5D8-4C7E-AD04-820ABB6CFAE8}">
      <text>
        <r>
          <rPr>
            <b/>
            <sz val="9"/>
            <color indexed="81"/>
            <rFont val="Tahoma"/>
            <family val="2"/>
          </rPr>
          <t>Rev4175 (DOR):</t>
        </r>
        <r>
          <rPr>
            <sz val="9"/>
            <color indexed="81"/>
            <rFont val="Tahoma"/>
            <family val="2"/>
          </rPr>
          <t xml:space="preserve">
10K page 94 of pdf
</t>
        </r>
      </text>
    </comment>
    <comment ref="G25" authorId="1" shapeId="0" xr:uid="{ACAAD8C5-5B56-4148-99E7-3896E863613D}">
      <text>
        <r>
          <rPr>
            <b/>
            <sz val="9"/>
            <color indexed="81"/>
            <rFont val="Tahoma"/>
            <family val="2"/>
          </rPr>
          <t>rev4175:</t>
        </r>
        <r>
          <rPr>
            <sz val="9"/>
            <color indexed="81"/>
            <rFont val="Tahoma"/>
            <family val="2"/>
          </rPr>
          <t xml:space="preserve">
12/29/2023 Close</t>
        </r>
      </text>
    </comment>
    <comment ref="H25" authorId="2" shapeId="0" xr:uid="{D5ADE54E-D721-434B-87FF-32D488A5E949}">
      <text>
        <r>
          <rPr>
            <b/>
            <sz val="9"/>
            <color indexed="81"/>
            <rFont val="Tahoma"/>
            <family val="2"/>
          </rPr>
          <t>rev4175</t>
        </r>
        <r>
          <rPr>
            <sz val="9"/>
            <color indexed="81"/>
            <rFont val="Tahoma"/>
            <family val="2"/>
          </rPr>
          <t xml:space="preserve">
Page 47 of pdf</t>
        </r>
      </text>
    </comment>
    <comment ref="J25" authorId="3" shapeId="0" xr:uid="{CA669990-4E17-457D-9DE4-3BC04DEB5E20}">
      <text>
        <r>
          <rPr>
            <b/>
            <sz val="9"/>
            <color indexed="81"/>
            <rFont val="Tahoma"/>
            <family val="2"/>
          </rPr>
          <t>Rev4175(DOR):</t>
        </r>
        <r>
          <rPr>
            <sz val="9"/>
            <color indexed="81"/>
            <rFont val="Tahoma"/>
            <family val="2"/>
          </rPr>
          <t xml:space="preserve">
See 10K page 60 of pdf</t>
        </r>
      </text>
    </comment>
    <comment ref="G26" authorId="1" shapeId="0" xr:uid="{2D59CF85-120C-4976-8AA6-8B0460E9B7D5}">
      <text>
        <r>
          <rPr>
            <b/>
            <sz val="9"/>
            <color indexed="81"/>
            <rFont val="Tahoma"/>
            <family val="2"/>
          </rPr>
          <t>rev4175:</t>
        </r>
        <r>
          <rPr>
            <sz val="9"/>
            <color indexed="81"/>
            <rFont val="Tahoma"/>
            <family val="2"/>
          </rPr>
          <t xml:space="preserve">
12/29/2023 Close</t>
        </r>
      </text>
    </comment>
    <comment ref="H26" authorId="3" shapeId="0" xr:uid="{82FDFEC0-2F35-4E95-A1F2-7A7CC05E77BE}">
      <text>
        <r>
          <rPr>
            <b/>
            <sz val="9"/>
            <color indexed="81"/>
            <rFont val="Tahoma"/>
            <family val="2"/>
          </rPr>
          <t>Rev4175(DOR):</t>
        </r>
        <r>
          <rPr>
            <sz val="9"/>
            <color indexed="81"/>
            <rFont val="Tahoma"/>
            <family val="2"/>
          </rPr>
          <t xml:space="preserve">
See 10K page 44 of pdf
</t>
        </r>
      </text>
    </comment>
    <comment ref="J26" authorId="1" shapeId="0" xr:uid="{C5479F24-7283-4C31-AD27-4D53C3BF15F4}">
      <text>
        <r>
          <rPr>
            <b/>
            <sz val="9"/>
            <color indexed="81"/>
            <rFont val="Tahoma"/>
            <family val="2"/>
          </rPr>
          <t>rev4175:</t>
        </r>
        <r>
          <rPr>
            <sz val="9"/>
            <color indexed="81"/>
            <rFont val="Tahoma"/>
            <family val="2"/>
          </rPr>
          <t xml:space="preserve">
10K page 65 of pdf</t>
        </r>
      </text>
    </comment>
    <comment ref="F32" authorId="0" shapeId="0" xr:uid="{CEF678F7-6580-4CF3-AC8E-A803AFF27478}">
      <text>
        <r>
          <rPr>
            <b/>
            <sz val="11"/>
            <color indexed="81"/>
            <rFont val="Tahoma"/>
            <family val="2"/>
          </rPr>
          <t>rev3569:</t>
        </r>
        <r>
          <rPr>
            <sz val="11"/>
            <color indexed="81"/>
            <rFont val="Tahoma"/>
            <family val="2"/>
          </rPr>
          <t xml:space="preserve">
identify present value in 10K</t>
        </r>
      </text>
    </comment>
    <comment ref="G32" authorId="0" shapeId="0" xr:uid="{E695C38B-6572-49AB-8114-3945BA5C5650}">
      <text>
        <r>
          <rPr>
            <b/>
            <sz val="11"/>
            <color indexed="81"/>
            <rFont val="Tahoma"/>
            <family val="2"/>
          </rPr>
          <t>rev3569:</t>
        </r>
        <r>
          <rPr>
            <sz val="11"/>
            <color indexed="81"/>
            <rFont val="Tahoma"/>
            <family val="2"/>
          </rPr>
          <t xml:space="preserve">
identify present value in 10K</t>
        </r>
      </text>
    </comment>
    <comment ref="F36" authorId="3" shapeId="0" xr:uid="{5D3A7E9E-31FD-48DE-A814-52821D26E9B2}">
      <text>
        <r>
          <rPr>
            <b/>
            <sz val="9"/>
            <color indexed="81"/>
            <rFont val="Tahoma"/>
            <family val="2"/>
          </rPr>
          <t>REV4175(DOR):</t>
        </r>
        <r>
          <rPr>
            <sz val="9"/>
            <color indexed="81"/>
            <rFont val="Tahoma"/>
            <family val="2"/>
          </rPr>
          <t xml:space="preserve">
Page 26 OF PDF ANNUAL Financial statements</t>
        </r>
      </text>
    </comment>
    <comment ref="H36" authorId="4" shapeId="0" xr:uid="{32758C80-C783-4890-9BF5-A04AE5CA4564}">
      <text>
        <r>
          <rPr>
            <sz val="9"/>
            <color indexed="81"/>
            <rFont val="Tahoma"/>
            <family val="2"/>
          </rPr>
          <t>CN Financial statements pae 52 of pdf</t>
        </r>
      </text>
    </comment>
    <comment ref="H37" authorId="4" shapeId="0" xr:uid="{C67C4F7B-0191-4B81-B05E-7AAF2C5A5112}">
      <text>
        <r>
          <rPr>
            <sz val="9"/>
            <color indexed="81"/>
            <rFont val="Tahoma"/>
            <family val="2"/>
          </rPr>
          <t>Rev4175
10K page 102 of pdf</t>
        </r>
      </text>
    </comment>
    <comment ref="F38" authorId="3" shapeId="0" xr:uid="{1D90F27A-A7F2-471D-AF0F-0A07FE12A269}">
      <text>
        <r>
          <rPr>
            <b/>
            <sz val="9"/>
            <color indexed="81"/>
            <rFont val="Tahoma"/>
            <family val="2"/>
          </rPr>
          <t>Rev 4175(DOR):</t>
        </r>
        <r>
          <rPr>
            <sz val="9"/>
            <color indexed="81"/>
            <rFont val="Tahoma"/>
            <family val="2"/>
          </rPr>
          <t xml:space="preserve">
10K page 81 of pdf</t>
        </r>
      </text>
    </comment>
    <comment ref="G38" authorId="3" shapeId="0" xr:uid="{2782D373-9CBB-4F0B-A265-69BEA79DF262}">
      <text>
        <r>
          <rPr>
            <b/>
            <sz val="9"/>
            <color indexed="81"/>
            <rFont val="Tahoma"/>
            <family val="2"/>
          </rPr>
          <t>Baker, Mike A (DOR):</t>
        </r>
        <r>
          <rPr>
            <sz val="9"/>
            <color indexed="81"/>
            <rFont val="Tahoma"/>
            <family val="2"/>
          </rPr>
          <t xml:space="preserve">
50% were short term leases
</t>
        </r>
      </text>
    </comment>
    <comment ref="H38" authorId="4" shapeId="0" xr:uid="{118A4245-1E4E-4489-9842-381063F6BE3C}">
      <text>
        <r>
          <rPr>
            <sz val="9"/>
            <color indexed="81"/>
            <rFont val="Tahoma"/>
            <family val="2"/>
          </rPr>
          <t>Page 105 of PDF, 10-K</t>
        </r>
      </text>
    </comment>
    <comment ref="F39" authorId="3" shapeId="0" xr:uid="{514262DD-9C63-49F2-975A-5F701A02C8C0}">
      <text>
        <r>
          <rPr>
            <b/>
            <sz val="9"/>
            <color indexed="81"/>
            <rFont val="Tahoma"/>
            <family val="2"/>
          </rPr>
          <t xml:space="preserve">Rev4175
10K Pgee 62 of pdf
</t>
        </r>
      </text>
    </comment>
    <comment ref="H39" authorId="4" shapeId="0" xr:uid="{24D5EDAA-506C-4DDE-B87B-860D8404FE6B}">
      <text>
        <r>
          <rPr>
            <sz val="9"/>
            <color indexed="81"/>
            <rFont val="Tahoma"/>
            <family val="2"/>
          </rPr>
          <t xml:space="preserve">See 10K page 56 of pdf
</t>
        </r>
      </text>
    </comment>
    <comment ref="F40" authorId="3" shapeId="0" xr:uid="{F024C223-BA72-4628-B239-44116A7A227B}">
      <text>
        <r>
          <rPr>
            <b/>
            <sz val="9"/>
            <color indexed="81"/>
            <rFont val="Tahoma"/>
            <family val="2"/>
          </rPr>
          <t>Rev4175 (DOR):</t>
        </r>
        <r>
          <rPr>
            <sz val="9"/>
            <color indexed="81"/>
            <rFont val="Tahoma"/>
            <family val="2"/>
          </rPr>
          <t xml:space="preserve">
See 10K page 68 of pdf
</t>
        </r>
      </text>
    </comment>
    <comment ref="H40" authorId="4" shapeId="0" xr:uid="{37C35D04-F59E-4873-B94D-D4BB678FFCAA}">
      <text>
        <r>
          <rPr>
            <sz val="9"/>
            <color indexed="81"/>
            <rFont val="Tahoma"/>
            <family val="2"/>
          </rPr>
          <t xml:space="preserve">10K page 65 of pdk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Baker, Mike A (DOR)</author>
  </authors>
  <commentList>
    <comment ref="E22" authorId="0" shapeId="0" xr:uid="{2F0FDA52-CB6F-4CD4-BF4C-4F5BF41A4A77}">
      <text>
        <r>
          <rPr>
            <b/>
            <sz val="9"/>
            <color indexed="81"/>
            <rFont val="Tahoma"/>
            <family val="2"/>
          </rPr>
          <t>Rev4175 (DOR):</t>
        </r>
        <r>
          <rPr>
            <sz val="9"/>
            <color indexed="81"/>
            <rFont val="Tahoma"/>
            <family val="2"/>
          </rPr>
          <t xml:space="preserve">
CN Financial Statements page 8 of pdf</t>
        </r>
      </text>
    </comment>
    <comment ref="E23" authorId="0" shapeId="0" xr:uid="{3944DC1D-226A-455A-BA5B-6EB06081F58F}">
      <text>
        <r>
          <rPr>
            <b/>
            <sz val="9"/>
            <color indexed="81"/>
            <rFont val="Tahoma"/>
            <family val="2"/>
          </rPr>
          <t>Rev 4175(DOR):</t>
        </r>
        <r>
          <rPr>
            <sz val="9"/>
            <color indexed="81"/>
            <rFont val="Tahoma"/>
            <family val="2"/>
          </rPr>
          <t xml:space="preserve">
See 10K page 73 of pdf</t>
        </r>
      </text>
    </comment>
    <comment ref="E24" authorId="0" shapeId="0" xr:uid="{1B3B2C9B-AFEF-47D6-BB11-E03F97DBCC00}">
      <text>
        <r>
          <rPr>
            <b/>
            <sz val="9"/>
            <color indexed="81"/>
            <rFont val="Tahoma"/>
            <family val="2"/>
          </rPr>
          <t>Rev4175(DOR):</t>
        </r>
        <r>
          <rPr>
            <sz val="9"/>
            <color indexed="81"/>
            <rFont val="Tahoma"/>
            <family val="2"/>
          </rPr>
          <t xml:space="preserve">
See 10K page 56 of pdf
</t>
        </r>
      </text>
    </comment>
    <comment ref="E25" authorId="0" shapeId="0" xr:uid="{5459910F-46C2-4AE5-B03D-5D0CD02262E5}">
      <text>
        <r>
          <rPr>
            <b/>
            <sz val="9"/>
            <color indexed="81"/>
            <rFont val="Tahoma"/>
            <family val="2"/>
          </rPr>
          <t>Rev4175 (DOR):</t>
        </r>
        <r>
          <rPr>
            <sz val="9"/>
            <color indexed="81"/>
            <rFont val="Tahoma"/>
            <family val="2"/>
          </rPr>
          <t xml:space="preserve">
See 10K page 49 of pdf</t>
        </r>
      </text>
    </comment>
    <comment ref="E26" authorId="0" shapeId="0" xr:uid="{FA7B8A1A-ACB9-4BC9-8D87-C792654396BD}">
      <text>
        <r>
          <rPr>
            <b/>
            <sz val="9"/>
            <color indexed="81"/>
            <rFont val="Tahoma"/>
            <family val="2"/>
          </rPr>
          <t>Rev4175 (DOR):</t>
        </r>
        <r>
          <rPr>
            <sz val="9"/>
            <color indexed="81"/>
            <rFont val="Tahoma"/>
            <family val="2"/>
          </rPr>
          <t xml:space="preserve">
See 10K page 46 of pdf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Baker, Mike A (DOR)</author>
    <author>rev4175</author>
  </authors>
  <commentList>
    <comment ref="D20" authorId="0" shapeId="0" xr:uid="{6D4EDF53-C434-4993-AD79-C8F570F3F05C}">
      <text>
        <r>
          <rPr>
            <b/>
            <sz val="9"/>
            <color indexed="81"/>
            <rFont val="Tahoma"/>
            <family val="2"/>
          </rPr>
          <t>Rev4175 (DOR):</t>
        </r>
        <r>
          <rPr>
            <sz val="9"/>
            <color indexed="81"/>
            <rFont val="Tahoma"/>
            <family val="2"/>
          </rPr>
          <t xml:space="preserve">
CN Financial Statements page 25 of pdf</t>
        </r>
      </text>
    </comment>
    <comment ref="E20" authorId="0" shapeId="0" xr:uid="{CEB5B3D0-31BE-44BE-99D4-2A7BDCDAC670}">
      <text>
        <r>
          <rPr>
            <b/>
            <sz val="9"/>
            <color indexed="81"/>
            <rFont val="Tahoma"/>
            <family val="2"/>
          </rPr>
          <t>Rev4175 (DOR):</t>
        </r>
        <r>
          <rPr>
            <sz val="9"/>
            <color indexed="81"/>
            <rFont val="Tahoma"/>
            <family val="2"/>
          </rPr>
          <t xml:space="preserve">
CN Financial Statements page 25 of pdf</t>
        </r>
      </text>
    </comment>
    <comment ref="G20" authorId="0" shapeId="0" xr:uid="{6D1B35E8-55E0-4CA4-9DDB-5C5203800B78}">
      <text>
        <r>
          <rPr>
            <b/>
            <sz val="9"/>
            <color indexed="81"/>
            <rFont val="Tahoma"/>
            <family val="2"/>
          </rPr>
          <t>Rev4175 (DOR):</t>
        </r>
        <r>
          <rPr>
            <sz val="9"/>
            <color indexed="81"/>
            <rFont val="Tahoma"/>
            <family val="2"/>
          </rPr>
          <t xml:space="preserve">
CN Financial Statements page 6 of pdf</t>
        </r>
      </text>
    </comment>
    <comment ref="D21" authorId="0" shapeId="0" xr:uid="{8124B00B-41E4-4DF3-B694-E8F5C21535AA}">
      <text>
        <r>
          <rPr>
            <b/>
            <sz val="9"/>
            <color indexed="81"/>
            <rFont val="Tahoma"/>
            <family val="2"/>
          </rPr>
          <t xml:space="preserve">REV4175
</t>
        </r>
        <r>
          <rPr>
            <sz val="9"/>
            <color indexed="81"/>
            <rFont val="Tahoma"/>
            <family val="2"/>
          </rPr>
          <t xml:space="preserve">10K page 97 of pdf
</t>
        </r>
      </text>
    </comment>
    <comment ref="E21" authorId="1" shapeId="0" xr:uid="{065A68A3-2720-49FB-BF52-17E8655F8CDC}">
      <text>
        <r>
          <rPr>
            <b/>
            <sz val="9"/>
            <color indexed="81"/>
            <rFont val="Tahoma"/>
            <family val="2"/>
          </rPr>
          <t>rev4175:</t>
        </r>
        <r>
          <rPr>
            <sz val="9"/>
            <color indexed="81"/>
            <rFont val="Tahoma"/>
            <family val="2"/>
          </rPr>
          <t xml:space="preserve">
10K page 92 of pdf reported in Canadian dollars</t>
        </r>
      </text>
    </comment>
    <comment ref="G21" authorId="0" shapeId="0" xr:uid="{E174D504-A3C6-47AF-A85B-B58B7663A27D}">
      <text>
        <r>
          <rPr>
            <b/>
            <sz val="9"/>
            <color indexed="81"/>
            <rFont val="Tahoma"/>
            <family val="2"/>
          </rPr>
          <t>Rev 4175 (DOR):</t>
        </r>
        <r>
          <rPr>
            <sz val="9"/>
            <color indexed="81"/>
            <rFont val="Tahoma"/>
            <family val="2"/>
          </rPr>
          <t xml:space="preserve">
See 10K page 71 of pdf reported in Canadian Dollars.</t>
        </r>
      </text>
    </comment>
    <comment ref="D22" authorId="0" shapeId="0" xr:uid="{64252B38-C287-420F-BB69-01D3EFD13653}">
      <text>
        <r>
          <rPr>
            <b/>
            <sz val="9"/>
            <color indexed="81"/>
            <rFont val="Tahoma"/>
            <family val="2"/>
          </rPr>
          <t>Rev4175 (DOR):</t>
        </r>
        <r>
          <rPr>
            <sz val="9"/>
            <color indexed="81"/>
            <rFont val="Tahoma"/>
            <family val="2"/>
          </rPr>
          <t xml:space="preserve">
See 10K page 74 of pdf
</t>
        </r>
      </text>
    </comment>
    <comment ref="E22" authorId="0" shapeId="0" xr:uid="{073D1A9F-281C-4946-940E-3CEC3B2B41C9}">
      <text>
        <r>
          <rPr>
            <b/>
            <sz val="9"/>
            <color indexed="81"/>
            <rFont val="Tahoma"/>
            <family val="2"/>
          </rPr>
          <t>Baker, Mike A (DOR): See 10K page 50</t>
        </r>
        <r>
          <rPr>
            <sz val="9"/>
            <color indexed="81"/>
            <rFont val="Tahoma"/>
            <family val="2"/>
          </rPr>
          <t xml:space="preserve">
</t>
        </r>
      </text>
    </comment>
    <comment ref="G22" authorId="0" shapeId="0" xr:uid="{DD6A4E54-DB0F-42C4-A4EF-18C100227F26}">
      <text>
        <r>
          <rPr>
            <b/>
            <sz val="9"/>
            <color indexed="81"/>
            <rFont val="Tahoma"/>
            <family val="2"/>
          </rPr>
          <t>Rev4175 (DOR):</t>
        </r>
        <r>
          <rPr>
            <sz val="9"/>
            <color indexed="81"/>
            <rFont val="Tahoma"/>
            <family val="2"/>
          </rPr>
          <t xml:space="preserve">
See 10K page 52 of pdf</t>
        </r>
      </text>
    </comment>
    <comment ref="D23" authorId="0" shapeId="0" xr:uid="{AE6A0920-F7DF-4F4E-89B5-1EB21F92EC6E}">
      <text>
        <r>
          <rPr>
            <b/>
            <sz val="9"/>
            <color indexed="81"/>
            <rFont val="Tahoma"/>
            <family val="2"/>
          </rPr>
          <t>Rev 4175 (DOR):</t>
        </r>
        <r>
          <rPr>
            <sz val="9"/>
            <color indexed="81"/>
            <rFont val="Tahoma"/>
            <family val="2"/>
          </rPr>
          <t xml:space="preserve">
See 10K page 58 of pdf</t>
        </r>
      </text>
    </comment>
    <comment ref="E23" authorId="0" shapeId="0" xr:uid="{12788544-6209-4D0C-9E19-456066CCEA24}">
      <text>
        <r>
          <rPr>
            <b/>
            <sz val="9"/>
            <color indexed="81"/>
            <rFont val="Tahoma"/>
            <family val="2"/>
          </rPr>
          <t>Baker, Mike A (DOR):</t>
        </r>
        <r>
          <rPr>
            <sz val="9"/>
            <color indexed="81"/>
            <rFont val="Tahoma"/>
            <family val="2"/>
          </rPr>
          <t xml:space="preserve">
See 10K page K53</t>
        </r>
      </text>
    </comment>
    <comment ref="G23" authorId="0" shapeId="0" xr:uid="{586232E7-2617-42DD-BD71-400165FBC48A}">
      <text>
        <r>
          <rPr>
            <b/>
            <sz val="9"/>
            <color indexed="81"/>
            <rFont val="Tahoma"/>
            <family val="2"/>
          </rPr>
          <t>Baker, Mike A (DOR):</t>
        </r>
        <r>
          <rPr>
            <sz val="9"/>
            <color indexed="81"/>
            <rFont val="Tahoma"/>
            <family val="2"/>
          </rPr>
          <t xml:space="preserve">
See 10K page K39
</t>
        </r>
      </text>
    </comment>
    <comment ref="D24" authorId="0" shapeId="0" xr:uid="{B632E231-4FEE-4792-A714-12CDA76C0DBC}">
      <text>
        <r>
          <rPr>
            <b/>
            <sz val="9"/>
            <color indexed="81"/>
            <rFont val="Tahoma"/>
            <family val="2"/>
          </rPr>
          <t>Rev4175 (DOR):</t>
        </r>
        <r>
          <rPr>
            <sz val="9"/>
            <color indexed="81"/>
            <rFont val="Tahoma"/>
            <family val="2"/>
          </rPr>
          <t xml:space="preserve">
See 10K page 63 of pdf
</t>
        </r>
      </text>
    </comment>
    <comment ref="E24" authorId="0" shapeId="0" xr:uid="{ED4EF789-90AC-4D35-99EF-7502B9E7E8FD}">
      <text>
        <r>
          <rPr>
            <b/>
            <sz val="9"/>
            <color indexed="81"/>
            <rFont val="Tahoma"/>
            <family val="2"/>
          </rPr>
          <t>Baker, Mike A (DOR):</t>
        </r>
        <r>
          <rPr>
            <sz val="9"/>
            <color indexed="81"/>
            <rFont val="Tahoma"/>
            <family val="2"/>
          </rPr>
          <t xml:space="preserve">
See 10K page 64
</t>
        </r>
      </text>
    </comment>
    <comment ref="G24" authorId="0" shapeId="0" xr:uid="{47BE0292-C9A2-4290-8744-91A3C07C9CA2}">
      <text>
        <r>
          <rPr>
            <b/>
            <sz val="9"/>
            <color indexed="81"/>
            <rFont val="Tahoma"/>
            <family val="2"/>
          </rPr>
          <t>REV4175 (DOR):</t>
        </r>
        <r>
          <rPr>
            <sz val="9"/>
            <color indexed="81"/>
            <rFont val="Tahoma"/>
            <family val="2"/>
          </rPr>
          <t xml:space="preserve">
See 10K page43 of pdf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Baker, Mike A (DOR)</author>
    <author>rev4175</author>
  </authors>
  <commentList>
    <comment ref="C19" authorId="0" shapeId="0" xr:uid="{DF87B987-4A49-4247-881E-B19FE67D73B8}">
      <text>
        <r>
          <rPr>
            <b/>
            <sz val="9"/>
            <color indexed="81"/>
            <rFont val="Tahoma"/>
            <family val="2"/>
          </rPr>
          <t>Rev4175 (DOR):</t>
        </r>
        <r>
          <rPr>
            <sz val="9"/>
            <color indexed="81"/>
            <rFont val="Tahoma"/>
            <family val="2"/>
          </rPr>
          <t xml:space="preserve">
CN Financial Statement= page 6 of pdf
</t>
        </r>
      </text>
    </comment>
    <comment ref="D19" authorId="1" shapeId="0" xr:uid="{589A61A8-F98E-4146-B632-01057E972129}">
      <text>
        <r>
          <rPr>
            <b/>
            <sz val="9"/>
            <color indexed="81"/>
            <rFont val="Tahoma"/>
            <family val="2"/>
          </rPr>
          <t>rev4175:</t>
        </r>
        <r>
          <rPr>
            <sz val="9"/>
            <color indexed="81"/>
            <rFont val="Tahoma"/>
            <family val="2"/>
          </rPr>
          <t xml:space="preserve">
2023 cap rate study</t>
        </r>
      </text>
    </comment>
    <comment ref="E19" authorId="1" shapeId="0" xr:uid="{70FA5AFB-31E2-4A87-BA8D-5D1A72987146}">
      <text>
        <r>
          <rPr>
            <b/>
            <sz val="9"/>
            <color indexed="81"/>
            <rFont val="Tahoma"/>
            <family val="2"/>
          </rPr>
          <t>rev4175:</t>
        </r>
        <r>
          <rPr>
            <sz val="9"/>
            <color indexed="81"/>
            <rFont val="Tahoma"/>
            <family val="2"/>
          </rPr>
          <t xml:space="preserve">
2023 cap rate study</t>
        </r>
      </text>
    </comment>
    <comment ref="C20" authorId="0" shapeId="0" xr:uid="{7F9B82CC-4502-4CB5-9F00-F40F3CE6FE36}">
      <text>
        <r>
          <rPr>
            <b/>
            <sz val="9"/>
            <color indexed="81"/>
            <rFont val="Tahoma"/>
            <family val="2"/>
          </rPr>
          <t>Baker, Mike A (DOR):</t>
        </r>
        <r>
          <rPr>
            <sz val="9"/>
            <color indexed="81"/>
            <rFont val="Tahoma"/>
            <family val="2"/>
          </rPr>
          <t xml:space="preserve">
See 10K page 172</t>
        </r>
      </text>
    </comment>
    <comment ref="D20" authorId="1" shapeId="0" xr:uid="{769BCF55-404A-4F0A-BEF7-3A0B60F3D554}">
      <text>
        <r>
          <rPr>
            <b/>
            <sz val="9"/>
            <color indexed="81"/>
            <rFont val="Tahoma"/>
            <family val="2"/>
          </rPr>
          <t>rev4175:</t>
        </r>
        <r>
          <rPr>
            <sz val="9"/>
            <color indexed="81"/>
            <rFont val="Tahoma"/>
            <family val="2"/>
          </rPr>
          <t xml:space="preserve">
2023 cap rate study</t>
        </r>
      </text>
    </comment>
    <comment ref="E20" authorId="1" shapeId="0" xr:uid="{110682C2-38D8-4A20-B365-C27E9B6373E7}">
      <text>
        <r>
          <rPr>
            <b/>
            <sz val="9"/>
            <color indexed="81"/>
            <rFont val="Tahoma"/>
            <family val="2"/>
          </rPr>
          <t>rev4175:</t>
        </r>
        <r>
          <rPr>
            <sz val="9"/>
            <color indexed="81"/>
            <rFont val="Tahoma"/>
            <family val="2"/>
          </rPr>
          <t xml:space="preserve">
2023 cap rate study</t>
        </r>
      </text>
    </comment>
    <comment ref="C21" authorId="0" shapeId="0" xr:uid="{6D3DCC1B-29F1-4E91-9135-E5B77E5190D4}">
      <text>
        <r>
          <rPr>
            <b/>
            <sz val="9"/>
            <color indexed="81"/>
            <rFont val="Tahoma"/>
            <family val="2"/>
          </rPr>
          <t>Baker, Mike A (DOR):</t>
        </r>
        <r>
          <rPr>
            <sz val="9"/>
            <color indexed="81"/>
            <rFont val="Tahoma"/>
            <family val="2"/>
          </rPr>
          <t xml:space="preserve">
See 10K page 48</t>
        </r>
      </text>
    </comment>
    <comment ref="D21" authorId="1" shapeId="0" xr:uid="{5803BE06-7495-44CD-A125-413B3088AD06}">
      <text>
        <r>
          <rPr>
            <b/>
            <sz val="9"/>
            <color indexed="81"/>
            <rFont val="Tahoma"/>
            <family val="2"/>
          </rPr>
          <t>rev4175:</t>
        </r>
        <r>
          <rPr>
            <sz val="9"/>
            <color indexed="81"/>
            <rFont val="Tahoma"/>
            <family val="2"/>
          </rPr>
          <t xml:space="preserve">
2023 cap rate study</t>
        </r>
      </text>
    </comment>
    <comment ref="E21" authorId="1" shapeId="0" xr:uid="{9DEF57C6-D6D6-4138-A3A6-AB5E99EDE653}">
      <text>
        <r>
          <rPr>
            <b/>
            <sz val="9"/>
            <color indexed="81"/>
            <rFont val="Tahoma"/>
            <family val="2"/>
          </rPr>
          <t>rev4175:</t>
        </r>
        <r>
          <rPr>
            <sz val="9"/>
            <color indexed="81"/>
            <rFont val="Tahoma"/>
            <family val="2"/>
          </rPr>
          <t xml:space="preserve">
2023 cap rate study</t>
        </r>
      </text>
    </comment>
    <comment ref="C22" authorId="0" shapeId="0" xr:uid="{044D8E16-2235-4084-B9C4-734E17938A37}">
      <text>
        <r>
          <rPr>
            <b/>
            <sz val="9"/>
            <color indexed="81"/>
            <rFont val="Tahoma"/>
            <family val="2"/>
          </rPr>
          <t>Rev4175 (DOR):</t>
        </r>
        <r>
          <rPr>
            <sz val="9"/>
            <color indexed="81"/>
            <rFont val="Tahoma"/>
            <family val="2"/>
          </rPr>
          <t xml:space="preserve">
See 10K page 45 of pdf</t>
        </r>
      </text>
    </comment>
    <comment ref="D22" authorId="1" shapeId="0" xr:uid="{05F08C0B-1C42-4569-811C-9CFCF691AC56}">
      <text>
        <r>
          <rPr>
            <b/>
            <sz val="9"/>
            <color indexed="81"/>
            <rFont val="Tahoma"/>
            <family val="2"/>
          </rPr>
          <t>rev4175:</t>
        </r>
        <r>
          <rPr>
            <sz val="9"/>
            <color indexed="81"/>
            <rFont val="Tahoma"/>
            <family val="2"/>
          </rPr>
          <t xml:space="preserve">
2023 cap rate study</t>
        </r>
      </text>
    </comment>
    <comment ref="E22" authorId="1" shapeId="0" xr:uid="{E19AC3FB-42A5-4EC6-AD7F-65332FB01F35}">
      <text>
        <r>
          <rPr>
            <b/>
            <sz val="9"/>
            <color indexed="81"/>
            <rFont val="Tahoma"/>
            <family val="2"/>
          </rPr>
          <t>rev4175:</t>
        </r>
        <r>
          <rPr>
            <sz val="9"/>
            <color indexed="81"/>
            <rFont val="Tahoma"/>
            <family val="2"/>
          </rPr>
          <t xml:space="preserve">
2023 cap rate study</t>
        </r>
      </text>
    </comment>
    <comment ref="C23" authorId="0" shapeId="0" xr:uid="{5FCCC751-EE61-45BA-96BD-C9ABFD34CC6A}">
      <text>
        <r>
          <rPr>
            <b/>
            <sz val="9"/>
            <color indexed="81"/>
            <rFont val="Tahoma"/>
            <family val="2"/>
          </rPr>
          <t>Rev4175 (DOR):</t>
        </r>
        <r>
          <rPr>
            <sz val="9"/>
            <color indexed="81"/>
            <rFont val="Tahoma"/>
            <family val="2"/>
          </rPr>
          <t xml:space="preserve">
See 10K page 43 of pdf</t>
        </r>
      </text>
    </comment>
    <comment ref="D23" authorId="1" shapeId="0" xr:uid="{1A90444D-626A-4347-B487-2C4B0FDFA4F4}">
      <text>
        <r>
          <rPr>
            <b/>
            <sz val="9"/>
            <color indexed="81"/>
            <rFont val="Tahoma"/>
            <family val="2"/>
          </rPr>
          <t>rev4175:</t>
        </r>
        <r>
          <rPr>
            <sz val="9"/>
            <color indexed="81"/>
            <rFont val="Tahoma"/>
            <family val="2"/>
          </rPr>
          <t xml:space="preserve">
2023 cap rate study</t>
        </r>
      </text>
    </comment>
    <comment ref="E23" authorId="1" shapeId="0" xr:uid="{BBD45916-774E-4538-BC84-B6F268786324}">
      <text>
        <r>
          <rPr>
            <b/>
            <sz val="9"/>
            <color indexed="81"/>
            <rFont val="Tahoma"/>
            <family val="2"/>
          </rPr>
          <t>rev4175:</t>
        </r>
        <r>
          <rPr>
            <sz val="9"/>
            <color indexed="81"/>
            <rFont val="Tahoma"/>
            <family val="2"/>
          </rPr>
          <t xml:space="preserve">
2023 cap rate study</t>
        </r>
      </text>
    </comment>
  </commentList>
</comments>
</file>

<file path=xl/sharedStrings.xml><?xml version="1.0" encoding="utf-8"?>
<sst xmlns="http://schemas.openxmlformats.org/spreadsheetml/2006/main" count="1547" uniqueCount="513">
  <si>
    <t xml:space="preserve"> </t>
  </si>
  <si>
    <t>KENTUCKY DEPARTMENT OF REVENUE</t>
  </si>
  <si>
    <t>Company</t>
  </si>
  <si>
    <t>Ticker</t>
  </si>
  <si>
    <t>Symbol</t>
  </si>
  <si>
    <t xml:space="preserve">Industry </t>
  </si>
  <si>
    <t>Group</t>
  </si>
  <si>
    <t>VL</t>
  </si>
  <si>
    <t>10K / SEC</t>
  </si>
  <si>
    <t>DIVISION OF STATE VALUATION, PUBLIC SERVICE BRANCH</t>
  </si>
  <si>
    <t>Stock Price</t>
  </si>
  <si>
    <t>Preferred Stock</t>
  </si>
  <si>
    <t>Common Stock</t>
  </si>
  <si>
    <t>4th Qtr</t>
  </si>
  <si>
    <t>FMV</t>
  </si>
  <si>
    <t>Calculated</t>
  </si>
  <si>
    <t>Total Market Value</t>
  </si>
  <si>
    <t>% Common Stock</t>
  </si>
  <si>
    <t>Median</t>
  </si>
  <si>
    <t>Average</t>
  </si>
  <si>
    <t xml:space="preserve">Financial </t>
  </si>
  <si>
    <t xml:space="preserve">Actual </t>
  </si>
  <si>
    <t>Strength</t>
  </si>
  <si>
    <t>Tax Rate</t>
  </si>
  <si>
    <t>A</t>
  </si>
  <si>
    <t>B+</t>
  </si>
  <si>
    <t>Computed</t>
  </si>
  <si>
    <t>Price</t>
  </si>
  <si>
    <t>Multiple</t>
  </si>
  <si>
    <t>Inverse</t>
  </si>
  <si>
    <t>KENTUCKY</t>
  </si>
  <si>
    <t xml:space="preserve">Source of </t>
  </si>
  <si>
    <t>Capital</t>
  </si>
  <si>
    <t>Cost of Capital</t>
  </si>
  <si>
    <t>Weighted</t>
  </si>
  <si>
    <t>Structure</t>
  </si>
  <si>
    <t>Rate</t>
  </si>
  <si>
    <t>After Tax</t>
  </si>
  <si>
    <t>Cost</t>
  </si>
  <si>
    <t>EQUITY</t>
  </si>
  <si>
    <t>-</t>
  </si>
  <si>
    <t>DEBT</t>
  </si>
  <si>
    <t>TOTAL</t>
  </si>
  <si>
    <t>Industry &gt; Electric Companies</t>
  </si>
  <si>
    <t>A+</t>
  </si>
  <si>
    <t xml:space="preserve">  </t>
  </si>
  <si>
    <t>High</t>
  </si>
  <si>
    <t>Low</t>
  </si>
  <si>
    <t>Mergent Bond</t>
  </si>
  <si>
    <t>Rating</t>
  </si>
  <si>
    <t>Debt Rate</t>
  </si>
  <si>
    <t>S &amp; P</t>
  </si>
  <si>
    <t>% LT Debt &amp; Pref Stock</t>
  </si>
  <si>
    <t>Baa1</t>
  </si>
  <si>
    <t>Baa2</t>
  </si>
  <si>
    <t>The capital structure of this industry is a representative or typical capital structure of the group, not that of the present owner.  The capital structure selected reflects the most likely arrangement of a prospective buyer.</t>
  </si>
  <si>
    <t>A1</t>
  </si>
  <si>
    <t>Ba1</t>
  </si>
  <si>
    <t>A3</t>
  </si>
  <si>
    <t>Baa3</t>
  </si>
  <si>
    <t>A-</t>
  </si>
  <si>
    <t>Book Value</t>
  </si>
  <si>
    <t>Shares Issued less Treasury</t>
  </si>
  <si>
    <t>DIRECT CAPITALIZATION RATE CONCLUSION</t>
  </si>
  <si>
    <t>YIELD CAPITALIZATION RATE CONCLUSION</t>
  </si>
  <si>
    <t>GCF After Tax</t>
  </si>
  <si>
    <t>Capitalization Rate</t>
  </si>
  <si>
    <t>Capitalization</t>
  </si>
  <si>
    <t>Marginal</t>
  </si>
  <si>
    <t>CAP RATE</t>
  </si>
  <si>
    <t>NOI After Tax  (NOPAT)</t>
  </si>
  <si>
    <t>WACC</t>
  </si>
  <si>
    <t>Notes:</t>
  </si>
  <si>
    <t>Shares Outstanding *</t>
  </si>
  <si>
    <t>Selected</t>
  </si>
  <si>
    <t>CAPITAL STRUCTURE</t>
  </si>
  <si>
    <t>Maintenance Capital Expenditures</t>
  </si>
  <si>
    <t>Estimate using Guideline Companies</t>
  </si>
  <si>
    <t>Inflation</t>
  </si>
  <si>
    <t>Rate %</t>
  </si>
  <si>
    <t>CPI</t>
  </si>
  <si>
    <t>PP&amp;E Gross</t>
  </si>
  <si>
    <t>PP&amp;E</t>
  </si>
  <si>
    <t>Previous Year</t>
  </si>
  <si>
    <t>Current Year</t>
  </si>
  <si>
    <t>Depreciation</t>
  </si>
  <si>
    <t>Expense</t>
  </si>
  <si>
    <t xml:space="preserve">Average Life of </t>
  </si>
  <si>
    <t>Assets</t>
  </si>
  <si>
    <t>B</t>
  </si>
  <si>
    <t>C</t>
  </si>
  <si>
    <t>D</t>
  </si>
  <si>
    <t>E</t>
  </si>
  <si>
    <t>F</t>
  </si>
  <si>
    <t>G</t>
  </si>
  <si>
    <t>H</t>
  </si>
  <si>
    <t>I</t>
  </si>
  <si>
    <t>J</t>
  </si>
  <si>
    <t>K</t>
  </si>
  <si>
    <t>F/G</t>
  </si>
  <si>
    <t>C*H</t>
  </si>
  <si>
    <t>1/(1=C)^H</t>
  </si>
  <si>
    <t>Replacement</t>
  </si>
  <si>
    <t xml:space="preserve">Cost </t>
  </si>
  <si>
    <t>RC as % of</t>
  </si>
  <si>
    <t>K/G</t>
  </si>
  <si>
    <t>L</t>
  </si>
  <si>
    <t>(D+E)/2</t>
  </si>
  <si>
    <t>(G*I) / (1-J)</t>
  </si>
  <si>
    <t>*</t>
  </si>
  <si>
    <t>Gross Cash Flow</t>
  </si>
  <si>
    <t>NOPAT</t>
  </si>
  <si>
    <t>VL Projected NOI</t>
  </si>
  <si>
    <t xml:space="preserve">Year End </t>
  </si>
  <si>
    <t>VL Historic</t>
  </si>
  <si>
    <t>VL Projected</t>
  </si>
  <si>
    <t>Interest Expense</t>
  </si>
  <si>
    <t>Mkt Value LT Debt</t>
  </si>
  <si>
    <t>Book Value LT Debt</t>
  </si>
  <si>
    <t>Current</t>
  </si>
  <si>
    <t>Yield</t>
  </si>
  <si>
    <t>C/H</t>
  </si>
  <si>
    <t>(D+F)/2</t>
  </si>
  <si>
    <t>BETA SELECTION for CAPM</t>
  </si>
  <si>
    <t>SELECTED AVERAGE &gt;</t>
  </si>
  <si>
    <t>Source</t>
  </si>
  <si>
    <t>GDP</t>
  </si>
  <si>
    <t>Nominal</t>
  </si>
  <si>
    <t>Growth</t>
  </si>
  <si>
    <t>DEBT RATE for Yield Approach</t>
  </si>
  <si>
    <t>Book Ratio</t>
  </si>
  <si>
    <t>Mkt to</t>
  </si>
  <si>
    <t>Numeric</t>
  </si>
  <si>
    <t>10K / GAAP</t>
  </si>
  <si>
    <t>Caa3</t>
  </si>
  <si>
    <t>Caa2</t>
  </si>
  <si>
    <t>Caa1</t>
  </si>
  <si>
    <t>B3</t>
  </si>
  <si>
    <t>B2</t>
  </si>
  <si>
    <t>B1</t>
  </si>
  <si>
    <t>Ba3</t>
  </si>
  <si>
    <t>Ba2</t>
  </si>
  <si>
    <t>A2</t>
  </si>
  <si>
    <t>Aa3</t>
  </si>
  <si>
    <t>Aa2</t>
  </si>
  <si>
    <t>Aa1</t>
  </si>
  <si>
    <t>Bond Rating Scale</t>
  </si>
  <si>
    <t>Levered Beta</t>
  </si>
  <si>
    <t>Notes</t>
  </si>
  <si>
    <t>https://www.philadelphiafed.org/research-and-data/real-time-center/livingston-survey</t>
  </si>
  <si>
    <t>https://www.philadelphiafed.org/surveys-and-data/real-time-data-research/survey-of-professional-forecasters</t>
  </si>
  <si>
    <t>https://www.cbo.gov/about/products/budget-economic-data#4</t>
  </si>
  <si>
    <t>Preferred Stock ***</t>
  </si>
  <si>
    <t>Long Term Debt **</t>
  </si>
  <si>
    <t>*** Market value of preferred stock assumed to equal book value</t>
  </si>
  <si>
    <t>* Outstanding stock shares are generally already net of Treasury stock shares</t>
  </si>
  <si>
    <t>MODEL</t>
  </si>
  <si>
    <t>EQUITY RATES for YIELD APPROACH</t>
  </si>
  <si>
    <t>CAPM - The CFO Survey</t>
  </si>
  <si>
    <t>CAPM - Fernandez, Banuls, &amp; Acin</t>
  </si>
  <si>
    <t>CAPM - Ex Post (BVR Historical, Arithmeic)</t>
  </si>
  <si>
    <t>CAPM - Ex Post (BVR Historical, Geometric)</t>
  </si>
  <si>
    <t>Empirical CAPM - The CFO Survey</t>
  </si>
  <si>
    <t>Empirical CAPM - Fernandez, Banuls, &amp; Acin</t>
  </si>
  <si>
    <t>Empirical CAPM - Ex Post (BVR Historical, Arithmeic)</t>
  </si>
  <si>
    <t>Empirical CAPM - Ex Post (BVR Historical, Geometric)</t>
  </si>
  <si>
    <t>Stock</t>
  </si>
  <si>
    <t>Dividends</t>
  </si>
  <si>
    <t>Per Share</t>
  </si>
  <si>
    <t>Dividend</t>
  </si>
  <si>
    <t>Historic</t>
  </si>
  <si>
    <t>Dividend Data</t>
  </si>
  <si>
    <t>Earnings</t>
  </si>
  <si>
    <t>Equity</t>
  </si>
  <si>
    <t>Equity Rate</t>
  </si>
  <si>
    <t>(F+G)</t>
  </si>
  <si>
    <t>(F+H)</t>
  </si>
  <si>
    <t>Dividend Yield</t>
  </si>
  <si>
    <t xml:space="preserve">Projected Short Term </t>
  </si>
  <si>
    <t>DGM - Earnings Growth Rate &gt;</t>
  </si>
  <si>
    <t>DGM - Dividend Growth Rate &gt;</t>
  </si>
  <si>
    <t>Yield Equity Rate - DGM (Two-Stage)</t>
  </si>
  <si>
    <t>Stable</t>
  </si>
  <si>
    <t>Growth Rate</t>
  </si>
  <si>
    <t>Earnings Per Share</t>
  </si>
  <si>
    <t>Cost of</t>
  </si>
  <si>
    <t>g</t>
  </si>
  <si>
    <t>DY</t>
  </si>
  <si>
    <t>G1</t>
  </si>
  <si>
    <t>(G1 + g)/2</t>
  </si>
  <si>
    <t>KE = (DY X (1 + .5(G))) + .67 (G1) + .33(g)</t>
  </si>
  <si>
    <t>Kentucky</t>
  </si>
  <si>
    <r>
      <t xml:space="preserve">DEBT RATE for Direct Approach </t>
    </r>
    <r>
      <rPr>
        <b/>
        <sz val="12"/>
        <color theme="1"/>
        <rFont val="Microsoft GothicNeo"/>
        <family val="2"/>
        <charset val="129"/>
      </rPr>
      <t>(Embedded)</t>
    </r>
  </si>
  <si>
    <t>Common Equity</t>
  </si>
  <si>
    <t xml:space="preserve">Obligations rated Ca are highly speculative and are likely in, or very near, default, with some prospect of recovery in principal and interest. </t>
  </si>
  <si>
    <t xml:space="preserve">Obligations rated C are the lowest-rated class of bonds and are typical­ly in default, with little prospect for recovery of principal and interest. </t>
  </si>
  <si>
    <t xml:space="preserve">Obligations rated Caa are judged to be of poor standing and are subject to very high credit risk . </t>
  </si>
  <si>
    <t>Obligations rated Aaa are judged to be of the highest quality, with minimal risk.</t>
  </si>
  <si>
    <t xml:space="preserve">Obligations rated A are considered upper-medium-grade and are sub­ject to low credit risk. </t>
  </si>
  <si>
    <t xml:space="preserve">Obligations rated B are considered speculative and are subject to high credit risk. </t>
  </si>
  <si>
    <t xml:space="preserve">Obligations rated Ba are judged to have speculative elements and are subject to substantial credit risk. </t>
  </si>
  <si>
    <t xml:space="preserve">Obligations rated Baa are subject to moderate credit risk. They are considered medium-grade and as such may possess speculative characteristics. </t>
  </si>
  <si>
    <t>D1 = Expected Dividends</t>
  </si>
  <si>
    <r>
      <t>K</t>
    </r>
    <r>
      <rPr>
        <b/>
        <sz val="10"/>
        <color theme="1"/>
        <rFont val="Microsoft GothicNeo"/>
        <family val="2"/>
        <charset val="129"/>
      </rPr>
      <t>E</t>
    </r>
    <r>
      <rPr>
        <b/>
        <sz val="16"/>
        <color theme="1"/>
        <rFont val="Microsoft GothicNeo"/>
        <family val="2"/>
        <charset val="129"/>
      </rPr>
      <t xml:space="preserve"> = (D</t>
    </r>
    <r>
      <rPr>
        <b/>
        <sz val="10"/>
        <color theme="1"/>
        <rFont val="Microsoft GothicNeo"/>
        <family val="2"/>
        <charset val="129"/>
      </rPr>
      <t>1</t>
    </r>
    <r>
      <rPr>
        <b/>
        <sz val="16"/>
        <color theme="1"/>
        <rFont val="Microsoft GothicNeo"/>
        <family val="2"/>
        <charset val="129"/>
      </rPr>
      <t xml:space="preserve"> / P</t>
    </r>
    <r>
      <rPr>
        <b/>
        <sz val="10"/>
        <color theme="1"/>
        <rFont val="Microsoft GothicNeo"/>
        <family val="2"/>
        <charset val="129"/>
      </rPr>
      <t>o</t>
    </r>
    <r>
      <rPr>
        <b/>
        <sz val="16"/>
        <color theme="1"/>
        <rFont val="Microsoft GothicNeo"/>
        <family val="2"/>
        <charset val="129"/>
      </rPr>
      <t>) + G</t>
    </r>
  </si>
  <si>
    <t>KE = Cost of Equity</t>
  </si>
  <si>
    <t>Po   = Current Price</t>
  </si>
  <si>
    <r>
      <t>Price (P</t>
    </r>
    <r>
      <rPr>
        <b/>
        <sz val="9"/>
        <color theme="1"/>
        <rFont val="Microsoft GothicNeo"/>
        <family val="2"/>
        <charset val="129"/>
      </rPr>
      <t>0</t>
    </r>
    <r>
      <rPr>
        <b/>
        <sz val="11"/>
        <color theme="1"/>
        <rFont val="Microsoft GothicNeo"/>
        <family val="2"/>
        <charset val="129"/>
      </rPr>
      <t>)</t>
    </r>
  </si>
  <si>
    <t xml:space="preserve">Dividend Growth Rate </t>
  </si>
  <si>
    <t xml:space="preserve">Earnings Per Share Growth Rate </t>
  </si>
  <si>
    <r>
      <t>Long Term Debt</t>
    </r>
    <r>
      <rPr>
        <b/>
        <sz val="10"/>
        <color theme="1"/>
        <rFont val="Microsoft GothicNeo"/>
        <family val="2"/>
        <charset val="129"/>
      </rPr>
      <t xml:space="preserve"> </t>
    </r>
  </si>
  <si>
    <t>CAPITAL ASSET PRICING MODEL (CAPM)</t>
  </si>
  <si>
    <t>Selected &gt;</t>
  </si>
  <si>
    <t>Inflation and Gross Domestic Product (GDP) Data</t>
  </si>
  <si>
    <t>INFLATION &amp; GDP</t>
  </si>
  <si>
    <t>SELECTED &gt;</t>
  </si>
  <si>
    <t>Equity Risk Premium (ERP)</t>
  </si>
  <si>
    <t>Indicated Equity Rate</t>
  </si>
  <si>
    <t>Industry Risk Premium</t>
  </si>
  <si>
    <t>Weighted Industry Risk Premium (75%)</t>
  </si>
  <si>
    <t>Weighted Equity Risk Premium (25%)</t>
  </si>
  <si>
    <t xml:space="preserve">The CFO Survey  (4) </t>
  </si>
  <si>
    <t>BVR - Historical, Arithmetic Mean  (6)</t>
  </si>
  <si>
    <t>BVR - Historical, Geometric Mean  (7)</t>
  </si>
  <si>
    <t>Empirical CAPM Models</t>
  </si>
  <si>
    <t>CAPM Models</t>
  </si>
  <si>
    <t>KE = Rf + (B  X  ERP X  75%) = (ERP  X  25%)</t>
  </si>
  <si>
    <t>KE = Rf + (B  X  ERP)</t>
  </si>
  <si>
    <t>Industry Beta (B)</t>
  </si>
  <si>
    <t>Value Line Earnings</t>
  </si>
  <si>
    <t>Value Line Dividends</t>
  </si>
  <si>
    <t>Yahoo Finance</t>
  </si>
  <si>
    <t>Return on</t>
  </si>
  <si>
    <t>Gross Revenue</t>
  </si>
  <si>
    <t>Multiplier</t>
  </si>
  <si>
    <t>NOPAT CASH FLOW MULTIPLE &amp; EQUITY RATE</t>
  </si>
  <si>
    <r>
      <t xml:space="preserve">NOPAT CASH FLOW MULTIPLE &amp; EQUITY RATE </t>
    </r>
    <r>
      <rPr>
        <b/>
        <sz val="12"/>
        <color theme="1"/>
        <rFont val="Microsoft GothicNeo"/>
        <family val="2"/>
        <charset val="129"/>
      </rPr>
      <t>(1 Yr Projected VL)</t>
    </r>
  </si>
  <si>
    <t>Long Term Debt includes LT Debt plus Current Portion of LT debt, plus Finance Leases</t>
  </si>
  <si>
    <t>Two-Stage DGM Rate &gt;</t>
  </si>
  <si>
    <t>DGM - Single Stage - Earnings Growth</t>
  </si>
  <si>
    <t>DGM - Single Stage - Dividend Growth</t>
  </si>
  <si>
    <t>DGM - Two Stage - Dividend Growth</t>
  </si>
  <si>
    <t>VL LT Projected NOI</t>
  </si>
  <si>
    <t>Indicated Rate of Debt &gt;</t>
  </si>
  <si>
    <t>Year End</t>
  </si>
  <si>
    <t>10K Income Statement</t>
  </si>
  <si>
    <t>10K Balance Sheet</t>
  </si>
  <si>
    <t>Indicated Rate of Equity Selected &gt;</t>
  </si>
  <si>
    <t>SHORT-TERM GROWTH RATES (5 years)</t>
  </si>
  <si>
    <t>INFLATION RATES</t>
  </si>
  <si>
    <t>LONG TERM GROWTH RATES</t>
  </si>
  <si>
    <t xml:space="preserve">The Federal Reserve Bank projects their "longer run" estimate of change in the U.S. real Gross Domestice Product (GDP) </t>
  </si>
  <si>
    <t>The World Bank forecasts U.S. GDP</t>
  </si>
  <si>
    <t>GROWTH &amp; INFLATION RATES</t>
  </si>
  <si>
    <t>Real LT Growth</t>
  </si>
  <si>
    <t>Federal Reserve Board members and Federal Reserve Bank presidents estimate of long run personal consumption expenditures inflation (5)</t>
  </si>
  <si>
    <t xml:space="preserve">FRB members &amp; FRB presidents opinion (5) </t>
  </si>
  <si>
    <t>Survey of Professional Forecasters Tables 8 &amp; 9   (3)</t>
  </si>
  <si>
    <t>Federal Reserve Statistical Release  10 Yr Inflation protected Treasury securities (1)</t>
  </si>
  <si>
    <t xml:space="preserve">Federal Reserve Statistical Release  20 Yr Inflation protected Treasury securities (1) </t>
  </si>
  <si>
    <t xml:space="preserve">Federal Reserve Statistical Release  30 Yr Inflation protected Treasury securities (1) </t>
  </si>
  <si>
    <t>Federal Reserve Bank of Philadelphia / Livingston Survey Mean  (2)</t>
  </si>
  <si>
    <t>Federal Reserve Bank of Philadelphia / Livingston Survey  Median (2)</t>
  </si>
  <si>
    <t>“Since no firm can grow forever at a rate higher than the growth rate of the economy in which it operates, the constant growth rate cannot be greater</t>
  </si>
  <si>
    <t xml:space="preserve">than the overall growth rate of the economy.”  Dr. Aswath Damodaran (n.d.) The Stable Growth Rate, </t>
  </si>
  <si>
    <t>http://pages.stern.nyu.edu/~adamodar/New_Home_Page/valquestions/stablegrowthrate.htm</t>
  </si>
  <si>
    <t>Trimmed Average</t>
  </si>
  <si>
    <t>*Cornell, B. &amp; Gerger, R. (2017) Estimating Terminal Values with Inflation : The Inputs Matter - It is Not a Formulaic Exercise.  Business Valuation Review, Vol.36, Number 4, 117-123.</t>
  </si>
  <si>
    <t>C1  C2  C3</t>
  </si>
  <si>
    <t>MEDIAN GROWTH RATES</t>
  </si>
  <si>
    <t>SOURCE &gt;</t>
  </si>
  <si>
    <t>SOURCES &gt;</t>
  </si>
  <si>
    <t>1 Yr Projected</t>
  </si>
  <si>
    <t>3-5 Yr Projected</t>
  </si>
  <si>
    <t>Short Term</t>
  </si>
  <si>
    <t>(1)</t>
  </si>
  <si>
    <t>(1)    4 Year compound annual growth rate (CAGR)  - 3 periods</t>
  </si>
  <si>
    <t>Earnings Data</t>
  </si>
  <si>
    <r>
      <t xml:space="preserve">KY DOR                    Earnings Growth Rate                 </t>
    </r>
    <r>
      <rPr>
        <b/>
        <sz val="9"/>
        <color theme="1"/>
        <rFont val="Microsoft GothicNeo"/>
        <family val="2"/>
        <charset val="129"/>
      </rPr>
      <t xml:space="preserve"> (Median / Average)</t>
    </r>
  </si>
  <si>
    <r>
      <t xml:space="preserve">KY DOR                Dividends Growth Rate </t>
    </r>
    <r>
      <rPr>
        <b/>
        <sz val="9"/>
        <color theme="1"/>
        <rFont val="Microsoft GothicNeo"/>
        <family val="2"/>
        <charset val="129"/>
      </rPr>
      <t xml:space="preserve"> (Median / Average)</t>
    </r>
  </si>
  <si>
    <t>YIELD EQUITY RATE</t>
  </si>
  <si>
    <t>g = b X ROE</t>
  </si>
  <si>
    <t>g = LT growth rate</t>
  </si>
  <si>
    <t>b = reinvestment rate</t>
  </si>
  <si>
    <t>ROE = Return on equity (or return on investment)</t>
  </si>
  <si>
    <t>b = g  / ROE</t>
  </si>
  <si>
    <t>The plowback ratio is multiplied by Net Cash Flow to estimate the amount of additional capital expenditures needed to achieve projected results.</t>
  </si>
  <si>
    <t>Reinvestment Rate =</t>
  </si>
  <si>
    <t>EBIT (1-Tax Rate)</t>
  </si>
  <si>
    <t>Capital Expenditures - Depreciation + Change in Working Capital</t>
  </si>
  <si>
    <t>Aswath Damodaran's model to determine the Reinvesment Rate &gt;</t>
  </si>
  <si>
    <t>It is assumed that the ROE is a fixed (unchanging) rate.</t>
  </si>
  <si>
    <t>Maintenance Capital Expenditures and Change in Working Capital</t>
  </si>
  <si>
    <t>http://www.federalreserve.gov/</t>
  </si>
  <si>
    <t>Operating Leases ****</t>
  </si>
  <si>
    <t>Market Value</t>
  </si>
  <si>
    <t>10K</t>
  </si>
  <si>
    <t>Market to</t>
  </si>
  <si>
    <t>Long Term Debt</t>
  </si>
  <si>
    <t xml:space="preserve">Capital </t>
  </si>
  <si>
    <t>Market</t>
  </si>
  <si>
    <t>to Book</t>
  </si>
  <si>
    <t>Composite</t>
  </si>
  <si>
    <t>Total</t>
  </si>
  <si>
    <t>AVERAGE</t>
  </si>
  <si>
    <t>Market to Book Ratios - Obsolescence Measurement</t>
  </si>
  <si>
    <t>Common Total Equity</t>
  </si>
  <si>
    <t>FMV / PV</t>
  </si>
  <si>
    <t>GCF CASH FLOW MULTIPLE &amp; EQUITY RATE</t>
  </si>
  <si>
    <r>
      <t xml:space="preserve">GCF CASH FLOW MULTIPLE &amp; EQUITY RATE </t>
    </r>
    <r>
      <rPr>
        <b/>
        <sz val="12"/>
        <color theme="1"/>
        <rFont val="Microsoft GothicNeo"/>
        <family val="2"/>
        <charset val="129"/>
      </rPr>
      <t>(1 Yr Projected VL)</t>
    </r>
  </si>
  <si>
    <t>https://tradingeconomics.com/united-states/gdp-growth</t>
  </si>
  <si>
    <t xml:space="preserve">http://www.worldbank.org/en/publication/global-economic-prospects </t>
  </si>
  <si>
    <t>CFRA                                    S&amp;P Net Advantage</t>
  </si>
  <si>
    <t>Zacks Investment Research</t>
  </si>
  <si>
    <t>Companies excluded from the study &gt;</t>
  </si>
  <si>
    <r>
      <t>K</t>
    </r>
    <r>
      <rPr>
        <b/>
        <sz val="10"/>
        <color theme="1"/>
        <rFont val="Microsoft GothicNeo"/>
        <family val="2"/>
        <charset val="129"/>
      </rPr>
      <t>E</t>
    </r>
    <r>
      <rPr>
        <b/>
        <sz val="16"/>
        <color theme="1"/>
        <rFont val="Microsoft GothicNeo"/>
        <family val="2"/>
        <charset val="129"/>
      </rPr>
      <t xml:space="preserve"> = (DY  X  (1+ .5(G)))  + .67(G1)  +  .33(g)</t>
    </r>
  </si>
  <si>
    <t>G   = Average growth rate</t>
  </si>
  <si>
    <t>G1 = Short term growth estimate</t>
  </si>
  <si>
    <t>DY = Dividend Yield     See ValueLine</t>
  </si>
  <si>
    <t>g   = Stable Growth - Nominal growth rate</t>
  </si>
  <si>
    <t>AA+</t>
  </si>
  <si>
    <t>AAA</t>
  </si>
  <si>
    <t>AA</t>
  </si>
  <si>
    <t>Obligations rated Aa are judged to be of high quality, with minimal risk.</t>
  </si>
  <si>
    <t>AA-</t>
  </si>
  <si>
    <t>BBB+</t>
  </si>
  <si>
    <t>BBB</t>
  </si>
  <si>
    <t>BBB-</t>
  </si>
  <si>
    <t>BB+</t>
  </si>
  <si>
    <t>BB</t>
  </si>
  <si>
    <t>BB-</t>
  </si>
  <si>
    <t>B-</t>
  </si>
  <si>
    <t>CCC+</t>
  </si>
  <si>
    <t>CCC</t>
  </si>
  <si>
    <t>CCC-</t>
  </si>
  <si>
    <t>CC</t>
  </si>
  <si>
    <t>Scale</t>
  </si>
  <si>
    <t>Retained to</t>
  </si>
  <si>
    <t>Shareholders Equity</t>
  </si>
  <si>
    <t>Retained to Common Equity -- Net profit less all common and preferred dividends divided by common equity including intangible assets, expressed as a percentage.  Also known as the plowback ratio.</t>
  </si>
  <si>
    <t>Return on Shareholders Equity -- Annual net profit divided by year-end shareholders equity, expressed as a percentage.</t>
  </si>
  <si>
    <t>Ca1</t>
  </si>
  <si>
    <t>Ca2</t>
  </si>
  <si>
    <t>Ca3</t>
  </si>
  <si>
    <t>CC+</t>
  </si>
  <si>
    <t>CC-</t>
  </si>
  <si>
    <t>AAA-</t>
  </si>
  <si>
    <t>AAA+</t>
  </si>
  <si>
    <t>Aaa1</t>
  </si>
  <si>
    <t>Aaa2</t>
  </si>
  <si>
    <t>Aaa3</t>
  </si>
  <si>
    <t>Share</t>
  </si>
  <si>
    <t>Gross Revenues</t>
  </si>
  <si>
    <t>NOPAT Earnings</t>
  </si>
  <si>
    <t>The purpose of this ratio is to test whether the market price is worth more (or less) than the cost of the assets.</t>
  </si>
  <si>
    <t>If the result is greater than one(1), it indicates the market value exceeds book value and can often be used as a sign of competent management.</t>
  </si>
  <si>
    <t>The higher the return on revenue the higher the price to revenue will be.</t>
  </si>
  <si>
    <t>Cash flow is typically defined to be net income plus depreciation and amortization.</t>
  </si>
  <si>
    <t xml:space="preserve">This measure is considered relevant for companies with high non-cash charges reflected in the income statement.  Non-cash charges include depreciation &amp; amortization, goodwill impairments, asset write downs, </t>
  </si>
  <si>
    <t>stock based compensation, and deferred income taxes and investment tax credits.</t>
  </si>
  <si>
    <t>P/E Ratio - Long Term Projection NOPAT</t>
  </si>
  <si>
    <t>&amp; Op Leases</t>
  </si>
  <si>
    <t>Earnings Growth = DY + EG</t>
  </si>
  <si>
    <t>Dividend Growth = DY + DG</t>
  </si>
  <si>
    <t>EG = Earnings Growth</t>
  </si>
  <si>
    <t>DG = Dividend Growth</t>
  </si>
  <si>
    <t>DY = Dividend Yield</t>
  </si>
  <si>
    <t>G = Projected Growth (Earnings Per Share 5 Yr Growth Rate)</t>
  </si>
  <si>
    <t>G = Projected Growth (Div. 5 Yr Growth Rate)</t>
  </si>
  <si>
    <t>General Partner Units</t>
  </si>
  <si>
    <t>Gross Book Value Equity</t>
  </si>
  <si>
    <t>GROSS REVENUE &amp; GROSS BOOK (EQUITY) MULTIPLES</t>
  </si>
  <si>
    <t>Multiple *</t>
  </si>
  <si>
    <t>* This multiple is applicable to service type companies, or those with few assets.  These companies sell at prices related to their revenues.</t>
  </si>
  <si>
    <t>** The book value, or common equity, per share is total owners' equity minus preferred stock divided by the number of common shares outstanding.</t>
  </si>
  <si>
    <t>Projected</t>
  </si>
  <si>
    <t xml:space="preserve">Property, Plant &amp; Equipment includes CWIP, but should exclude intangibles and the associated amortization.  </t>
  </si>
  <si>
    <t>Common Total Equity excludes 'noncontrolling interests' equity value.</t>
  </si>
  <si>
    <t xml:space="preserve">http://www.federalreserve.gov/Releases/H15/Current/ </t>
  </si>
  <si>
    <t>Railroad Carriers</t>
  </si>
  <si>
    <t>Canadian National</t>
  </si>
  <si>
    <t>CNI</t>
  </si>
  <si>
    <t>Railroad</t>
  </si>
  <si>
    <t>CP</t>
  </si>
  <si>
    <t>CSX Corp</t>
  </si>
  <si>
    <t>CSX</t>
  </si>
  <si>
    <t>Norfolk Southern</t>
  </si>
  <si>
    <t>NSC</t>
  </si>
  <si>
    <t>Union Pacific Railroad</t>
  </si>
  <si>
    <t>UNP</t>
  </si>
  <si>
    <t>CP completed acquisition of KCS on 12/14/21</t>
  </si>
  <si>
    <t>American Railcar Industries Inc -  Designer and manufacturer of railcars.  Not a railroad.</t>
  </si>
  <si>
    <t>GATX Corporation -  Railcar lessor.  Not a railroad.</t>
  </si>
  <si>
    <t>Genesee &amp; Wyoming- Removed, was sold to infastructure asset management firm Brookfield Infastructure in '19. No longer listed on stock indexes as separate entity.</t>
  </si>
  <si>
    <t>GreenBrier Companies Inc.  -  Designer, manufacturer, plus repairs of railcars.  Not a railroad.</t>
  </si>
  <si>
    <t>Trinity Industries Inc. -  Manufacturer of railcars and component parts.  Not a railroad.</t>
  </si>
  <si>
    <t>Kansas City Southern merged with CP in December 2021</t>
  </si>
  <si>
    <t>Companies added to the study &gt;</t>
  </si>
  <si>
    <t>Per Share **</t>
  </si>
  <si>
    <t>Inflation is the % change in the value of the Wholesale Price Index (WPI) on a year-to-year basis.</t>
  </si>
  <si>
    <t>Federal Reserve Statistical release - Inflation Protected Treasury Indexed Securities - 10 Year  (1)</t>
  </si>
  <si>
    <t xml:space="preserve">Federal Reserve Statistical release - Inflation Protected Treasury Indexed Securities - 20 Year  (1) </t>
  </si>
  <si>
    <t xml:space="preserve">Federal Reserve Statistical release - Inflation Protected Treasury Indexed Securities - 30 Year (1) </t>
  </si>
  <si>
    <t>Mergent Rating</t>
  </si>
  <si>
    <t xml:space="preserve">Risk Free Rate (Rf) </t>
  </si>
  <si>
    <t>Yield Equity Rate - DGM (Dividend Growth) &amp; DGM (Earnings Growth)  -- Gordon Growth</t>
  </si>
  <si>
    <t>Three Stage Ex Ante  Version 1  (1) (2)</t>
  </si>
  <si>
    <t>Three Stage Ex Ante  Version 2   (1) (2)</t>
  </si>
  <si>
    <t>CAPM - Ex Ante, Three Stage - V1</t>
  </si>
  <si>
    <t>CAPM - Ex Ante, Three Stage - V2</t>
  </si>
  <si>
    <t>Empirical CAPM - Ex Ante, Three Stage - V1</t>
  </si>
  <si>
    <t>Empirical CAPM - Ex Ante, Three Stage - V2</t>
  </si>
  <si>
    <t>Mean</t>
  </si>
  <si>
    <t>Harmonic Mean</t>
  </si>
  <si>
    <t>Federal Reserve Bank of Philadelphia  /Survey of Professional Forecasters  Mean (3)</t>
  </si>
  <si>
    <t xml:space="preserve">S&amp;P Rating </t>
  </si>
  <si>
    <t xml:space="preserve">(1) &amp; (2) Three Stage Dividend Growth Model, S&amp;P 500.  The Three Stage Ex Ante calculations were performed by Minnesota and Montana.  The Equity risk premiums are shown above.  </t>
  </si>
  <si>
    <t>S&amp;P Global Market Intelligence (9)</t>
  </si>
  <si>
    <t>https://simplywall.st/stocks/us/transportation</t>
  </si>
  <si>
    <t>https://www.bvresources.com/products/faqs/cost-of-capital-professional</t>
  </si>
  <si>
    <t>https://www.richmondfed.org/research/national_economy/cfo_survey</t>
  </si>
  <si>
    <t>http://pages.stern.nyu.edu/~adamodar/New_Home_Page/datacurrent.html</t>
  </si>
  <si>
    <t>A market to book ratio over one would be an indication of no obsolescence.</t>
  </si>
  <si>
    <t>.</t>
  </si>
  <si>
    <t>Damodaran Implied ERP Ex Ante   Trailing 12 mo Cash Yield (3)</t>
  </si>
  <si>
    <t>Damodaran Implied ERP Ex Ante   Net Cash Yield (3)</t>
  </si>
  <si>
    <t>Damodaran Implied ERP Ex Ante   Norm. Earnings &amp; Payout (3)</t>
  </si>
  <si>
    <t>KROLL Ex Post  - ERP Historical (8)</t>
  </si>
  <si>
    <t>KROLL Ex Post - ERP Supply Side (8)</t>
  </si>
  <si>
    <t>KROLL Ex Ante - ERP Conditional (8)</t>
  </si>
  <si>
    <t>CAPM - Ex Ante  Damodaran 12 Mo Cash Yield</t>
  </si>
  <si>
    <t>CAPM - Ex Ante  Damodaran Net Cash Yield</t>
  </si>
  <si>
    <t>CAPM - Ex Ante  Damodaran NEP</t>
  </si>
  <si>
    <t>CAPM - Ex Post KROLL ERP Historical</t>
  </si>
  <si>
    <t>CAPM - Ex Post  KROLL ERP Supply Side</t>
  </si>
  <si>
    <t>CAPM - Ex Ante  KROLL ERP Conditional</t>
  </si>
  <si>
    <t>Empirical CAPM - Ex Ante  Damodaran 12 Mo Cash Yield</t>
  </si>
  <si>
    <t>Empirical CAPM - Ex Ante  Damodaran Net Cash Yield</t>
  </si>
  <si>
    <t>Empirical CAPM - Ex Ante  Damodaran NEP</t>
  </si>
  <si>
    <t>Empirical CAPM - Ex Post KROLL ERP Historical</t>
  </si>
  <si>
    <t>Empirical CAPM - Ex Post  KROLL ERP Supply Side</t>
  </si>
  <si>
    <t>Empirical CAPM - Ex Ante  KROLL ERP Conditional</t>
  </si>
  <si>
    <t>P. Fernandez, T. Garcia de Santos &amp; J.F.Acin  (5)</t>
  </si>
  <si>
    <t>Three Stage Ex Ante  Version 1  (1)(2)</t>
  </si>
  <si>
    <t>Three Stage Ex Ante  Version 2   (1)(2)</t>
  </si>
  <si>
    <t>Damodaran Implied ERP Ex Ante   Avg CF Yield Last 10 Yrs (3)</t>
  </si>
  <si>
    <t>CAPM - Ex Ante  Damodaran Avg CF Yield Last 10 Yrs</t>
  </si>
  <si>
    <t>Empirical CAPM - Ex Ante  Damodaran Avg CF Yield Last 10 Yrs</t>
  </si>
  <si>
    <t>The Trading Economics projects the U.S. GDP annual growth rate for 2025</t>
  </si>
  <si>
    <t xml:space="preserve">Trading Economics, United States Full Year GDP Growth Rate Forecast  </t>
  </si>
  <si>
    <t>To calculate the inflation rate, compare the inflation-indexed securities to the non-inflation indexed securities. The difference between the securities (using the 10-year, 20-year, and 30- year constant securities) provides the inflation rate.</t>
  </si>
  <si>
    <t xml:space="preserve">Congressional Budget Office Real Economic Projections (4)  </t>
  </si>
  <si>
    <t>https://www.cbo.gov/system/files/2021-02/56970-Outlook.p</t>
  </si>
  <si>
    <t>2024 CAPITALIZATION RATE STUDY</t>
  </si>
  <si>
    <t>2024 Tax Year</t>
  </si>
  <si>
    <t>YEAR END 12/31/2023</t>
  </si>
  <si>
    <t>Dec. 31, 2023</t>
  </si>
  <si>
    <t>Vl Projected 2024</t>
  </si>
  <si>
    <t>Canadian Conversion Rate = .73 US Dollars</t>
  </si>
  <si>
    <t>B++</t>
  </si>
  <si>
    <r>
      <t xml:space="preserve">NOPAT CASH FLOW MULTIPLE &amp; EQUITY RATE </t>
    </r>
    <r>
      <rPr>
        <b/>
        <sz val="12"/>
        <color theme="1"/>
        <rFont val="Microsoft GothicNeo"/>
        <family val="2"/>
        <charset val="129"/>
      </rPr>
      <t>(LT 27-29 Yr Projected VL)</t>
    </r>
  </si>
  <si>
    <t xml:space="preserve">1.60% in 2024   &amp;  1.70% in 2025 </t>
  </si>
  <si>
    <t>1.5% in 2024  &amp;  2.2% in 2025&amp;2026</t>
  </si>
  <si>
    <t>2.1% 2027 to 2028  &amp;  1.9% 2029 to 2034</t>
  </si>
  <si>
    <t>The market yield on 20 year US Treasury  Jan 2, 2024</t>
  </si>
  <si>
    <t>Board of Governors of the Federal Reserve System, H.15, Selected Interest Rates, Market Yield on U.S. Treasury Securities 20-year constant maturity quoted on investment bases, daily observations as of Jan 2, 2024.</t>
  </si>
  <si>
    <t>Board of Governors of the Federal Reserve System, Economic projections of Federal Reserve Board members and Federal Reserve Bank presidents under their individual assessments of projected appropriate monetary policy. December 2023</t>
  </si>
  <si>
    <t>https://www.federalreserve.gov/monetarypolicy/files/fomcprojtabl20231213.pdf</t>
  </si>
  <si>
    <t>World Bank Group Flagship Report, Global Economic Prospects. January 2024-25. Page 4.</t>
  </si>
  <si>
    <t>The Congressional Budget Office projects the U.S. GDP annual growth rates</t>
  </si>
  <si>
    <t>https://www.cbo.gov/publication/59933</t>
  </si>
  <si>
    <t xml:space="preserve">Federal Reserve Bank of Philadelphia - The Livingston Survey - Inflation Mean (measured by the CPI over next 10 years) Dec. 2023  Table 3   Page 8  (2) </t>
  </si>
  <si>
    <t xml:space="preserve">Federal Reserve Bank of Philadelphia - The Livingston Survey - Inflation Median (measured by the CPI over next 10 years) Dec. 2023  Table 3  Page 8  (2)  </t>
  </si>
  <si>
    <t>Congressional Budget Office  Average % change Yr to Yr  2024-2034  Table2-1  (4)</t>
  </si>
  <si>
    <t>5 Yr  Jan 2 2024</t>
  </si>
  <si>
    <t>3.93 - 1.76 = 2.17</t>
  </si>
  <si>
    <t>10 Yr  Jan 2 2024</t>
  </si>
  <si>
    <t>3.95 - 1.74 = 2.21</t>
  </si>
  <si>
    <t>20 Yr  Jan 2 2024</t>
  </si>
  <si>
    <t>4.25 - 1.84 = 2.41</t>
  </si>
  <si>
    <t>30 Yr  Jan 2 2024</t>
  </si>
  <si>
    <t>4.08 - 1.91 = 2.17</t>
  </si>
  <si>
    <t xml:space="preserve">(1)  Federal Reserve Statistical Release  January 2, 2024 </t>
  </si>
  <si>
    <t xml:space="preserve">(2)  Federal Reserve Bank of Philadelphia The Livingston Survey December 15, 2023 Table 3, page 8   Inflation Rate and Real GDP mean for next 10 years </t>
  </si>
  <si>
    <t>(2)  Federal Reserve Bank of Philadelphia The Livingston Survey December 17, 2023 Table 3, page 8   Median annual CPI Rate and Real GDP Growth Rate for next 10 years</t>
  </si>
  <si>
    <t>(3)  Federal Reserve Bank of Philadelphia Survey of Professional Forecasters February 9, 2024 Table 8 and Table 9 Average over next 10-Year mean   See below.</t>
  </si>
  <si>
    <t>spfq124.pdf (philadelphiafed.org)</t>
  </si>
  <si>
    <t>(4)  Budget Office, The Budget and Economic Outlook: 2024 to 2034, Table 2-1  and 2023 to 2033, Table C-1  See bellow.</t>
  </si>
  <si>
    <t>Retrieved February 8, 2024 from</t>
  </si>
  <si>
    <t xml:space="preserve">(5) Board of Governors of the Federal Reserve System, Economic projections of Federal Reserve Board members and Federal Reserve Bank presidents under their individual assessments of projected appropriate monetary policy. December 2023 </t>
  </si>
  <si>
    <t>(3) Implied Equity Risk Premium on January 5, 2024 as determined by Dr. Aswath Damodaran</t>
  </si>
  <si>
    <t xml:space="preserve">(4) The CFO Survey (2023). Data &amp; Results December 20, 2023. Mean average annual S&amp;P return over next ten years (8.9%) less annual yield on 10‐year Treasury Bonds (3.96%). </t>
  </si>
  <si>
    <t>(5) Fernandez, P., Garcia D., &amp; Acin, J. F. (2023). Survey: Market Risk Premium and Risk‐Free Rate used for 80 countries in 2023. SSRN Electronic Journal.</t>
  </si>
  <si>
    <t>https://papers.ssrn.com/sol3/papers.cfm?abstract_id=4407839</t>
  </si>
  <si>
    <t xml:space="preserve">(6) &amp; (7) Business Valuation Resources, Cost of Capital Professional. (2024). Historical ERP 1928 to present, using arithmetic mean, geometric mean, and 20-Year Treasury Securities. </t>
  </si>
  <si>
    <t xml:space="preserve">(8) KROLL, Cost of Capital Navigator. (2024). </t>
  </si>
  <si>
    <t xml:space="preserve">(9) S&amp;P Global Market Intelligence ( Jan. 2024). </t>
  </si>
  <si>
    <t>Estimated 21-23 to 27-29</t>
  </si>
  <si>
    <t>A- / AA-</t>
  </si>
  <si>
    <t>A3 / Baa1</t>
  </si>
  <si>
    <t>Daily Tresury Par Real Yield Curve Rates  Jan 2 (1)</t>
  </si>
  <si>
    <t>YEAR END</t>
  </si>
  <si>
    <t xml:space="preserve">** Debt includes  LT Debt , Current portion of LT Debt  from 10K </t>
  </si>
  <si>
    <t xml:space="preserve">**** Market value of operating leases for all companies.  </t>
  </si>
  <si>
    <t>Variable Op Leases *****</t>
  </si>
  <si>
    <t>CS+PS+OL+VL+LTD</t>
  </si>
  <si>
    <t>plus Finance Leases</t>
  </si>
  <si>
    <t>Canadian Pacific Kansas City Limited  CPKC</t>
  </si>
  <si>
    <t>***** Market value of variable operating leases for all companies. Variable leases are not generally included in the ROU liability figure shown on the balance sheet.</t>
  </si>
  <si>
    <t>Washington State.</t>
  </si>
  <si>
    <t>Montana</t>
  </si>
  <si>
    <t>Op Leses Mkt</t>
  </si>
  <si>
    <t>Corporate                          December Avg</t>
  </si>
  <si>
    <t>Utility                                                December Avg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</si>
</sst>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_(* #,##0.0000_);_(* \(#,##0.0000\);_(* &quot;-&quot;??_);_(@_)"/>
    <numFmt numFmtId="167" formatCode="_(* #,##0.000_);_(* \(#,##0.000\);_(* &quot;-&quot;??_);_(@_)"/>
    <numFmt numFmtId="168" formatCode="0.000%"/>
    <numFmt numFmtId="169" formatCode="0.0000%"/>
  </numFmts>
  <fonts count="75">
    <font>
      <sz val="11"/>
      <color theme="1"/>
      <name val="Calibri"/>
      <family val="2"/>
      <scheme val="minor"/>
    </font>
    <font>
      <sz val="11"/>
      <color theme="1"/>
      <name val="Calibri"/>
      <family val="2"/>
      <scheme val="minor"/>
    </font>
    <font>
      <b/>
      <sz val="11"/>
      <color theme="1"/>
      <name val="Helvetica Narrow Bold"/>
      <family val="2"/>
    </font>
    <font>
      <sz val="12"/>
      <color theme="1"/>
      <name val="Calibri"/>
      <family val="2"/>
      <scheme val="minor"/>
    </font>
    <font>
      <b/>
      <sz val="14"/>
      <color theme="1"/>
      <name val="Calibri"/>
      <family val="2"/>
      <scheme val="minor"/>
    </font>
    <font>
      <sz val="14"/>
      <color theme="1"/>
      <name val="Calibri"/>
      <family val="2"/>
      <scheme val="minor"/>
    </font>
    <font>
      <b/>
      <sz val="22"/>
      <color theme="1"/>
      <name val="Georgia"/>
      <family val="1"/>
    </font>
    <font>
      <sz val="11"/>
      <color theme="1"/>
      <name val="Georgia"/>
      <family val="1"/>
    </font>
    <font>
      <b/>
      <i/>
      <sz val="22"/>
      <color theme="1"/>
      <name val="Georgia"/>
      <family val="1"/>
    </font>
    <font>
      <i/>
      <sz val="11"/>
      <color theme="1"/>
      <name val="Georgia"/>
      <family val="1"/>
    </font>
    <font>
      <b/>
      <sz val="11"/>
      <color theme="1"/>
      <name val="Palatino Roman"/>
      <family val="1"/>
    </font>
    <font>
      <sz val="11"/>
      <color theme="1"/>
      <name val="Palatino Roman"/>
      <family val="1"/>
    </font>
    <font>
      <b/>
      <sz val="26"/>
      <color theme="1"/>
      <name val="Calibri"/>
      <family val="2"/>
      <scheme val="minor"/>
    </font>
    <font>
      <sz val="26"/>
      <color theme="1"/>
      <name val="Calibri"/>
      <family val="2"/>
      <scheme val="minor"/>
    </font>
    <font>
      <b/>
      <sz val="11"/>
      <name val="Calibri"/>
      <family val="2"/>
      <scheme val="minor"/>
    </font>
    <font>
      <sz val="9"/>
      <color indexed="81"/>
      <name val="Tahoma"/>
      <family val="2"/>
    </font>
    <font>
      <sz val="12"/>
      <name val="TIMES"/>
    </font>
    <font>
      <u/>
      <sz val="11"/>
      <color theme="10"/>
      <name val="Calibri"/>
      <family val="2"/>
      <scheme val="minor"/>
    </font>
    <font>
      <sz val="11"/>
      <color theme="1"/>
      <name val="Microsoft GothicNeo"/>
      <family val="2"/>
      <charset val="129"/>
    </font>
    <font>
      <sz val="11"/>
      <name val="Microsoft GothicNeo"/>
      <family val="2"/>
      <charset val="129"/>
    </font>
    <font>
      <b/>
      <sz val="11"/>
      <color theme="1"/>
      <name val="Microsoft GothicNeo"/>
      <family val="2"/>
      <charset val="129"/>
    </font>
    <font>
      <b/>
      <sz val="11"/>
      <name val="Microsoft GothicNeo"/>
      <family val="2"/>
      <charset val="129"/>
    </font>
    <font>
      <b/>
      <sz val="18"/>
      <color theme="1"/>
      <name val="Microsoft GothicNeo"/>
      <family val="2"/>
      <charset val="129"/>
    </font>
    <font>
      <b/>
      <sz val="16"/>
      <color theme="1"/>
      <name val="Microsoft GothicNeo"/>
      <family val="2"/>
      <charset val="129"/>
    </font>
    <font>
      <b/>
      <sz val="12"/>
      <color indexed="8"/>
      <name val="Microsoft GothicNeo"/>
      <family val="2"/>
      <charset val="129"/>
    </font>
    <font>
      <b/>
      <sz val="11"/>
      <color indexed="8"/>
      <name val="Microsoft GothicNeo"/>
      <family val="2"/>
      <charset val="129"/>
    </font>
    <font>
      <b/>
      <sz val="11"/>
      <color rgb="FFFF0000"/>
      <name val="Microsoft GothicNeo"/>
      <family val="2"/>
      <charset val="129"/>
    </font>
    <font>
      <b/>
      <sz val="14"/>
      <color theme="1"/>
      <name val="Microsoft GothicNeo"/>
      <family val="2"/>
      <charset val="129"/>
    </font>
    <font>
      <b/>
      <sz val="10"/>
      <color theme="1"/>
      <name val="Microsoft GothicNeo"/>
      <family val="2"/>
      <charset val="129"/>
    </font>
    <font>
      <sz val="9"/>
      <color theme="1"/>
      <name val="Microsoft GothicNeo"/>
      <family val="2"/>
      <charset val="129"/>
    </font>
    <font>
      <sz val="10"/>
      <color theme="1"/>
      <name val="Microsoft GothicNeo"/>
      <family val="2"/>
      <charset val="129"/>
    </font>
    <font>
      <i/>
      <sz val="9"/>
      <color theme="1"/>
      <name val="Microsoft GothicNeo"/>
      <family val="2"/>
      <charset val="129"/>
    </font>
    <font>
      <b/>
      <sz val="9"/>
      <color theme="1"/>
      <name val="Microsoft GothicNeo"/>
      <family val="2"/>
      <charset val="129"/>
    </font>
    <font>
      <b/>
      <sz val="12"/>
      <color theme="1"/>
      <name val="Microsoft GothicNeo"/>
      <family val="2"/>
      <charset val="129"/>
    </font>
    <font>
      <b/>
      <i/>
      <sz val="10"/>
      <color theme="1"/>
      <name val="Microsoft GothicNeo"/>
      <family val="2"/>
      <charset val="129"/>
    </font>
    <font>
      <sz val="16"/>
      <color theme="1"/>
      <name val="Microsoft GothicNeo"/>
      <family val="2"/>
      <charset val="129"/>
    </font>
    <font>
      <sz val="12"/>
      <color theme="1"/>
      <name val="Microsoft GothicNeo"/>
      <family val="2"/>
      <charset val="129"/>
    </font>
    <font>
      <b/>
      <sz val="12"/>
      <name val="Microsoft GothicNeo"/>
      <family val="2"/>
      <charset val="129"/>
    </font>
    <font>
      <b/>
      <i/>
      <u/>
      <sz val="11"/>
      <color theme="1"/>
      <name val="Microsoft GothicNeo"/>
      <family val="2"/>
      <charset val="129"/>
    </font>
    <font>
      <b/>
      <i/>
      <sz val="11"/>
      <color theme="1"/>
      <name val="Microsoft GothicNeo"/>
      <family val="2"/>
      <charset val="129"/>
    </font>
    <font>
      <i/>
      <sz val="10"/>
      <color theme="1"/>
      <name val="Microsoft GothicNeo"/>
      <family val="2"/>
      <charset val="129"/>
    </font>
    <font>
      <b/>
      <sz val="16"/>
      <name val="Microsoft GothicNeo"/>
      <family val="2"/>
      <charset val="129"/>
    </font>
    <font>
      <b/>
      <sz val="16"/>
      <color rgb="FFFF0000"/>
      <name val="Microsoft GothicNeo"/>
      <family val="2"/>
      <charset val="129"/>
    </font>
    <font>
      <sz val="12"/>
      <color rgb="FFFF0000"/>
      <name val="Microsoft GothicNeo"/>
      <family val="2"/>
      <charset val="129"/>
    </font>
    <font>
      <b/>
      <sz val="12"/>
      <color rgb="FF0000CC"/>
      <name val="Microsoft GothicNeo"/>
      <family val="2"/>
      <charset val="129"/>
    </font>
    <font>
      <b/>
      <sz val="14"/>
      <name val="Microsoft GothicNeo"/>
      <family val="2"/>
      <charset val="129"/>
    </font>
    <font>
      <u/>
      <sz val="11"/>
      <color theme="10"/>
      <name val="Microsoft GothicNeo"/>
      <family val="2"/>
      <charset val="129"/>
    </font>
    <font>
      <sz val="10"/>
      <name val="Microsoft GothicNeo"/>
      <family val="2"/>
      <charset val="129"/>
    </font>
    <font>
      <b/>
      <sz val="12"/>
      <color rgb="FFFF0000"/>
      <name val="Microsoft GothicNeo"/>
      <family val="2"/>
      <charset val="129"/>
    </font>
    <font>
      <b/>
      <sz val="14"/>
      <color rgb="FFFF0000"/>
      <name val="Microsoft GothicNeo"/>
      <family val="2"/>
      <charset val="129"/>
    </font>
    <font>
      <b/>
      <sz val="11"/>
      <color theme="1"/>
      <name val="Calibri"/>
      <family val="2"/>
      <scheme val="minor"/>
    </font>
    <font>
      <sz val="14"/>
      <color theme="1"/>
      <name val="Microsoft GothicNeo"/>
      <family val="2"/>
      <charset val="129"/>
    </font>
    <font>
      <sz val="11"/>
      <color rgb="FFFF0000"/>
      <name val="Microsoft GothicNeo"/>
      <family val="2"/>
      <charset val="129"/>
    </font>
    <font>
      <sz val="18"/>
      <color theme="1"/>
      <name val="Microsoft GothicNeo"/>
      <family val="2"/>
      <charset val="129"/>
    </font>
    <font>
      <sz val="20"/>
      <color theme="1"/>
      <name val="Microsoft GothicNeo"/>
      <family val="2"/>
      <charset val="129"/>
    </font>
    <font>
      <b/>
      <sz val="20"/>
      <color theme="1"/>
      <name val="Microsoft GothicNeo"/>
      <family val="2"/>
      <charset val="129"/>
    </font>
    <font>
      <b/>
      <sz val="11"/>
      <color indexed="81"/>
      <name val="Tahoma"/>
      <family val="2"/>
    </font>
    <font>
      <sz val="11"/>
      <color indexed="81"/>
      <name val="Tahoma"/>
      <family val="2"/>
    </font>
    <font>
      <b/>
      <i/>
      <sz val="18"/>
      <color rgb="FF0000CC"/>
      <name val="Microsoft GothicNeo"/>
      <family val="2"/>
      <charset val="129"/>
    </font>
    <font>
      <b/>
      <sz val="9"/>
      <color indexed="81"/>
      <name val="Tahoma"/>
      <family val="2"/>
    </font>
    <font>
      <sz val="11"/>
      <name val="Calibri"/>
      <family val="2"/>
      <scheme val="minor"/>
    </font>
    <font>
      <b/>
      <i/>
      <sz val="18"/>
      <name val="Calibri"/>
      <family val="2"/>
      <scheme val="minor"/>
    </font>
    <font>
      <b/>
      <i/>
      <sz val="10"/>
      <color rgb="FF0000CC"/>
      <name val="Microsoft GothicNeo"/>
      <family val="2"/>
      <charset val="129"/>
    </font>
    <font>
      <b/>
      <sz val="12"/>
      <name val="Calibri"/>
      <family val="2"/>
      <scheme val="minor"/>
    </font>
    <font>
      <b/>
      <i/>
      <sz val="14"/>
      <color theme="1"/>
      <name val="Calibri"/>
      <family val="2"/>
      <scheme val="minor"/>
    </font>
    <font>
      <b/>
      <sz val="9"/>
      <name val="Microsoft GothicNeo"/>
      <family val="2"/>
      <charset val="129"/>
    </font>
    <font>
      <sz val="12"/>
      <color rgb="FF000000"/>
      <name val="Arial"/>
      <family val="2"/>
    </font>
    <font>
      <i/>
      <sz val="11"/>
      <color theme="1"/>
      <name val="Microsoft GothicNeo"/>
      <family val="2"/>
      <charset val="129"/>
    </font>
    <font>
      <b/>
      <sz val="18"/>
      <name val="Microsoft GothicNeo"/>
      <family val="2"/>
      <charset val="129"/>
    </font>
    <font>
      <b/>
      <i/>
      <sz val="12"/>
      <color theme="1"/>
      <name val="Microsoft GothicNeo"/>
      <family val="2"/>
      <charset val="129"/>
    </font>
    <font>
      <sz val="11"/>
      <name val="Microsoft GothicNeo Light"/>
      <family val="2"/>
      <charset val="129"/>
    </font>
    <font>
      <sz val="11"/>
      <color rgb="FF0000CC"/>
      <name val="Microsoft GothicNeo"/>
      <family val="2"/>
      <charset val="129"/>
    </font>
    <font>
      <b/>
      <sz val="11"/>
      <color theme="1"/>
      <name val="Microsoft GothicNeo Light"/>
      <family val="2"/>
      <charset val="129"/>
    </font>
    <font>
      <u/>
      <sz val="11"/>
      <color theme="10"/>
      <name val="Microsoft GothicNeo Light"/>
      <family val="2"/>
      <charset val="129"/>
    </font>
    <font>
      <sz val="11"/>
      <color theme="1"/>
      <name val="Cordia New"/>
      <family val="2"/>
      <charset val="222"/>
    </font>
  </fonts>
  <fills count="5">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
      <patternFill patternType="solid">
        <fgColor rgb="FFFFFF00"/>
        <bgColor indexed="64"/>
      </patternFill>
    </fill>
  </fills>
  <borders count="45">
    <border>
      <left/>
      <right/>
      <top/>
      <bottom/>
      <diagonal/>
    </border>
    <border>
      <left/>
      <right/>
      <top/>
      <bottom style="thin">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double">
        <color indexed="64"/>
      </bottom>
      <diagonal/>
    </border>
    <border>
      <left style="thin">
        <color indexed="64"/>
      </left>
      <right/>
      <top/>
      <bottom style="double">
        <color indexed="64"/>
      </bottom>
      <diagonal/>
    </border>
    <border>
      <left style="thin">
        <color indexed="64"/>
      </left>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6" fillId="0" borderId="0"/>
    <xf numFmtId="0" fontId="16" fillId="0" borderId="0"/>
    <xf numFmtId="0" fontId="17" fillId="0" borderId="0" applyNumberFormat="0" applyFill="0" applyBorder="0" applyAlignment="0" applyProtection="0"/>
  </cellStyleXfs>
  <cellXfs count="470">
    <xf numFmtId="0" fontId="0" fillId="0" borderId="0" xfId="0"/>
    <xf numFmtId="0" fontId="2" fillId="0" borderId="0" xfId="0" applyFont="1"/>
    <xf numFmtId="164" fontId="2" fillId="0" borderId="0" xfId="1" applyNumberFormat="1" applyFont="1"/>
    <xf numFmtId="0" fontId="3" fillId="0" borderId="0" xfId="0" applyFont="1"/>
    <xf numFmtId="0" fontId="6" fillId="0" borderId="0" xfId="0" applyFont="1" applyAlignment="1">
      <alignment horizontal="center"/>
    </xf>
    <xf numFmtId="0" fontId="7" fillId="0" borderId="0" xfId="0" applyFont="1" applyAlignment="1">
      <alignment horizontal="center"/>
    </xf>
    <xf numFmtId="0" fontId="10" fillId="0" borderId="0" xfId="0" applyFont="1" applyAlignment="1">
      <alignment horizontal="center"/>
    </xf>
    <xf numFmtId="0" fontId="11" fillId="0" borderId="0" xfId="0" applyFont="1" applyAlignment="1">
      <alignment horizontal="center"/>
    </xf>
    <xf numFmtId="0" fontId="18" fillId="0" borderId="0" xfId="0" applyFont="1"/>
    <xf numFmtId="0" fontId="18" fillId="0" borderId="0" xfId="0" applyFont="1" applyAlignment="1">
      <alignment horizontal="center"/>
    </xf>
    <xf numFmtId="0" fontId="20" fillId="0" borderId="0" xfId="0" applyFont="1" applyAlignment="1">
      <alignment horizontal="right"/>
    </xf>
    <xf numFmtId="43" fontId="21" fillId="0" borderId="0" xfId="1" applyFont="1" applyAlignment="1">
      <alignment horizontal="right" vertical="center"/>
    </xf>
    <xf numFmtId="43" fontId="21" fillId="0" borderId="0" xfId="1" applyFont="1" applyFill="1" applyAlignment="1">
      <alignment horizontal="right" vertical="center"/>
    </xf>
    <xf numFmtId="43" fontId="20" fillId="0" borderId="0" xfId="1" applyFont="1" applyFill="1" applyAlignment="1">
      <alignment horizontal="right"/>
    </xf>
    <xf numFmtId="43" fontId="20" fillId="0" borderId="0" xfId="1" applyFont="1" applyFill="1" applyAlignment="1">
      <alignment horizontal="center"/>
    </xf>
    <xf numFmtId="43" fontId="20" fillId="0" borderId="0" xfId="1" applyFont="1" applyFill="1" applyAlignment="1">
      <alignment horizontal="center" vertical="center"/>
    </xf>
    <xf numFmtId="43" fontId="20" fillId="0" borderId="0" xfId="1" applyFont="1" applyFill="1" applyBorder="1" applyAlignment="1">
      <alignment horizontal="center" vertical="center"/>
    </xf>
    <xf numFmtId="43" fontId="20" fillId="0" borderId="0" xfId="1" applyFont="1" applyFill="1"/>
    <xf numFmtId="0" fontId="22" fillId="0" borderId="0" xfId="0" applyFont="1"/>
    <xf numFmtId="0" fontId="23" fillId="0" borderId="0" xfId="0" applyFont="1"/>
    <xf numFmtId="0" fontId="24" fillId="0" borderId="0" xfId="0" applyFont="1"/>
    <xf numFmtId="0" fontId="25" fillId="0" borderId="0" xfId="0" applyFont="1"/>
    <xf numFmtId="0" fontId="26" fillId="0" borderId="0" xfId="0" applyFont="1"/>
    <xf numFmtId="0" fontId="27" fillId="0" borderId="16" xfId="0" applyFont="1" applyBorder="1"/>
    <xf numFmtId="0" fontId="18" fillId="0" borderId="2" xfId="0" applyFont="1" applyBorder="1"/>
    <xf numFmtId="0" fontId="26" fillId="0" borderId="2" xfId="0" applyFont="1" applyBorder="1"/>
    <xf numFmtId="0" fontId="27" fillId="0" borderId="0" xfId="0" applyFont="1"/>
    <xf numFmtId="0" fontId="23" fillId="0" borderId="0" xfId="0" applyFont="1" applyAlignment="1">
      <alignment horizontal="center"/>
    </xf>
    <xf numFmtId="0" fontId="28" fillId="0" borderId="2" xfId="0" applyFont="1" applyBorder="1" applyAlignment="1">
      <alignment horizontal="center"/>
    </xf>
    <xf numFmtId="0" fontId="29" fillId="0" borderId="2" xfId="0" applyFont="1" applyBorder="1" applyAlignment="1">
      <alignment horizontal="center"/>
    </xf>
    <xf numFmtId="0" fontId="20" fillId="0" borderId="0" xfId="0" applyFont="1" applyAlignment="1">
      <alignment horizontal="center"/>
    </xf>
    <xf numFmtId="0" fontId="28" fillId="0" borderId="0" xfId="0" applyFont="1" applyAlignment="1">
      <alignment horizontal="center"/>
    </xf>
    <xf numFmtId="0" fontId="20" fillId="0" borderId="2" xfId="0" applyFont="1" applyBorder="1" applyAlignment="1">
      <alignment horizontal="center"/>
    </xf>
    <xf numFmtId="0" fontId="30" fillId="0" borderId="2" xfId="0" applyFont="1" applyBorder="1" applyAlignment="1">
      <alignment horizontal="center"/>
    </xf>
    <xf numFmtId="0" fontId="29" fillId="0" borderId="1" xfId="0" applyFont="1" applyBorder="1" applyAlignment="1">
      <alignment horizontal="center"/>
    </xf>
    <xf numFmtId="0" fontId="31" fillId="0" borderId="1" xfId="0" applyFont="1" applyBorder="1" applyAlignment="1">
      <alignment horizontal="center"/>
    </xf>
    <xf numFmtId="0" fontId="29" fillId="0" borderId="0" xfId="0" applyFont="1" applyAlignment="1">
      <alignment horizontal="center"/>
    </xf>
    <xf numFmtId="0" fontId="32" fillId="0" borderId="2" xfId="0" applyFont="1" applyBorder="1" applyAlignment="1">
      <alignment horizontal="center"/>
    </xf>
    <xf numFmtId="0" fontId="34" fillId="0" borderId="1" xfId="0" applyFont="1" applyBorder="1" applyAlignment="1">
      <alignment horizontal="center"/>
    </xf>
    <xf numFmtId="0" fontId="20" fillId="0" borderId="0" xfId="0" applyFont="1"/>
    <xf numFmtId="166" fontId="21" fillId="0" borderId="0" xfId="1" applyNumberFormat="1" applyFont="1" applyFill="1" applyAlignment="1">
      <alignment horizontal="center"/>
    </xf>
    <xf numFmtId="166" fontId="21" fillId="0" borderId="0" xfId="1" applyNumberFormat="1" applyFont="1" applyFill="1"/>
    <xf numFmtId="0" fontId="20" fillId="0" borderId="4" xfId="0" applyFont="1" applyBorder="1"/>
    <xf numFmtId="0" fontId="21" fillId="0" borderId="0" xfId="0" applyFont="1" applyAlignment="1">
      <alignment horizontal="center" vertical="center"/>
    </xf>
    <xf numFmtId="166" fontId="20" fillId="0" borderId="0" xfId="1" applyNumberFormat="1" applyFont="1" applyFill="1" applyAlignment="1">
      <alignment horizontal="center"/>
    </xf>
    <xf numFmtId="0" fontId="23" fillId="0" borderId="0" xfId="0" applyFont="1" applyAlignment="1">
      <alignment horizontal="right"/>
    </xf>
    <xf numFmtId="10" fontId="20" fillId="0" borderId="0" xfId="2" applyNumberFormat="1" applyFont="1" applyFill="1" applyAlignment="1">
      <alignment horizontal="center" vertical="center"/>
    </xf>
    <xf numFmtId="10" fontId="20" fillId="0" borderId="0" xfId="2" applyNumberFormat="1" applyFont="1" applyFill="1" applyBorder="1" applyAlignment="1">
      <alignment horizontal="center" vertical="center"/>
    </xf>
    <xf numFmtId="10" fontId="21" fillId="0" borderId="0" xfId="2" applyNumberFormat="1" applyFont="1" applyAlignment="1">
      <alignment horizontal="right" vertical="center"/>
    </xf>
    <xf numFmtId="10" fontId="21" fillId="0" borderId="0" xfId="2" applyNumberFormat="1" applyFont="1" applyFill="1" applyAlignment="1">
      <alignment horizontal="right"/>
    </xf>
    <xf numFmtId="10" fontId="20" fillId="0" borderId="0" xfId="2" applyNumberFormat="1" applyFont="1" applyFill="1" applyAlignment="1">
      <alignment horizontal="right"/>
    </xf>
    <xf numFmtId="10" fontId="20" fillId="0" borderId="0" xfId="2" applyNumberFormat="1" applyFont="1" applyFill="1" applyAlignment="1">
      <alignment horizontal="center"/>
    </xf>
    <xf numFmtId="10" fontId="20" fillId="0" borderId="0" xfId="2" applyNumberFormat="1" applyFont="1" applyFill="1"/>
    <xf numFmtId="0" fontId="18" fillId="2" borderId="20" xfId="0" applyFont="1" applyFill="1" applyBorder="1" applyAlignment="1">
      <alignment horizontal="center"/>
    </xf>
    <xf numFmtId="0" fontId="18" fillId="2" borderId="22" xfId="0" applyFont="1" applyFill="1" applyBorder="1" applyAlignment="1">
      <alignment horizontal="center"/>
    </xf>
    <xf numFmtId="2" fontId="37" fillId="0" borderId="0" xfId="0" applyNumberFormat="1" applyFont="1" applyAlignment="1">
      <alignment horizontal="center"/>
    </xf>
    <xf numFmtId="164" fontId="37" fillId="0" borderId="0" xfId="1" applyNumberFormat="1" applyFont="1" applyAlignment="1"/>
    <xf numFmtId="2" fontId="21" fillId="0" borderId="0" xfId="0" applyNumberFormat="1" applyFont="1" applyAlignment="1">
      <alignment horizontal="center"/>
    </xf>
    <xf numFmtId="0" fontId="33" fillId="0" borderId="0" xfId="0" applyFont="1"/>
    <xf numFmtId="43" fontId="23" fillId="0" borderId="0" xfId="1" applyFont="1" applyFill="1"/>
    <xf numFmtId="2" fontId="37" fillId="0" borderId="4" xfId="0" applyNumberFormat="1" applyFont="1" applyBorder="1" applyAlignment="1">
      <alignment horizontal="center"/>
    </xf>
    <xf numFmtId="10" fontId="21" fillId="0" borderId="0" xfId="2" applyNumberFormat="1" applyFont="1" applyFill="1" applyAlignment="1">
      <alignment horizontal="center"/>
    </xf>
    <xf numFmtId="0" fontId="18" fillId="0" borderId="2" xfId="0" applyFont="1" applyBorder="1" applyAlignment="1">
      <alignment horizontal="center"/>
    </xf>
    <xf numFmtId="0" fontId="30" fillId="0" borderId="17" xfId="0" applyFont="1" applyBorder="1" applyAlignment="1">
      <alignment horizontal="center"/>
    </xf>
    <xf numFmtId="0" fontId="23" fillId="0" borderId="0" xfId="0" applyFont="1" applyAlignment="1">
      <alignment horizontal="center" vertical="center"/>
    </xf>
    <xf numFmtId="0" fontId="18" fillId="0" borderId="4" xfId="0" applyFont="1" applyBorder="1"/>
    <xf numFmtId="2" fontId="21" fillId="0" borderId="0" xfId="0" applyNumberFormat="1" applyFont="1" applyAlignment="1">
      <alignment horizontal="right" vertical="center"/>
    </xf>
    <xf numFmtId="2" fontId="20" fillId="0" borderId="0" xfId="0" applyNumberFormat="1" applyFont="1" applyAlignment="1">
      <alignment horizontal="right"/>
    </xf>
    <xf numFmtId="10" fontId="20" fillId="0" borderId="0" xfId="0" applyNumberFormat="1" applyFont="1"/>
    <xf numFmtId="0" fontId="38" fillId="0" borderId="0" xfId="0" applyFont="1" applyAlignment="1">
      <alignment horizontal="center"/>
    </xf>
    <xf numFmtId="0" fontId="39" fillId="0" borderId="0" xfId="0" applyFont="1"/>
    <xf numFmtId="0" fontId="40" fillId="0" borderId="17" xfId="0" applyFont="1" applyBorder="1" applyAlignment="1">
      <alignment horizontal="center"/>
    </xf>
    <xf numFmtId="0" fontId="35" fillId="0" borderId="0" xfId="0" applyFont="1" applyAlignment="1">
      <alignment horizontal="right"/>
    </xf>
    <xf numFmtId="0" fontId="27" fillId="0" borderId="0" xfId="0" applyFont="1" applyAlignment="1">
      <alignment horizontal="center"/>
    </xf>
    <xf numFmtId="0" fontId="20" fillId="0" borderId="24" xfId="0" applyFont="1" applyBorder="1" applyAlignment="1">
      <alignment horizontal="center"/>
    </xf>
    <xf numFmtId="0" fontId="20" fillId="0" borderId="10" xfId="0" applyFont="1" applyBorder="1" applyAlignment="1">
      <alignment horizontal="center"/>
    </xf>
    <xf numFmtId="0" fontId="20" fillId="0" borderId="3" xfId="0" applyFont="1" applyBorder="1" applyAlignment="1">
      <alignment horizontal="center"/>
    </xf>
    <xf numFmtId="10" fontId="20" fillId="0" borderId="0" xfId="2" applyNumberFormat="1" applyFont="1"/>
    <xf numFmtId="10" fontId="20" fillId="0" borderId="0" xfId="1" applyNumberFormat="1" applyFont="1" applyFill="1"/>
    <xf numFmtId="10" fontId="42" fillId="0" borderId="0" xfId="2" applyNumberFormat="1" applyFont="1" applyFill="1" applyAlignment="1">
      <alignment horizontal="center"/>
    </xf>
    <xf numFmtId="164" fontId="20" fillId="0" borderId="0" xfId="1" applyNumberFormat="1" applyFont="1"/>
    <xf numFmtId="0" fontId="18" fillId="0" borderId="0" xfId="0" applyFont="1" applyAlignment="1">
      <alignment horizontal="left"/>
    </xf>
    <xf numFmtId="0" fontId="20" fillId="0" borderId="2" xfId="0" applyFont="1" applyBorder="1"/>
    <xf numFmtId="0" fontId="33" fillId="0" borderId="7" xfId="0" applyFont="1" applyBorder="1" applyAlignment="1">
      <alignment horizontal="center"/>
    </xf>
    <xf numFmtId="0" fontId="33" fillId="0" borderId="10" xfId="0" applyFont="1" applyBorder="1" applyAlignment="1">
      <alignment horizontal="center"/>
    </xf>
    <xf numFmtId="0" fontId="33" fillId="0" borderId="0" xfId="0" applyFont="1" applyAlignment="1">
      <alignment horizontal="center"/>
    </xf>
    <xf numFmtId="15" fontId="33" fillId="0" borderId="10" xfId="0" applyNumberFormat="1" applyFont="1" applyBorder="1" applyAlignment="1">
      <alignment horizontal="center"/>
    </xf>
    <xf numFmtId="15" fontId="33" fillId="0" borderId="0" xfId="0" quotePrefix="1" applyNumberFormat="1" applyFont="1" applyAlignment="1">
      <alignment horizontal="center"/>
    </xf>
    <xf numFmtId="0" fontId="37" fillId="0" borderId="10" xfId="0" applyFont="1" applyBorder="1" applyAlignment="1">
      <alignment horizontal="center"/>
    </xf>
    <xf numFmtId="0" fontId="33" fillId="0" borderId="8" xfId="0" applyFont="1" applyBorder="1" applyAlignment="1">
      <alignment horizontal="center"/>
    </xf>
    <xf numFmtId="0" fontId="33" fillId="0" borderId="3" xfId="0" applyFont="1" applyBorder="1" applyAlignment="1">
      <alignment horizontal="center"/>
    </xf>
    <xf numFmtId="0" fontId="33" fillId="0" borderId="2" xfId="0" applyFont="1" applyBorder="1" applyAlignment="1">
      <alignment horizontal="center"/>
    </xf>
    <xf numFmtId="0" fontId="34" fillId="0" borderId="3" xfId="0" applyFont="1" applyBorder="1" applyAlignment="1">
      <alignment horizontal="center"/>
    </xf>
    <xf numFmtId="0" fontId="34" fillId="0" borderId="2" xfId="0" applyFont="1" applyBorder="1" applyAlignment="1">
      <alignment horizontal="center"/>
    </xf>
    <xf numFmtId="0" fontId="34" fillId="0" borderId="9" xfId="0" applyFont="1" applyBorder="1" applyAlignment="1">
      <alignment horizontal="center"/>
    </xf>
    <xf numFmtId="0" fontId="34" fillId="0" borderId="11" xfId="0" applyFont="1" applyBorder="1" applyAlignment="1">
      <alignment horizontal="center"/>
    </xf>
    <xf numFmtId="0" fontId="33" fillId="0" borderId="10" xfId="0" applyFont="1" applyBorder="1"/>
    <xf numFmtId="0" fontId="33" fillId="0" borderId="7" xfId="0" applyFont="1" applyBorder="1"/>
    <xf numFmtId="0" fontId="37" fillId="0" borderId="0" xfId="0" applyFont="1" applyAlignment="1">
      <alignment horizontal="center"/>
    </xf>
    <xf numFmtId="2" fontId="37" fillId="0" borderId="10" xfId="0" applyNumberFormat="1" applyFont="1" applyBorder="1" applyAlignment="1">
      <alignment horizontal="center"/>
    </xf>
    <xf numFmtId="0" fontId="36" fillId="0" borderId="0" xfId="0" applyFont="1"/>
    <xf numFmtId="0" fontId="43" fillId="0" borderId="2" xfId="0" applyFont="1" applyBorder="1"/>
    <xf numFmtId="0" fontId="36" fillId="0" borderId="2" xfId="0" applyFont="1" applyBorder="1"/>
    <xf numFmtId="0" fontId="36" fillId="0" borderId="5" xfId="0" applyFont="1" applyBorder="1"/>
    <xf numFmtId="0" fontId="36" fillId="0" borderId="6" xfId="0" applyFont="1" applyBorder="1"/>
    <xf numFmtId="15" fontId="33" fillId="0" borderId="6" xfId="0" quotePrefix="1" applyNumberFormat="1" applyFont="1" applyBorder="1" applyAlignment="1">
      <alignment horizontal="center"/>
    </xf>
    <xf numFmtId="0" fontId="18" fillId="0" borderId="6" xfId="0" applyFont="1" applyBorder="1"/>
    <xf numFmtId="0" fontId="33" fillId="0" borderId="14" xfId="0" applyFont="1" applyBorder="1" applyAlignment="1">
      <alignment horizontal="center"/>
    </xf>
    <xf numFmtId="0" fontId="34" fillId="0" borderId="15" xfId="0" applyFont="1" applyBorder="1" applyAlignment="1">
      <alignment horizontal="center"/>
    </xf>
    <xf numFmtId="164" fontId="37" fillId="0" borderId="0" xfId="1" applyNumberFormat="1" applyFont="1" applyFill="1" applyBorder="1"/>
    <xf numFmtId="0" fontId="36" fillId="0" borderId="8" xfId="0" applyFont="1" applyBorder="1"/>
    <xf numFmtId="0" fontId="36" fillId="0" borderId="14" xfId="0" applyFont="1" applyBorder="1"/>
    <xf numFmtId="0" fontId="33" fillId="0" borderId="0" xfId="0" applyFont="1" applyAlignment="1">
      <alignment horizontal="right"/>
    </xf>
    <xf numFmtId="10" fontId="33" fillId="0" borderId="0" xfId="0" applyNumberFormat="1" applyFont="1" applyAlignment="1">
      <alignment horizontal="right"/>
    </xf>
    <xf numFmtId="10" fontId="33" fillId="0" borderId="0" xfId="2" applyNumberFormat="1" applyFont="1" applyFill="1"/>
    <xf numFmtId="10" fontId="33" fillId="0" borderId="0" xfId="2" applyNumberFormat="1" applyFont="1"/>
    <xf numFmtId="2" fontId="18" fillId="0" borderId="0" xfId="0" applyNumberFormat="1" applyFont="1"/>
    <xf numFmtId="0" fontId="20" fillId="0" borderId="1" xfId="0" applyFont="1" applyBorder="1" applyAlignment="1">
      <alignment horizontal="center"/>
    </xf>
    <xf numFmtId="0" fontId="27" fillId="0" borderId="0" xfId="0" applyFont="1" applyAlignment="1">
      <alignment horizontal="right"/>
    </xf>
    <xf numFmtId="0" fontId="21" fillId="0" borderId="0" xfId="0" applyFont="1"/>
    <xf numFmtId="0" fontId="19" fillId="0" borderId="0" xfId="0" applyFont="1"/>
    <xf numFmtId="0" fontId="19" fillId="0" borderId="0" xfId="0" applyFont="1" applyAlignment="1">
      <alignment horizontal="left"/>
    </xf>
    <xf numFmtId="0" fontId="46" fillId="0" borderId="0" xfId="6" applyFont="1" applyFill="1" applyAlignment="1" applyProtection="1">
      <alignment horizontal="left" vertical="top"/>
    </xf>
    <xf numFmtId="0" fontId="19" fillId="0" borderId="0" xfId="0" applyFont="1" applyAlignment="1">
      <alignment horizontal="left" vertical="top"/>
    </xf>
    <xf numFmtId="0" fontId="19" fillId="0" borderId="0" xfId="0" applyFont="1" applyAlignment="1">
      <alignment vertical="top"/>
    </xf>
    <xf numFmtId="0" fontId="47" fillId="0" borderId="0" xfId="0" applyFont="1" applyAlignment="1">
      <alignment horizontal="left" vertical="top"/>
    </xf>
    <xf numFmtId="0" fontId="47" fillId="0" borderId="0" xfId="0" applyFont="1"/>
    <xf numFmtId="165" fontId="20" fillId="0" borderId="0" xfId="3" applyNumberFormat="1" applyFont="1" applyFill="1" applyAlignment="1">
      <alignment horizontal="center"/>
    </xf>
    <xf numFmtId="164" fontId="21" fillId="0" borderId="0" xfId="1" applyNumberFormat="1" applyFont="1" applyFill="1"/>
    <xf numFmtId="10" fontId="21" fillId="0" borderId="0" xfId="2" applyNumberFormat="1" applyFont="1" applyFill="1"/>
    <xf numFmtId="0" fontId="27" fillId="0" borderId="2" xfId="0" applyFont="1" applyBorder="1" applyAlignment="1">
      <alignment horizontal="center"/>
    </xf>
    <xf numFmtId="10" fontId="37" fillId="0" borderId="0" xfId="2" applyNumberFormat="1" applyFont="1" applyFill="1" applyAlignment="1">
      <alignment horizontal="center"/>
    </xf>
    <xf numFmtId="10" fontId="37" fillId="0" borderId="0" xfId="2" applyNumberFormat="1" applyFont="1" applyFill="1"/>
    <xf numFmtId="2" fontId="48" fillId="0" borderId="0" xfId="0" applyNumberFormat="1" applyFont="1" applyAlignment="1">
      <alignment horizontal="center"/>
    </xf>
    <xf numFmtId="2" fontId="33" fillId="0" borderId="2" xfId="0" applyNumberFormat="1" applyFont="1" applyBorder="1" applyAlignment="1">
      <alignment horizontal="center"/>
    </xf>
    <xf numFmtId="10" fontId="33" fillId="0" borderId="2" xfId="2" applyNumberFormat="1" applyFont="1" applyBorder="1"/>
    <xf numFmtId="10" fontId="33" fillId="0" borderId="0" xfId="0" applyNumberFormat="1" applyFont="1" applyAlignment="1">
      <alignment horizontal="center"/>
    </xf>
    <xf numFmtId="2" fontId="33" fillId="0" borderId="0" xfId="0" applyNumberFormat="1" applyFont="1" applyAlignment="1">
      <alignment horizontal="center"/>
    </xf>
    <xf numFmtId="0" fontId="37" fillId="0" borderId="0" xfId="0" applyFont="1"/>
    <xf numFmtId="0" fontId="33" fillId="0" borderId="0" xfId="0" applyFont="1" applyAlignment="1">
      <alignment horizontal="left"/>
    </xf>
    <xf numFmtId="10" fontId="18" fillId="0" borderId="0" xfId="0" applyNumberFormat="1" applyFont="1"/>
    <xf numFmtId="0" fontId="49" fillId="0" borderId="2" xfId="0" applyFont="1" applyBorder="1"/>
    <xf numFmtId="0" fontId="0" fillId="0" borderId="2" xfId="0" applyBorder="1"/>
    <xf numFmtId="0" fontId="27" fillId="0" borderId="2" xfId="0" applyFont="1" applyBorder="1"/>
    <xf numFmtId="0" fontId="18" fillId="0" borderId="5" xfId="0" applyFont="1" applyBorder="1"/>
    <xf numFmtId="0" fontId="18" fillId="0" borderId="12" xfId="0" applyFont="1" applyBorder="1"/>
    <xf numFmtId="0" fontId="20" fillId="0" borderId="8" xfId="0" applyFont="1" applyBorder="1" applyAlignment="1">
      <alignment horizontal="center" vertical="center"/>
    </xf>
    <xf numFmtId="0" fontId="27" fillId="0" borderId="34" xfId="0" applyFont="1" applyBorder="1" applyAlignment="1">
      <alignment horizontal="center" vertical="center" wrapText="1"/>
    </xf>
    <xf numFmtId="0" fontId="27" fillId="0" borderId="16" xfId="0" applyFont="1" applyBorder="1" applyAlignment="1">
      <alignment horizontal="center" vertical="center"/>
    </xf>
    <xf numFmtId="0" fontId="27" fillId="0" borderId="16" xfId="0" applyFont="1" applyBorder="1" applyAlignment="1">
      <alignment horizontal="center" vertical="center" wrapText="1"/>
    </xf>
    <xf numFmtId="0" fontId="27" fillId="0" borderId="32" xfId="0" applyFont="1" applyBorder="1" applyAlignment="1">
      <alignment horizontal="center" vertical="center"/>
    </xf>
    <xf numFmtId="0" fontId="33" fillId="0" borderId="16" xfId="0" applyFont="1" applyBorder="1" applyAlignment="1">
      <alignment horizontal="center" vertical="center"/>
    </xf>
    <xf numFmtId="0" fontId="27" fillId="0" borderId="7" xfId="0" applyFont="1" applyBorder="1" applyAlignment="1">
      <alignment horizontal="center" vertical="center"/>
    </xf>
    <xf numFmtId="0" fontId="33" fillId="0" borderId="2" xfId="0" applyFont="1" applyBorder="1" applyAlignment="1">
      <alignment horizontal="center" vertical="center"/>
    </xf>
    <xf numFmtId="0" fontId="49" fillId="0" borderId="33" xfId="0" applyFont="1" applyBorder="1"/>
    <xf numFmtId="0" fontId="18" fillId="0" borderId="27" xfId="0" applyFont="1" applyBorder="1"/>
    <xf numFmtId="0" fontId="18" fillId="0" borderId="26" xfId="0" applyFont="1" applyBorder="1"/>
    <xf numFmtId="0" fontId="33" fillId="0" borderId="29" xfId="0" applyFont="1" applyBorder="1"/>
    <xf numFmtId="0" fontId="33" fillId="0" borderId="31" xfId="0" applyFont="1" applyBorder="1"/>
    <xf numFmtId="10" fontId="37" fillId="0" borderId="25" xfId="2" applyNumberFormat="1" applyFont="1" applyFill="1" applyBorder="1" applyAlignment="1">
      <alignment horizontal="center"/>
    </xf>
    <xf numFmtId="0" fontId="33" fillId="0" borderId="20" xfId="0" applyFont="1" applyBorder="1"/>
    <xf numFmtId="10" fontId="37" fillId="0" borderId="26" xfId="2" applyNumberFormat="1" applyFont="1" applyFill="1" applyBorder="1" applyAlignment="1">
      <alignment horizontal="center"/>
    </xf>
    <xf numFmtId="0" fontId="33" fillId="0" borderId="22" xfId="0" applyFont="1" applyBorder="1"/>
    <xf numFmtId="0" fontId="33" fillId="0" borderId="1" xfId="0" applyFont="1" applyBorder="1"/>
    <xf numFmtId="10" fontId="37" fillId="0" borderId="27" xfId="2" applyNumberFormat="1" applyFont="1" applyFill="1" applyBorder="1" applyAlignment="1">
      <alignment horizontal="center"/>
    </xf>
    <xf numFmtId="10" fontId="37" fillId="0" borderId="26" xfId="2" applyNumberFormat="1" applyFont="1" applyBorder="1" applyAlignment="1">
      <alignment horizontal="center" vertical="center"/>
    </xf>
    <xf numFmtId="10" fontId="33" fillId="0" borderId="25" xfId="2" applyNumberFormat="1" applyFont="1" applyFill="1" applyBorder="1" applyAlignment="1">
      <alignment horizontal="center"/>
    </xf>
    <xf numFmtId="10" fontId="33" fillId="0" borderId="27" xfId="2" applyNumberFormat="1" applyFont="1" applyFill="1" applyBorder="1" applyAlignment="1">
      <alignment horizontal="center"/>
    </xf>
    <xf numFmtId="10" fontId="37" fillId="0" borderId="0" xfId="2" applyNumberFormat="1" applyFont="1" applyAlignment="1">
      <alignment horizontal="right" vertical="center"/>
    </xf>
    <xf numFmtId="43" fontId="37" fillId="0" borderId="0" xfId="1" applyFont="1" applyAlignment="1">
      <alignment horizontal="right" vertical="center"/>
    </xf>
    <xf numFmtId="10" fontId="33" fillId="0" borderId="0" xfId="2" applyNumberFormat="1" applyFont="1" applyFill="1" applyAlignment="1">
      <alignment horizontal="right"/>
    </xf>
    <xf numFmtId="43" fontId="33" fillId="0" borderId="0" xfId="1" applyFont="1" applyFill="1" applyAlignment="1">
      <alignment horizontal="right"/>
    </xf>
    <xf numFmtId="43" fontId="33" fillId="0" borderId="0" xfId="1" applyFont="1" applyFill="1"/>
    <xf numFmtId="0" fontId="33" fillId="0" borderId="0" xfId="0" applyFont="1" applyAlignment="1">
      <alignment horizontal="center" vertical="center"/>
    </xf>
    <xf numFmtId="0" fontId="21" fillId="0" borderId="25" xfId="0" applyFont="1" applyBorder="1" applyAlignment="1">
      <alignment horizontal="center"/>
    </xf>
    <xf numFmtId="0" fontId="21" fillId="0" borderId="27" xfId="0" applyFont="1" applyBorder="1" applyAlignment="1">
      <alignment horizontal="center"/>
    </xf>
    <xf numFmtId="44" fontId="37" fillId="0" borderId="0" xfId="3" applyFont="1" applyAlignment="1">
      <alignment horizontal="center"/>
    </xf>
    <xf numFmtId="165" fontId="20" fillId="0" borderId="0" xfId="0" applyNumberFormat="1" applyFont="1" applyAlignment="1">
      <alignment horizontal="center"/>
    </xf>
    <xf numFmtId="0" fontId="28" fillId="0" borderId="0" xfId="0" applyFont="1"/>
    <xf numFmtId="0" fontId="32" fillId="0" borderId="0" xfId="0" applyFont="1"/>
    <xf numFmtId="0" fontId="20" fillId="0" borderId="0" xfId="0" applyFont="1" applyAlignment="1">
      <alignment horizontal="right" vertical="center"/>
    </xf>
    <xf numFmtId="0" fontId="0" fillId="0" borderId="34" xfId="0" applyBorder="1"/>
    <xf numFmtId="0" fontId="18" fillId="0" borderId="32" xfId="0" applyFont="1" applyBorder="1"/>
    <xf numFmtId="0" fontId="23" fillId="0" borderId="34" xfId="0" applyFont="1" applyBorder="1" applyAlignment="1">
      <alignment horizontal="right"/>
    </xf>
    <xf numFmtId="10" fontId="23" fillId="0" borderId="16" xfId="2" applyNumberFormat="1" applyFont="1" applyFill="1" applyBorder="1" applyAlignment="1">
      <alignment horizontal="center"/>
    </xf>
    <xf numFmtId="0" fontId="35" fillId="0" borderId="16" xfId="0" applyFont="1" applyBorder="1" applyAlignment="1">
      <alignment horizontal="center"/>
    </xf>
    <xf numFmtId="0" fontId="22" fillId="0" borderId="32" xfId="0" applyFont="1" applyBorder="1"/>
    <xf numFmtId="0" fontId="22" fillId="0" borderId="34" xfId="0" applyFont="1" applyBorder="1" applyAlignment="1">
      <alignment horizontal="right"/>
    </xf>
    <xf numFmtId="0" fontId="22" fillId="0" borderId="34" xfId="0" applyFont="1" applyBorder="1"/>
    <xf numFmtId="0" fontId="18" fillId="0" borderId="34" xfId="0" applyFont="1" applyBorder="1"/>
    <xf numFmtId="0" fontId="33" fillId="0" borderId="7" xfId="0" applyFont="1" applyBorder="1" applyAlignment="1">
      <alignment horizontal="center" vertical="center"/>
    </xf>
    <xf numFmtId="10" fontId="33" fillId="0" borderId="0" xfId="2" applyNumberFormat="1" applyFont="1" applyBorder="1" applyAlignment="1">
      <alignment horizontal="center" vertical="center"/>
    </xf>
    <xf numFmtId="10" fontId="33" fillId="0" borderId="13" xfId="2" applyNumberFormat="1" applyFont="1" applyBorder="1" applyAlignment="1">
      <alignment horizontal="center" vertical="center"/>
    </xf>
    <xf numFmtId="0" fontId="36" fillId="0" borderId="7" xfId="0" applyFont="1" applyBorder="1"/>
    <xf numFmtId="0" fontId="36" fillId="0" borderId="13" xfId="0" applyFont="1" applyBorder="1"/>
    <xf numFmtId="0" fontId="23" fillId="0" borderId="16" xfId="0" applyFont="1" applyBorder="1" applyAlignment="1">
      <alignment horizontal="center" vertical="center"/>
    </xf>
    <xf numFmtId="0" fontId="52" fillId="0" borderId="0" xfId="0" applyFont="1"/>
    <xf numFmtId="0" fontId="23" fillId="0" borderId="16" xfId="0" applyFont="1" applyBorder="1" applyAlignment="1">
      <alignment horizontal="right"/>
    </xf>
    <xf numFmtId="2" fontId="33" fillId="0" borderId="16" xfId="0" applyNumberFormat="1" applyFont="1" applyBorder="1" applyAlignment="1">
      <alignment horizontal="center"/>
    </xf>
    <xf numFmtId="43" fontId="33" fillId="0" borderId="0" xfId="1" applyFont="1" applyBorder="1" applyAlignment="1">
      <alignment horizontal="center" vertical="center"/>
    </xf>
    <xf numFmtId="43" fontId="33" fillId="0" borderId="0" xfId="1" applyFont="1" applyBorder="1" applyAlignment="1">
      <alignment vertical="center"/>
    </xf>
    <xf numFmtId="10" fontId="33" fillId="0" borderId="0" xfId="2" applyNumberFormat="1" applyFont="1" applyBorder="1" applyAlignment="1">
      <alignment vertical="center"/>
    </xf>
    <xf numFmtId="10" fontId="0" fillId="0" borderId="0" xfId="2" applyNumberFormat="1" applyFont="1"/>
    <xf numFmtId="10" fontId="33" fillId="0" borderId="0" xfId="2" applyNumberFormat="1" applyFont="1" applyFill="1" applyBorder="1" applyAlignment="1">
      <alignment horizontal="center" vertical="center"/>
    </xf>
    <xf numFmtId="0" fontId="33" fillId="0" borderId="30" xfId="0" applyFont="1" applyBorder="1"/>
    <xf numFmtId="0" fontId="33" fillId="0" borderId="21" xfId="0" applyFont="1" applyBorder="1"/>
    <xf numFmtId="0" fontId="33" fillId="0" borderId="23" xfId="0" applyFont="1" applyBorder="1"/>
    <xf numFmtId="10" fontId="37" fillId="2" borderId="26" xfId="2" applyNumberFormat="1" applyFont="1" applyFill="1" applyBorder="1" applyAlignment="1">
      <alignment horizontal="center"/>
    </xf>
    <xf numFmtId="0" fontId="18" fillId="0" borderId="24" xfId="0" applyFont="1" applyBorder="1"/>
    <xf numFmtId="10" fontId="27" fillId="0" borderId="3" xfId="2" applyNumberFormat="1" applyFont="1" applyBorder="1" applyAlignment="1">
      <alignment horizontal="center" vertical="center"/>
    </xf>
    <xf numFmtId="10" fontId="22" fillId="0" borderId="0" xfId="2" applyNumberFormat="1" applyFont="1" applyAlignment="1">
      <alignment horizontal="center"/>
    </xf>
    <xf numFmtId="0" fontId="53" fillId="0" borderId="0" xfId="0" applyFont="1"/>
    <xf numFmtId="164" fontId="20" fillId="0" borderId="0" xfId="1" applyNumberFormat="1" applyFont="1" applyFill="1" applyAlignment="1"/>
    <xf numFmtId="2" fontId="23" fillId="0" borderId="16" xfId="0" applyNumberFormat="1" applyFont="1" applyBorder="1" applyAlignment="1">
      <alignment horizontal="center"/>
    </xf>
    <xf numFmtId="10" fontId="23" fillId="0" borderId="16" xfId="2" applyNumberFormat="1" applyFont="1" applyBorder="1" applyAlignment="1">
      <alignment horizontal="center"/>
    </xf>
    <xf numFmtId="2" fontId="23" fillId="0" borderId="16" xfId="0" applyNumberFormat="1" applyFont="1" applyBorder="1" applyAlignment="1">
      <alignment horizontal="center" vertical="center"/>
    </xf>
    <xf numFmtId="10" fontId="23" fillId="0" borderId="16" xfId="2" applyNumberFormat="1" applyFont="1" applyBorder="1" applyAlignment="1">
      <alignment horizontal="center" vertical="center"/>
    </xf>
    <xf numFmtId="10" fontId="37" fillId="0" borderId="27" xfId="2" applyNumberFormat="1" applyFont="1" applyBorder="1" applyAlignment="1">
      <alignment horizontal="center" vertical="center"/>
    </xf>
    <xf numFmtId="0" fontId="20" fillId="0" borderId="0" xfId="0" applyFont="1" applyAlignment="1">
      <alignment horizontal="center" vertical="center"/>
    </xf>
    <xf numFmtId="10" fontId="27" fillId="0" borderId="0" xfId="2" applyNumberFormat="1" applyFont="1" applyBorder="1" applyAlignment="1">
      <alignment horizontal="center" vertical="center"/>
    </xf>
    <xf numFmtId="0" fontId="27" fillId="0" borderId="8" xfId="0" applyFont="1" applyBorder="1" applyAlignment="1">
      <alignment horizontal="right" vertical="center"/>
    </xf>
    <xf numFmtId="0" fontId="29" fillId="0" borderId="17" xfId="0" applyFont="1" applyBorder="1" applyAlignment="1">
      <alignment horizontal="center"/>
    </xf>
    <xf numFmtId="0" fontId="20" fillId="0" borderId="2" xfId="0" quotePrefix="1" applyFont="1" applyBorder="1" applyAlignment="1">
      <alignment horizontal="center"/>
    </xf>
    <xf numFmtId="0" fontId="5" fillId="0" borderId="0" xfId="0" applyFont="1"/>
    <xf numFmtId="0" fontId="54" fillId="0" borderId="0" xfId="0" applyFont="1" applyAlignment="1">
      <alignment horizontal="center"/>
    </xf>
    <xf numFmtId="0" fontId="36" fillId="0" borderId="0" xfId="0" applyFont="1" applyAlignment="1">
      <alignment horizontal="left"/>
    </xf>
    <xf numFmtId="0" fontId="51" fillId="0" borderId="0" xfId="0" applyFont="1" applyAlignment="1">
      <alignment horizontal="left"/>
    </xf>
    <xf numFmtId="0" fontId="55" fillId="0" borderId="0" xfId="0" applyFont="1"/>
    <xf numFmtId="0" fontId="36" fillId="0" borderId="0" xfId="0" applyFont="1" applyAlignment="1">
      <alignment horizontal="right"/>
    </xf>
    <xf numFmtId="0" fontId="36" fillId="0" borderId="2" xfId="0" applyFont="1" applyBorder="1" applyAlignment="1">
      <alignment horizontal="center"/>
    </xf>
    <xf numFmtId="0" fontId="51" fillId="0" borderId="0" xfId="0" applyFont="1"/>
    <xf numFmtId="10" fontId="27" fillId="0" borderId="10" xfId="2" applyNumberFormat="1" applyFont="1" applyFill="1" applyBorder="1" applyAlignment="1">
      <alignment horizontal="center" vertical="center"/>
    </xf>
    <xf numFmtId="43" fontId="23" fillId="0" borderId="16" xfId="1" applyFont="1" applyBorder="1" applyAlignment="1">
      <alignment horizontal="center" vertical="center"/>
    </xf>
    <xf numFmtId="167" fontId="37" fillId="0" borderId="16" xfId="1" applyNumberFormat="1" applyFont="1" applyFill="1" applyBorder="1"/>
    <xf numFmtId="15" fontId="33" fillId="0" borderId="24" xfId="0" applyNumberFormat="1" applyFont="1" applyBorder="1" applyAlignment="1">
      <alignment horizontal="center"/>
    </xf>
    <xf numFmtId="15" fontId="33" fillId="0" borderId="12" xfId="0" applyNumberFormat="1" applyFont="1" applyBorder="1" applyAlignment="1">
      <alignment horizontal="center"/>
    </xf>
    <xf numFmtId="15" fontId="33" fillId="0" borderId="13" xfId="0" applyNumberFormat="1" applyFont="1" applyBorder="1" applyAlignment="1">
      <alignment horizontal="center"/>
    </xf>
    <xf numFmtId="0" fontId="33" fillId="0" borderId="13" xfId="0" applyFont="1" applyBorder="1" applyAlignment="1">
      <alignment horizontal="center"/>
    </xf>
    <xf numFmtId="0" fontId="50" fillId="0" borderId="0" xfId="0" applyFont="1" applyAlignment="1">
      <alignment horizontal="center" vertical="center"/>
    </xf>
    <xf numFmtId="0" fontId="50" fillId="0" borderId="1" xfId="0" applyFont="1" applyBorder="1" applyAlignment="1">
      <alignment horizontal="center" vertical="center"/>
    </xf>
    <xf numFmtId="0" fontId="0" fillId="0" borderId="1" xfId="0" applyBorder="1"/>
    <xf numFmtId="0" fontId="33" fillId="0" borderId="1" xfId="0" applyFont="1" applyBorder="1" applyAlignment="1">
      <alignment horizontal="center"/>
    </xf>
    <xf numFmtId="10" fontId="37" fillId="0" borderId="1" xfId="2" applyNumberFormat="1" applyFont="1" applyFill="1" applyBorder="1" applyAlignment="1">
      <alignment horizontal="center"/>
    </xf>
    <xf numFmtId="43" fontId="37" fillId="0" borderId="1" xfId="1" applyFont="1" applyFill="1" applyBorder="1" applyAlignment="1">
      <alignment horizontal="center"/>
    </xf>
    <xf numFmtId="43" fontId="37" fillId="0" borderId="0" xfId="1" applyFont="1" applyAlignment="1">
      <alignment horizontal="center"/>
    </xf>
    <xf numFmtId="43" fontId="37" fillId="0" borderId="0" xfId="1" applyFont="1" applyFill="1" applyAlignment="1">
      <alignment horizontal="center"/>
    </xf>
    <xf numFmtId="0" fontId="50" fillId="0" borderId="0" xfId="0" applyFont="1" applyAlignment="1">
      <alignment horizontal="right"/>
    </xf>
    <xf numFmtId="43" fontId="50" fillId="0" borderId="0" xfId="0" applyNumberFormat="1" applyFont="1"/>
    <xf numFmtId="2" fontId="50" fillId="0" borderId="0" xfId="0" applyNumberFormat="1" applyFont="1"/>
    <xf numFmtId="0" fontId="33" fillId="0" borderId="5" xfId="0" applyFont="1" applyBorder="1" applyAlignment="1">
      <alignment horizontal="center"/>
    </xf>
    <xf numFmtId="0" fontId="33" fillId="0" borderId="24" xfId="0" applyFont="1" applyBorder="1" applyAlignment="1">
      <alignment horizontal="center"/>
    </xf>
    <xf numFmtId="0" fontId="33" fillId="0" borderId="6" xfId="0" applyFont="1" applyBorder="1" applyAlignment="1">
      <alignment horizontal="center"/>
    </xf>
    <xf numFmtId="164" fontId="37" fillId="0" borderId="10" xfId="1" applyNumberFormat="1" applyFont="1" applyFill="1" applyBorder="1" applyAlignment="1">
      <alignment horizontal="center"/>
    </xf>
    <xf numFmtId="164" fontId="37" fillId="0" borderId="13" xfId="1" applyNumberFormat="1" applyFont="1" applyFill="1" applyBorder="1" applyAlignment="1">
      <alignment horizontal="center"/>
    </xf>
    <xf numFmtId="168" fontId="20" fillId="0" borderId="26" xfId="0" applyNumberFormat="1" applyFont="1" applyBorder="1" applyAlignment="1">
      <alignment horizontal="center" vertical="center"/>
    </xf>
    <xf numFmtId="0" fontId="21" fillId="0" borderId="0" xfId="0" applyFont="1" applyAlignment="1">
      <alignment horizontal="center"/>
    </xf>
    <xf numFmtId="10" fontId="37" fillId="0" borderId="0" xfId="2" applyNumberFormat="1" applyFont="1" applyFill="1" applyBorder="1" applyAlignment="1">
      <alignment horizontal="center"/>
    </xf>
    <xf numFmtId="10" fontId="37" fillId="0" borderId="0" xfId="2" applyNumberFormat="1" applyFont="1" applyBorder="1" applyAlignment="1">
      <alignment horizontal="center" vertical="center"/>
    </xf>
    <xf numFmtId="10" fontId="27" fillId="0" borderId="3" xfId="2" applyNumberFormat="1" applyFont="1" applyFill="1" applyBorder="1" applyAlignment="1">
      <alignment horizontal="center" vertical="center"/>
    </xf>
    <xf numFmtId="0" fontId="23" fillId="0" borderId="19" xfId="0" applyFont="1" applyBorder="1" applyAlignment="1">
      <alignment horizontal="center" vertical="center"/>
    </xf>
    <xf numFmtId="0" fontId="27" fillId="0" borderId="32" xfId="0" applyFont="1" applyBorder="1"/>
    <xf numFmtId="0" fontId="18" fillId="0" borderId="33" xfId="0" applyFont="1" applyBorder="1"/>
    <xf numFmtId="0" fontId="33" fillId="0" borderId="32" xfId="0" applyFont="1" applyBorder="1"/>
    <xf numFmtId="0" fontId="33" fillId="0" borderId="34" xfId="0" applyFont="1" applyBorder="1"/>
    <xf numFmtId="15" fontId="33" fillId="0" borderId="6" xfId="0" applyNumberFormat="1" applyFont="1" applyBorder="1" applyAlignment="1">
      <alignment horizontal="center"/>
    </xf>
    <xf numFmtId="15" fontId="33" fillId="0" borderId="0" xfId="0" applyNumberFormat="1" applyFont="1" applyAlignment="1">
      <alignment horizontal="center"/>
    </xf>
    <xf numFmtId="0" fontId="58" fillId="0" borderId="0" xfId="0" applyFont="1"/>
    <xf numFmtId="0" fontId="33" fillId="0" borderId="12" xfId="0" applyFont="1" applyBorder="1" applyAlignment="1">
      <alignment horizontal="center"/>
    </xf>
    <xf numFmtId="0" fontId="34" fillId="0" borderId="36" xfId="0" applyFont="1" applyBorder="1" applyAlignment="1">
      <alignment horizontal="center"/>
    </xf>
    <xf numFmtId="10" fontId="35" fillId="0" borderId="0" xfId="2" applyNumberFormat="1" applyFont="1" applyFill="1" applyBorder="1"/>
    <xf numFmtId="0" fontId="33" fillId="3" borderId="35" xfId="0" applyFont="1" applyFill="1" applyBorder="1"/>
    <xf numFmtId="0" fontId="33" fillId="3" borderId="20" xfId="0" applyFont="1" applyFill="1" applyBorder="1"/>
    <xf numFmtId="0" fontId="37" fillId="3" borderId="20" xfId="0" applyFont="1" applyFill="1" applyBorder="1"/>
    <xf numFmtId="0" fontId="37" fillId="2" borderId="20" xfId="0" applyFont="1" applyFill="1" applyBorder="1"/>
    <xf numFmtId="0" fontId="27" fillId="0" borderId="28" xfId="0" applyFont="1" applyBorder="1" applyAlignment="1">
      <alignment horizontal="center"/>
    </xf>
    <xf numFmtId="0" fontId="36" fillId="2" borderId="26" xfId="0" applyFont="1" applyFill="1" applyBorder="1" applyAlignment="1">
      <alignment horizontal="center"/>
    </xf>
    <xf numFmtId="0" fontId="18" fillId="2" borderId="26" xfId="0" applyFont="1" applyFill="1" applyBorder="1" applyAlignment="1">
      <alignment horizontal="center"/>
    </xf>
    <xf numFmtId="0" fontId="36" fillId="2" borderId="27" xfId="0" applyFont="1" applyFill="1" applyBorder="1" applyAlignment="1">
      <alignment horizontal="center"/>
    </xf>
    <xf numFmtId="0" fontId="18" fillId="2" borderId="27" xfId="0" applyFont="1" applyFill="1" applyBorder="1" applyAlignment="1">
      <alignment horizontal="center"/>
    </xf>
    <xf numFmtId="43" fontId="23" fillId="0" borderId="0" xfId="1" applyFont="1" applyFill="1" applyBorder="1" applyAlignment="1">
      <alignment horizontal="center" vertical="center"/>
    </xf>
    <xf numFmtId="0" fontId="18" fillId="2" borderId="29" xfId="0" applyFont="1" applyFill="1" applyBorder="1" applyAlignment="1">
      <alignment horizontal="center"/>
    </xf>
    <xf numFmtId="0" fontId="18" fillId="2" borderId="30" xfId="0" applyFont="1" applyFill="1" applyBorder="1" applyAlignment="1">
      <alignment horizontal="center"/>
    </xf>
    <xf numFmtId="0" fontId="18" fillId="2" borderId="21" xfId="0" applyFont="1" applyFill="1" applyBorder="1" applyAlignment="1">
      <alignment horizontal="center"/>
    </xf>
    <xf numFmtId="0" fontId="18" fillId="2" borderId="23" xfId="0" applyFont="1" applyFill="1" applyBorder="1" applyAlignment="1">
      <alignment horizontal="center"/>
    </xf>
    <xf numFmtId="0" fontId="36" fillId="2" borderId="25" xfId="0" applyFont="1" applyFill="1" applyBorder="1" applyAlignment="1">
      <alignment horizontal="center"/>
    </xf>
    <xf numFmtId="0" fontId="39" fillId="0" borderId="14" xfId="0" applyFont="1" applyBorder="1" applyAlignment="1">
      <alignment horizontal="center"/>
    </xf>
    <xf numFmtId="0" fontId="39" fillId="0" borderId="3" xfId="0" applyFont="1" applyBorder="1" applyAlignment="1">
      <alignment horizontal="center"/>
    </xf>
    <xf numFmtId="0" fontId="34" fillId="0" borderId="37" xfId="0" applyFont="1" applyBorder="1" applyAlignment="1">
      <alignment horizontal="center"/>
    </xf>
    <xf numFmtId="0" fontId="34" fillId="0" borderId="17" xfId="0" applyFont="1" applyBorder="1" applyAlignment="1">
      <alignment horizontal="center"/>
    </xf>
    <xf numFmtId="0" fontId="0" fillId="0" borderId="8" xfId="0" applyBorder="1"/>
    <xf numFmtId="0" fontId="0" fillId="0" borderId="14" xfId="0" applyBorder="1"/>
    <xf numFmtId="0" fontId="33" fillId="0" borderId="16" xfId="0" applyFont="1" applyBorder="1" applyAlignment="1">
      <alignment horizontal="right"/>
    </xf>
    <xf numFmtId="0" fontId="33" fillId="0" borderId="8" xfId="0" applyFont="1" applyBorder="1"/>
    <xf numFmtId="164" fontId="37" fillId="0" borderId="3" xfId="1" applyNumberFormat="1" applyFont="1" applyFill="1" applyBorder="1" applyAlignment="1">
      <alignment horizontal="center"/>
    </xf>
    <xf numFmtId="165" fontId="21" fillId="0" borderId="0" xfId="3" applyNumberFormat="1" applyFont="1" applyFill="1" applyAlignment="1">
      <alignment horizontal="right"/>
    </xf>
    <xf numFmtId="2" fontId="14" fillId="0" borderId="4" xfId="0" applyNumberFormat="1" applyFont="1" applyBorder="1" applyAlignment="1">
      <alignment horizontal="center"/>
    </xf>
    <xf numFmtId="0" fontId="34" fillId="0" borderId="38" xfId="0" applyFont="1" applyBorder="1" applyAlignment="1">
      <alignment horizontal="center"/>
    </xf>
    <xf numFmtId="164" fontId="44" fillId="0" borderId="0" xfId="1" applyNumberFormat="1" applyFont="1" applyFill="1" applyBorder="1"/>
    <xf numFmtId="10" fontId="23" fillId="0" borderId="32" xfId="2" applyNumberFormat="1" applyFont="1" applyFill="1" applyBorder="1" applyAlignment="1">
      <alignment horizontal="right"/>
    </xf>
    <xf numFmtId="10" fontId="23" fillId="0" borderId="34" xfId="0" applyNumberFormat="1" applyFont="1" applyBorder="1"/>
    <xf numFmtId="10" fontId="37" fillId="0" borderId="16" xfId="2" applyNumberFormat="1" applyFont="1" applyFill="1" applyBorder="1"/>
    <xf numFmtId="43" fontId="23" fillId="0" borderId="16" xfId="1" applyFont="1" applyFill="1" applyBorder="1" applyAlignment="1">
      <alignment horizontal="center" vertical="center"/>
    </xf>
    <xf numFmtId="0" fontId="0" fillId="0" borderId="6" xfId="0" applyBorder="1"/>
    <xf numFmtId="10" fontId="37" fillId="0" borderId="0" xfId="2" applyNumberFormat="1" applyFont="1" applyFill="1" applyBorder="1" applyAlignment="1">
      <alignment horizontal="right"/>
    </xf>
    <xf numFmtId="10" fontId="21" fillId="0" borderId="0" xfId="2" applyNumberFormat="1" applyFont="1" applyFill="1" applyAlignment="1">
      <alignment horizontal="center" vertical="center"/>
    </xf>
    <xf numFmtId="10" fontId="21" fillId="0" borderId="1" xfId="2" applyNumberFormat="1" applyFont="1" applyFill="1" applyBorder="1" applyAlignment="1">
      <alignment horizontal="center" vertical="center"/>
    </xf>
    <xf numFmtId="166" fontId="21" fillId="0" borderId="0" xfId="1" applyNumberFormat="1" applyFont="1" applyFill="1" applyAlignment="1">
      <alignment horizontal="center" vertical="center"/>
    </xf>
    <xf numFmtId="165" fontId="21" fillId="0" borderId="0" xfId="3" applyNumberFormat="1" applyFont="1" applyFill="1" applyAlignment="1">
      <alignment horizontal="center"/>
    </xf>
    <xf numFmtId="10" fontId="21" fillId="0" borderId="0" xfId="2" applyNumberFormat="1" applyFont="1" applyFill="1" applyAlignment="1">
      <alignment horizontal="right" vertical="center"/>
    </xf>
    <xf numFmtId="10" fontId="35" fillId="0" borderId="28" xfId="2" applyNumberFormat="1" applyFont="1" applyFill="1" applyBorder="1"/>
    <xf numFmtId="43" fontId="35" fillId="0" borderId="28" xfId="1" applyFont="1" applyFill="1" applyBorder="1"/>
    <xf numFmtId="2" fontId="35" fillId="0" borderId="28" xfId="0" applyNumberFormat="1" applyFont="1" applyBorder="1"/>
    <xf numFmtId="10" fontId="20" fillId="0" borderId="0" xfId="2" applyNumberFormat="1" applyFont="1" applyFill="1" applyAlignment="1">
      <alignment horizontal="right" vertical="center"/>
    </xf>
    <xf numFmtId="10" fontId="20" fillId="0" borderId="0" xfId="2" applyNumberFormat="1" applyFont="1" applyFill="1" applyBorder="1" applyAlignment="1">
      <alignment horizontal="right" vertical="center"/>
    </xf>
    <xf numFmtId="10" fontId="22" fillId="0" borderId="16" xfId="2" applyNumberFormat="1" applyFont="1" applyFill="1" applyBorder="1"/>
    <xf numFmtId="10" fontId="22" fillId="0" borderId="16" xfId="2" applyNumberFormat="1" applyFont="1" applyFill="1" applyBorder="1" applyAlignment="1">
      <alignment horizontal="center"/>
    </xf>
    <xf numFmtId="0" fontId="18" fillId="0" borderId="23" xfId="0" applyFont="1" applyBorder="1"/>
    <xf numFmtId="0" fontId="0" fillId="0" borderId="33" xfId="0" applyBorder="1"/>
    <xf numFmtId="10" fontId="21" fillId="0" borderId="0" xfId="2" applyNumberFormat="1" applyFont="1" applyAlignment="1">
      <alignment horizontal="right"/>
    </xf>
    <xf numFmtId="164" fontId="21" fillId="0" borderId="0" xfId="1" applyNumberFormat="1" applyFont="1" applyFill="1" applyAlignment="1"/>
    <xf numFmtId="164" fontId="21" fillId="0" borderId="1" xfId="1" applyNumberFormat="1" applyFont="1" applyFill="1" applyBorder="1" applyAlignment="1"/>
    <xf numFmtId="43" fontId="21" fillId="0" borderId="1" xfId="1" applyFont="1" applyFill="1" applyBorder="1" applyAlignment="1">
      <alignment horizontal="right" vertical="center"/>
    </xf>
    <xf numFmtId="10" fontId="21" fillId="0" borderId="1" xfId="2" applyNumberFormat="1" applyFont="1" applyFill="1" applyBorder="1" applyAlignment="1">
      <alignment horizontal="right" vertical="center"/>
    </xf>
    <xf numFmtId="43" fontId="37" fillId="0" borderId="1" xfId="1" applyFont="1" applyBorder="1" applyAlignment="1">
      <alignment horizontal="right" vertical="center"/>
    </xf>
    <xf numFmtId="0" fontId="20" fillId="0" borderId="1" xfId="0" applyFont="1" applyBorder="1" applyAlignment="1">
      <alignment horizontal="right"/>
    </xf>
    <xf numFmtId="10" fontId="21" fillId="0" borderId="1" xfId="2" applyNumberFormat="1" applyFont="1" applyBorder="1" applyAlignment="1">
      <alignment horizontal="right" vertical="center"/>
    </xf>
    <xf numFmtId="0" fontId="33" fillId="0" borderId="1" xfId="0" applyFont="1" applyBorder="1" applyAlignment="1">
      <alignment horizontal="right"/>
    </xf>
    <xf numFmtId="10" fontId="33" fillId="0" borderId="1" xfId="2" applyNumberFormat="1" applyFont="1" applyFill="1" applyBorder="1"/>
    <xf numFmtId="166" fontId="21" fillId="0" borderId="1" xfId="1" applyNumberFormat="1" applyFont="1" applyFill="1" applyBorder="1" applyAlignment="1">
      <alignment horizontal="center" vertical="center"/>
    </xf>
    <xf numFmtId="2" fontId="21" fillId="0" borderId="1" xfId="0" applyNumberFormat="1" applyFont="1" applyBorder="1" applyAlignment="1">
      <alignment horizontal="right" vertical="center"/>
    </xf>
    <xf numFmtId="0" fontId="27" fillId="0" borderId="8" xfId="0" applyFont="1" applyBorder="1" applyAlignment="1">
      <alignment horizontal="center" vertical="center"/>
    </xf>
    <xf numFmtId="0" fontId="18" fillId="0" borderId="0" xfId="0" applyFont="1" applyAlignment="1">
      <alignment horizontal="right"/>
    </xf>
    <xf numFmtId="0" fontId="37" fillId="0" borderId="7" xfId="0" applyFont="1" applyBorder="1"/>
    <xf numFmtId="164" fontId="50" fillId="0" borderId="0" xfId="0" applyNumberFormat="1" applyFont="1"/>
    <xf numFmtId="0" fontId="61" fillId="0" borderId="0" xfId="0" applyFont="1"/>
    <xf numFmtId="0" fontId="62" fillId="0" borderId="0" xfId="0" applyFont="1"/>
    <xf numFmtId="0" fontId="33" fillId="0" borderId="3" xfId="0" applyFont="1" applyBorder="1" applyAlignment="1">
      <alignment horizontal="right"/>
    </xf>
    <xf numFmtId="164" fontId="37" fillId="0" borderId="14" xfId="1" applyNumberFormat="1" applyFont="1" applyFill="1" applyBorder="1" applyAlignment="1">
      <alignment horizontal="center"/>
    </xf>
    <xf numFmtId="3" fontId="37" fillId="0" borderId="3" xfId="0" applyNumberFormat="1" applyFont="1" applyBorder="1"/>
    <xf numFmtId="3" fontId="37" fillId="0" borderId="10" xfId="0" applyNumberFormat="1" applyFont="1" applyBorder="1"/>
    <xf numFmtId="165" fontId="37" fillId="0" borderId="10" xfId="3" applyNumberFormat="1" applyFont="1" applyFill="1" applyBorder="1"/>
    <xf numFmtId="165" fontId="37" fillId="0" borderId="0" xfId="3" applyNumberFormat="1" applyFont="1" applyFill="1"/>
    <xf numFmtId="165" fontId="37" fillId="0" borderId="2" xfId="3" applyNumberFormat="1" applyFont="1" applyFill="1" applyBorder="1"/>
    <xf numFmtId="165" fontId="37" fillId="0" borderId="3" xfId="3" applyNumberFormat="1" applyFont="1" applyFill="1" applyBorder="1"/>
    <xf numFmtId="165" fontId="37" fillId="0" borderId="0" xfId="3" applyNumberFormat="1" applyFont="1" applyFill="1" applyBorder="1"/>
    <xf numFmtId="10" fontId="21" fillId="0" borderId="4" xfId="2" applyNumberFormat="1" applyFont="1" applyFill="1" applyBorder="1" applyAlignment="1">
      <alignment horizontal="right"/>
    </xf>
    <xf numFmtId="10" fontId="21" fillId="0" borderId="4" xfId="2" applyNumberFormat="1" applyFont="1" applyBorder="1" applyAlignment="1">
      <alignment horizontal="right"/>
    </xf>
    <xf numFmtId="10" fontId="21" fillId="0" borderId="4" xfId="2" applyNumberFormat="1" applyFont="1" applyFill="1" applyBorder="1" applyAlignment="1">
      <alignment horizontal="center"/>
    </xf>
    <xf numFmtId="3" fontId="63" fillId="0" borderId="0" xfId="0" applyNumberFormat="1" applyFont="1"/>
    <xf numFmtId="10" fontId="27" fillId="0" borderId="0" xfId="2" applyNumberFormat="1" applyFont="1" applyFill="1" applyBorder="1" applyAlignment="1">
      <alignment horizontal="center" vertical="center"/>
    </xf>
    <xf numFmtId="10" fontId="27" fillId="0" borderId="2" xfId="2" applyNumberFormat="1" applyFont="1" applyBorder="1" applyAlignment="1">
      <alignment horizontal="center" vertical="center"/>
    </xf>
    <xf numFmtId="0" fontId="18" fillId="0" borderId="21" xfId="0" applyFont="1" applyBorder="1"/>
    <xf numFmtId="10" fontId="22" fillId="0" borderId="0" xfId="2" applyNumberFormat="1" applyFont="1" applyFill="1" applyAlignment="1">
      <alignment horizontal="center"/>
    </xf>
    <xf numFmtId="10" fontId="33" fillId="0" borderId="26" xfId="2" applyNumberFormat="1" applyFont="1" applyFill="1" applyBorder="1" applyAlignment="1">
      <alignment horizontal="center"/>
    </xf>
    <xf numFmtId="0" fontId="64" fillId="0" borderId="0" xfId="0" applyFont="1"/>
    <xf numFmtId="10" fontId="45" fillId="0" borderId="16" xfId="2" applyNumberFormat="1" applyFont="1" applyFill="1" applyBorder="1" applyAlignment="1">
      <alignment horizontal="center"/>
    </xf>
    <xf numFmtId="0" fontId="66" fillId="0" borderId="0" xfId="0" applyFont="1" applyAlignment="1">
      <alignment horizontal="left" vertical="top"/>
    </xf>
    <xf numFmtId="44" fontId="37" fillId="0" borderId="10" xfId="3" applyFont="1" applyFill="1" applyBorder="1" applyAlignment="1">
      <alignment horizontal="center"/>
    </xf>
    <xf numFmtId="44" fontId="37" fillId="0" borderId="0" xfId="3" applyFont="1" applyFill="1" applyAlignment="1">
      <alignment horizontal="center"/>
    </xf>
    <xf numFmtId="44" fontId="37" fillId="0" borderId="3" xfId="3" applyFont="1" applyFill="1" applyBorder="1" applyAlignment="1">
      <alignment horizontal="center"/>
    </xf>
    <xf numFmtId="44" fontId="37" fillId="0" borderId="2" xfId="3" applyFont="1" applyFill="1" applyBorder="1" applyAlignment="1">
      <alignment horizontal="center"/>
    </xf>
    <xf numFmtId="0" fontId="37" fillId="0" borderId="18" xfId="0" applyFont="1" applyBorder="1"/>
    <xf numFmtId="10" fontId="37" fillId="0" borderId="28" xfId="2" applyNumberFormat="1" applyFont="1" applyFill="1" applyBorder="1" applyAlignment="1">
      <alignment horizontal="center"/>
    </xf>
    <xf numFmtId="0" fontId="27" fillId="0" borderId="3" xfId="0" applyFont="1" applyBorder="1" applyAlignment="1">
      <alignment horizontal="center"/>
    </xf>
    <xf numFmtId="10" fontId="37" fillId="3" borderId="35" xfId="2" applyNumberFormat="1" applyFont="1" applyFill="1" applyBorder="1" applyAlignment="1">
      <alignment horizontal="center"/>
    </xf>
    <xf numFmtId="10" fontId="37" fillId="3" borderId="20" xfId="2" applyNumberFormat="1" applyFont="1" applyFill="1" applyBorder="1" applyAlignment="1">
      <alignment horizontal="center"/>
    </xf>
    <xf numFmtId="0" fontId="18" fillId="0" borderId="20" xfId="0" applyFont="1" applyBorder="1"/>
    <xf numFmtId="10" fontId="18" fillId="0" borderId="20" xfId="0" applyNumberFormat="1" applyFont="1" applyBorder="1"/>
    <xf numFmtId="0" fontId="20" fillId="0" borderId="29" xfId="0" applyFont="1" applyBorder="1" applyAlignment="1">
      <alignment horizontal="center"/>
    </xf>
    <xf numFmtId="44" fontId="21" fillId="0" borderId="20" xfId="3" applyFont="1" applyFill="1" applyBorder="1" applyAlignment="1">
      <alignment horizontal="center"/>
    </xf>
    <xf numFmtId="0" fontId="18" fillId="0" borderId="40" xfId="0" applyFont="1" applyBorder="1"/>
    <xf numFmtId="2" fontId="21" fillId="0" borderId="20" xfId="0" applyNumberFormat="1" applyFont="1" applyBorder="1" applyAlignment="1">
      <alignment horizontal="right" vertical="center"/>
    </xf>
    <xf numFmtId="2" fontId="21" fillId="0" borderId="22" xfId="0" applyNumberFormat="1" applyFont="1" applyBorder="1" applyAlignment="1">
      <alignment horizontal="right" vertical="center"/>
    </xf>
    <xf numFmtId="0" fontId="20" fillId="0" borderId="35" xfId="0" applyFont="1" applyBorder="1" applyAlignment="1">
      <alignment horizontal="center"/>
    </xf>
    <xf numFmtId="0" fontId="20" fillId="0" borderId="41" xfId="0" applyFont="1" applyBorder="1" applyAlignment="1">
      <alignment horizontal="center"/>
    </xf>
    <xf numFmtId="0" fontId="29" fillId="0" borderId="22" xfId="0" applyFont="1" applyBorder="1" applyAlignment="1">
      <alignment horizontal="center"/>
    </xf>
    <xf numFmtId="0" fontId="20" fillId="0" borderId="20" xfId="0" applyFont="1" applyBorder="1" applyAlignment="1">
      <alignment horizontal="center"/>
    </xf>
    <xf numFmtId="2" fontId="21" fillId="0" borderId="0" xfId="0" applyNumberFormat="1" applyFont="1" applyAlignment="1">
      <alignment horizontal="right"/>
    </xf>
    <xf numFmtId="0" fontId="18" fillId="0" borderId="4" xfId="0" applyFont="1" applyBorder="1" applyAlignment="1">
      <alignment horizontal="right"/>
    </xf>
    <xf numFmtId="0" fontId="0" fillId="0" borderId="4" xfId="0" applyBorder="1"/>
    <xf numFmtId="10" fontId="18" fillId="0" borderId="20" xfId="2" applyNumberFormat="1" applyFont="1" applyFill="1" applyBorder="1"/>
    <xf numFmtId="0" fontId="37" fillId="2" borderId="22" xfId="0" applyFont="1" applyFill="1" applyBorder="1"/>
    <xf numFmtId="10" fontId="37" fillId="2" borderId="27" xfId="2" applyNumberFormat="1" applyFont="1" applyFill="1" applyBorder="1" applyAlignment="1">
      <alignment horizontal="center"/>
    </xf>
    <xf numFmtId="0" fontId="67" fillId="0" borderId="0" xfId="0" applyFont="1"/>
    <xf numFmtId="2" fontId="37" fillId="0" borderId="0" xfId="0" applyNumberFormat="1" applyFont="1" applyAlignment="1">
      <alignment horizontal="right"/>
    </xf>
    <xf numFmtId="2" fontId="37" fillId="0" borderId="13" xfId="0" applyNumberFormat="1" applyFont="1" applyBorder="1" applyAlignment="1">
      <alignment horizontal="right"/>
    </xf>
    <xf numFmtId="2" fontId="37" fillId="0" borderId="4" xfId="0" applyNumberFormat="1" applyFont="1" applyBorder="1" applyAlignment="1">
      <alignment horizontal="right"/>
    </xf>
    <xf numFmtId="2" fontId="37" fillId="0" borderId="39" xfId="0" applyNumberFormat="1" applyFont="1" applyBorder="1" applyAlignment="1">
      <alignment horizontal="right"/>
    </xf>
    <xf numFmtId="10" fontId="20" fillId="0" borderId="0" xfId="0" applyNumberFormat="1" applyFont="1" applyAlignment="1">
      <alignment horizontal="right"/>
    </xf>
    <xf numFmtId="1" fontId="21" fillId="0" borderId="0" xfId="0" applyNumberFormat="1" applyFont="1" applyAlignment="1">
      <alignment horizontal="right"/>
    </xf>
    <xf numFmtId="1" fontId="21" fillId="0" borderId="0" xfId="0" applyNumberFormat="1" applyFont="1"/>
    <xf numFmtId="2" fontId="14" fillId="0" borderId="0" xfId="0" applyNumberFormat="1" applyFont="1" applyAlignment="1">
      <alignment horizontal="right"/>
    </xf>
    <xf numFmtId="0" fontId="18" fillId="0" borderId="8" xfId="0" applyFont="1" applyBorder="1"/>
    <xf numFmtId="0" fontId="18" fillId="0" borderId="14" xfId="0" applyFont="1" applyBorder="1"/>
    <xf numFmtId="10" fontId="41" fillId="0" borderId="16" xfId="2" applyNumberFormat="1" applyFont="1" applyFill="1" applyBorder="1" applyAlignment="1">
      <alignment horizontal="center"/>
    </xf>
    <xf numFmtId="0" fontId="36" fillId="2" borderId="0" xfId="0" applyFont="1" applyFill="1" applyAlignment="1">
      <alignment horizontal="center"/>
    </xf>
    <xf numFmtId="0" fontId="36" fillId="2" borderId="1" xfId="0" applyFont="1" applyFill="1" applyBorder="1" applyAlignment="1">
      <alignment horizontal="center"/>
    </xf>
    <xf numFmtId="0" fontId="18" fillId="2" borderId="42" xfId="0" applyFont="1" applyFill="1" applyBorder="1" applyAlignment="1">
      <alignment horizontal="center"/>
    </xf>
    <xf numFmtId="0" fontId="36" fillId="2" borderId="22" xfId="0" applyFont="1" applyFill="1" applyBorder="1" applyAlignment="1">
      <alignment horizontal="center"/>
    </xf>
    <xf numFmtId="10" fontId="23" fillId="0" borderId="16" xfId="2" applyNumberFormat="1" applyFont="1" applyFill="1" applyBorder="1" applyAlignment="1">
      <alignment horizontal="center" vertical="center"/>
    </xf>
    <xf numFmtId="10" fontId="68" fillId="0" borderId="0" xfId="2" applyNumberFormat="1" applyFont="1" applyFill="1" applyAlignment="1">
      <alignment horizontal="center"/>
    </xf>
    <xf numFmtId="10" fontId="27" fillId="0" borderId="0" xfId="2" applyNumberFormat="1" applyFont="1" applyAlignment="1">
      <alignment horizontal="left"/>
    </xf>
    <xf numFmtId="0" fontId="20" fillId="0" borderId="0" xfId="0" applyFont="1" applyAlignment="1">
      <alignment horizontal="left"/>
    </xf>
    <xf numFmtId="169" fontId="27" fillId="0" borderId="16" xfId="2" applyNumberFormat="1" applyFont="1" applyFill="1" applyBorder="1" applyAlignment="1">
      <alignment horizontal="center"/>
    </xf>
    <xf numFmtId="0" fontId="0" fillId="0" borderId="20" xfId="0" applyBorder="1"/>
    <xf numFmtId="0" fontId="69" fillId="0" borderId="0" xfId="0" applyFont="1"/>
    <xf numFmtId="43" fontId="35" fillId="0" borderId="18" xfId="0" applyNumberFormat="1" applyFont="1" applyBorder="1"/>
    <xf numFmtId="0" fontId="45" fillId="0" borderId="0" xfId="0" applyFont="1"/>
    <xf numFmtId="0" fontId="21" fillId="0" borderId="29" xfId="0" applyFont="1" applyBorder="1" applyAlignment="1">
      <alignment horizontal="right"/>
    </xf>
    <xf numFmtId="0" fontId="21" fillId="0" borderId="30" xfId="0" applyFont="1" applyBorder="1" applyAlignment="1">
      <alignment horizontal="left"/>
    </xf>
    <xf numFmtId="0" fontId="21" fillId="0" borderId="20" xfId="0" applyFont="1" applyBorder="1" applyAlignment="1">
      <alignment horizontal="right"/>
    </xf>
    <xf numFmtId="0" fontId="21" fillId="0" borderId="21" xfId="0" applyFont="1" applyBorder="1" applyAlignment="1">
      <alignment horizontal="left"/>
    </xf>
    <xf numFmtId="0" fontId="21" fillId="0" borderId="22" xfId="0" applyFont="1" applyBorder="1" applyAlignment="1">
      <alignment horizontal="right"/>
    </xf>
    <xf numFmtId="0" fontId="21" fillId="0" borderId="23" xfId="0" applyFont="1" applyBorder="1" applyAlignment="1">
      <alignment horizontal="left"/>
    </xf>
    <xf numFmtId="10" fontId="27" fillId="0" borderId="16" xfId="2" applyNumberFormat="1" applyFont="1" applyFill="1" applyBorder="1" applyAlignment="1">
      <alignment horizontal="center"/>
    </xf>
    <xf numFmtId="10" fontId="21" fillId="0" borderId="1" xfId="1" applyNumberFormat="1" applyFont="1" applyFill="1" applyBorder="1" applyAlignment="1"/>
    <xf numFmtId="10" fontId="21" fillId="0" borderId="0" xfId="1" applyNumberFormat="1" applyFont="1" applyFill="1" applyAlignment="1"/>
    <xf numFmtId="0" fontId="20" fillId="4" borderId="0" xfId="0" applyFont="1" applyFill="1" applyAlignment="1">
      <alignment horizontal="right"/>
    </xf>
    <xf numFmtId="0" fontId="70" fillId="0" borderId="30" xfId="0" applyFont="1" applyBorder="1" applyAlignment="1">
      <alignment horizontal="left"/>
    </xf>
    <xf numFmtId="0" fontId="70" fillId="0" borderId="21" xfId="0" applyFont="1" applyBorder="1" applyAlignment="1">
      <alignment horizontal="left"/>
    </xf>
    <xf numFmtId="0" fontId="70" fillId="0" borderId="23" xfId="0" applyFont="1" applyBorder="1" applyAlignment="1">
      <alignment horizontal="left"/>
    </xf>
    <xf numFmtId="0" fontId="46" fillId="0" borderId="0" xfId="6" applyFont="1"/>
    <xf numFmtId="0" fontId="46" fillId="0" borderId="0" xfId="6" applyFont="1" applyFill="1" applyAlignment="1" applyProtection="1"/>
    <xf numFmtId="0" fontId="71" fillId="0" borderId="0" xfId="0" applyFont="1" applyAlignment="1">
      <alignment horizontal="right"/>
    </xf>
    <xf numFmtId="0" fontId="72" fillId="0" borderId="0" xfId="0" applyFont="1"/>
    <xf numFmtId="0" fontId="73" fillId="0" borderId="0" xfId="6" applyFont="1"/>
    <xf numFmtId="0" fontId="44" fillId="0" borderId="7" xfId="0" applyFont="1" applyBorder="1" applyAlignment="1">
      <alignment horizontal="center" vertical="center"/>
    </xf>
    <xf numFmtId="10" fontId="44" fillId="0" borderId="0" xfId="2" applyNumberFormat="1" applyFont="1" applyFill="1" applyBorder="1" applyAlignment="1">
      <alignment horizontal="center" vertical="center"/>
    </xf>
    <xf numFmtId="44" fontId="37" fillId="0" borderId="8" xfId="3" applyFont="1" applyFill="1" applyBorder="1" applyAlignment="1">
      <alignment horizontal="center"/>
    </xf>
    <xf numFmtId="15" fontId="33" fillId="0" borderId="24" xfId="0" quotePrefix="1" applyNumberFormat="1" applyFont="1" applyBorder="1" applyAlignment="1">
      <alignment horizontal="center"/>
    </xf>
    <xf numFmtId="0" fontId="36" fillId="0" borderId="24" xfId="0" applyFont="1" applyBorder="1"/>
    <xf numFmtId="15" fontId="33" fillId="0" borderId="10" xfId="0" quotePrefix="1" applyNumberFormat="1" applyFont="1" applyBorder="1" applyAlignment="1">
      <alignment horizontal="center"/>
    </xf>
    <xf numFmtId="10" fontId="37" fillId="0" borderId="10" xfId="2" applyNumberFormat="1" applyFont="1" applyFill="1" applyBorder="1"/>
    <xf numFmtId="0" fontId="36" fillId="0" borderId="3" xfId="0" applyFont="1" applyBorder="1"/>
    <xf numFmtId="0" fontId="36" fillId="0" borderId="10" xfId="0" applyFont="1" applyBorder="1"/>
    <xf numFmtId="165" fontId="37" fillId="0" borderId="10" xfId="3" applyNumberFormat="1" applyFont="1" applyBorder="1"/>
    <xf numFmtId="164" fontId="33" fillId="0" borderId="10" xfId="1" applyNumberFormat="1" applyFont="1" applyBorder="1"/>
    <xf numFmtId="0" fontId="27" fillId="2" borderId="25" xfId="0" applyFont="1" applyFill="1" applyBorder="1" applyAlignment="1">
      <alignment horizontal="center"/>
    </xf>
    <xf numFmtId="10" fontId="21" fillId="2" borderId="24" xfId="2" applyNumberFormat="1" applyFont="1" applyFill="1" applyBorder="1" applyAlignment="1">
      <alignment horizontal="center"/>
    </xf>
    <xf numFmtId="10" fontId="21" fillId="2" borderId="10" xfId="2" applyNumberFormat="1" applyFont="1" applyFill="1" applyBorder="1" applyAlignment="1">
      <alignment horizontal="center"/>
    </xf>
    <xf numFmtId="10" fontId="21" fillId="2" borderId="3" xfId="2" applyNumberFormat="1" applyFont="1" applyFill="1" applyBorder="1" applyAlignment="1">
      <alignment horizontal="center"/>
    </xf>
    <xf numFmtId="10" fontId="21" fillId="2" borderId="3" xfId="1" applyNumberFormat="1" applyFont="1" applyFill="1" applyBorder="1" applyAlignment="1">
      <alignment horizontal="center"/>
    </xf>
    <xf numFmtId="10" fontId="21" fillId="2" borderId="24" xfId="1" applyNumberFormat="1" applyFont="1" applyFill="1" applyBorder="1" applyAlignment="1">
      <alignment horizontal="center"/>
    </xf>
    <xf numFmtId="10" fontId="21" fillId="2" borderId="10" xfId="1" applyNumberFormat="1" applyFont="1" applyFill="1" applyBorder="1" applyAlignment="1">
      <alignment horizontal="center"/>
    </xf>
    <xf numFmtId="0" fontId="36" fillId="2" borderId="29" xfId="0" applyFont="1" applyFill="1" applyBorder="1" applyAlignment="1">
      <alignment horizontal="center"/>
    </xf>
    <xf numFmtId="0" fontId="18" fillId="2" borderId="43" xfId="0" applyFont="1" applyFill="1" applyBorder="1" applyAlignment="1">
      <alignment horizontal="center"/>
    </xf>
    <xf numFmtId="0" fontId="60" fillId="2" borderId="24" xfId="0" applyFont="1" applyFill="1" applyBorder="1"/>
    <xf numFmtId="0" fontId="36" fillId="2" borderId="20" xfId="0" applyFont="1" applyFill="1" applyBorder="1" applyAlignment="1">
      <alignment horizontal="center"/>
    </xf>
    <xf numFmtId="0" fontId="18" fillId="2" borderId="44" xfId="0" applyFont="1" applyFill="1" applyBorder="1" applyAlignment="1">
      <alignment horizontal="center"/>
    </xf>
    <xf numFmtId="0" fontId="60" fillId="2" borderId="10" xfId="0" applyFont="1" applyFill="1" applyBorder="1"/>
    <xf numFmtId="0" fontId="60" fillId="2" borderId="3" xfId="0" applyFont="1" applyFill="1" applyBorder="1"/>
    <xf numFmtId="0" fontId="60" fillId="2" borderId="16" xfId="0" applyFont="1" applyFill="1" applyBorder="1"/>
    <xf numFmtId="0" fontId="74" fillId="3" borderId="0" xfId="0" applyFont="1" applyFill="1" applyAlignment="1">
      <alignment horizontal="center"/>
    </xf>
    <xf numFmtId="164" fontId="20" fillId="3" borderId="0" xfId="0" applyNumberFormat="1" applyFont="1" applyFill="1" applyAlignment="1">
      <alignment horizontal="center"/>
    </xf>
    <xf numFmtId="164" fontId="20" fillId="3" borderId="0" xfId="0" applyNumberFormat="1" applyFont="1" applyFill="1" applyAlignment="1">
      <alignment horizontal="right"/>
    </xf>
    <xf numFmtId="164" fontId="20" fillId="3" borderId="0" xfId="0" applyNumberFormat="1" applyFont="1" applyFill="1"/>
    <xf numFmtId="165" fontId="37" fillId="3" borderId="0" xfId="3" applyNumberFormat="1" applyFont="1" applyFill="1" applyBorder="1"/>
    <xf numFmtId="0" fontId="65" fillId="2" borderId="24" xfId="0" applyFont="1" applyFill="1" applyBorder="1" applyAlignment="1">
      <alignment horizontal="center" vertical="center" wrapText="1"/>
    </xf>
    <xf numFmtId="0" fontId="12" fillId="0" borderId="0" xfId="0" applyFont="1" applyAlignment="1">
      <alignment horizontal="center"/>
    </xf>
    <xf numFmtId="0" fontId="13" fillId="0" borderId="0" xfId="0" applyFont="1" applyAlignment="1">
      <alignment horizontal="center"/>
    </xf>
    <xf numFmtId="0" fontId="10" fillId="0" borderId="0" xfId="0" applyFont="1" applyAlignment="1">
      <alignment horizontal="center"/>
    </xf>
    <xf numFmtId="0" fontId="11" fillId="0" borderId="0" xfId="0" applyFont="1" applyAlignment="1">
      <alignment horizontal="center"/>
    </xf>
    <xf numFmtId="0" fontId="0" fillId="0" borderId="0" xfId="0" applyAlignment="1">
      <alignment horizontal="center"/>
    </xf>
    <xf numFmtId="0" fontId="4" fillId="0" borderId="0" xfId="0" applyFont="1" applyAlignment="1">
      <alignment horizontal="center"/>
    </xf>
    <xf numFmtId="0" fontId="5" fillId="0" borderId="0" xfId="0" applyFont="1" applyAlignment="1">
      <alignment horizontal="center"/>
    </xf>
    <xf numFmtId="0" fontId="6" fillId="0" borderId="0" xfId="0" applyFont="1" applyAlignment="1">
      <alignment horizontal="center"/>
    </xf>
    <xf numFmtId="0" fontId="7" fillId="0" borderId="0" xfId="0" applyFont="1" applyAlignment="1">
      <alignment horizontal="center"/>
    </xf>
    <xf numFmtId="0" fontId="8" fillId="0" borderId="0" xfId="0" applyFont="1" applyAlignment="1">
      <alignment horizontal="center"/>
    </xf>
    <xf numFmtId="0" fontId="9" fillId="0" borderId="0" xfId="0" applyFont="1" applyAlignment="1">
      <alignment horizontal="center"/>
    </xf>
    <xf numFmtId="0" fontId="19" fillId="0" borderId="0" xfId="0" applyFont="1" applyAlignment="1">
      <alignment horizontal="left" vertical="top" wrapText="1"/>
    </xf>
  </cellXfs>
  <cellStyles count="7">
    <cellStyle name="Comma" xfId="1" builtinId="3"/>
    <cellStyle name="Comma0 - Style5" xfId="4" xr:uid="{1397E544-7A5D-4627-82CA-446E9A855C6D}"/>
    <cellStyle name="Currency" xfId="3" builtinId="4"/>
    <cellStyle name="Hyperlink" xfId="6" builtinId="8"/>
    <cellStyle name="Normal" xfId="0" builtinId="0"/>
    <cellStyle name="Percen - Style2" xfId="5" xr:uid="{A055BC95-278A-4F04-A738-FFE257F1BA8F}"/>
    <cellStyle name="Percent" xfId="2" builtinId="5"/>
  </cellStyles>
  <dxfs count="0"/>
  <tableStyles count="0" defaultTableStyle="TableStyleMedium9"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447674</xdr:colOff>
      <xdr:row>33</xdr:row>
      <xdr:rowOff>53975</xdr:rowOff>
    </xdr:from>
    <xdr:to>
      <xdr:col>6</xdr:col>
      <xdr:colOff>177799</xdr:colOff>
      <xdr:row>35</xdr:row>
      <xdr:rowOff>149225</xdr:rowOff>
    </xdr:to>
    <xdr:pic>
      <xdr:nvPicPr>
        <xdr:cNvPr id="3" name="Picture 2" descr="Horse.bmp">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stretch>
          <a:fillRect/>
        </a:stretch>
      </xdr:blipFill>
      <xdr:spPr>
        <a:xfrm>
          <a:off x="2124074" y="7235825"/>
          <a:ext cx="1781175" cy="476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9</xdr:col>
      <xdr:colOff>533400</xdr:colOff>
      <xdr:row>40</xdr:row>
      <xdr:rowOff>136965</xdr:rowOff>
    </xdr:to>
    <xdr:pic>
      <xdr:nvPicPr>
        <xdr:cNvPr id="4" name="Picture 3">
          <a:extLst>
            <a:ext uri="{FF2B5EF4-FFF2-40B4-BE49-F238E27FC236}">
              <a16:creationId xmlns:a16="http://schemas.microsoft.com/office/drawing/2014/main" id="{AF04E196-1C27-6B28-811A-2ABF2192D6D0}"/>
            </a:ext>
          </a:extLst>
        </xdr:cNvPr>
        <xdr:cNvPicPr>
          <a:picLocks noChangeAspect="1"/>
        </xdr:cNvPicPr>
      </xdr:nvPicPr>
      <xdr:blipFill>
        <a:blip xmlns:r="http://schemas.openxmlformats.org/officeDocument/2006/relationships" r:embed="rId1"/>
        <a:stretch>
          <a:fillRect/>
        </a:stretch>
      </xdr:blipFill>
      <xdr:spPr>
        <a:xfrm>
          <a:off x="0" y="28575"/>
          <a:ext cx="6019800" cy="772839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8" Type="http://schemas.openxmlformats.org/officeDocument/2006/relationships/hyperlink" Target="https://www.philadelphiafed.org/research-and-data/real-time-center/livingston-survey" TargetMode="External"/><Relationship Id="rId13" Type="http://schemas.openxmlformats.org/officeDocument/2006/relationships/hyperlink" Target="https://www.federalreserve.gov/monetarypolicy/files/fomcprojtabl20231213.pdf" TargetMode="External"/><Relationship Id="rId3" Type="http://schemas.openxmlformats.org/officeDocument/2006/relationships/hyperlink" Target="http://www.worldbank.org/en/publication/global-economic-prospects" TargetMode="External"/><Relationship Id="rId7" Type="http://schemas.openxmlformats.org/officeDocument/2006/relationships/hyperlink" Target="https://www.philadelphiafed.org/surveys-and-data/real-time-data-research/survey-of-professional-forecasters" TargetMode="External"/><Relationship Id="rId12" Type="http://schemas.openxmlformats.org/officeDocument/2006/relationships/hyperlink" Target="https://www.federalreserve.gov/monetarypolicy/files/fomcprojtabl20231213.pdf" TargetMode="External"/><Relationship Id="rId2" Type="http://schemas.openxmlformats.org/officeDocument/2006/relationships/hyperlink" Target="http://www.federalreserve.gov/" TargetMode="External"/><Relationship Id="rId16" Type="http://schemas.openxmlformats.org/officeDocument/2006/relationships/printerSettings" Target="../printerSettings/printerSettings14.bin"/><Relationship Id="rId1" Type="http://schemas.openxmlformats.org/officeDocument/2006/relationships/hyperlink" Target="http://pages.stern.nyu.edu/~adamodar/New_Home_Page/valquestions/stablegrowthrate.htm" TargetMode="External"/><Relationship Id="rId6" Type="http://schemas.openxmlformats.org/officeDocument/2006/relationships/hyperlink" Target="https://www.cbo.gov/about/products/budget-economic-data" TargetMode="External"/><Relationship Id="rId11" Type="http://schemas.openxmlformats.org/officeDocument/2006/relationships/hyperlink" Target="https://www.cbo.gov/system/files/2021-02/56970-Outlook.p" TargetMode="External"/><Relationship Id="rId5" Type="http://schemas.openxmlformats.org/officeDocument/2006/relationships/hyperlink" Target="https://www.philadelphiafed.org/research-and-data/real-time-center/livingston-survey" TargetMode="External"/><Relationship Id="rId15" Type="http://schemas.openxmlformats.org/officeDocument/2006/relationships/hyperlink" Target="https://www.cbo.gov/publication/59933" TargetMode="External"/><Relationship Id="rId10" Type="http://schemas.openxmlformats.org/officeDocument/2006/relationships/hyperlink" Target="https://www.federalreserve.gov/datadownload/Preview.aspx?pi=400&amp;rel=H15&amp;preview=%20H15/H15/RIFLGFCY05_N.WF" TargetMode="External"/><Relationship Id="rId4" Type="http://schemas.openxmlformats.org/officeDocument/2006/relationships/hyperlink" Target="https://www.cbo.gov/publication/59933" TargetMode="External"/><Relationship Id="rId9" Type="http://schemas.openxmlformats.org/officeDocument/2006/relationships/hyperlink" Target="http://www.federalreserve.gov/Releases/H15/Current/" TargetMode="External"/><Relationship Id="rId14" Type="http://schemas.openxmlformats.org/officeDocument/2006/relationships/hyperlink" Target="https://www.philadelphiafed.org/-/media/frbp/assets/surveys-and-data/survey-of-professional-forecasters/2024/spfq124.pdf"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hyperlink" Target="http://pages.stern.nyu.edu/~adamodar/New_Home_Page/datacurrent.html" TargetMode="External"/><Relationship Id="rId2" Type="http://schemas.openxmlformats.org/officeDocument/2006/relationships/hyperlink" Target="https://www.bvresources.com/products/faqs/cost-of-capital-professional" TargetMode="External"/><Relationship Id="rId1" Type="http://schemas.openxmlformats.org/officeDocument/2006/relationships/hyperlink" Target="https://simplywall.st/stocks/us/transportation" TargetMode="External"/><Relationship Id="rId6" Type="http://schemas.openxmlformats.org/officeDocument/2006/relationships/printerSettings" Target="../printerSettings/printerSettings16.bin"/><Relationship Id="rId5" Type="http://schemas.openxmlformats.org/officeDocument/2006/relationships/hyperlink" Target="https://papers.ssrn.com/sol3/papers.cfm?abstract_id=4407839" TargetMode="External"/><Relationship Id="rId4" Type="http://schemas.openxmlformats.org/officeDocument/2006/relationships/hyperlink" Target="https://www.richmondfed.org/research/national_economy/cfo_survey" TargetMode="Externa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M37"/>
  <sheetViews>
    <sheetView view="pageBreakPreview" zoomScale="60" zoomScaleNormal="100" workbookViewId="0">
      <selection activeCell="A10" sqref="A10"/>
    </sheetView>
  </sheetViews>
  <sheetFormatPr defaultRowHeight="15"/>
  <cols>
    <col min="5" max="5" width="12.28515625" customWidth="1"/>
    <col min="9" max="9" width="16.42578125" customWidth="1"/>
  </cols>
  <sheetData>
    <row r="1" spans="1:13" ht="18.75">
      <c r="A1" s="463" t="s">
        <v>0</v>
      </c>
      <c r="B1" s="464"/>
      <c r="C1" s="464"/>
      <c r="D1" s="464"/>
      <c r="E1" s="464"/>
      <c r="F1" s="464"/>
      <c r="G1" s="464"/>
      <c r="H1" s="464"/>
      <c r="I1" s="464"/>
    </row>
    <row r="5" spans="1:13" ht="27">
      <c r="E5" s="465" t="s">
        <v>0</v>
      </c>
      <c r="F5" s="466"/>
      <c r="G5" s="466"/>
      <c r="H5" s="466"/>
      <c r="I5" s="466"/>
      <c r="J5" s="466"/>
      <c r="K5" s="466"/>
      <c r="L5" s="466"/>
      <c r="M5" s="466"/>
    </row>
    <row r="7" spans="1:13" ht="27">
      <c r="A7" s="467" t="s">
        <v>30</v>
      </c>
      <c r="B7" s="468"/>
      <c r="C7" s="468"/>
      <c r="D7" s="468"/>
      <c r="E7" s="468"/>
      <c r="F7" s="468"/>
      <c r="G7" s="468"/>
      <c r="H7" s="468"/>
      <c r="I7" s="468"/>
    </row>
    <row r="8" spans="1:13" ht="27">
      <c r="A8" s="4"/>
      <c r="B8" s="5"/>
      <c r="C8" s="5"/>
      <c r="D8" s="5"/>
      <c r="E8" s="465" t="s">
        <v>0</v>
      </c>
      <c r="F8" s="466"/>
      <c r="G8" s="466"/>
      <c r="H8" s="466"/>
      <c r="I8" s="466"/>
      <c r="J8" s="466"/>
      <c r="K8" s="466"/>
      <c r="L8" s="466"/>
      <c r="M8" s="466"/>
    </row>
    <row r="9" spans="1:13" ht="27">
      <c r="A9" s="465" t="s">
        <v>452</v>
      </c>
      <c r="B9" s="466"/>
      <c r="C9" s="466"/>
      <c r="D9" s="466"/>
      <c r="E9" s="466"/>
      <c r="F9" s="466"/>
      <c r="G9" s="466"/>
      <c r="H9" s="466"/>
      <c r="I9" s="466"/>
    </row>
    <row r="15" spans="1:13">
      <c r="A15" s="460" t="s">
        <v>0</v>
      </c>
      <c r="B15" s="461"/>
      <c r="C15" s="461"/>
      <c r="D15" s="461"/>
      <c r="E15" s="461"/>
      <c r="F15" s="461"/>
      <c r="G15" s="461"/>
      <c r="H15" s="461"/>
      <c r="I15" s="461"/>
    </row>
    <row r="16" spans="1:13" ht="33.75">
      <c r="A16" s="458" t="str">
        <f>+'S&amp;D'!A12</f>
        <v>Railroad Carriers</v>
      </c>
      <c r="B16" s="459"/>
      <c r="C16" s="459"/>
      <c r="D16" s="459"/>
      <c r="E16" s="459"/>
      <c r="F16" s="459"/>
      <c r="G16" s="459"/>
      <c r="H16" s="459"/>
      <c r="I16" s="459"/>
    </row>
    <row r="17" spans="1:9">
      <c r="A17" s="460" t="s">
        <v>0</v>
      </c>
      <c r="B17" s="461"/>
      <c r="C17" s="461"/>
      <c r="D17" s="461"/>
      <c r="E17" s="461"/>
      <c r="F17" s="461"/>
      <c r="G17" s="461"/>
      <c r="H17" s="461"/>
      <c r="I17" s="461"/>
    </row>
    <row r="18" spans="1:9">
      <c r="A18" s="6"/>
      <c r="B18" s="7"/>
      <c r="C18" s="7"/>
      <c r="D18" s="7"/>
      <c r="E18" s="7"/>
      <c r="F18" s="7"/>
      <c r="G18" s="7"/>
      <c r="H18" s="7"/>
      <c r="I18" s="7"/>
    </row>
    <row r="19" spans="1:9">
      <c r="A19" s="6"/>
      <c r="B19" s="7"/>
      <c r="C19" s="7"/>
      <c r="D19" s="7"/>
      <c r="E19" s="7"/>
      <c r="F19" s="7"/>
      <c r="G19" s="7"/>
      <c r="H19" s="7"/>
      <c r="I19" s="7"/>
    </row>
    <row r="20" spans="1:9">
      <c r="A20" s="6"/>
      <c r="B20" s="7"/>
      <c r="C20" s="7"/>
      <c r="D20" s="7"/>
      <c r="E20" s="7"/>
      <c r="F20" s="7"/>
      <c r="G20" s="7"/>
      <c r="H20" s="7"/>
      <c r="I20" s="7"/>
    </row>
    <row r="21" spans="1:9">
      <c r="A21" s="6"/>
      <c r="B21" s="7"/>
      <c r="C21" s="7"/>
      <c r="D21" s="7"/>
      <c r="E21" s="7"/>
      <c r="F21" s="7"/>
      <c r="G21" s="7"/>
      <c r="H21" s="7"/>
      <c r="I21" s="7"/>
    </row>
    <row r="22" spans="1:9">
      <c r="A22" s="6"/>
      <c r="B22" s="7"/>
      <c r="C22" s="7"/>
      <c r="D22" s="7"/>
      <c r="E22" s="7"/>
      <c r="F22" s="7"/>
      <c r="G22" s="7"/>
      <c r="H22" s="7"/>
      <c r="I22" s="7"/>
    </row>
    <row r="23" spans="1:9">
      <c r="A23" s="6"/>
      <c r="B23" s="7"/>
      <c r="C23" s="7"/>
      <c r="D23" s="7"/>
      <c r="E23" s="7"/>
      <c r="F23" s="7"/>
      <c r="G23" s="7"/>
      <c r="H23" s="7"/>
      <c r="I23" s="7"/>
    </row>
    <row r="24" spans="1:9">
      <c r="A24" s="6"/>
      <c r="B24" s="7"/>
      <c r="C24" s="7"/>
      <c r="D24" s="7"/>
      <c r="E24" s="7"/>
      <c r="F24" s="7"/>
      <c r="G24" s="7"/>
      <c r="H24" s="7"/>
      <c r="I24" s="7"/>
    </row>
    <row r="25" spans="1:9">
      <c r="A25" s="6"/>
      <c r="B25" s="7"/>
      <c r="C25" s="7"/>
      <c r="D25" s="7"/>
      <c r="E25" s="7"/>
      <c r="F25" s="7"/>
      <c r="G25" s="7"/>
      <c r="H25" s="7"/>
      <c r="I25" s="7"/>
    </row>
    <row r="26" spans="1:9">
      <c r="A26" s="6"/>
      <c r="B26" s="7"/>
      <c r="C26" s="7"/>
      <c r="D26" s="7"/>
      <c r="E26" s="7"/>
      <c r="F26" s="7"/>
      <c r="G26" s="7"/>
      <c r="H26" s="7"/>
      <c r="I26" s="7"/>
    </row>
    <row r="27" spans="1:9">
      <c r="A27" s="6"/>
      <c r="B27" s="7"/>
      <c r="C27" s="7"/>
      <c r="D27" s="7"/>
      <c r="E27" s="7"/>
      <c r="F27" s="7"/>
      <c r="G27" s="7"/>
      <c r="H27" s="7"/>
      <c r="I27" s="7"/>
    </row>
    <row r="28" spans="1:9">
      <c r="A28" s="6"/>
      <c r="B28" s="7"/>
      <c r="C28" s="7"/>
      <c r="D28" s="7"/>
      <c r="E28" s="7"/>
      <c r="F28" s="7"/>
      <c r="G28" s="7"/>
      <c r="H28" s="7"/>
      <c r="I28" s="7"/>
    </row>
    <row r="29" spans="1:9">
      <c r="A29" s="460" t="s">
        <v>0</v>
      </c>
      <c r="B29" s="461"/>
      <c r="C29" s="461"/>
      <c r="D29" s="461"/>
      <c r="E29" s="461"/>
      <c r="F29" s="461"/>
      <c r="G29" s="461"/>
      <c r="H29" s="461"/>
      <c r="I29" s="461"/>
    </row>
    <row r="34" spans="1:9">
      <c r="A34" s="462"/>
      <c r="B34" s="462"/>
      <c r="C34" s="462"/>
      <c r="D34" s="462"/>
      <c r="E34" s="462"/>
      <c r="F34" s="462"/>
      <c r="G34" s="462"/>
      <c r="H34" s="462"/>
      <c r="I34" s="462"/>
    </row>
    <row r="35" spans="1:9">
      <c r="A35" s="462"/>
      <c r="B35" s="462"/>
      <c r="C35" s="462"/>
      <c r="D35" s="462"/>
      <c r="E35" s="462"/>
      <c r="F35" s="462"/>
      <c r="G35" s="462"/>
      <c r="H35" s="462"/>
      <c r="I35" s="462"/>
    </row>
    <row r="36" spans="1:9">
      <c r="A36" s="462"/>
      <c r="B36" s="462"/>
      <c r="C36" s="462"/>
      <c r="D36" s="462"/>
      <c r="E36" s="462"/>
      <c r="F36" s="462"/>
      <c r="G36" s="462"/>
      <c r="H36" s="462"/>
      <c r="I36" s="462"/>
    </row>
    <row r="37" spans="1:9">
      <c r="A37" s="462"/>
      <c r="B37" s="462"/>
      <c r="C37" s="462"/>
      <c r="D37" s="462"/>
      <c r="E37" s="462"/>
      <c r="F37" s="462"/>
      <c r="G37" s="462"/>
      <c r="H37" s="462"/>
      <c r="I37" s="462"/>
    </row>
  </sheetData>
  <mergeCells count="10">
    <mergeCell ref="A16:I16"/>
    <mergeCell ref="A17:I17"/>
    <mergeCell ref="A29:I29"/>
    <mergeCell ref="A34:I37"/>
    <mergeCell ref="A1:I1"/>
    <mergeCell ref="E5:M5"/>
    <mergeCell ref="A7:I7"/>
    <mergeCell ref="E8:M8"/>
    <mergeCell ref="A9:I9"/>
    <mergeCell ref="A15:I15"/>
  </mergeCells>
  <pageMargins left="0.25" right="0.25"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7977D-79F8-4597-B6CD-EDBA2BDD7D4C}">
  <sheetPr>
    <tabColor rgb="FF92D050"/>
  </sheetPr>
  <dimension ref="A1:L32"/>
  <sheetViews>
    <sheetView view="pageBreakPreview" zoomScale="70" zoomScaleNormal="80" zoomScaleSheetLayoutView="70" workbookViewId="0">
      <selection activeCell="E39" sqref="E39"/>
    </sheetView>
  </sheetViews>
  <sheetFormatPr defaultRowHeight="15"/>
  <cols>
    <col min="1" max="1" width="48.28515625" customWidth="1"/>
    <col min="2" max="2" width="10.85546875" bestFit="1" customWidth="1"/>
    <col min="3" max="3" width="23" customWidth="1"/>
    <col min="4" max="4" width="21.7109375" customWidth="1"/>
    <col min="5" max="5" width="24.140625" customWidth="1"/>
    <col min="6" max="6" width="22.28515625" customWidth="1"/>
    <col min="7" max="7" width="23.85546875" customWidth="1"/>
    <col min="8" max="8" width="22.7109375" customWidth="1"/>
    <col min="9" max="9" width="15" customWidth="1"/>
    <col min="10" max="10" width="14.140625" bestFit="1" customWidth="1"/>
    <col min="12" max="12" width="14.85546875" bestFit="1" customWidth="1"/>
  </cols>
  <sheetData>
    <row r="1" spans="1:11" ht="26.25">
      <c r="A1" s="19" t="s">
        <v>1</v>
      </c>
      <c r="B1" s="8"/>
      <c r="C1" s="8"/>
      <c r="D1" s="8"/>
      <c r="E1" s="8"/>
      <c r="F1" s="8"/>
      <c r="G1" s="8"/>
      <c r="H1" s="8"/>
      <c r="I1" s="8"/>
      <c r="J1" s="8"/>
      <c r="K1" s="8"/>
    </row>
    <row r="2" spans="1:11" ht="17.25">
      <c r="A2" s="20" t="s">
        <v>9</v>
      </c>
      <c r="B2" s="8"/>
      <c r="C2" s="8"/>
      <c r="D2" s="8"/>
      <c r="E2" s="8"/>
      <c r="F2" s="8"/>
      <c r="G2" s="8"/>
      <c r="H2" s="8"/>
      <c r="I2" s="8"/>
      <c r="J2" s="8"/>
      <c r="K2" s="8"/>
    </row>
    <row r="3" spans="1:11" ht="16.5">
      <c r="A3" s="21" t="s">
        <v>453</v>
      </c>
      <c r="B3" s="8"/>
      <c r="C3" s="8"/>
      <c r="D3" s="8"/>
      <c r="E3" s="8"/>
      <c r="F3" s="8"/>
      <c r="G3" s="8"/>
      <c r="H3" s="8"/>
      <c r="I3" s="8"/>
      <c r="J3" s="8"/>
      <c r="K3" s="8"/>
    </row>
    <row r="4" spans="1:11" ht="16.5">
      <c r="A4" s="21"/>
      <c r="B4" s="8"/>
      <c r="C4" s="8"/>
      <c r="D4" s="8"/>
      <c r="E4" s="8"/>
      <c r="F4" s="8"/>
      <c r="G4" s="8"/>
      <c r="H4" s="8"/>
      <c r="I4" s="8"/>
      <c r="J4" s="8"/>
      <c r="K4" s="8"/>
    </row>
    <row r="5" spans="1:11" ht="17.25" thickBot="1">
      <c r="A5" s="8"/>
      <c r="B5" s="8"/>
      <c r="C5" s="8"/>
      <c r="D5" s="8"/>
      <c r="E5" s="8"/>
      <c r="F5" s="22" t="s">
        <v>0</v>
      </c>
      <c r="G5" s="22"/>
      <c r="H5" s="8"/>
      <c r="I5" s="8"/>
      <c r="J5" s="8"/>
      <c r="K5" s="8"/>
    </row>
    <row r="6" spans="1:11" ht="21" thickBot="1">
      <c r="A6" s="260" t="str">
        <f>+'S&amp;D'!A12</f>
        <v>Railroad Carriers</v>
      </c>
      <c r="B6" s="189"/>
      <c r="C6" s="8"/>
      <c r="D6" s="24"/>
      <c r="E6" s="24"/>
      <c r="F6" s="24"/>
      <c r="G6" s="8"/>
      <c r="H6" s="8"/>
      <c r="I6" s="8"/>
      <c r="J6" s="8"/>
      <c r="K6" s="8"/>
    </row>
    <row r="7" spans="1:11" ht="26.25">
      <c r="A7" s="26"/>
      <c r="B7" s="8"/>
      <c r="C7" s="8"/>
      <c r="D7" s="8"/>
      <c r="E7" s="27" t="s">
        <v>192</v>
      </c>
      <c r="F7" s="8"/>
      <c r="G7" s="8"/>
      <c r="H7" s="8"/>
      <c r="I7" s="8"/>
      <c r="J7" s="8"/>
      <c r="K7" s="8"/>
    </row>
    <row r="8" spans="1:11" ht="17.25" thickBot="1">
      <c r="A8" s="36" t="s">
        <v>0</v>
      </c>
      <c r="B8" s="36" t="s">
        <v>0</v>
      </c>
      <c r="C8" s="36" t="s">
        <v>0</v>
      </c>
      <c r="D8" s="29" t="s">
        <v>0</v>
      </c>
      <c r="E8" s="28" t="s">
        <v>454</v>
      </c>
      <c r="F8" s="29" t="s">
        <v>0</v>
      </c>
      <c r="G8" s="36"/>
      <c r="H8" s="36" t="s">
        <v>0</v>
      </c>
      <c r="I8" s="36" t="s">
        <v>0</v>
      </c>
      <c r="J8" s="8"/>
      <c r="K8" s="8"/>
    </row>
    <row r="9" spans="1:11" ht="16.5">
      <c r="A9" s="36"/>
      <c r="B9" s="36"/>
      <c r="H9" s="36"/>
      <c r="I9" s="36"/>
      <c r="J9" s="8"/>
      <c r="K9" s="8"/>
    </row>
    <row r="10" spans="1:11" ht="16.5">
      <c r="A10" s="36"/>
      <c r="B10" s="36"/>
      <c r="D10" t="s">
        <v>0</v>
      </c>
      <c r="E10" t="s">
        <v>0</v>
      </c>
      <c r="G10" t="s">
        <v>0</v>
      </c>
      <c r="H10" s="36"/>
      <c r="I10" s="36"/>
      <c r="J10" s="8"/>
      <c r="K10" s="8"/>
    </row>
    <row r="11" spans="1:11" ht="16.5">
      <c r="A11" s="36"/>
      <c r="B11" s="36"/>
      <c r="E11" t="s">
        <v>0</v>
      </c>
      <c r="H11" s="36"/>
      <c r="I11" s="36"/>
      <c r="J11" s="8"/>
      <c r="K11" s="8"/>
    </row>
    <row r="12" spans="1:11" ht="17.25" thickBot="1">
      <c r="A12" s="29"/>
      <c r="B12" s="29"/>
      <c r="C12" s="142"/>
      <c r="D12" s="142"/>
      <c r="E12" s="142"/>
      <c r="F12" s="142"/>
      <c r="G12" s="142"/>
      <c r="H12" s="29"/>
      <c r="I12" s="29"/>
      <c r="J12" s="24"/>
      <c r="K12" s="8"/>
    </row>
    <row r="13" spans="1:11" ht="11.25" customHeight="1" thickBot="1">
      <c r="A13" s="29" t="s">
        <v>24</v>
      </c>
      <c r="B13" s="29" t="s">
        <v>89</v>
      </c>
      <c r="C13" s="29" t="s">
        <v>90</v>
      </c>
      <c r="D13" s="37" t="s">
        <v>91</v>
      </c>
      <c r="E13" s="29" t="s">
        <v>92</v>
      </c>
      <c r="F13" s="29" t="s">
        <v>93</v>
      </c>
      <c r="G13" s="29" t="s">
        <v>94</v>
      </c>
      <c r="H13" s="29" t="s">
        <v>95</v>
      </c>
      <c r="I13" s="29" t="s">
        <v>96</v>
      </c>
      <c r="J13" s="29" t="s">
        <v>97</v>
      </c>
      <c r="K13" s="8"/>
    </row>
    <row r="14" spans="1:11" ht="16.5">
      <c r="A14" s="30" t="s">
        <v>0</v>
      </c>
      <c r="B14" s="30" t="s">
        <v>3</v>
      </c>
      <c r="C14" s="30" t="s">
        <v>84</v>
      </c>
      <c r="D14" s="30" t="s">
        <v>117</v>
      </c>
      <c r="E14" s="30" t="s">
        <v>118</v>
      </c>
      <c r="F14" s="30" t="s">
        <v>117</v>
      </c>
      <c r="G14" s="30" t="s">
        <v>118</v>
      </c>
      <c r="H14" s="30" t="s">
        <v>19</v>
      </c>
      <c r="I14" s="30" t="s">
        <v>119</v>
      </c>
      <c r="J14" s="30" t="s">
        <v>131</v>
      </c>
      <c r="K14" s="8"/>
    </row>
    <row r="15" spans="1:11" ht="17.25" thickBot="1">
      <c r="A15" s="32" t="s">
        <v>2</v>
      </c>
      <c r="B15" s="32" t="s">
        <v>4</v>
      </c>
      <c r="C15" s="32" t="s">
        <v>116</v>
      </c>
      <c r="D15" s="32" t="s">
        <v>83</v>
      </c>
      <c r="E15" s="32" t="s">
        <v>83</v>
      </c>
      <c r="F15" s="32" t="s">
        <v>84</v>
      </c>
      <c r="G15" s="32" t="s">
        <v>84</v>
      </c>
      <c r="H15" s="32" t="s">
        <v>117</v>
      </c>
      <c r="I15" s="32" t="s">
        <v>120</v>
      </c>
      <c r="J15" s="32" t="s">
        <v>130</v>
      </c>
      <c r="K15" s="8"/>
    </row>
    <row r="16" spans="1:11" ht="16.5">
      <c r="A16" s="38" t="s">
        <v>7</v>
      </c>
      <c r="B16" s="38" t="s">
        <v>7</v>
      </c>
      <c r="C16" s="38" t="s">
        <v>133</v>
      </c>
      <c r="D16" s="38" t="s">
        <v>133</v>
      </c>
      <c r="E16" s="38" t="s">
        <v>133</v>
      </c>
      <c r="F16" s="38" t="s">
        <v>133</v>
      </c>
      <c r="G16" s="38" t="s">
        <v>133</v>
      </c>
      <c r="H16" s="38" t="s">
        <v>122</v>
      </c>
      <c r="I16" s="38" t="s">
        <v>121</v>
      </c>
      <c r="J16" s="38" t="s">
        <v>99</v>
      </c>
      <c r="K16" s="8"/>
    </row>
    <row r="17" spans="1:12" ht="16.5">
      <c r="A17" s="30"/>
      <c r="B17" s="30"/>
      <c r="C17" s="30"/>
      <c r="D17" s="30"/>
      <c r="E17" s="30"/>
      <c r="F17" s="30"/>
      <c r="G17" s="30"/>
      <c r="H17" s="30"/>
      <c r="I17" s="30"/>
      <c r="J17" s="30"/>
      <c r="K17" s="8"/>
    </row>
    <row r="18" spans="1:12" ht="16.5">
      <c r="A18" s="8"/>
      <c r="B18" s="8"/>
      <c r="C18" s="8"/>
      <c r="D18" s="8"/>
      <c r="E18" s="8"/>
      <c r="F18" s="8"/>
      <c r="G18" s="8"/>
      <c r="H18" s="8"/>
      <c r="I18" s="8"/>
      <c r="J18" s="8"/>
      <c r="K18" s="8"/>
    </row>
    <row r="19" spans="1:12" ht="17.25">
      <c r="A19" s="58" t="str">
        <f>+'S&amp;D'!A22</f>
        <v>Canadian National</v>
      </c>
      <c r="B19" s="85" t="str">
        <f>+'S&amp;D'!B22</f>
        <v>CNI</v>
      </c>
      <c r="C19" s="307">
        <f>722000000*0.7561</f>
        <v>545904200</v>
      </c>
      <c r="D19" s="294">
        <v>10922214660.795414</v>
      </c>
      <c r="E19" s="294">
        <v>11369630100</v>
      </c>
      <c r="F19" s="127">
        <f>+'S&amp;D'!H36</f>
        <v>13519659099.170057</v>
      </c>
      <c r="G19" s="127">
        <f>+'S&amp;D'!J22</f>
        <v>13967435300</v>
      </c>
      <c r="H19" s="177">
        <f>(D19+F19)/2</f>
        <v>12220936879.982735</v>
      </c>
      <c r="I19" s="61">
        <f t="shared" ref="I19:I23" si="0">C19/H19</f>
        <v>4.4669586739635565E-2</v>
      </c>
      <c r="J19" s="41">
        <f>F19/G19</f>
        <v>0.96794141578519122</v>
      </c>
      <c r="K19" s="8"/>
    </row>
    <row r="20" spans="1:12" ht="17.25">
      <c r="A20" s="58" t="str">
        <f>+'S&amp;D'!A23</f>
        <v>Canadian Pacific Kansas City Limited  CPKC</v>
      </c>
      <c r="B20" s="85" t="str">
        <f>+'S&amp;D'!B23</f>
        <v>CP</v>
      </c>
      <c r="C20" s="307">
        <f>771000000*0.7561</f>
        <v>582953100</v>
      </c>
      <c r="D20" s="294">
        <v>13057868000</v>
      </c>
      <c r="E20" s="127">
        <v>14480821900</v>
      </c>
      <c r="F20" s="127">
        <f>+'S&amp;D'!H37</f>
        <v>16303984250.128283</v>
      </c>
      <c r="G20" s="127">
        <f>+'S&amp;D'!J23</f>
        <v>17007713400</v>
      </c>
      <c r="H20" s="177">
        <f t="shared" ref="H20:H23" si="1">(D20+F20)/2</f>
        <v>14680926125.06414</v>
      </c>
      <c r="I20" s="61">
        <f t="shared" si="0"/>
        <v>3.9708196542502058E-2</v>
      </c>
      <c r="J20" s="41">
        <f t="shared" ref="J20:J23" si="2">F20/G20</f>
        <v>0.95862294164295381</v>
      </c>
      <c r="K20" s="8"/>
    </row>
    <row r="21" spans="1:12" ht="17.25">
      <c r="A21" s="58" t="str">
        <f>+'S&amp;D'!A24</f>
        <v>CSX Corp</v>
      </c>
      <c r="B21" s="85" t="str">
        <f>+'S&amp;D'!B24</f>
        <v>CSX</v>
      </c>
      <c r="C21" s="307">
        <v>809000000</v>
      </c>
      <c r="D21" s="348">
        <v>16135000000</v>
      </c>
      <c r="E21" s="127">
        <v>18047000000</v>
      </c>
      <c r="F21" s="127">
        <f>+'S&amp;D'!H38</f>
        <v>17528000000</v>
      </c>
      <c r="G21" s="127">
        <f>+'S&amp;D'!J24</f>
        <v>18533000000</v>
      </c>
      <c r="H21" s="177">
        <f t="shared" si="1"/>
        <v>16831500000</v>
      </c>
      <c r="I21" s="61">
        <f t="shared" si="0"/>
        <v>4.8064640703442948E-2</v>
      </c>
      <c r="J21" s="41">
        <f t="shared" si="2"/>
        <v>0.94577240597852474</v>
      </c>
      <c r="K21" s="8"/>
      <c r="L21" t="s">
        <v>0</v>
      </c>
    </row>
    <row r="22" spans="1:12" ht="17.25">
      <c r="A22" s="58" t="str">
        <f>+'S&amp;D'!A25</f>
        <v>Norfolk Southern</v>
      </c>
      <c r="B22" s="85" t="str">
        <f>+'S&amp;D'!B25</f>
        <v>NSC</v>
      </c>
      <c r="C22" s="307">
        <v>722000000</v>
      </c>
      <c r="D22" s="127">
        <v>13937804800.424347</v>
      </c>
      <c r="E22" s="127">
        <v>15182000000</v>
      </c>
      <c r="F22" s="127">
        <f>+'S&amp;D'!H39</f>
        <v>16631000000</v>
      </c>
      <c r="G22" s="127">
        <f>+'S&amp;D'!J25</f>
        <v>17179000000</v>
      </c>
      <c r="H22" s="177">
        <f t="shared" si="1"/>
        <v>15284402400.212173</v>
      </c>
      <c r="I22" s="61">
        <f t="shared" si="0"/>
        <v>4.7237699001563674E-2</v>
      </c>
      <c r="J22" s="41">
        <f t="shared" si="2"/>
        <v>0.96810058792712028</v>
      </c>
      <c r="K22" s="8"/>
    </row>
    <row r="23" spans="1:12" ht="17.25">
      <c r="A23" s="58" t="str">
        <f>+'S&amp;D'!A26</f>
        <v>Union Pacific Railroad</v>
      </c>
      <c r="B23" s="85" t="str">
        <f>+'S&amp;D'!B26</f>
        <v>UNP</v>
      </c>
      <c r="C23" s="307">
        <v>1340000000</v>
      </c>
      <c r="D23" s="127">
        <v>28121939939.939941</v>
      </c>
      <c r="E23" s="127">
        <v>33326000000</v>
      </c>
      <c r="F23" s="127">
        <f>+'S&amp;D'!H40</f>
        <v>28018153153.153152</v>
      </c>
      <c r="G23" s="127">
        <f>+'S&amp;D'!J26</f>
        <v>32737000000</v>
      </c>
      <c r="H23" s="177">
        <f t="shared" si="1"/>
        <v>28070046546.546547</v>
      </c>
      <c r="I23" s="61">
        <f t="shared" si="0"/>
        <v>4.7737719201069867E-2</v>
      </c>
      <c r="J23" s="41">
        <f t="shared" si="2"/>
        <v>0.85585585585585588</v>
      </c>
      <c r="K23" s="8"/>
    </row>
    <row r="24" spans="1:12" ht="17.25" thickBot="1">
      <c r="A24" s="8"/>
      <c r="B24" s="8"/>
      <c r="C24" s="42"/>
      <c r="D24" s="42"/>
      <c r="E24" s="42"/>
      <c r="F24" s="42"/>
      <c r="G24" s="42" t="s">
        <v>45</v>
      </c>
      <c r="H24" s="42"/>
      <c r="I24" s="42" t="s">
        <v>45</v>
      </c>
      <c r="J24" s="42"/>
      <c r="K24" s="8"/>
    </row>
    <row r="25" spans="1:12" ht="17.25" thickTop="1">
      <c r="A25" s="8"/>
      <c r="B25" s="8"/>
      <c r="C25" s="43" t="s">
        <v>0</v>
      </c>
      <c r="D25" s="43" t="s">
        <v>0</v>
      </c>
      <c r="E25" s="30" t="s">
        <v>0</v>
      </c>
      <c r="F25" s="30"/>
      <c r="G25" s="43" t="s">
        <v>0</v>
      </c>
      <c r="H25" s="10" t="s">
        <v>46</v>
      </c>
      <c r="I25" s="304">
        <f>MAX(I19:I23)</f>
        <v>4.8064640703442948E-2</v>
      </c>
      <c r="J25" s="306">
        <f>MAX(J19:J23)</f>
        <v>0.96810058792712028</v>
      </c>
      <c r="K25" s="8"/>
    </row>
    <row r="26" spans="1:12" ht="16.5">
      <c r="A26" s="178" t="s">
        <v>72</v>
      </c>
      <c r="B26" s="8"/>
      <c r="C26" s="43"/>
      <c r="D26" s="43" t="s">
        <v>0</v>
      </c>
      <c r="F26" s="30"/>
      <c r="G26" s="30" t="s">
        <v>0</v>
      </c>
      <c r="H26" s="324" t="s">
        <v>47</v>
      </c>
      <c r="I26" s="305">
        <f>MIN(I19:I23)</f>
        <v>3.9708196542502058E-2</v>
      </c>
      <c r="J26" s="328">
        <f>MIN(J19:J23)</f>
        <v>0.85585585585585588</v>
      </c>
      <c r="K26" s="8"/>
    </row>
    <row r="27" spans="1:12" ht="16.5">
      <c r="A27" s="179" t="s">
        <v>266</v>
      </c>
      <c r="B27" s="8"/>
      <c r="C27" s="8"/>
      <c r="D27" s="8"/>
      <c r="E27" s="8"/>
      <c r="F27" s="8"/>
      <c r="G27" s="8"/>
      <c r="H27" s="10" t="s">
        <v>18</v>
      </c>
      <c r="I27" s="51">
        <f>MEDIAN(I19:I23)</f>
        <v>4.7237699001563674E-2</v>
      </c>
      <c r="J27" s="44">
        <f>MEDIAN(J19:J23)</f>
        <v>0.95862294164295381</v>
      </c>
      <c r="K27" s="8"/>
    </row>
    <row r="28" spans="1:12" ht="16.5">
      <c r="A28" s="179" t="s">
        <v>236</v>
      </c>
      <c r="B28" s="8"/>
      <c r="C28" s="8"/>
      <c r="D28" s="8"/>
      <c r="E28" s="8"/>
      <c r="F28" s="8"/>
      <c r="G28" s="8"/>
      <c r="H28" s="10" t="s">
        <v>411</v>
      </c>
      <c r="I28" s="51">
        <f>AVERAGE(I19:I23)</f>
        <v>4.5483568437642827E-2</v>
      </c>
      <c r="J28" s="44">
        <f>AVERAGE(J19:J23)</f>
        <v>0.93925864143792914</v>
      </c>
      <c r="K28" s="8"/>
    </row>
    <row r="29" spans="1:12" ht="17.25" thickBot="1">
      <c r="A29" s="8"/>
      <c r="B29" s="8"/>
      <c r="C29" s="8"/>
      <c r="D29" s="8"/>
      <c r="E29" s="8"/>
      <c r="F29" s="8"/>
      <c r="G29" s="8"/>
      <c r="H29" s="8"/>
      <c r="I29" s="8"/>
      <c r="J29" s="9"/>
      <c r="K29" s="8"/>
    </row>
    <row r="30" spans="1:12" ht="27" thickBot="1">
      <c r="A30" s="8"/>
      <c r="B30" s="8"/>
      <c r="C30" s="8"/>
      <c r="D30" s="8"/>
      <c r="E30" s="8"/>
      <c r="F30" s="8"/>
      <c r="G30" s="182"/>
      <c r="H30" s="183" t="s">
        <v>242</v>
      </c>
      <c r="I30" s="184">
        <v>4.5499999999999999E-2</v>
      </c>
      <c r="J30" s="403">
        <v>9.3930000000000003E-3</v>
      </c>
      <c r="K30" s="8"/>
    </row>
    <row r="31" spans="1:12" ht="16.5">
      <c r="A31" s="8"/>
      <c r="B31" s="8"/>
      <c r="C31" s="8"/>
      <c r="D31" s="8"/>
      <c r="E31" s="8"/>
      <c r="F31" s="8"/>
      <c r="G31" s="8"/>
      <c r="H31" s="8"/>
      <c r="I31" s="8"/>
      <c r="J31" s="8"/>
      <c r="K31" s="8"/>
    </row>
    <row r="32" spans="1:12" ht="16.5">
      <c r="A32" s="8"/>
      <c r="B32" s="8"/>
      <c r="C32" s="8"/>
      <c r="D32" s="8"/>
      <c r="E32" s="8"/>
      <c r="F32" s="8"/>
      <c r="G32" s="8"/>
      <c r="H32" s="8"/>
      <c r="I32" s="8"/>
      <c r="J32" s="8"/>
      <c r="K32" s="8"/>
    </row>
  </sheetData>
  <pageMargins left="0.25" right="0.25" top="0.75" bottom="0.75" header="0.3" footer="0.3"/>
  <pageSetup scale="56"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M57"/>
  <sheetViews>
    <sheetView view="pageBreakPreview" topLeftCell="A17" zoomScale="60" zoomScaleNormal="80" workbookViewId="0">
      <selection activeCell="K31" sqref="K31"/>
    </sheetView>
  </sheetViews>
  <sheetFormatPr defaultRowHeight="15"/>
  <cols>
    <col min="1" max="1" width="39.7109375" customWidth="1"/>
    <col min="2" max="2" width="13.42578125" customWidth="1"/>
    <col min="3" max="3" width="19.140625" bestFit="1" customWidth="1"/>
    <col min="4" max="4" width="20.85546875" customWidth="1"/>
    <col min="5" max="5" width="21.85546875" customWidth="1"/>
    <col min="6" max="6" width="16.140625" customWidth="1"/>
    <col min="7" max="7" width="12.140625" customWidth="1"/>
    <col min="8" max="8" width="18.5703125" customWidth="1"/>
    <col min="9" max="9" width="15.5703125" customWidth="1"/>
    <col min="10" max="11" width="20.5703125" customWidth="1"/>
    <col min="12" max="12" width="26.5703125" customWidth="1"/>
    <col min="13" max="13" width="6.5703125" customWidth="1"/>
  </cols>
  <sheetData>
    <row r="1" spans="1:13" ht="26.25">
      <c r="A1" s="19" t="s">
        <v>1</v>
      </c>
      <c r="B1" s="8"/>
      <c r="C1" s="8"/>
      <c r="D1" s="8"/>
      <c r="E1" s="8"/>
      <c r="F1" s="8"/>
      <c r="G1" s="8"/>
      <c r="H1" s="8"/>
      <c r="I1" s="8"/>
      <c r="J1" s="8"/>
      <c r="K1" s="8"/>
      <c r="L1" s="8"/>
      <c r="M1" s="8"/>
    </row>
    <row r="2" spans="1:13" ht="17.25">
      <c r="A2" s="20" t="s">
        <v>9</v>
      </c>
      <c r="B2" s="8"/>
      <c r="C2" s="8"/>
      <c r="D2" s="8"/>
      <c r="E2" s="8"/>
      <c r="F2" s="8"/>
      <c r="G2" s="8"/>
      <c r="H2" s="8"/>
      <c r="I2" s="8"/>
      <c r="J2" s="8"/>
      <c r="K2" s="8"/>
      <c r="L2" s="8"/>
      <c r="M2" s="8"/>
    </row>
    <row r="3" spans="1:13" ht="16.5">
      <c r="A3" s="21" t="s">
        <v>453</v>
      </c>
      <c r="B3" s="8"/>
      <c r="C3" s="8"/>
      <c r="D3" s="8"/>
      <c r="E3" s="8"/>
      <c r="F3" s="8"/>
      <c r="G3" s="8"/>
      <c r="H3" s="8"/>
      <c r="I3" s="8"/>
      <c r="J3" s="8"/>
      <c r="K3" s="8"/>
      <c r="L3" s="8"/>
      <c r="M3" s="8"/>
    </row>
    <row r="4" spans="1:13" ht="16.5">
      <c r="A4" s="21"/>
      <c r="B4" s="8"/>
      <c r="C4" s="8"/>
      <c r="D4" s="8"/>
      <c r="E4" s="8"/>
      <c r="F4" s="8"/>
      <c r="G4" s="8"/>
      <c r="H4" s="8"/>
      <c r="I4" s="8"/>
      <c r="J4" s="8"/>
      <c r="K4" s="8"/>
      <c r="L4" s="8"/>
      <c r="M4" s="8"/>
    </row>
    <row r="5" spans="1:13" ht="17.25" thickBot="1">
      <c r="A5" s="8"/>
      <c r="B5" s="8"/>
      <c r="C5" s="8"/>
      <c r="D5" s="8"/>
      <c r="E5" s="8"/>
      <c r="F5" s="8"/>
      <c r="G5" s="22"/>
      <c r="H5" s="22"/>
      <c r="I5" s="8"/>
      <c r="J5" s="8"/>
      <c r="K5" s="8"/>
      <c r="L5" s="8"/>
      <c r="M5" s="8"/>
    </row>
    <row r="6" spans="1:13" ht="21" thickBot="1">
      <c r="A6" s="260" t="str">
        <f>+'S&amp;D'!A12</f>
        <v>Railroad Carriers</v>
      </c>
      <c r="B6" s="189"/>
      <c r="C6" s="8"/>
      <c r="D6" s="24"/>
      <c r="E6" s="24"/>
      <c r="F6" s="25" t="s">
        <v>0</v>
      </c>
      <c r="G6" s="8"/>
      <c r="H6" s="8"/>
      <c r="I6" s="8"/>
      <c r="J6" s="8"/>
      <c r="K6" s="8"/>
      <c r="L6" s="8"/>
      <c r="M6" s="8"/>
    </row>
    <row r="7" spans="1:13" ht="26.25">
      <c r="A7" s="26"/>
      <c r="B7" s="8"/>
      <c r="C7" s="8"/>
      <c r="D7" s="8"/>
      <c r="E7" s="27" t="s">
        <v>129</v>
      </c>
      <c r="F7" s="8"/>
      <c r="G7" s="8"/>
      <c r="H7" s="8"/>
      <c r="I7" s="8"/>
      <c r="J7" s="8"/>
      <c r="K7" s="8"/>
      <c r="L7" s="8"/>
      <c r="M7" s="8"/>
    </row>
    <row r="8" spans="1:13" ht="21" thickBot="1">
      <c r="A8" s="26"/>
      <c r="B8" s="8"/>
      <c r="C8" s="8"/>
      <c r="D8" s="24"/>
      <c r="E8" s="28" t="s">
        <v>454</v>
      </c>
      <c r="F8" s="24"/>
      <c r="G8" s="8"/>
      <c r="H8" s="8"/>
      <c r="I8" s="8"/>
      <c r="J8" s="8"/>
      <c r="K8" s="8"/>
      <c r="L8" s="8"/>
      <c r="M8" s="8"/>
    </row>
    <row r="9" spans="1:13" ht="17.25" thickBot="1">
      <c r="A9" s="29" t="s">
        <v>0</v>
      </c>
      <c r="B9" s="29" t="s">
        <v>0</v>
      </c>
      <c r="C9" s="29" t="s">
        <v>0</v>
      </c>
      <c r="D9" s="29" t="s">
        <v>0</v>
      </c>
      <c r="E9" s="29" t="s">
        <v>0</v>
      </c>
      <c r="F9" s="29" t="s">
        <v>0</v>
      </c>
      <c r="G9" s="29"/>
      <c r="H9" s="29"/>
      <c r="I9" s="29" t="s">
        <v>0</v>
      </c>
      <c r="J9" s="24"/>
      <c r="L9" s="8"/>
      <c r="M9" s="8"/>
    </row>
    <row r="10" spans="1:13" ht="16.5">
      <c r="A10" s="30" t="s">
        <v>0</v>
      </c>
      <c r="B10" s="30" t="s">
        <v>3</v>
      </c>
      <c r="C10" s="30" t="s">
        <v>5</v>
      </c>
      <c r="D10" s="30" t="s">
        <v>21</v>
      </c>
      <c r="E10" s="30" t="s">
        <v>20</v>
      </c>
      <c r="F10" s="30" t="s">
        <v>51</v>
      </c>
      <c r="G10" s="30" t="s">
        <v>132</v>
      </c>
      <c r="H10" s="30" t="s">
        <v>48</v>
      </c>
      <c r="I10" s="30" t="s">
        <v>132</v>
      </c>
      <c r="J10" s="30" t="s">
        <v>48</v>
      </c>
      <c r="L10" s="8"/>
      <c r="M10" s="8"/>
    </row>
    <row r="11" spans="1:13" ht="17.25" thickBot="1">
      <c r="A11" s="32" t="s">
        <v>2</v>
      </c>
      <c r="B11" s="32" t="s">
        <v>4</v>
      </c>
      <c r="C11" s="32" t="s">
        <v>6</v>
      </c>
      <c r="D11" s="32" t="s">
        <v>23</v>
      </c>
      <c r="E11" s="32" t="s">
        <v>22</v>
      </c>
      <c r="F11" s="32" t="s">
        <v>49</v>
      </c>
      <c r="G11" s="32" t="s">
        <v>49</v>
      </c>
      <c r="H11" s="32" t="s">
        <v>49</v>
      </c>
      <c r="I11" s="32" t="s">
        <v>49</v>
      </c>
      <c r="J11" s="32" t="s">
        <v>50</v>
      </c>
      <c r="L11" s="8"/>
      <c r="M11" s="8"/>
    </row>
    <row r="12" spans="1:13" ht="16.5">
      <c r="A12" s="34" t="s">
        <v>7</v>
      </c>
      <c r="B12" s="34" t="s">
        <v>7</v>
      </c>
      <c r="C12" s="34" t="s">
        <v>7</v>
      </c>
      <c r="D12" s="34" t="s">
        <v>7</v>
      </c>
      <c r="E12" s="34" t="s">
        <v>7</v>
      </c>
      <c r="F12" s="34" t="s">
        <v>0</v>
      </c>
      <c r="G12" s="34" t="s">
        <v>0</v>
      </c>
      <c r="H12" s="34" t="s">
        <v>0</v>
      </c>
      <c r="I12" s="34" t="s">
        <v>0</v>
      </c>
      <c r="J12" s="34" t="s">
        <v>0</v>
      </c>
      <c r="L12" s="8"/>
      <c r="M12" s="8"/>
    </row>
    <row r="13" spans="1:13" ht="16.5">
      <c r="A13" s="30"/>
      <c r="B13" s="30"/>
      <c r="C13" s="30"/>
      <c r="D13" s="30"/>
      <c r="E13" s="30"/>
      <c r="F13" s="30"/>
      <c r="G13" s="30"/>
      <c r="H13" s="30"/>
      <c r="I13" s="30"/>
      <c r="J13" s="30"/>
      <c r="L13" s="8"/>
      <c r="M13" s="8"/>
    </row>
    <row r="14" spans="1:13" ht="16.5">
      <c r="A14" s="8"/>
      <c r="B14" s="8"/>
      <c r="C14" s="8"/>
      <c r="D14" s="8"/>
      <c r="E14" s="8"/>
      <c r="F14" s="8"/>
      <c r="G14" s="8"/>
      <c r="H14" s="8"/>
      <c r="I14" s="8"/>
      <c r="J14" s="8"/>
      <c r="L14" s="8"/>
      <c r="M14" s="8"/>
    </row>
    <row r="15" spans="1:13" ht="17.25">
      <c r="A15" s="58" t="str">
        <f>+'S&amp;D'!A22</f>
        <v>Canadian National</v>
      </c>
      <c r="B15" s="85" t="str">
        <f>+'S&amp;D'!B22</f>
        <v>CNI</v>
      </c>
      <c r="C15" s="30" t="str">
        <f>+'S&amp;D'!C22</f>
        <v>Railroad</v>
      </c>
      <c r="D15" s="49">
        <f>+'Beta for CAPM'!D18</f>
        <v>0.24</v>
      </c>
      <c r="E15" s="30" t="str">
        <f>+'Beta for CAPM'!G18</f>
        <v>A</v>
      </c>
      <c r="F15" s="30" t="s">
        <v>60</v>
      </c>
      <c r="G15" s="390">
        <v>9</v>
      </c>
      <c r="H15" s="57" t="s">
        <v>142</v>
      </c>
      <c r="I15" s="389">
        <v>8</v>
      </c>
      <c r="J15" s="61">
        <v>5.2499999999999998E-2</v>
      </c>
      <c r="L15" s="8"/>
      <c r="M15" s="8"/>
    </row>
    <row r="16" spans="1:13" ht="17.25">
      <c r="A16" s="58" t="str">
        <f>+'S&amp;D'!A23</f>
        <v>Canadian Pacific Kansas City Limited  CPKC</v>
      </c>
      <c r="B16" s="85" t="str">
        <f>+'S&amp;D'!B23</f>
        <v>CP</v>
      </c>
      <c r="C16" s="30" t="str">
        <f>+'S&amp;D'!C23</f>
        <v>Railroad</v>
      </c>
      <c r="D16" s="49">
        <f>+'Beta for CAPM'!D19</f>
        <v>0.25</v>
      </c>
      <c r="E16" s="30" t="str">
        <f>+'Beta for CAPM'!G19</f>
        <v>A</v>
      </c>
      <c r="F16" s="30" t="s">
        <v>324</v>
      </c>
      <c r="G16" s="390">
        <v>10</v>
      </c>
      <c r="H16" s="57" t="s">
        <v>54</v>
      </c>
      <c r="I16" s="389">
        <v>11</v>
      </c>
      <c r="J16" s="61">
        <v>5.6399999999999999E-2</v>
      </c>
      <c r="L16" s="8"/>
      <c r="M16" s="8"/>
    </row>
    <row r="17" spans="1:13" ht="17.25">
      <c r="A17" s="58" t="str">
        <f>+'S&amp;D'!A24</f>
        <v>CSX Corp</v>
      </c>
      <c r="B17" s="85" t="str">
        <f>+'S&amp;D'!B24</f>
        <v>CSX</v>
      </c>
      <c r="C17" s="30" t="str">
        <f>+'S&amp;D'!C24</f>
        <v>Railroad</v>
      </c>
      <c r="D17" s="49">
        <f>+'Beta for CAPM'!D20</f>
        <v>0.24</v>
      </c>
      <c r="E17" s="30" t="str">
        <f>+'Beta for CAPM'!G20</f>
        <v>B++</v>
      </c>
      <c r="F17" s="30" t="s">
        <v>324</v>
      </c>
      <c r="G17" s="390">
        <v>10</v>
      </c>
      <c r="H17" s="57" t="s">
        <v>498</v>
      </c>
      <c r="I17" s="389">
        <v>10</v>
      </c>
      <c r="J17" s="61">
        <v>5.6399999999999999E-2</v>
      </c>
      <c r="L17" s="8"/>
      <c r="M17" s="8"/>
    </row>
    <row r="18" spans="1:13" ht="17.25">
      <c r="A18" s="58" t="str">
        <f>+'S&amp;D'!A25</f>
        <v>Norfolk Southern</v>
      </c>
      <c r="B18" s="85" t="str">
        <f>+'S&amp;D'!B25</f>
        <v>NSC</v>
      </c>
      <c r="C18" s="30" t="str">
        <f>+'S&amp;D'!C25</f>
        <v>Railroad</v>
      </c>
      <c r="D18" s="49">
        <f>+'Beta for CAPM'!D21</f>
        <v>0.24</v>
      </c>
      <c r="E18" s="30" t="str">
        <f>+'Beta for CAPM'!G21</f>
        <v>A+</v>
      </c>
      <c r="F18" s="255" t="s">
        <v>324</v>
      </c>
      <c r="G18" s="390">
        <v>10</v>
      </c>
      <c r="H18" s="57" t="s">
        <v>53</v>
      </c>
      <c r="I18" s="389">
        <v>10</v>
      </c>
      <c r="J18" s="61">
        <v>5.6399999999999999E-2</v>
      </c>
      <c r="L18" s="8"/>
      <c r="M18" s="8"/>
    </row>
    <row r="19" spans="1:13" ht="17.25">
      <c r="A19" s="58" t="str">
        <f>+'S&amp;D'!A26</f>
        <v>Union Pacific Railroad</v>
      </c>
      <c r="B19" s="85" t="str">
        <f>+'S&amp;D'!B26</f>
        <v>UNP</v>
      </c>
      <c r="C19" s="30" t="str">
        <f>+'S&amp;D'!C26</f>
        <v>Railroad</v>
      </c>
      <c r="D19" s="49">
        <f>+'Beta for CAPM'!D22</f>
        <v>0.24</v>
      </c>
      <c r="E19" s="30" t="str">
        <f>+'Beta for CAPM'!G22</f>
        <v>A+</v>
      </c>
      <c r="F19" s="30" t="s">
        <v>497</v>
      </c>
      <c r="G19" s="390">
        <v>9</v>
      </c>
      <c r="H19" s="57" t="s">
        <v>58</v>
      </c>
      <c r="I19" s="389">
        <v>9</v>
      </c>
      <c r="J19" s="61">
        <v>5.2499999999999998E-2</v>
      </c>
      <c r="L19" s="8"/>
      <c r="M19" s="8"/>
    </row>
    <row r="20" spans="1:13" ht="17.25" thickBot="1">
      <c r="A20" s="8"/>
      <c r="B20" s="8"/>
      <c r="C20" s="39"/>
      <c r="D20" s="42"/>
      <c r="E20" s="42"/>
      <c r="F20" s="42"/>
      <c r="G20" s="42"/>
      <c r="H20" s="42" t="s">
        <v>45</v>
      </c>
      <c r="I20" s="42"/>
      <c r="J20" s="42"/>
      <c r="L20" s="8"/>
      <c r="M20" s="8"/>
    </row>
    <row r="21" spans="1:13" ht="17.25" thickTop="1">
      <c r="A21" s="8"/>
      <c r="B21" s="8"/>
      <c r="E21" s="10" t="s">
        <v>46</v>
      </c>
      <c r="G21" s="319">
        <f>MAX(G15:G19)</f>
        <v>10</v>
      </c>
      <c r="H21" s="304"/>
      <c r="I21" s="319">
        <f>MAX(I15:I19)</f>
        <v>11</v>
      </c>
      <c r="J21" s="304">
        <f>MAX(J15:J19)</f>
        <v>5.6399999999999999E-2</v>
      </c>
      <c r="L21" s="8"/>
      <c r="M21" s="8"/>
    </row>
    <row r="22" spans="1:13" ht="16.5">
      <c r="A22" s="8"/>
      <c r="B22" s="8"/>
      <c r="E22" s="324" t="s">
        <v>47</v>
      </c>
      <c r="F22" s="240"/>
      <c r="G22" s="320">
        <f>MIN(G15:G19)</f>
        <v>9</v>
      </c>
      <c r="H22" s="305"/>
      <c r="I22" s="320">
        <f>MIN(I15:I19)</f>
        <v>8</v>
      </c>
      <c r="J22" s="305">
        <f>MIN(J15:J19)</f>
        <v>5.2499999999999998E-2</v>
      </c>
      <c r="L22" s="8"/>
      <c r="M22" s="8"/>
    </row>
    <row r="23" spans="1:13" ht="16.5">
      <c r="A23" s="8"/>
      <c r="B23" s="8"/>
      <c r="E23" s="10" t="s">
        <v>18</v>
      </c>
      <c r="G23" s="212">
        <f>MEDIAN(G15:G19)</f>
        <v>10</v>
      </c>
      <c r="H23" s="51" t="s">
        <v>0</v>
      </c>
      <c r="I23" s="212">
        <f>MEDIAN(I15:I19)</f>
        <v>10</v>
      </c>
      <c r="J23" s="51">
        <f>MEDIAN(J15:J19)</f>
        <v>5.6399999999999999E-2</v>
      </c>
      <c r="L23" s="8"/>
      <c r="M23" s="8"/>
    </row>
    <row r="24" spans="1:13" ht="16.5">
      <c r="A24" s="8"/>
      <c r="B24" s="8"/>
      <c r="D24" s="10" t="s">
        <v>0</v>
      </c>
      <c r="E24" s="10" t="s">
        <v>411</v>
      </c>
      <c r="G24" s="212">
        <f>AVERAGE(G15:G19)</f>
        <v>9.6</v>
      </c>
      <c r="H24" s="51" t="s">
        <v>0</v>
      </c>
      <c r="I24" s="212">
        <f>AVERAGE(I15:I19)</f>
        <v>9.6</v>
      </c>
      <c r="J24" s="51">
        <f>AVERAGE(J15:J19)</f>
        <v>5.484E-2</v>
      </c>
      <c r="L24" s="8"/>
      <c r="M24" s="8"/>
    </row>
    <row r="25" spans="1:13" ht="16.5">
      <c r="A25" s="8"/>
      <c r="B25" s="8"/>
      <c r="D25" s="52" t="s">
        <v>0</v>
      </c>
      <c r="E25" s="417" t="s">
        <v>265</v>
      </c>
      <c r="G25" s="212">
        <f>TRIMMEAN(G15:G19,(2/COUNT(G15:G19)))</f>
        <v>9.6666666666666661</v>
      </c>
      <c r="H25" s="51" t="s">
        <v>0</v>
      </c>
      <c r="I25" s="212">
        <f>TRIMMEAN(I15:I19,(2/COUNT(I15:I19)))</f>
        <v>9.6666666666666661</v>
      </c>
      <c r="J25" s="51">
        <f>TRIMMEAN(J15:J19,(2/COUNT(J15:J19)))</f>
        <v>5.5100000000000003E-2</v>
      </c>
      <c r="L25" s="8"/>
      <c r="M25" s="8"/>
    </row>
    <row r="26" spans="1:13" ht="17.25" thickBot="1">
      <c r="A26" s="8"/>
      <c r="B26" s="8"/>
      <c r="C26" s="8"/>
      <c r="D26" s="8"/>
      <c r="E26" s="10"/>
      <c r="F26" s="52"/>
      <c r="H26" s="8"/>
      <c r="I26" s="8"/>
      <c r="J26" s="8"/>
      <c r="K26" s="8"/>
      <c r="L26" s="8"/>
      <c r="M26" s="8"/>
    </row>
    <row r="27" spans="1:13" ht="27" thickBot="1">
      <c r="A27" s="8"/>
      <c r="B27" s="8"/>
      <c r="C27" s="8"/>
      <c r="D27" s="8"/>
      <c r="E27" s="8"/>
      <c r="F27" s="182"/>
      <c r="G27" s="317"/>
      <c r="H27" s="183" t="s">
        <v>242</v>
      </c>
      <c r="I27" s="185">
        <v>10</v>
      </c>
      <c r="J27" s="184">
        <v>5.4800000000000001E-2</v>
      </c>
      <c r="K27" s="8"/>
      <c r="L27" s="8"/>
      <c r="M27" s="8"/>
    </row>
    <row r="28" spans="1:13" ht="16.5">
      <c r="A28" s="8"/>
      <c r="B28" s="8"/>
      <c r="C28" s="8"/>
      <c r="D28" s="8"/>
      <c r="E28" s="8"/>
      <c r="F28" s="8"/>
      <c r="G28" s="8"/>
      <c r="H28" s="8"/>
      <c r="I28" s="8"/>
      <c r="J28" s="8"/>
      <c r="K28" s="8"/>
      <c r="L28" s="8"/>
      <c r="M28" s="8"/>
    </row>
    <row r="29" spans="1:13" ht="16.5">
      <c r="A29" s="8"/>
      <c r="B29" s="8"/>
      <c r="C29" s="8"/>
      <c r="D29" s="8"/>
      <c r="E29" s="8"/>
      <c r="F29" s="8"/>
      <c r="G29" s="8"/>
      <c r="H29" s="8"/>
      <c r="I29" s="8"/>
      <c r="J29" s="8"/>
      <c r="K29" s="8"/>
      <c r="L29" s="8"/>
      <c r="M29" s="8"/>
    </row>
    <row r="30" spans="1:13" ht="16.5">
      <c r="A30" s="8"/>
      <c r="B30" s="8"/>
      <c r="C30" s="8"/>
      <c r="D30" s="8"/>
      <c r="E30" s="8"/>
      <c r="F30" s="8"/>
      <c r="G30" s="8"/>
      <c r="H30" s="8"/>
      <c r="I30" s="8"/>
      <c r="J30" s="8"/>
      <c r="K30" s="8"/>
      <c r="L30" s="8"/>
      <c r="M30" s="8"/>
    </row>
    <row r="31" spans="1:13" ht="21" thickBot="1">
      <c r="A31" s="274" t="s">
        <v>146</v>
      </c>
      <c r="B31" s="8"/>
      <c r="G31" s="8"/>
      <c r="H31" s="8"/>
      <c r="I31" s="8"/>
      <c r="J31" s="8"/>
      <c r="K31" s="8"/>
      <c r="L31" s="8"/>
      <c r="M31" s="8"/>
    </row>
    <row r="32" spans="1:13" ht="27.6" customHeight="1" thickBot="1">
      <c r="A32" s="437" t="s">
        <v>402</v>
      </c>
      <c r="B32" s="437" t="s">
        <v>335</v>
      </c>
      <c r="C32" s="437" t="s">
        <v>414</v>
      </c>
      <c r="D32" s="457" t="s">
        <v>511</v>
      </c>
      <c r="E32" s="457" t="s">
        <v>512</v>
      </c>
      <c r="F32" s="8"/>
      <c r="G32" s="8"/>
      <c r="H32" s="8"/>
      <c r="I32" s="8"/>
      <c r="M32" s="8"/>
    </row>
    <row r="33" spans="1:13" ht="17.25">
      <c r="A33" s="280" t="s">
        <v>347</v>
      </c>
      <c r="B33" s="284">
        <v>1</v>
      </c>
      <c r="C33" s="281" t="s">
        <v>346</v>
      </c>
      <c r="D33" s="438" t="s">
        <v>0</v>
      </c>
      <c r="E33" s="438" t="s">
        <v>0</v>
      </c>
      <c r="F33" s="8"/>
      <c r="G33" s="8"/>
      <c r="H33" s="8"/>
      <c r="I33" s="8"/>
      <c r="M33" s="8"/>
    </row>
    <row r="34" spans="1:13" ht="17.25">
      <c r="A34" s="53" t="s">
        <v>348</v>
      </c>
      <c r="B34" s="275">
        <v>2</v>
      </c>
      <c r="C34" s="282" t="s">
        <v>320</v>
      </c>
      <c r="D34" s="439">
        <v>4.7399999999999998E-2</v>
      </c>
      <c r="E34" s="439">
        <v>4.7399999999999998E-2</v>
      </c>
      <c r="F34" s="8" t="s">
        <v>197</v>
      </c>
      <c r="H34" s="8"/>
      <c r="I34" s="8"/>
      <c r="J34" s="8"/>
      <c r="M34" s="8"/>
    </row>
    <row r="35" spans="1:13" ht="18" thickBot="1">
      <c r="A35" s="54" t="s">
        <v>349</v>
      </c>
      <c r="B35" s="277">
        <v>3</v>
      </c>
      <c r="C35" s="283" t="s">
        <v>345</v>
      </c>
      <c r="D35" s="440"/>
      <c r="E35" s="440"/>
      <c r="F35" s="8"/>
      <c r="H35" s="8"/>
      <c r="I35" s="8"/>
      <c r="J35" s="8"/>
      <c r="M35" s="8"/>
    </row>
    <row r="36" spans="1:13" ht="17.25">
      <c r="A36" s="53" t="s">
        <v>145</v>
      </c>
      <c r="B36" s="275">
        <v>4</v>
      </c>
      <c r="C36" s="276" t="s">
        <v>319</v>
      </c>
      <c r="D36" s="439"/>
      <c r="E36" s="439"/>
      <c r="F36" s="8"/>
      <c r="H36" s="8"/>
      <c r="I36" s="8"/>
      <c r="J36" s="8"/>
      <c r="M36" s="8"/>
    </row>
    <row r="37" spans="1:13" ht="17.25">
      <c r="A37" s="53" t="s">
        <v>144</v>
      </c>
      <c r="B37" s="275">
        <v>5</v>
      </c>
      <c r="C37" s="276" t="s">
        <v>321</v>
      </c>
      <c r="D37" s="439">
        <v>5.0500000000000003E-2</v>
      </c>
      <c r="E37" s="439">
        <v>5.2699999999999997E-2</v>
      </c>
      <c r="F37" s="8" t="s">
        <v>322</v>
      </c>
      <c r="H37" s="8"/>
      <c r="I37" s="8"/>
      <c r="J37" s="8"/>
      <c r="M37" s="8"/>
    </row>
    <row r="38" spans="1:13" ht="18" thickBot="1">
      <c r="A38" s="54" t="s">
        <v>143</v>
      </c>
      <c r="B38" s="277">
        <v>6</v>
      </c>
      <c r="C38" s="278" t="s">
        <v>323</v>
      </c>
      <c r="D38" s="441" t="s">
        <v>0</v>
      </c>
      <c r="E38" s="441" t="s">
        <v>0</v>
      </c>
      <c r="F38" s="8"/>
      <c r="H38" s="8"/>
      <c r="I38" s="8"/>
      <c r="J38" s="8"/>
      <c r="M38" s="8"/>
    </row>
    <row r="39" spans="1:13" ht="17.25">
      <c r="A39" s="53" t="s">
        <v>56</v>
      </c>
      <c r="B39" s="275">
        <v>7</v>
      </c>
      <c r="C39" s="276" t="s">
        <v>44</v>
      </c>
      <c r="D39" s="442" t="s">
        <v>0</v>
      </c>
      <c r="E39" s="442" t="s">
        <v>0</v>
      </c>
      <c r="H39" s="8"/>
      <c r="I39" s="8"/>
      <c r="J39" s="8"/>
      <c r="M39" s="8"/>
    </row>
    <row r="40" spans="1:13" ht="17.25">
      <c r="A40" s="53" t="s">
        <v>142</v>
      </c>
      <c r="B40" s="275">
        <v>8</v>
      </c>
      <c r="C40" s="276" t="s">
        <v>24</v>
      </c>
      <c r="D40" s="443">
        <v>5.2499999999999998E-2</v>
      </c>
      <c r="E40" s="443">
        <v>5.4199999999999998E-2</v>
      </c>
      <c r="F40" s="8" t="s">
        <v>198</v>
      </c>
      <c r="H40" s="8"/>
      <c r="I40" s="8"/>
      <c r="J40" s="8"/>
      <c r="M40" s="8"/>
    </row>
    <row r="41" spans="1:13" ht="18" thickBot="1">
      <c r="A41" s="54" t="s">
        <v>58</v>
      </c>
      <c r="B41" s="277">
        <v>9</v>
      </c>
      <c r="C41" s="278" t="s">
        <v>60</v>
      </c>
      <c r="D41" s="441"/>
      <c r="E41" s="441"/>
      <c r="F41" s="8"/>
      <c r="H41" s="8"/>
      <c r="I41" s="8"/>
      <c r="J41" s="8"/>
      <c r="M41" s="8"/>
    </row>
    <row r="42" spans="1:13" ht="17.25">
      <c r="A42" s="53" t="s">
        <v>53</v>
      </c>
      <c r="B42" s="275">
        <v>10</v>
      </c>
      <c r="C42" s="276" t="s">
        <v>324</v>
      </c>
      <c r="D42" s="443"/>
      <c r="E42" s="443"/>
      <c r="H42" s="8"/>
      <c r="I42" s="8"/>
      <c r="J42" s="8"/>
      <c r="K42" s="8"/>
      <c r="L42" s="8"/>
      <c r="M42" s="8"/>
    </row>
    <row r="43" spans="1:13" ht="17.25">
      <c r="A43" s="53" t="s">
        <v>54</v>
      </c>
      <c r="B43" s="275">
        <v>11</v>
      </c>
      <c r="C43" s="276" t="s">
        <v>325</v>
      </c>
      <c r="D43" s="443">
        <v>5.6399999999999999E-2</v>
      </c>
      <c r="E43" s="443">
        <v>5.6800000000000003E-2</v>
      </c>
      <c r="F43" s="8" t="s">
        <v>201</v>
      </c>
      <c r="H43" s="8"/>
      <c r="I43" s="8"/>
      <c r="J43" s="8"/>
      <c r="K43" s="8"/>
      <c r="L43" s="8"/>
      <c r="M43" s="8"/>
    </row>
    <row r="44" spans="1:13" ht="18" thickBot="1">
      <c r="A44" s="54" t="s">
        <v>59</v>
      </c>
      <c r="B44" s="277">
        <v>12</v>
      </c>
      <c r="C44" s="278" t="s">
        <v>326</v>
      </c>
      <c r="D44" s="443" t="s">
        <v>0</v>
      </c>
      <c r="E44" s="443" t="s">
        <v>0</v>
      </c>
      <c r="F44" s="8"/>
      <c r="H44" s="8"/>
      <c r="I44" s="8"/>
      <c r="J44" s="8"/>
      <c r="K44" s="8"/>
      <c r="L44" s="8"/>
      <c r="M44" s="8"/>
    </row>
    <row r="45" spans="1:13" ht="17.25">
      <c r="A45" s="53" t="s">
        <v>57</v>
      </c>
      <c r="B45" s="275">
        <v>13</v>
      </c>
      <c r="C45" s="276" t="s">
        <v>327</v>
      </c>
      <c r="D45" s="442" t="s">
        <v>0</v>
      </c>
      <c r="E45" s="442" t="s">
        <v>0</v>
      </c>
      <c r="H45" s="8"/>
      <c r="I45" s="8"/>
      <c r="J45" s="8"/>
      <c r="K45" s="8"/>
      <c r="L45" s="8"/>
      <c r="M45" s="8"/>
    </row>
    <row r="46" spans="1:13" ht="17.25">
      <c r="A46" s="53" t="s">
        <v>141</v>
      </c>
      <c r="B46" s="275">
        <v>14</v>
      </c>
      <c r="C46" s="276" t="s">
        <v>328</v>
      </c>
      <c r="D46" s="439">
        <v>6.8500000000000005E-2</v>
      </c>
      <c r="E46" s="439">
        <v>6.9000000000000006E-2</v>
      </c>
      <c r="F46" s="8" t="s">
        <v>200</v>
      </c>
      <c r="H46" s="8"/>
      <c r="I46" s="8"/>
      <c r="J46" s="8"/>
      <c r="K46" s="8"/>
      <c r="L46" s="8"/>
      <c r="M46" s="8"/>
    </row>
    <row r="47" spans="1:13" ht="18" thickBot="1">
      <c r="A47" s="54" t="s">
        <v>140</v>
      </c>
      <c r="B47" s="277">
        <v>15</v>
      </c>
      <c r="C47" s="278" t="s">
        <v>329</v>
      </c>
      <c r="D47" s="440" t="s">
        <v>0</v>
      </c>
      <c r="E47" s="440" t="s">
        <v>0</v>
      </c>
      <c r="F47" s="8"/>
      <c r="H47" s="8"/>
      <c r="I47" s="8"/>
      <c r="J47" s="8"/>
      <c r="K47" s="8"/>
      <c r="L47" s="8"/>
      <c r="M47" s="8"/>
    </row>
    <row r="48" spans="1:13" ht="17.25">
      <c r="A48" s="53" t="s">
        <v>139</v>
      </c>
      <c r="B48" s="275">
        <v>16</v>
      </c>
      <c r="C48" s="276" t="s">
        <v>25</v>
      </c>
      <c r="D48" s="442"/>
      <c r="E48" s="442"/>
      <c r="H48" s="8"/>
      <c r="I48" s="8"/>
      <c r="J48" s="8"/>
      <c r="K48" s="8"/>
      <c r="L48" s="8"/>
      <c r="M48" s="8"/>
    </row>
    <row r="49" spans="1:13" ht="17.25">
      <c r="A49" s="53" t="s">
        <v>138</v>
      </c>
      <c r="B49" s="275">
        <v>17</v>
      </c>
      <c r="C49" s="276" t="s">
        <v>89</v>
      </c>
      <c r="D49" s="443">
        <v>7.46E-2</v>
      </c>
      <c r="E49" s="443">
        <v>7.6499999999999999E-2</v>
      </c>
      <c r="F49" s="8" t="s">
        <v>199</v>
      </c>
      <c r="H49" s="8"/>
      <c r="I49" s="8"/>
      <c r="J49" s="8"/>
      <c r="K49" s="8"/>
      <c r="L49" s="8"/>
      <c r="M49" s="8"/>
    </row>
    <row r="50" spans="1:13" ht="18" thickBot="1">
      <c r="A50" s="54" t="s">
        <v>137</v>
      </c>
      <c r="B50" s="277">
        <v>18</v>
      </c>
      <c r="C50" s="278" t="s">
        <v>330</v>
      </c>
      <c r="D50" s="440"/>
      <c r="E50" s="440"/>
      <c r="F50" s="8"/>
      <c r="H50" s="8"/>
      <c r="I50" s="8"/>
      <c r="J50" s="8"/>
      <c r="K50" s="8"/>
      <c r="L50" s="8"/>
      <c r="M50" s="8"/>
    </row>
    <row r="51" spans="1:13" ht="17.25">
      <c r="A51" s="53" t="s">
        <v>136</v>
      </c>
      <c r="B51" s="275">
        <v>19</v>
      </c>
      <c r="C51" s="276" t="s">
        <v>331</v>
      </c>
      <c r="D51" s="443"/>
      <c r="E51" s="443"/>
      <c r="H51" s="8"/>
      <c r="I51" s="8"/>
      <c r="J51" s="8"/>
      <c r="K51" s="8"/>
      <c r="L51" s="8"/>
      <c r="M51" s="8"/>
    </row>
    <row r="52" spans="1:13" ht="17.25">
      <c r="A52" s="53" t="s">
        <v>135</v>
      </c>
      <c r="B52" s="275">
        <v>20</v>
      </c>
      <c r="C52" s="276" t="s">
        <v>332</v>
      </c>
      <c r="D52" s="443">
        <v>8.0699999999999994E-2</v>
      </c>
      <c r="E52" s="443">
        <v>8.2799999999999999E-2</v>
      </c>
      <c r="F52" s="8" t="s">
        <v>196</v>
      </c>
      <c r="H52" s="8"/>
      <c r="I52" s="8"/>
      <c r="J52" s="8"/>
      <c r="K52" s="8"/>
      <c r="L52" s="8"/>
      <c r="M52" s="8"/>
    </row>
    <row r="53" spans="1:13" ht="18" thickBot="1">
      <c r="A53" s="54" t="s">
        <v>134</v>
      </c>
      <c r="B53" s="277">
        <v>21</v>
      </c>
      <c r="C53" s="397" t="s">
        <v>333</v>
      </c>
      <c r="D53" s="441"/>
      <c r="E53" s="441"/>
      <c r="F53" s="8"/>
      <c r="H53" s="8"/>
      <c r="I53" s="8"/>
      <c r="J53" s="8"/>
      <c r="K53" s="8"/>
      <c r="L53" s="8"/>
      <c r="M53" s="8"/>
    </row>
    <row r="54" spans="1:13" ht="17.25">
      <c r="A54" s="395" t="s">
        <v>340</v>
      </c>
      <c r="B54" s="444">
        <v>22</v>
      </c>
      <c r="C54" s="445" t="s">
        <v>343</v>
      </c>
      <c r="D54" s="446"/>
      <c r="E54" s="446"/>
      <c r="H54" s="8"/>
      <c r="I54" s="8"/>
      <c r="J54" s="8"/>
      <c r="K54" s="8"/>
      <c r="L54" s="8"/>
      <c r="M54" s="8"/>
    </row>
    <row r="55" spans="1:13" ht="17.25">
      <c r="A55" s="395" t="s">
        <v>341</v>
      </c>
      <c r="B55" s="447">
        <v>23</v>
      </c>
      <c r="C55" s="448" t="s">
        <v>334</v>
      </c>
      <c r="D55" s="449"/>
      <c r="E55" s="449"/>
      <c r="F55" s="8" t="s">
        <v>194</v>
      </c>
      <c r="H55" s="8"/>
      <c r="I55" s="8"/>
      <c r="J55" s="8"/>
      <c r="K55" s="8"/>
      <c r="L55" s="8"/>
      <c r="M55" s="8"/>
    </row>
    <row r="56" spans="1:13" ht="18" thickBot="1">
      <c r="A56" s="396" t="s">
        <v>342</v>
      </c>
      <c r="B56" s="398">
        <v>24</v>
      </c>
      <c r="C56" s="397" t="s">
        <v>344</v>
      </c>
      <c r="D56" s="450"/>
      <c r="E56" s="450"/>
      <c r="F56" s="8"/>
      <c r="H56" s="8"/>
      <c r="I56" s="8"/>
      <c r="J56" s="8"/>
      <c r="K56" s="8"/>
      <c r="L56" s="8"/>
      <c r="M56" s="8"/>
    </row>
    <row r="57" spans="1:13" ht="18" thickBot="1">
      <c r="A57" s="54" t="s">
        <v>267</v>
      </c>
      <c r="B57" s="277">
        <v>25</v>
      </c>
      <c r="C57" s="54" t="s">
        <v>90</v>
      </c>
      <c r="D57" s="451"/>
      <c r="E57" s="451"/>
      <c r="F57" s="8" t="s">
        <v>195</v>
      </c>
      <c r="H57" s="8"/>
      <c r="I57" s="8"/>
      <c r="J57" s="8"/>
      <c r="K57" s="8"/>
      <c r="L57" s="8"/>
    </row>
  </sheetData>
  <pageMargins left="0.25" right="0.25" top="0.75" bottom="0.75" header="0.3" footer="0.3"/>
  <pageSetup scale="47"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N36"/>
  <sheetViews>
    <sheetView view="pageBreakPreview" zoomScale="60" zoomScaleNormal="80" workbookViewId="0">
      <selection activeCell="M29" sqref="M29"/>
    </sheetView>
  </sheetViews>
  <sheetFormatPr defaultRowHeight="15"/>
  <cols>
    <col min="1" max="1" width="48.85546875" customWidth="1"/>
    <col min="2" max="2" width="13.140625" customWidth="1"/>
    <col min="3" max="3" width="19.85546875" customWidth="1"/>
    <col min="4" max="4" width="24.7109375" customWidth="1"/>
    <col min="5" max="5" width="22.7109375" customWidth="1"/>
    <col min="6" max="7" width="21.28515625" customWidth="1"/>
    <col min="8" max="8" width="12.42578125" customWidth="1"/>
    <col min="9" max="9" width="18.42578125" customWidth="1"/>
    <col min="10" max="10" width="21.28515625" customWidth="1"/>
    <col min="11" max="11" width="2.28515625" customWidth="1"/>
    <col min="12" max="12" width="22.7109375" customWidth="1"/>
    <col min="13" max="13" width="17.28515625" customWidth="1"/>
  </cols>
  <sheetData>
    <row r="1" spans="1:14" ht="26.25">
      <c r="A1" s="19" t="s">
        <v>1</v>
      </c>
      <c r="B1" s="8"/>
      <c r="C1" s="8"/>
      <c r="D1" s="8"/>
      <c r="E1" s="8"/>
      <c r="F1" s="8"/>
      <c r="G1" s="8"/>
      <c r="H1" s="8"/>
      <c r="I1" s="8"/>
      <c r="J1" s="8"/>
      <c r="K1" s="8"/>
      <c r="L1" s="8"/>
      <c r="M1" s="8"/>
      <c r="N1" s="8"/>
    </row>
    <row r="2" spans="1:14" ht="17.25">
      <c r="A2" s="58" t="s">
        <v>9</v>
      </c>
      <c r="B2" s="8"/>
      <c r="C2" s="8"/>
      <c r="D2" s="8"/>
      <c r="E2" s="8"/>
      <c r="F2" s="8"/>
      <c r="G2" s="8"/>
      <c r="H2" s="8"/>
      <c r="I2" s="8"/>
      <c r="J2" s="8"/>
      <c r="K2" s="8"/>
      <c r="L2" s="8"/>
      <c r="M2" s="8"/>
      <c r="N2" s="8"/>
    </row>
    <row r="3" spans="1:14" ht="16.5">
      <c r="A3" s="21" t="s">
        <v>453</v>
      </c>
      <c r="B3" s="8"/>
      <c r="C3" s="8"/>
      <c r="D3" s="8"/>
      <c r="E3" s="8"/>
      <c r="F3" s="8"/>
      <c r="G3" s="8"/>
      <c r="H3" s="8"/>
      <c r="I3" s="8"/>
      <c r="J3" s="8"/>
      <c r="K3" s="8"/>
      <c r="L3" s="8"/>
      <c r="M3" s="8"/>
      <c r="N3" s="8"/>
    </row>
    <row r="4" spans="1:14" ht="16.5">
      <c r="A4" s="8"/>
      <c r="B4" s="8"/>
      <c r="C4" s="8"/>
      <c r="D4" s="22" t="s">
        <v>0</v>
      </c>
      <c r="E4" s="8"/>
      <c r="F4" s="8"/>
      <c r="G4" s="8"/>
      <c r="H4" s="8"/>
      <c r="I4" s="8"/>
      <c r="J4" s="8"/>
      <c r="K4" s="8"/>
      <c r="L4" s="8"/>
      <c r="M4" s="8"/>
      <c r="N4" s="8"/>
    </row>
    <row r="5" spans="1:14" ht="18" thickBot="1">
      <c r="A5" s="58"/>
      <c r="B5" s="8"/>
      <c r="C5" s="8"/>
      <c r="D5" s="8"/>
      <c r="E5" s="8"/>
      <c r="F5" s="8"/>
      <c r="G5" s="8"/>
      <c r="H5" s="8"/>
      <c r="I5" s="8"/>
      <c r="J5" s="8"/>
      <c r="K5" s="8"/>
      <c r="L5" s="8"/>
      <c r="M5" s="8"/>
      <c r="N5" s="8"/>
    </row>
    <row r="6" spans="1:14" ht="18" thickBot="1">
      <c r="A6" s="262" t="str">
        <f>+'S&amp;D'!A12</f>
        <v>Railroad Carriers</v>
      </c>
      <c r="B6" s="189"/>
      <c r="C6" s="8"/>
      <c r="D6" s="8"/>
      <c r="E6" s="8"/>
      <c r="F6" s="8"/>
      <c r="G6" s="8"/>
      <c r="H6" s="8"/>
      <c r="I6" s="8"/>
      <c r="J6" s="8"/>
      <c r="K6" s="8"/>
      <c r="L6" s="8"/>
      <c r="M6" s="8"/>
      <c r="N6" s="8"/>
    </row>
    <row r="7" spans="1:14" ht="17.25">
      <c r="A7" s="58"/>
      <c r="B7" s="8"/>
      <c r="C7" s="8"/>
      <c r="D7" s="8"/>
      <c r="E7" s="8"/>
      <c r="F7" s="8"/>
      <c r="G7" s="8"/>
      <c r="H7" s="8"/>
      <c r="I7" s="8"/>
      <c r="J7" s="8"/>
      <c r="K7" s="8"/>
      <c r="L7" s="8"/>
      <c r="M7" s="8"/>
      <c r="N7" s="8"/>
    </row>
    <row r="8" spans="1:14" ht="18" thickBot="1">
      <c r="A8" s="58"/>
      <c r="B8" s="8"/>
      <c r="C8" s="24"/>
      <c r="D8" s="24"/>
      <c r="E8" s="24"/>
      <c r="F8" s="8"/>
      <c r="G8" s="8"/>
      <c r="H8" s="24"/>
      <c r="I8" s="24"/>
      <c r="J8" s="24"/>
      <c r="K8" s="24"/>
      <c r="L8" s="24"/>
      <c r="M8" s="24"/>
      <c r="N8" s="8"/>
    </row>
    <row r="9" spans="1:14" ht="26.25">
      <c r="B9" s="8"/>
      <c r="C9" s="8"/>
      <c r="D9" s="27" t="s">
        <v>307</v>
      </c>
      <c r="E9" s="8"/>
      <c r="F9" s="8"/>
      <c r="G9" s="8"/>
      <c r="H9" s="8"/>
      <c r="I9" s="8"/>
      <c r="J9" s="8"/>
      <c r="K9" s="64" t="s">
        <v>308</v>
      </c>
      <c r="L9" s="8"/>
      <c r="M9" s="8"/>
      <c r="N9" s="8"/>
    </row>
    <row r="10" spans="1:14" ht="21" thickBot="1">
      <c r="A10" s="26"/>
      <c r="B10" s="8"/>
      <c r="C10" s="24"/>
      <c r="D10" s="28" t="s">
        <v>454</v>
      </c>
      <c r="E10" s="24"/>
      <c r="F10" s="8"/>
      <c r="G10" s="8"/>
      <c r="H10" s="24"/>
      <c r="I10" s="24"/>
      <c r="J10" s="24"/>
      <c r="K10" s="28" t="s">
        <v>454</v>
      </c>
      <c r="L10" s="24"/>
      <c r="M10" s="24"/>
      <c r="N10" s="8"/>
    </row>
    <row r="11" spans="1:14" ht="17.25" thickBot="1">
      <c r="A11" s="29" t="s">
        <v>0</v>
      </c>
      <c r="B11" s="29" t="s">
        <v>0</v>
      </c>
      <c r="C11" s="29" t="s">
        <v>0</v>
      </c>
      <c r="D11" s="29" t="s">
        <v>0</v>
      </c>
      <c r="E11" s="29" t="s">
        <v>0</v>
      </c>
      <c r="F11" s="29" t="s">
        <v>0</v>
      </c>
      <c r="G11" s="36"/>
      <c r="H11" s="24"/>
      <c r="I11" s="29" t="s">
        <v>0</v>
      </c>
      <c r="J11" s="24"/>
      <c r="K11" s="24"/>
      <c r="L11" s="24"/>
      <c r="M11" s="24"/>
      <c r="N11" s="8"/>
    </row>
    <row r="12" spans="1:14" ht="16.5">
      <c r="A12" s="30" t="s">
        <v>0</v>
      </c>
      <c r="B12" s="30" t="s">
        <v>3</v>
      </c>
      <c r="C12" s="30" t="s">
        <v>350</v>
      </c>
      <c r="D12" s="30" t="s">
        <v>110</v>
      </c>
      <c r="E12" s="30" t="s">
        <v>110</v>
      </c>
      <c r="F12" s="30" t="s">
        <v>26</v>
      </c>
      <c r="G12" s="30"/>
      <c r="H12" s="30" t="s">
        <v>3</v>
      </c>
      <c r="I12" s="30" t="s">
        <v>350</v>
      </c>
      <c r="J12" s="30" t="s">
        <v>110</v>
      </c>
      <c r="K12" s="30"/>
      <c r="L12" s="30" t="s">
        <v>110</v>
      </c>
      <c r="M12" s="30" t="s">
        <v>26</v>
      </c>
      <c r="N12" s="8"/>
    </row>
    <row r="13" spans="1:14" ht="17.25" thickBot="1">
      <c r="A13" s="32" t="s">
        <v>2</v>
      </c>
      <c r="B13" s="32" t="s">
        <v>4</v>
      </c>
      <c r="C13" s="32" t="s">
        <v>27</v>
      </c>
      <c r="D13" s="32" t="s">
        <v>168</v>
      </c>
      <c r="E13" s="32" t="s">
        <v>28</v>
      </c>
      <c r="F13" s="32" t="s">
        <v>29</v>
      </c>
      <c r="G13" s="30"/>
      <c r="H13" s="32" t="s">
        <v>4</v>
      </c>
      <c r="I13" s="32" t="s">
        <v>27</v>
      </c>
      <c r="J13" s="32" t="s">
        <v>168</v>
      </c>
      <c r="K13" s="32"/>
      <c r="L13" s="32" t="s">
        <v>28</v>
      </c>
      <c r="M13" s="32" t="s">
        <v>29</v>
      </c>
      <c r="N13" s="8"/>
    </row>
    <row r="14" spans="1:14" ht="16.5">
      <c r="A14" s="34" t="s">
        <v>0</v>
      </c>
      <c r="B14" s="34" t="s">
        <v>0</v>
      </c>
      <c r="C14" s="35" t="s">
        <v>113</v>
      </c>
      <c r="D14" s="34" t="s">
        <v>114</v>
      </c>
      <c r="E14" s="34" t="s">
        <v>0</v>
      </c>
      <c r="F14" s="34" t="s">
        <v>0</v>
      </c>
      <c r="G14" s="36"/>
      <c r="H14" s="34" t="s">
        <v>0</v>
      </c>
      <c r="I14" s="35" t="s">
        <v>113</v>
      </c>
      <c r="J14" s="34" t="s">
        <v>115</v>
      </c>
      <c r="K14" s="34"/>
      <c r="L14" s="34" t="s">
        <v>0</v>
      </c>
      <c r="M14" s="34" t="s">
        <v>0</v>
      </c>
      <c r="N14" s="8"/>
    </row>
    <row r="15" spans="1:14" ht="16.5">
      <c r="A15" s="30"/>
      <c r="B15" s="30"/>
      <c r="C15" s="30"/>
      <c r="D15" s="30"/>
      <c r="E15" s="30"/>
      <c r="F15" s="30"/>
      <c r="G15" s="30"/>
      <c r="H15" s="30"/>
      <c r="I15" s="30"/>
      <c r="J15" s="30"/>
      <c r="K15" s="30"/>
      <c r="L15" s="30"/>
      <c r="M15" s="30"/>
      <c r="N15" s="8"/>
    </row>
    <row r="16" spans="1:14" ht="16.5">
      <c r="A16" s="8"/>
      <c r="B16" s="8"/>
      <c r="C16" s="8"/>
      <c r="D16" s="8"/>
      <c r="E16" s="8"/>
      <c r="F16" s="8"/>
      <c r="G16" s="8"/>
      <c r="H16" s="8"/>
      <c r="I16" s="8"/>
      <c r="J16" s="8"/>
      <c r="K16" s="8"/>
      <c r="L16" s="8"/>
      <c r="M16" s="8"/>
      <c r="N16" s="8"/>
    </row>
    <row r="17" spans="1:14" ht="17.25">
      <c r="A17" s="58" t="str">
        <f>+'S&amp;D'!A22</f>
        <v>Canadian National</v>
      </c>
      <c r="B17" s="85" t="str">
        <f>+'S&amp;D'!B22</f>
        <v>CNI</v>
      </c>
      <c r="C17" s="55">
        <f>+'S&amp;D'!G22</f>
        <v>125.63</v>
      </c>
      <c r="D17" s="377">
        <v>7.95</v>
      </c>
      <c r="E17" s="67">
        <f>C17/D17</f>
        <v>15.802515723270439</v>
      </c>
      <c r="F17" s="52">
        <f t="shared" ref="F17" si="0">1/E17</f>
        <v>6.328106344026109E-2</v>
      </c>
      <c r="G17" s="52"/>
      <c r="H17" s="85" t="str">
        <f>+B17</f>
        <v>CNI</v>
      </c>
      <c r="I17" s="55">
        <f>+C17</f>
        <v>125.63</v>
      </c>
      <c r="J17" s="391">
        <v>8.8000000000000007</v>
      </c>
      <c r="K17" s="57"/>
      <c r="L17" s="67">
        <f>I17/J17</f>
        <v>14.276136363636361</v>
      </c>
      <c r="M17" s="52">
        <f t="shared" ref="M17" si="1">1/L17</f>
        <v>7.0046963304943102E-2</v>
      </c>
      <c r="N17" s="8"/>
    </row>
    <row r="18" spans="1:14" ht="17.25">
      <c r="A18" s="58" t="str">
        <f>+'S&amp;D'!A23</f>
        <v>Canadian Pacific Kansas City Limited  CPKC</v>
      </c>
      <c r="B18" s="85" t="str">
        <f>+'S&amp;D'!B23</f>
        <v>CP</v>
      </c>
      <c r="C18" s="55">
        <f>+'S&amp;D'!G23</f>
        <v>79.06</v>
      </c>
      <c r="D18" s="377">
        <v>4.5999999999999996</v>
      </c>
      <c r="E18" s="67">
        <f t="shared" ref="E18:E21" si="2">C18/D18</f>
        <v>17.186956521739134</v>
      </c>
      <c r="F18" s="52">
        <f t="shared" ref="F18:F21" si="3">1/E18</f>
        <v>5.8183657981280029E-2</v>
      </c>
      <c r="G18" s="52"/>
      <c r="H18" s="85" t="str">
        <f t="shared" ref="H18:H21" si="4">+B18</f>
        <v>CP</v>
      </c>
      <c r="I18" s="55">
        <f t="shared" ref="I18:I21" si="5">+C18</f>
        <v>79.06</v>
      </c>
      <c r="J18" s="391">
        <v>5</v>
      </c>
      <c r="K18" s="57"/>
      <c r="L18" s="67">
        <f t="shared" ref="L18:L21" si="6">I18/J18</f>
        <v>15.812000000000001</v>
      </c>
      <c r="M18" s="52">
        <f t="shared" ref="M18:M21" si="7">1/L18</f>
        <v>6.3243106501391338E-2</v>
      </c>
      <c r="N18" s="8"/>
    </row>
    <row r="19" spans="1:14" ht="17.25">
      <c r="A19" s="58" t="str">
        <f>+'S&amp;D'!A24</f>
        <v>CSX Corp</v>
      </c>
      <c r="B19" s="85" t="str">
        <f>+'S&amp;D'!B24</f>
        <v>CSX</v>
      </c>
      <c r="C19" s="55">
        <f>+'S&amp;D'!G24</f>
        <v>34.67</v>
      </c>
      <c r="D19" s="377">
        <v>2.85</v>
      </c>
      <c r="E19" s="67">
        <f t="shared" si="2"/>
        <v>12.164912280701754</v>
      </c>
      <c r="F19" s="52">
        <f t="shared" si="3"/>
        <v>8.2203634265935965E-2</v>
      </c>
      <c r="G19" s="52"/>
      <c r="H19" s="85" t="str">
        <f t="shared" si="4"/>
        <v>CSX</v>
      </c>
      <c r="I19" s="55">
        <f t="shared" si="5"/>
        <v>34.67</v>
      </c>
      <c r="J19" s="391">
        <v>3.2</v>
      </c>
      <c r="K19" s="57"/>
      <c r="L19" s="67">
        <f t="shared" si="6"/>
        <v>10.834375</v>
      </c>
      <c r="M19" s="52">
        <f t="shared" si="7"/>
        <v>9.2298817421401794E-2</v>
      </c>
      <c r="N19" s="8"/>
    </row>
    <row r="20" spans="1:14" ht="17.25">
      <c r="A20" s="58" t="str">
        <f>+'S&amp;D'!A25</f>
        <v>Norfolk Southern</v>
      </c>
      <c r="B20" s="85" t="str">
        <f>+'S&amp;D'!B25</f>
        <v>NSC</v>
      </c>
      <c r="C20" s="55">
        <f>+'S&amp;D'!G25</f>
        <v>236.38</v>
      </c>
      <c r="D20" s="377">
        <v>18.75</v>
      </c>
      <c r="E20" s="67">
        <f t="shared" si="2"/>
        <v>12.606933333333332</v>
      </c>
      <c r="F20" s="52">
        <f t="shared" si="3"/>
        <v>7.9321431593197406E-2</v>
      </c>
      <c r="G20" s="52"/>
      <c r="H20" s="85" t="str">
        <f t="shared" si="4"/>
        <v>NSC</v>
      </c>
      <c r="I20" s="55">
        <f t="shared" si="5"/>
        <v>236.38</v>
      </c>
      <c r="J20" s="391">
        <v>20.100000000000001</v>
      </c>
      <c r="K20" s="57"/>
      <c r="L20" s="67">
        <f t="shared" si="6"/>
        <v>11.760199004975123</v>
      </c>
      <c r="M20" s="52">
        <f t="shared" si="7"/>
        <v>8.5032574667907618E-2</v>
      </c>
      <c r="N20" s="8"/>
    </row>
    <row r="21" spans="1:14" ht="17.25">
      <c r="A21" s="58" t="str">
        <f>+'S&amp;D'!A26</f>
        <v>Union Pacific Railroad</v>
      </c>
      <c r="B21" s="85" t="str">
        <f>+'S&amp;D'!B26</f>
        <v>UNP</v>
      </c>
      <c r="C21" s="55">
        <f>+'S&amp;D'!G26</f>
        <v>245.62</v>
      </c>
      <c r="D21" s="377">
        <v>15.1</v>
      </c>
      <c r="E21" s="67">
        <f t="shared" si="2"/>
        <v>16.266225165562915</v>
      </c>
      <c r="F21" s="52">
        <f t="shared" si="3"/>
        <v>6.1477078413809949E-2</v>
      </c>
      <c r="G21" s="52"/>
      <c r="H21" s="85" t="str">
        <f t="shared" si="4"/>
        <v>UNP</v>
      </c>
      <c r="I21" s="55">
        <f t="shared" si="5"/>
        <v>245.62</v>
      </c>
      <c r="J21" s="391">
        <v>15.7</v>
      </c>
      <c r="K21" s="57"/>
      <c r="L21" s="67">
        <f t="shared" si="6"/>
        <v>15.644585987261147</v>
      </c>
      <c r="M21" s="52">
        <f t="shared" si="7"/>
        <v>6.391987623157723E-2</v>
      </c>
      <c r="N21" s="8"/>
    </row>
    <row r="22" spans="1:14" ht="17.25" thickBot="1">
      <c r="A22" s="8"/>
      <c r="B22" s="65"/>
      <c r="C22" s="65"/>
      <c r="D22" s="65"/>
      <c r="E22" s="65"/>
      <c r="F22" s="65"/>
      <c r="G22" s="8"/>
      <c r="H22" s="65"/>
      <c r="I22" s="65"/>
      <c r="J22" s="295" t="s">
        <v>0</v>
      </c>
      <c r="K22" s="65"/>
      <c r="L22" s="65"/>
      <c r="M22" s="65"/>
      <c r="N22" s="8"/>
    </row>
    <row r="23" spans="1:14" ht="17.25" thickTop="1">
      <c r="A23" s="8"/>
      <c r="C23" s="10" t="s">
        <v>46</v>
      </c>
      <c r="D23" s="66">
        <f>MAX(D17:D21)</f>
        <v>18.75</v>
      </c>
      <c r="E23" s="66">
        <f t="shared" ref="E23:F23" si="8">MAX(E17:E21)</f>
        <v>17.186956521739134</v>
      </c>
      <c r="F23" s="308">
        <f t="shared" si="8"/>
        <v>8.2203634265935965E-2</v>
      </c>
      <c r="I23" s="10" t="s">
        <v>46</v>
      </c>
      <c r="J23" s="66">
        <f t="shared" ref="J23:M23" si="9">MAX(J17:J21)</f>
        <v>20.100000000000001</v>
      </c>
      <c r="K23" s="66"/>
      <c r="L23" s="66">
        <f t="shared" si="9"/>
        <v>15.812000000000001</v>
      </c>
      <c r="M23" s="308">
        <f t="shared" si="9"/>
        <v>9.2298817421401794E-2</v>
      </c>
      <c r="N23" s="8"/>
    </row>
    <row r="24" spans="1:14" ht="16.5">
      <c r="A24" s="8"/>
      <c r="C24" s="324" t="s">
        <v>47</v>
      </c>
      <c r="D24" s="329">
        <f>MIN(D17:D21)</f>
        <v>2.85</v>
      </c>
      <c r="E24" s="329">
        <f t="shared" ref="E24:F24" si="10">MIN(E17:E21)</f>
        <v>12.164912280701754</v>
      </c>
      <c r="F24" s="322">
        <f t="shared" si="10"/>
        <v>5.8183657981280029E-2</v>
      </c>
      <c r="I24" s="324" t="s">
        <v>47</v>
      </c>
      <c r="J24" s="329">
        <f t="shared" ref="J24:M24" si="11">MIN(J17:J21)</f>
        <v>3.2</v>
      </c>
      <c r="K24" s="329"/>
      <c r="L24" s="329">
        <f t="shared" si="11"/>
        <v>10.834375</v>
      </c>
      <c r="M24" s="322">
        <f t="shared" si="11"/>
        <v>6.3243106501391338E-2</v>
      </c>
      <c r="N24" s="8"/>
    </row>
    <row r="25" spans="1:14" ht="16.5">
      <c r="A25" s="8"/>
      <c r="C25" s="10" t="s">
        <v>18</v>
      </c>
      <c r="D25" s="67">
        <f>MEDIAN(D17:D21)</f>
        <v>7.95</v>
      </c>
      <c r="E25" s="17">
        <f>MEDIAN(E17:E21)</f>
        <v>15.802515723270439</v>
      </c>
      <c r="F25" s="52">
        <f>MEDIAN(F17:F21)</f>
        <v>6.328106344026109E-2</v>
      </c>
      <c r="G25" s="52"/>
      <c r="I25" s="10" t="s">
        <v>18</v>
      </c>
      <c r="J25" s="67">
        <f>MEDIAN(J17:J21)</f>
        <v>8.8000000000000007</v>
      </c>
      <c r="K25" s="67"/>
      <c r="L25" s="17">
        <f>MEDIAN(L17:L21)</f>
        <v>14.276136363636361</v>
      </c>
      <c r="M25" s="52">
        <f>MEDIAN(M17:M21)</f>
        <v>7.0046963304943102E-2</v>
      </c>
      <c r="N25" s="8"/>
    </row>
    <row r="26" spans="1:14" ht="16.5">
      <c r="A26" s="8"/>
      <c r="C26" s="10" t="s">
        <v>411</v>
      </c>
      <c r="D26" s="13">
        <f>AVERAGE(D17:D21)</f>
        <v>9.85</v>
      </c>
      <c r="E26" s="17">
        <f>AVERAGE(E17:E21)</f>
        <v>14.805508604921517</v>
      </c>
      <c r="F26" s="68">
        <f>AVERAGE(F17:F21)</f>
        <v>6.8893373138896888E-2</v>
      </c>
      <c r="G26" s="68"/>
      <c r="I26" s="10" t="s">
        <v>411</v>
      </c>
      <c r="J26" s="13">
        <f>AVERAGE(J17:J21)</f>
        <v>10.559999999999999</v>
      </c>
      <c r="K26" s="13"/>
      <c r="L26" s="17">
        <f>AVERAGE(L17:L21)</f>
        <v>13.665459271174527</v>
      </c>
      <c r="M26" s="68">
        <f>AVERAGE(M17:M21)</f>
        <v>7.4908267625444225E-2</v>
      </c>
      <c r="N26" s="8"/>
    </row>
    <row r="27" spans="1:14" ht="16.5">
      <c r="A27" s="8"/>
      <c r="B27" s="8"/>
      <c r="C27" s="8"/>
      <c r="D27" s="8"/>
      <c r="E27" s="8"/>
      <c r="F27" s="8"/>
      <c r="G27" s="8"/>
      <c r="H27" s="8"/>
      <c r="I27" s="8"/>
      <c r="J27" s="8"/>
      <c r="K27" s="8"/>
      <c r="L27" s="8"/>
      <c r="M27" s="8"/>
      <c r="N27" s="8"/>
    </row>
    <row r="28" spans="1:14" ht="26.25">
      <c r="A28" s="8"/>
      <c r="B28" s="8"/>
      <c r="C28" s="8"/>
      <c r="D28" s="72" t="s">
        <v>74</v>
      </c>
      <c r="E28" s="406">
        <f>+E26</f>
        <v>14.805508604921517</v>
      </c>
      <c r="F28" s="309">
        <f>+F26</f>
        <v>6.8893373138896888E-2</v>
      </c>
      <c r="G28" s="269"/>
      <c r="H28" s="8"/>
      <c r="I28" s="8"/>
      <c r="J28" s="72" t="s">
        <v>74</v>
      </c>
      <c r="K28" s="45">
        <v>0</v>
      </c>
      <c r="L28" s="310">
        <f>+L26</f>
        <v>13.665459271174527</v>
      </c>
      <c r="M28" s="309">
        <f>+M26</f>
        <v>7.4908267625444225E-2</v>
      </c>
      <c r="N28" s="8"/>
    </row>
    <row r="29" spans="1:14" ht="30" customHeight="1" thickBot="1">
      <c r="A29" s="8"/>
      <c r="B29" s="8"/>
      <c r="C29" s="8"/>
      <c r="D29" s="8"/>
      <c r="E29" s="8"/>
      <c r="G29" s="69"/>
      <c r="H29" s="8"/>
      <c r="I29" s="8"/>
      <c r="J29" s="8"/>
      <c r="K29" s="8"/>
      <c r="L29" s="8"/>
      <c r="M29" s="8"/>
      <c r="N29" s="8"/>
    </row>
    <row r="30" spans="1:14" ht="27" thickBot="1">
      <c r="A30" s="70" t="s">
        <v>0</v>
      </c>
      <c r="B30" s="8"/>
      <c r="C30" s="8"/>
      <c r="D30" s="8"/>
      <c r="E30" s="19" t="s">
        <v>124</v>
      </c>
      <c r="F30" s="19"/>
      <c r="G30" s="213">
        <f>(+E28+L28)/2</f>
        <v>14.235483938048022</v>
      </c>
      <c r="H30" s="214">
        <f>(+F28+M28)/2</f>
        <v>7.1900820382170549E-2</v>
      </c>
      <c r="K30" s="8"/>
      <c r="N30" s="8"/>
    </row>
    <row r="31" spans="1:14" ht="16.5">
      <c r="A31" s="70" t="s">
        <v>0</v>
      </c>
      <c r="B31" s="8"/>
      <c r="C31" s="8"/>
      <c r="D31" s="8"/>
      <c r="E31" s="8"/>
      <c r="F31" s="8"/>
      <c r="G31" s="8"/>
      <c r="H31" s="8"/>
      <c r="I31" s="8"/>
      <c r="J31" s="8"/>
      <c r="K31" s="8"/>
      <c r="L31" s="8"/>
      <c r="M31" s="8"/>
      <c r="N31" s="8"/>
    </row>
    <row r="32" spans="1:14" ht="16.5">
      <c r="A32" s="8"/>
      <c r="B32" s="8"/>
      <c r="C32" s="8"/>
      <c r="D32" s="8"/>
      <c r="E32" s="8"/>
      <c r="F32" s="8"/>
      <c r="G32" s="8"/>
      <c r="H32" s="8"/>
      <c r="I32" s="8"/>
      <c r="J32" s="8"/>
      <c r="K32" s="8"/>
      <c r="L32" s="8"/>
      <c r="M32" s="8"/>
      <c r="N32" s="8"/>
    </row>
    <row r="33" spans="1:14" ht="16.5">
      <c r="A33" s="8"/>
      <c r="B33" s="8"/>
      <c r="C33" s="8"/>
      <c r="D33" s="8"/>
      <c r="E33" s="8"/>
      <c r="F33" s="8"/>
      <c r="G33" s="8"/>
      <c r="H33" s="8"/>
      <c r="I33" s="8"/>
      <c r="J33" s="8"/>
      <c r="K33" s="8"/>
      <c r="L33" s="8"/>
      <c r="M33" s="8"/>
      <c r="N33" s="8"/>
    </row>
    <row r="34" spans="1:14" ht="17.25">
      <c r="A34" s="100" t="s">
        <v>356</v>
      </c>
    </row>
    <row r="35" spans="1:14" ht="17.25">
      <c r="A35" s="100" t="s">
        <v>357</v>
      </c>
    </row>
    <row r="36" spans="1:14" ht="17.25">
      <c r="A36" s="100" t="s">
        <v>358</v>
      </c>
    </row>
  </sheetData>
  <pageMargins left="0.25" right="0.25" top="0.75" bottom="0.75" header="0.3" footer="0.3"/>
  <pageSetup scale="4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BEAAB1-5671-4283-A0D0-11DDA5DBBF04}">
  <sheetPr>
    <tabColor rgb="FF92D050"/>
  </sheetPr>
  <dimension ref="A1:O55"/>
  <sheetViews>
    <sheetView view="pageBreakPreview" topLeftCell="A10" zoomScale="60" zoomScaleNormal="80" workbookViewId="0">
      <selection activeCell="H55" sqref="H55"/>
    </sheetView>
  </sheetViews>
  <sheetFormatPr defaultRowHeight="15"/>
  <cols>
    <col min="1" max="1" width="53.85546875" customWidth="1"/>
    <col min="2" max="2" width="8" customWidth="1"/>
    <col min="3" max="3" width="12.28515625" bestFit="1" customWidth="1"/>
    <col min="4" max="4" width="20.140625" customWidth="1"/>
    <col min="5" max="5" width="18.85546875" customWidth="1"/>
    <col min="6" max="6" width="19" customWidth="1"/>
    <col min="7" max="7" width="16.42578125" customWidth="1"/>
    <col min="8" max="10" width="19.28515625" customWidth="1"/>
    <col min="11" max="12" width="21.5703125" customWidth="1"/>
    <col min="13" max="13" width="18.28515625" customWidth="1"/>
  </cols>
  <sheetData>
    <row r="1" spans="1:15" ht="26.25">
      <c r="A1" s="19" t="s">
        <v>1</v>
      </c>
      <c r="B1" s="19"/>
      <c r="C1" s="8"/>
      <c r="D1" s="8"/>
      <c r="E1" s="8"/>
      <c r="F1" s="8"/>
      <c r="G1" s="8"/>
      <c r="H1" s="8"/>
      <c r="I1" s="8"/>
      <c r="J1" s="8"/>
      <c r="K1" s="8"/>
      <c r="L1" s="8"/>
      <c r="M1" s="8"/>
      <c r="N1" s="8"/>
      <c r="O1" s="8"/>
    </row>
    <row r="2" spans="1:15" ht="17.25">
      <c r="A2" s="58" t="s">
        <v>9</v>
      </c>
      <c r="B2" s="58"/>
      <c r="C2" s="8"/>
      <c r="D2" s="8"/>
      <c r="E2" s="8"/>
      <c r="F2" s="8"/>
      <c r="G2" s="8"/>
      <c r="H2" s="8"/>
      <c r="I2" s="8"/>
      <c r="J2" s="8"/>
      <c r="K2" s="8"/>
      <c r="L2" s="8"/>
      <c r="M2" s="8"/>
      <c r="N2" s="8"/>
      <c r="O2" s="8"/>
    </row>
    <row r="3" spans="1:15" ht="16.5">
      <c r="A3" s="21" t="s">
        <v>453</v>
      </c>
      <c r="B3" s="39"/>
      <c r="C3" s="8"/>
      <c r="D3" s="8"/>
      <c r="E3" s="8"/>
      <c r="F3" s="8"/>
      <c r="G3" s="8"/>
      <c r="H3" s="8"/>
      <c r="I3" s="8"/>
      <c r="J3" s="8"/>
      <c r="K3" s="8"/>
      <c r="L3" s="8"/>
      <c r="M3" s="8"/>
      <c r="N3" s="8"/>
      <c r="O3" s="8"/>
    </row>
    <row r="4" spans="1:15" ht="16.5">
      <c r="A4" s="8"/>
      <c r="B4" s="8"/>
      <c r="C4" s="8"/>
      <c r="D4" s="8"/>
      <c r="E4" s="22" t="s">
        <v>0</v>
      </c>
      <c r="F4" s="8"/>
      <c r="G4" s="8"/>
      <c r="H4" s="8"/>
      <c r="I4" s="8"/>
      <c r="J4" s="8"/>
      <c r="K4" s="8"/>
      <c r="L4" s="8"/>
      <c r="M4" s="8"/>
      <c r="N4" s="8"/>
      <c r="O4" s="8"/>
    </row>
    <row r="5" spans="1:15" ht="18" thickBot="1">
      <c r="A5" s="58"/>
      <c r="B5" s="58"/>
      <c r="C5" s="8"/>
      <c r="D5" s="8"/>
      <c r="E5" s="8"/>
      <c r="F5" s="8"/>
      <c r="G5" s="8"/>
      <c r="H5" s="8"/>
      <c r="I5" s="8"/>
      <c r="J5" s="8"/>
      <c r="K5" s="8"/>
      <c r="L5" s="8"/>
      <c r="M5" s="8"/>
      <c r="N5" s="8"/>
      <c r="O5" s="8"/>
    </row>
    <row r="6" spans="1:15" ht="21" thickBot="1">
      <c r="A6" s="260" t="str">
        <f>+'S&amp;D'!A12</f>
        <v>Railroad Carriers</v>
      </c>
      <c r="B6" s="263"/>
      <c r="C6" s="8"/>
      <c r="D6" s="8"/>
      <c r="E6" s="8"/>
      <c r="F6" s="8"/>
      <c r="G6" s="8"/>
      <c r="H6" s="8"/>
      <c r="I6" s="8"/>
      <c r="J6" s="8"/>
      <c r="K6" s="8"/>
      <c r="L6" s="8"/>
      <c r="M6" s="8"/>
      <c r="N6" s="8"/>
      <c r="O6" s="8"/>
    </row>
    <row r="7" spans="1:15" ht="18" thickBot="1">
      <c r="A7" s="58"/>
      <c r="B7" s="58"/>
      <c r="C7" s="24"/>
      <c r="D7" s="24"/>
      <c r="E7" s="24"/>
      <c r="F7" s="24"/>
      <c r="G7" s="24"/>
      <c r="H7" s="8"/>
      <c r="I7" s="24"/>
      <c r="J7" s="24"/>
      <c r="K7" s="24"/>
      <c r="L7" s="24"/>
      <c r="M7" s="24"/>
      <c r="N7" s="8"/>
      <c r="O7" s="8"/>
    </row>
    <row r="8" spans="1:15" ht="26.25">
      <c r="B8" s="26"/>
      <c r="C8" s="8"/>
      <c r="D8" s="8"/>
      <c r="E8" s="27" t="s">
        <v>234</v>
      </c>
      <c r="F8" s="8"/>
      <c r="G8" s="8"/>
      <c r="H8" s="8"/>
      <c r="I8" s="8"/>
      <c r="J8" s="8"/>
      <c r="K8" s="27" t="s">
        <v>235</v>
      </c>
      <c r="L8" s="8"/>
      <c r="M8" s="8"/>
      <c r="N8" s="8"/>
      <c r="O8" s="8"/>
    </row>
    <row r="9" spans="1:15" ht="21" thickBot="1">
      <c r="A9" s="26"/>
      <c r="B9" s="26"/>
      <c r="C9" s="24"/>
      <c r="D9" s="24"/>
      <c r="E9" s="32" t="s">
        <v>454</v>
      </c>
      <c r="F9" s="24"/>
      <c r="G9" s="24"/>
      <c r="H9" s="8"/>
      <c r="I9" s="24"/>
      <c r="J9" s="24"/>
      <c r="K9" s="32" t="s">
        <v>454</v>
      </c>
      <c r="L9" s="24"/>
      <c r="M9" s="24"/>
      <c r="N9" s="8"/>
      <c r="O9" s="8"/>
    </row>
    <row r="10" spans="1:15" ht="17.25" thickBot="1">
      <c r="A10" s="29" t="s">
        <v>0</v>
      </c>
      <c r="B10" s="29"/>
      <c r="C10" s="29" t="s">
        <v>0</v>
      </c>
      <c r="D10" s="29" t="s">
        <v>0</v>
      </c>
      <c r="E10" s="29" t="s">
        <v>0</v>
      </c>
      <c r="F10" s="29" t="s">
        <v>0</v>
      </c>
      <c r="G10" s="29" t="s">
        <v>0</v>
      </c>
      <c r="H10" s="8"/>
      <c r="I10" s="24"/>
      <c r="J10" s="24"/>
      <c r="K10" s="24"/>
      <c r="L10" s="24"/>
      <c r="M10" s="24"/>
      <c r="N10" s="8"/>
      <c r="O10" s="8"/>
    </row>
    <row r="11" spans="1:15" ht="16.5">
      <c r="A11" s="30" t="s">
        <v>0</v>
      </c>
      <c r="B11" s="30"/>
      <c r="C11" s="30" t="s">
        <v>3</v>
      </c>
      <c r="D11" s="30" t="s">
        <v>350</v>
      </c>
      <c r="E11" s="30" t="s">
        <v>352</v>
      </c>
      <c r="F11" s="30" t="s">
        <v>111</v>
      </c>
      <c r="G11" s="30" t="s">
        <v>26</v>
      </c>
      <c r="H11" s="8"/>
      <c r="I11" s="30" t="s">
        <v>3</v>
      </c>
      <c r="J11" s="30" t="s">
        <v>350</v>
      </c>
      <c r="K11" s="30" t="s">
        <v>352</v>
      </c>
      <c r="L11" s="30" t="s">
        <v>111</v>
      </c>
      <c r="M11" s="30" t="s">
        <v>26</v>
      </c>
      <c r="N11" s="8"/>
      <c r="O11" s="8"/>
    </row>
    <row r="12" spans="1:15" ht="17.25" thickBot="1">
      <c r="A12" s="32" t="s">
        <v>2</v>
      </c>
      <c r="B12" s="32"/>
      <c r="C12" s="32" t="s">
        <v>4</v>
      </c>
      <c r="D12" s="32" t="s">
        <v>27</v>
      </c>
      <c r="E12" s="32" t="s">
        <v>168</v>
      </c>
      <c r="F12" s="32" t="s">
        <v>28</v>
      </c>
      <c r="G12" s="32" t="s">
        <v>29</v>
      </c>
      <c r="H12" s="8"/>
      <c r="I12" s="32" t="s">
        <v>4</v>
      </c>
      <c r="J12" s="32" t="s">
        <v>27</v>
      </c>
      <c r="K12" s="32" t="s">
        <v>168</v>
      </c>
      <c r="L12" s="32" t="s">
        <v>28</v>
      </c>
      <c r="M12" s="32" t="s">
        <v>29</v>
      </c>
      <c r="N12" s="8"/>
      <c r="O12" s="8"/>
    </row>
    <row r="13" spans="1:15" ht="16.5">
      <c r="A13" s="34" t="s">
        <v>0</v>
      </c>
      <c r="B13" s="34"/>
      <c r="C13" s="34" t="s">
        <v>0</v>
      </c>
      <c r="D13" s="35" t="s">
        <v>113</v>
      </c>
      <c r="E13" s="71" t="s">
        <v>114</v>
      </c>
      <c r="F13" s="34" t="s">
        <v>0</v>
      </c>
      <c r="G13" s="34" t="s">
        <v>0</v>
      </c>
      <c r="H13" s="8"/>
      <c r="I13" s="34" t="s">
        <v>0</v>
      </c>
      <c r="J13" s="35" t="s">
        <v>113</v>
      </c>
      <c r="K13" s="71" t="s">
        <v>112</v>
      </c>
      <c r="L13" s="34" t="s">
        <v>0</v>
      </c>
      <c r="M13" s="34" t="s">
        <v>0</v>
      </c>
      <c r="N13" s="8"/>
      <c r="O13" s="8"/>
    </row>
    <row r="14" spans="1:15" ht="16.5">
      <c r="A14" s="30"/>
      <c r="B14" s="30"/>
      <c r="C14" s="30"/>
      <c r="D14" s="30"/>
      <c r="E14" s="30"/>
      <c r="F14" s="30"/>
      <c r="G14" s="30"/>
      <c r="H14" s="8"/>
      <c r="I14" s="30"/>
      <c r="J14" s="30"/>
      <c r="K14" s="30"/>
      <c r="L14" s="30"/>
      <c r="M14" s="30"/>
      <c r="N14" s="8"/>
      <c r="O14" s="8"/>
    </row>
    <row r="15" spans="1:15" ht="16.5">
      <c r="A15" s="8"/>
      <c r="B15" s="8"/>
      <c r="C15" s="8"/>
      <c r="D15" s="8"/>
      <c r="E15" s="8"/>
      <c r="F15" s="8"/>
      <c r="G15" s="8"/>
      <c r="H15" s="8"/>
      <c r="I15" s="8"/>
      <c r="J15" s="8"/>
      <c r="K15" s="8"/>
      <c r="L15" s="8"/>
      <c r="M15" s="8"/>
      <c r="N15" s="8"/>
      <c r="O15" s="8"/>
    </row>
    <row r="16" spans="1:15" ht="17.25">
      <c r="A16" s="58" t="str">
        <f>+'S&amp;D'!A22</f>
        <v>Canadian National</v>
      </c>
      <c r="B16" s="58"/>
      <c r="C16" s="85" t="str">
        <f>+'S&amp;D'!B22</f>
        <v>CNI</v>
      </c>
      <c r="D16" s="55">
        <f>'S&amp;D'!G22</f>
        <v>125.63</v>
      </c>
      <c r="E16" s="377">
        <v>5.9</v>
      </c>
      <c r="F16" s="67">
        <f>D16/E16</f>
        <v>21.293220338983048</v>
      </c>
      <c r="G16" s="52">
        <f t="shared" ref="G16" si="0">1/F16</f>
        <v>4.6963304943086849E-2</v>
      </c>
      <c r="H16" s="8"/>
      <c r="I16" s="30" t="str">
        <f>+C16</f>
        <v>CNI</v>
      </c>
      <c r="J16" s="55">
        <f>+D16</f>
        <v>125.63</v>
      </c>
      <c r="K16" s="377">
        <v>6.6</v>
      </c>
      <c r="L16" s="67">
        <f>J16/K16</f>
        <v>19.034848484848485</v>
      </c>
      <c r="M16" s="52">
        <f t="shared" ref="M16" si="1">1/L16</f>
        <v>5.2535222478707316E-2</v>
      </c>
      <c r="N16" s="8"/>
      <c r="O16" s="8"/>
    </row>
    <row r="17" spans="1:15" ht="17.25">
      <c r="A17" s="58" t="str">
        <f>+'S&amp;D'!A23</f>
        <v>Canadian Pacific Kansas City Limited  CPKC</v>
      </c>
      <c r="B17" s="58"/>
      <c r="C17" s="85" t="str">
        <f>+'S&amp;D'!B23</f>
        <v>CP</v>
      </c>
      <c r="D17" s="55">
        <f>'S&amp;D'!G23</f>
        <v>79.06</v>
      </c>
      <c r="E17" s="377">
        <v>3.3</v>
      </c>
      <c r="F17" s="67">
        <f t="shared" ref="F17:F20" si="2">D17/E17</f>
        <v>23.957575757575761</v>
      </c>
      <c r="G17" s="52">
        <f t="shared" ref="G17:G20" si="3">1/F17</f>
        <v>4.1740450290918288E-2</v>
      </c>
      <c r="H17" s="8"/>
      <c r="I17" s="30" t="str">
        <f t="shared" ref="I17:I20" si="4">+C17</f>
        <v>CP</v>
      </c>
      <c r="J17" s="55">
        <f t="shared" ref="J17:J20" si="5">+D17</f>
        <v>79.06</v>
      </c>
      <c r="K17" s="377">
        <v>3.6</v>
      </c>
      <c r="L17" s="67">
        <f t="shared" ref="L17:L20" si="6">J17/K17</f>
        <v>21.961111111111112</v>
      </c>
      <c r="M17" s="52">
        <f t="shared" ref="M17:M20" si="7">1/L17</f>
        <v>4.553503668100177E-2</v>
      </c>
      <c r="N17" s="8"/>
      <c r="O17" s="8"/>
    </row>
    <row r="18" spans="1:15" ht="17.25">
      <c r="A18" s="58" t="str">
        <f>+'S&amp;D'!A24</f>
        <v>CSX Corp</v>
      </c>
      <c r="B18" s="58"/>
      <c r="C18" s="85" t="str">
        <f>+'S&amp;D'!B24</f>
        <v>CSX</v>
      </c>
      <c r="D18" s="55">
        <f>'S&amp;D'!G24</f>
        <v>34.67</v>
      </c>
      <c r="E18" s="377">
        <v>2</v>
      </c>
      <c r="F18" s="67">
        <f t="shared" si="2"/>
        <v>17.335000000000001</v>
      </c>
      <c r="G18" s="52">
        <f t="shared" si="3"/>
        <v>5.7686760888376112E-2</v>
      </c>
      <c r="H18" s="8"/>
      <c r="I18" s="30" t="str">
        <f t="shared" si="4"/>
        <v>CSX</v>
      </c>
      <c r="J18" s="55">
        <f t="shared" si="5"/>
        <v>34.67</v>
      </c>
      <c r="K18" s="377">
        <v>2.2000000000000002</v>
      </c>
      <c r="L18" s="67">
        <f t="shared" si="6"/>
        <v>15.759090909090908</v>
      </c>
      <c r="M18" s="52">
        <f t="shared" si="7"/>
        <v>6.3455436977213731E-2</v>
      </c>
      <c r="N18" s="8"/>
      <c r="O18" s="8"/>
    </row>
    <row r="19" spans="1:15" ht="17.25">
      <c r="A19" s="58" t="str">
        <f>+'S&amp;D'!A25</f>
        <v>Norfolk Southern</v>
      </c>
      <c r="B19" s="58"/>
      <c r="C19" s="85" t="str">
        <f>+'S&amp;D'!B25</f>
        <v>NSC</v>
      </c>
      <c r="D19" s="55">
        <f>'S&amp;D'!G25</f>
        <v>236.38</v>
      </c>
      <c r="E19" s="377">
        <v>13.45</v>
      </c>
      <c r="F19" s="67">
        <f t="shared" si="2"/>
        <v>17.574721189591077</v>
      </c>
      <c r="G19" s="52">
        <f t="shared" si="3"/>
        <v>5.6899906929520266E-2</v>
      </c>
      <c r="H19" s="8"/>
      <c r="I19" s="30" t="str">
        <f t="shared" si="4"/>
        <v>NSC</v>
      </c>
      <c r="J19" s="55">
        <f t="shared" si="5"/>
        <v>236.38</v>
      </c>
      <c r="K19" s="377">
        <v>14.5</v>
      </c>
      <c r="L19" s="67">
        <f t="shared" si="6"/>
        <v>16.30206896551724</v>
      </c>
      <c r="M19" s="52">
        <f t="shared" si="7"/>
        <v>6.1341907098739323E-2</v>
      </c>
      <c r="N19" s="8"/>
      <c r="O19" s="8"/>
    </row>
    <row r="20" spans="1:15" ht="17.25">
      <c r="A20" s="58" t="str">
        <f>+'S&amp;D'!A26</f>
        <v>Union Pacific Railroad</v>
      </c>
      <c r="B20" s="58"/>
      <c r="C20" s="85" t="str">
        <f>+'S&amp;D'!B26</f>
        <v>UNP</v>
      </c>
      <c r="D20" s="55">
        <f>'S&amp;D'!G26</f>
        <v>245.62</v>
      </c>
      <c r="E20" s="377">
        <v>11</v>
      </c>
      <c r="F20" s="67">
        <f t="shared" si="2"/>
        <v>22.329090909090908</v>
      </c>
      <c r="G20" s="52">
        <f t="shared" si="3"/>
        <v>4.4784626659066851E-2</v>
      </c>
      <c r="H20" s="8"/>
      <c r="I20" s="30" t="str">
        <f t="shared" si="4"/>
        <v>UNP</v>
      </c>
      <c r="J20" s="55">
        <f t="shared" si="5"/>
        <v>245.62</v>
      </c>
      <c r="K20" s="377">
        <v>11.5</v>
      </c>
      <c r="L20" s="67">
        <f t="shared" si="6"/>
        <v>21.358260869565218</v>
      </c>
      <c r="M20" s="52">
        <f t="shared" si="7"/>
        <v>4.6820291507206256E-2</v>
      </c>
      <c r="N20" s="8"/>
      <c r="O20" s="8"/>
    </row>
    <row r="21" spans="1:15" ht="18" thickBot="1">
      <c r="A21" s="8"/>
      <c r="B21" s="8"/>
      <c r="C21" s="65"/>
      <c r="D21" s="65"/>
      <c r="E21" s="65"/>
      <c r="F21" s="65"/>
      <c r="G21" s="65"/>
      <c r="H21" s="8"/>
      <c r="I21" s="65"/>
      <c r="J21" s="60" t="s">
        <v>0</v>
      </c>
      <c r="K21" s="65"/>
      <c r="L21" s="65"/>
      <c r="M21" s="65"/>
      <c r="N21" s="8"/>
      <c r="O21" s="8"/>
    </row>
    <row r="22" spans="1:15" ht="17.25" thickTop="1">
      <c r="A22" s="8"/>
      <c r="B22" s="8"/>
      <c r="D22" s="10" t="s">
        <v>46</v>
      </c>
      <c r="E22" s="66">
        <f>MAX(E16:E20)</f>
        <v>13.45</v>
      </c>
      <c r="F22" s="66">
        <f t="shared" ref="F22:G22" si="8">MAX(F16:F20)</f>
        <v>23.957575757575761</v>
      </c>
      <c r="G22" s="308">
        <f t="shared" si="8"/>
        <v>5.7686760888376112E-2</v>
      </c>
      <c r="H22" s="8"/>
      <c r="J22" s="10" t="s">
        <v>46</v>
      </c>
      <c r="K22" s="66">
        <f t="shared" ref="K22:M22" si="9">MAX(K16:K20)</f>
        <v>14.5</v>
      </c>
      <c r="L22" s="66">
        <f t="shared" si="9"/>
        <v>21.961111111111112</v>
      </c>
      <c r="M22" s="308">
        <f t="shared" si="9"/>
        <v>6.3455436977213731E-2</v>
      </c>
      <c r="N22" s="8"/>
      <c r="O22" s="8"/>
    </row>
    <row r="23" spans="1:15" ht="16.5">
      <c r="A23" s="8"/>
      <c r="B23" s="8"/>
      <c r="D23" s="324" t="s">
        <v>47</v>
      </c>
      <c r="E23" s="329">
        <f>MIN(E16:E20)</f>
        <v>2</v>
      </c>
      <c r="F23" s="329">
        <f t="shared" ref="F23:G23" si="10">MIN(F16:F20)</f>
        <v>17.335000000000001</v>
      </c>
      <c r="G23" s="322">
        <f t="shared" si="10"/>
        <v>4.1740450290918288E-2</v>
      </c>
      <c r="H23" s="8"/>
      <c r="J23" s="324" t="s">
        <v>47</v>
      </c>
      <c r="K23" s="329">
        <f t="shared" ref="K23:M23" si="11">MIN(K16:K20)</f>
        <v>2.2000000000000002</v>
      </c>
      <c r="L23" s="329">
        <f t="shared" si="11"/>
        <v>15.759090909090908</v>
      </c>
      <c r="M23" s="322">
        <f t="shared" si="11"/>
        <v>4.553503668100177E-2</v>
      </c>
      <c r="N23" s="8"/>
      <c r="O23" s="8"/>
    </row>
    <row r="24" spans="1:15" ht="16.5">
      <c r="A24" s="8"/>
      <c r="B24" s="8"/>
      <c r="D24" s="10" t="s">
        <v>18</v>
      </c>
      <c r="E24" s="67">
        <f>MEDIAN(E16:E20)</f>
        <v>5.9</v>
      </c>
      <c r="F24" s="17">
        <f>MEDIAN(F16:F20)</f>
        <v>21.293220338983048</v>
      </c>
      <c r="G24" s="52">
        <f>MEDIAN(G16:G20)</f>
        <v>4.6963304943086849E-2</v>
      </c>
      <c r="H24" s="8"/>
      <c r="J24" s="10" t="s">
        <v>18</v>
      </c>
      <c r="K24" s="67">
        <f>MEDIAN(K16:K20)</f>
        <v>6.6</v>
      </c>
      <c r="L24" s="17">
        <f>MEDIAN(L16:L20)</f>
        <v>19.034848484848485</v>
      </c>
      <c r="M24" s="52">
        <f>MEDIAN(M16:M20)</f>
        <v>5.2535222478707316E-2</v>
      </c>
      <c r="N24" s="8"/>
      <c r="O24" s="8"/>
    </row>
    <row r="25" spans="1:15" ht="16.5">
      <c r="A25" s="8"/>
      <c r="B25" s="8"/>
      <c r="D25" s="10" t="s">
        <v>411</v>
      </c>
      <c r="E25" s="13">
        <f>AVERAGE(E16:E20)</f>
        <v>7.13</v>
      </c>
      <c r="F25" s="17">
        <f>AVERAGE(F16:F20)</f>
        <v>20.497921639048158</v>
      </c>
      <c r="G25" s="68">
        <f>AVERAGE(G16:G20)</f>
        <v>4.9615009942193672E-2</v>
      </c>
      <c r="H25" s="8"/>
      <c r="J25" s="10" t="s">
        <v>411</v>
      </c>
      <c r="K25" s="13">
        <f>AVERAGE(K16:K20)</f>
        <v>7.68</v>
      </c>
      <c r="L25" s="17">
        <f>AVERAGE(L16:L20)</f>
        <v>18.88307606802659</v>
      </c>
      <c r="M25" s="68">
        <f>AVERAGE(M16:M20)</f>
        <v>5.3937578948573671E-2</v>
      </c>
      <c r="N25" s="8"/>
      <c r="O25" s="8"/>
    </row>
    <row r="26" spans="1:15" ht="16.5">
      <c r="A26" s="8"/>
      <c r="B26" s="8"/>
      <c r="C26" s="8"/>
      <c r="D26" s="8"/>
      <c r="E26" s="8"/>
      <c r="F26" s="8"/>
      <c r="G26" s="8"/>
      <c r="H26" s="8"/>
      <c r="I26" s="8"/>
      <c r="J26" s="8"/>
      <c r="K26" s="8"/>
      <c r="L26" s="8"/>
      <c r="M26" s="8"/>
      <c r="N26" s="8"/>
      <c r="O26" s="8"/>
    </row>
    <row r="27" spans="1:15" ht="26.25">
      <c r="A27" s="8"/>
      <c r="B27" s="8"/>
      <c r="C27" s="8"/>
      <c r="D27" s="8"/>
      <c r="E27" s="72" t="s">
        <v>74</v>
      </c>
      <c r="F27" s="311">
        <v>20.5</v>
      </c>
      <c r="G27" s="309">
        <v>4.9599999999999998E-2</v>
      </c>
      <c r="H27" s="8"/>
      <c r="I27" s="8"/>
      <c r="J27" s="8"/>
      <c r="K27" s="72" t="s">
        <v>74</v>
      </c>
      <c r="L27" s="311">
        <v>18.88</v>
      </c>
      <c r="M27" s="309">
        <v>5.3900000000000003E-2</v>
      </c>
      <c r="N27" s="8"/>
      <c r="O27" s="8"/>
    </row>
    <row r="28" spans="1:15" ht="16.5">
      <c r="A28" s="8"/>
      <c r="B28" s="8"/>
      <c r="C28" s="8"/>
      <c r="D28" s="8"/>
      <c r="E28" s="8"/>
      <c r="F28" s="8"/>
      <c r="K28" s="8"/>
      <c r="L28" s="8"/>
      <c r="M28" s="8"/>
      <c r="N28" s="8"/>
      <c r="O28" s="8"/>
    </row>
    <row r="29" spans="1:15" ht="30" customHeight="1">
      <c r="A29" s="8"/>
      <c r="B29" s="8"/>
      <c r="C29" s="8"/>
      <c r="D29" s="8"/>
      <c r="E29" s="8"/>
      <c r="F29" s="8"/>
      <c r="K29" s="8"/>
      <c r="L29" s="8"/>
      <c r="M29" s="8"/>
      <c r="N29" s="8"/>
      <c r="O29" s="8"/>
    </row>
    <row r="30" spans="1:15" ht="17.25" thickBot="1">
      <c r="A30" s="8"/>
      <c r="B30" s="8"/>
      <c r="C30" s="8"/>
      <c r="D30" s="8"/>
      <c r="E30" s="8"/>
      <c r="F30" s="8"/>
      <c r="K30" s="8"/>
      <c r="L30" s="8"/>
      <c r="M30" s="8"/>
      <c r="N30" s="8"/>
      <c r="O30" s="8"/>
    </row>
    <row r="31" spans="1:15" ht="30.75" customHeight="1" thickBot="1">
      <c r="A31" s="70" t="s">
        <v>0</v>
      </c>
      <c r="B31" s="70"/>
      <c r="C31" s="8"/>
      <c r="D31" s="8"/>
      <c r="E31" s="8"/>
      <c r="G31" s="19" t="s">
        <v>124</v>
      </c>
      <c r="H31" s="8"/>
      <c r="I31" s="215">
        <f>(+F27+L27)/2</f>
        <v>19.689999999999998</v>
      </c>
      <c r="J31" s="216">
        <f>(+G27+M27)/2</f>
        <v>5.1750000000000004E-2</v>
      </c>
      <c r="N31" s="8"/>
      <c r="O31" s="8"/>
    </row>
    <row r="32" spans="1:15" ht="16.5">
      <c r="A32" s="70" t="s">
        <v>0</v>
      </c>
      <c r="B32" s="70"/>
      <c r="C32" s="8"/>
      <c r="D32" s="8"/>
      <c r="E32" s="8"/>
      <c r="F32" s="8"/>
      <c r="G32" s="8"/>
      <c r="H32" s="8"/>
      <c r="I32" s="8"/>
      <c r="J32" s="8"/>
      <c r="K32" s="8"/>
      <c r="L32" s="8"/>
      <c r="M32" s="8"/>
      <c r="N32" s="8"/>
      <c r="O32" s="8"/>
    </row>
    <row r="33" spans="1:15" ht="16.5">
      <c r="A33" s="8"/>
      <c r="B33" s="8"/>
      <c r="C33" s="8"/>
      <c r="D33" s="8"/>
      <c r="E33" s="8"/>
      <c r="F33" s="8"/>
      <c r="G33" s="8"/>
      <c r="H33" s="8"/>
      <c r="I33" s="8"/>
      <c r="J33" s="8"/>
      <c r="K33" s="8"/>
      <c r="L33" s="8"/>
      <c r="M33" s="8"/>
      <c r="N33" s="8"/>
      <c r="O33" s="8"/>
    </row>
    <row r="34" spans="1:15" ht="16.5">
      <c r="A34" s="8"/>
      <c r="B34" s="8"/>
      <c r="C34" s="8"/>
      <c r="D34" s="8"/>
      <c r="E34" s="8"/>
      <c r="F34" s="8"/>
      <c r="G34" s="8"/>
      <c r="H34" s="8"/>
      <c r="I34" s="8"/>
      <c r="J34" s="8"/>
      <c r="K34" s="8"/>
      <c r="L34" s="8"/>
      <c r="M34" s="8"/>
      <c r="N34" s="8"/>
      <c r="O34" s="8"/>
    </row>
    <row r="35" spans="1:15" ht="15.75" thickBot="1">
      <c r="B35" s="142"/>
      <c r="C35" s="142"/>
      <c r="D35" s="142"/>
      <c r="E35" s="142"/>
      <c r="F35" s="142"/>
      <c r="G35" s="142"/>
    </row>
    <row r="36" spans="1:15" ht="26.25">
      <c r="C36" s="8"/>
      <c r="D36" s="8"/>
      <c r="E36" s="27" t="s">
        <v>459</v>
      </c>
      <c r="F36" s="8"/>
      <c r="G36" s="8"/>
    </row>
    <row r="37" spans="1:15" ht="21" thickBot="1">
      <c r="A37" s="26"/>
      <c r="B37" s="142"/>
      <c r="C37" s="24"/>
      <c r="D37" s="24"/>
      <c r="E37" s="32" t="s">
        <v>454</v>
      </c>
      <c r="F37" s="24"/>
      <c r="G37" s="24"/>
    </row>
    <row r="38" spans="1:15" ht="15.75" thickBot="1">
      <c r="A38" s="29" t="s">
        <v>0</v>
      </c>
      <c r="B38" s="142"/>
      <c r="C38" s="29" t="s">
        <v>0</v>
      </c>
      <c r="D38" s="29" t="s">
        <v>0</v>
      </c>
      <c r="E38" s="29" t="s">
        <v>0</v>
      </c>
      <c r="F38" s="29" t="s">
        <v>0</v>
      </c>
      <c r="G38" s="29" t="s">
        <v>0</v>
      </c>
    </row>
    <row r="39" spans="1:15" ht="16.5">
      <c r="A39" s="30" t="s">
        <v>0</v>
      </c>
      <c r="C39" s="30" t="s">
        <v>3</v>
      </c>
      <c r="D39" s="30" t="s">
        <v>350</v>
      </c>
      <c r="E39" s="30" t="s">
        <v>352</v>
      </c>
      <c r="F39" s="30" t="s">
        <v>111</v>
      </c>
      <c r="G39" s="30" t="s">
        <v>26</v>
      </c>
    </row>
    <row r="40" spans="1:15" ht="17.25" thickBot="1">
      <c r="A40" s="32" t="s">
        <v>2</v>
      </c>
      <c r="B40" s="142"/>
      <c r="C40" s="32" t="s">
        <v>4</v>
      </c>
      <c r="D40" s="32" t="s">
        <v>27</v>
      </c>
      <c r="E40" s="32" t="s">
        <v>168</v>
      </c>
      <c r="F40" s="32" t="s">
        <v>28</v>
      </c>
      <c r="G40" s="32" t="s">
        <v>29</v>
      </c>
    </row>
    <row r="41" spans="1:15">
      <c r="A41" s="34" t="s">
        <v>0</v>
      </c>
      <c r="C41" s="34" t="s">
        <v>0</v>
      </c>
      <c r="D41" s="35" t="s">
        <v>113</v>
      </c>
      <c r="E41" s="71" t="s">
        <v>241</v>
      </c>
      <c r="F41" s="34" t="s">
        <v>0</v>
      </c>
      <c r="G41" s="34" t="s">
        <v>0</v>
      </c>
    </row>
    <row r="42" spans="1:15" ht="16.5">
      <c r="A42" s="30"/>
      <c r="C42" s="30"/>
      <c r="D42" s="30"/>
      <c r="E42" s="30"/>
      <c r="F42" s="30"/>
      <c r="G42" s="30"/>
    </row>
    <row r="43" spans="1:15" ht="16.5">
      <c r="A43" s="8"/>
      <c r="C43" s="8"/>
      <c r="D43" s="8"/>
      <c r="E43" s="8"/>
      <c r="F43" s="8"/>
      <c r="G43" s="8"/>
    </row>
    <row r="44" spans="1:15" ht="17.25">
      <c r="A44" s="58" t="str">
        <f>+'S&amp;D'!A22</f>
        <v>Canadian National</v>
      </c>
      <c r="C44" s="85" t="str">
        <f>+'S&amp;D'!B22</f>
        <v>CNI</v>
      </c>
      <c r="D44" s="55">
        <f>'S&amp;D'!G22</f>
        <v>125.63</v>
      </c>
      <c r="E44" s="377">
        <v>9</v>
      </c>
      <c r="F44" s="67">
        <f t="shared" ref="F44:F48" si="12">D44/E44</f>
        <v>13.958888888888888</v>
      </c>
      <c r="G44" s="52">
        <f t="shared" ref="G44:G48" si="13">1/F44</f>
        <v>7.1638939743691801E-2</v>
      </c>
    </row>
    <row r="45" spans="1:15" ht="17.25">
      <c r="A45" s="58" t="str">
        <f>+'S&amp;D'!A23</f>
        <v>Canadian Pacific Kansas City Limited  CPKC</v>
      </c>
      <c r="C45" s="85" t="str">
        <f>+'S&amp;D'!B23</f>
        <v>CP</v>
      </c>
      <c r="D45" s="55">
        <f>'S&amp;D'!G23</f>
        <v>79.06</v>
      </c>
      <c r="E45" s="377">
        <v>4.5</v>
      </c>
      <c r="F45" s="67">
        <f t="shared" si="12"/>
        <v>17.568888888888889</v>
      </c>
      <c r="G45" s="52">
        <f t="shared" si="13"/>
        <v>5.6918795851252216E-2</v>
      </c>
    </row>
    <row r="46" spans="1:15" ht="17.25">
      <c r="A46" s="58" t="str">
        <f>+'S&amp;D'!A24</f>
        <v>CSX Corp</v>
      </c>
      <c r="C46" s="85" t="str">
        <f>+'S&amp;D'!B24</f>
        <v>CSX</v>
      </c>
      <c r="D46" s="55">
        <f>'S&amp;D'!G24</f>
        <v>34.67</v>
      </c>
      <c r="E46" s="377">
        <v>2.5</v>
      </c>
      <c r="F46" s="67">
        <f t="shared" si="12"/>
        <v>13.868</v>
      </c>
      <c r="G46" s="52">
        <f t="shared" si="13"/>
        <v>7.2108451110470151E-2</v>
      </c>
    </row>
    <row r="47" spans="1:15" ht="17.25">
      <c r="A47" s="58" t="str">
        <f>+'S&amp;D'!A25</f>
        <v>Norfolk Southern</v>
      </c>
      <c r="C47" s="85" t="str">
        <f>+'S&amp;D'!B25</f>
        <v>NSC</v>
      </c>
      <c r="D47" s="55">
        <f>'S&amp;D'!G25</f>
        <v>236.38</v>
      </c>
      <c r="E47" s="377">
        <v>19.5</v>
      </c>
      <c r="F47" s="67">
        <f t="shared" si="12"/>
        <v>12.122051282051283</v>
      </c>
      <c r="G47" s="52">
        <f t="shared" si="13"/>
        <v>8.249428885692528E-2</v>
      </c>
    </row>
    <row r="48" spans="1:15" ht="17.25">
      <c r="A48" s="58" t="str">
        <f>+'S&amp;D'!A26</f>
        <v>Union Pacific Railroad</v>
      </c>
      <c r="C48" s="85" t="str">
        <f>+'S&amp;D'!B26</f>
        <v>UNP</v>
      </c>
      <c r="D48" s="55">
        <f>'S&amp;D'!G26</f>
        <v>245.62</v>
      </c>
      <c r="E48" s="377">
        <v>15</v>
      </c>
      <c r="F48" s="67">
        <f t="shared" si="12"/>
        <v>16.374666666666666</v>
      </c>
      <c r="G48" s="52">
        <f t="shared" si="13"/>
        <v>6.1069945444182074E-2</v>
      </c>
    </row>
    <row r="49" spans="1:7" ht="17.25" thickBot="1">
      <c r="A49" s="8"/>
      <c r="D49" s="65"/>
      <c r="E49" s="65"/>
      <c r="F49" s="65"/>
      <c r="G49" s="65"/>
    </row>
    <row r="50" spans="1:7" ht="17.25" thickTop="1">
      <c r="A50" s="8"/>
      <c r="D50" s="10" t="s">
        <v>46</v>
      </c>
      <c r="E50" s="66">
        <f t="shared" ref="E50:G50" si="14">MAX(E44:E48)</f>
        <v>19.5</v>
      </c>
      <c r="F50" s="66">
        <f t="shared" si="14"/>
        <v>17.568888888888889</v>
      </c>
      <c r="G50" s="308">
        <f t="shared" si="14"/>
        <v>8.249428885692528E-2</v>
      </c>
    </row>
    <row r="51" spans="1:7" ht="16.5">
      <c r="A51" s="8"/>
      <c r="D51" s="10" t="s">
        <v>47</v>
      </c>
      <c r="E51" s="329">
        <f t="shared" ref="E51:G51" si="15">MIN(E44:E48)</f>
        <v>2.5</v>
      </c>
      <c r="F51" s="329">
        <f t="shared" si="15"/>
        <v>12.122051282051283</v>
      </c>
      <c r="G51" s="322">
        <f t="shared" si="15"/>
        <v>5.6918795851252216E-2</v>
      </c>
    </row>
    <row r="52" spans="1:7" ht="16.5">
      <c r="A52" s="8"/>
      <c r="D52" s="10" t="s">
        <v>18</v>
      </c>
      <c r="E52" s="67">
        <f>MEDIAN(E44:E48)</f>
        <v>9</v>
      </c>
      <c r="F52" s="17">
        <f>MEDIAN(F44:F48)</f>
        <v>13.958888888888888</v>
      </c>
      <c r="G52" s="52">
        <f>MEDIAN(G44:G48)</f>
        <v>7.1638939743691801E-2</v>
      </c>
    </row>
    <row r="53" spans="1:7" ht="16.5">
      <c r="A53" s="8"/>
      <c r="D53" s="10" t="s">
        <v>411</v>
      </c>
      <c r="E53" s="13">
        <f>AVERAGE(E44:E48)</f>
        <v>10.1</v>
      </c>
      <c r="F53" s="17">
        <f>AVERAGE(F44:F48)</f>
        <v>14.778499145299145</v>
      </c>
      <c r="G53" s="68">
        <f>AVERAGE(G44:G48)</f>
        <v>6.8846084201304308E-2</v>
      </c>
    </row>
    <row r="54" spans="1:7" ht="16.5">
      <c r="A54" s="8"/>
      <c r="C54" s="8"/>
      <c r="D54" s="8"/>
      <c r="E54" s="8"/>
      <c r="F54" s="8"/>
      <c r="G54" s="8"/>
    </row>
    <row r="55" spans="1:7" ht="26.25">
      <c r="A55" s="8"/>
      <c r="C55" s="8"/>
      <c r="D55" s="8"/>
      <c r="E55" s="72" t="s">
        <v>74</v>
      </c>
      <c r="F55" s="311">
        <v>14.78</v>
      </c>
      <c r="G55" s="309">
        <v>6.88E-2</v>
      </c>
    </row>
  </sheetData>
  <pageMargins left="0.25" right="0.25" top="0.75" bottom="0.75" header="0.3" footer="0.3"/>
  <pageSetup scale="3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3AA241-0A64-46CC-9E60-C6F323522AA0}">
  <sheetPr>
    <tabColor rgb="FF92D050"/>
  </sheetPr>
  <dimension ref="A1:K117"/>
  <sheetViews>
    <sheetView view="pageBreakPreview" topLeftCell="A85" zoomScale="60" zoomScaleNormal="80" workbookViewId="0">
      <selection activeCell="G105" sqref="G105"/>
    </sheetView>
  </sheetViews>
  <sheetFormatPr defaultRowHeight="15"/>
  <cols>
    <col min="1" max="1" width="70.5703125" customWidth="1"/>
    <col min="2" max="2" width="25.7109375" customWidth="1"/>
    <col min="3" max="3" width="30.28515625" customWidth="1"/>
    <col min="4" max="4" width="30.5703125" customWidth="1"/>
    <col min="5" max="5" width="31.85546875" customWidth="1"/>
    <col min="6" max="6" width="30" customWidth="1"/>
    <col min="7" max="7" width="34.85546875" customWidth="1"/>
    <col min="8" max="8" width="37.7109375" customWidth="1"/>
    <col min="9" max="9" width="48.85546875" customWidth="1"/>
    <col min="10" max="10" width="13.85546875" customWidth="1"/>
    <col min="11" max="12" width="14.140625" bestFit="1" customWidth="1"/>
  </cols>
  <sheetData>
    <row r="1" spans="1:11" ht="26.25">
      <c r="A1" s="19" t="s">
        <v>1</v>
      </c>
      <c r="C1" s="19"/>
      <c r="D1" s="19"/>
      <c r="E1" s="8"/>
      <c r="F1" s="8"/>
      <c r="G1" s="8"/>
      <c r="H1" s="8"/>
      <c r="I1" s="8"/>
      <c r="J1" s="8"/>
      <c r="K1" s="8"/>
    </row>
    <row r="2" spans="1:11" ht="17.25">
      <c r="A2" s="20" t="s">
        <v>9</v>
      </c>
      <c r="C2" s="20"/>
      <c r="D2" s="20"/>
      <c r="E2" s="8"/>
      <c r="F2" s="8"/>
      <c r="G2" s="8"/>
      <c r="H2" s="8"/>
      <c r="I2" s="8"/>
      <c r="J2" s="8"/>
      <c r="K2" s="8"/>
    </row>
    <row r="3" spans="1:11" ht="16.5">
      <c r="A3" s="21" t="s">
        <v>453</v>
      </c>
      <c r="C3" s="21"/>
      <c r="D3" s="21"/>
      <c r="E3" s="8"/>
      <c r="F3" s="8"/>
      <c r="G3" s="8"/>
      <c r="H3" s="8"/>
      <c r="I3" s="8"/>
      <c r="J3" s="8"/>
      <c r="K3" s="8"/>
    </row>
    <row r="4" spans="1:11" ht="16.5">
      <c r="B4" s="21"/>
      <c r="C4" s="21"/>
      <c r="D4" s="21"/>
      <c r="E4" s="8"/>
      <c r="F4" s="8"/>
      <c r="G4" s="8"/>
      <c r="H4" s="8"/>
      <c r="I4" s="8"/>
      <c r="J4" s="8"/>
      <c r="K4" s="8"/>
    </row>
    <row r="5" spans="1:11" ht="16.5">
      <c r="B5" s="8"/>
      <c r="C5" s="8"/>
      <c r="D5" s="8"/>
      <c r="E5" s="8"/>
      <c r="F5" s="8"/>
      <c r="G5" s="8"/>
      <c r="H5" s="8"/>
      <c r="I5" s="22" t="s">
        <v>0</v>
      </c>
      <c r="J5" s="22"/>
      <c r="K5" s="8"/>
    </row>
    <row r="6" spans="1:11" ht="17.25" thickBot="1">
      <c r="B6" s="8"/>
      <c r="C6" s="8"/>
      <c r="D6" s="24"/>
      <c r="E6" s="24"/>
      <c r="F6" s="142"/>
      <c r="H6" s="8"/>
      <c r="I6" s="8"/>
      <c r="J6" s="8"/>
      <c r="K6" s="8"/>
    </row>
    <row r="7" spans="1:11" ht="27" thickBot="1">
      <c r="A7" s="23" t="str">
        <f>+'S&amp;D'!A12</f>
        <v>Railroad Carriers</v>
      </c>
      <c r="C7" s="26"/>
      <c r="D7" s="26"/>
      <c r="E7" s="27" t="s">
        <v>252</v>
      </c>
      <c r="H7" s="8"/>
      <c r="I7" s="8"/>
      <c r="J7" s="8"/>
      <c r="K7" s="8"/>
    </row>
    <row r="8" spans="1:11" ht="21" thickBot="1">
      <c r="B8" s="26"/>
      <c r="C8" s="26"/>
      <c r="D8" s="143"/>
      <c r="E8" s="32" t="s">
        <v>454</v>
      </c>
      <c r="F8" s="142"/>
      <c r="H8" s="8"/>
      <c r="I8" s="8"/>
      <c r="J8" s="8"/>
      <c r="K8" s="8"/>
    </row>
    <row r="9" spans="1:11" ht="20.25">
      <c r="B9" s="26"/>
      <c r="C9" s="26"/>
      <c r="D9" s="26"/>
      <c r="E9" s="30"/>
      <c r="H9" s="8"/>
      <c r="I9" s="8"/>
      <c r="J9" s="8"/>
      <c r="K9" s="8"/>
    </row>
    <row r="10" spans="1:11" ht="21" thickBot="1">
      <c r="A10" s="143"/>
      <c r="B10" s="26"/>
      <c r="I10" s="8"/>
      <c r="J10" s="8"/>
      <c r="K10" s="8"/>
    </row>
    <row r="11" spans="1:11" ht="22.5" customHeight="1" thickBot="1">
      <c r="A11" s="154" t="s">
        <v>247</v>
      </c>
      <c r="B11" s="26"/>
      <c r="I11" s="8"/>
      <c r="J11" s="8"/>
      <c r="K11" s="8"/>
    </row>
    <row r="12" spans="1:11" ht="26.25" customHeight="1" thickBot="1">
      <c r="A12" s="153" t="s">
        <v>0</v>
      </c>
      <c r="B12" s="8"/>
      <c r="C12" s="8"/>
      <c r="D12" s="8"/>
      <c r="E12" s="8"/>
      <c r="F12" s="8"/>
      <c r="G12" s="8"/>
      <c r="H12" s="8"/>
      <c r="I12" s="8"/>
      <c r="J12" s="8"/>
      <c r="K12" s="8"/>
    </row>
    <row r="13" spans="1:11" ht="66.75" customHeight="1" thickBot="1">
      <c r="A13" s="220" t="s">
        <v>269</v>
      </c>
      <c r="B13" s="149" t="s">
        <v>312</v>
      </c>
      <c r="C13" s="149" t="s">
        <v>278</v>
      </c>
      <c r="D13" s="149" t="s">
        <v>277</v>
      </c>
      <c r="I13" s="8"/>
      <c r="J13" s="8"/>
      <c r="K13" s="8"/>
    </row>
    <row r="14" spans="1:11" ht="16.5">
      <c r="A14" s="144"/>
      <c r="B14" s="208"/>
      <c r="C14" s="208"/>
      <c r="D14" s="208"/>
      <c r="I14" s="8"/>
      <c r="J14" s="8"/>
      <c r="K14" s="8"/>
    </row>
    <row r="15" spans="1:11" ht="20.25">
      <c r="A15" s="152" t="str">
        <f>+A7</f>
        <v>Railroad Carriers</v>
      </c>
      <c r="B15" s="231">
        <v>7.1999999999999995E-2</v>
      </c>
      <c r="C15" s="231">
        <f>+'Dividends '!K24</f>
        <v>7.1664579674512327E-2</v>
      </c>
      <c r="D15" s="231">
        <f>+Earnings!K24</f>
        <v>9.2608243623279296E-2</v>
      </c>
      <c r="I15" s="8"/>
      <c r="J15" s="8"/>
      <c r="K15" s="8"/>
    </row>
    <row r="16" spans="1:11" ht="21" thickBot="1">
      <c r="A16" s="146" t="s">
        <v>0</v>
      </c>
      <c r="B16" s="209" t="s">
        <v>0</v>
      </c>
      <c r="C16" s="258">
        <f>+'Dividends '!K25</f>
        <v>7.9966886066046322E-2</v>
      </c>
      <c r="D16" s="258">
        <f>+Earnings!K25</f>
        <v>8.5214394102789554E-2</v>
      </c>
      <c r="I16" s="8"/>
      <c r="J16" s="8"/>
      <c r="K16" s="8"/>
    </row>
    <row r="17" spans="1:11" ht="20.25">
      <c r="A17" s="218"/>
      <c r="B17" s="219"/>
      <c r="I17" s="8"/>
      <c r="J17" s="8"/>
      <c r="K17" s="8"/>
    </row>
    <row r="18" spans="1:11" ht="16.5">
      <c r="A18" s="8"/>
      <c r="B18" s="8"/>
      <c r="C18" s="8"/>
      <c r="D18" s="8"/>
      <c r="E18" s="8"/>
      <c r="F18" s="8"/>
      <c r="G18" s="8"/>
      <c r="H18" s="8"/>
      <c r="I18" s="8"/>
      <c r="J18" s="8"/>
      <c r="K18" s="8"/>
    </row>
    <row r="19" spans="1:11" ht="17.25" thickBot="1">
      <c r="A19" s="8"/>
      <c r="B19" s="8"/>
      <c r="C19" s="8"/>
      <c r="D19" s="8"/>
      <c r="E19" s="8"/>
      <c r="F19" s="8"/>
      <c r="G19" s="8"/>
      <c r="H19" s="8"/>
      <c r="I19" s="8"/>
      <c r="J19" s="8"/>
      <c r="K19" s="8"/>
    </row>
    <row r="20" spans="1:11" ht="21" thickBot="1">
      <c r="A20" s="154" t="s">
        <v>268</v>
      </c>
      <c r="B20" s="26"/>
      <c r="I20" s="8"/>
      <c r="J20" s="8"/>
      <c r="K20" s="8"/>
    </row>
    <row r="21" spans="1:11" ht="18" thickBot="1">
      <c r="A21" s="153" t="s">
        <v>0</v>
      </c>
      <c r="B21" s="8"/>
      <c r="C21" s="8"/>
      <c r="D21" s="8"/>
      <c r="E21" s="8"/>
      <c r="F21" s="8"/>
      <c r="G21" s="8"/>
      <c r="H21" s="8"/>
      <c r="I21" s="8"/>
      <c r="J21" s="8"/>
      <c r="K21" s="8"/>
    </row>
    <row r="22" spans="1:11" ht="64.5" customHeight="1" thickBot="1">
      <c r="A22" s="220" t="s">
        <v>270</v>
      </c>
      <c r="B22" s="149" t="s">
        <v>311</v>
      </c>
      <c r="C22" s="148" t="s">
        <v>228</v>
      </c>
      <c r="D22" s="149" t="s">
        <v>229</v>
      </c>
      <c r="E22" s="149" t="s">
        <v>230</v>
      </c>
      <c r="F22" s="149" t="s">
        <v>312</v>
      </c>
      <c r="G22" s="259" t="s">
        <v>18</v>
      </c>
      <c r="H22" s="259" t="s">
        <v>19</v>
      </c>
      <c r="I22" s="8"/>
      <c r="J22" s="8"/>
      <c r="K22" s="8"/>
    </row>
    <row r="23" spans="1:11" ht="16.5">
      <c r="A23" s="144"/>
      <c r="B23" s="208"/>
      <c r="C23" s="106"/>
      <c r="D23" s="208"/>
      <c r="E23" s="106"/>
      <c r="F23" s="208"/>
      <c r="G23" s="351"/>
      <c r="H23" s="156"/>
      <c r="I23" s="8"/>
      <c r="J23" s="8"/>
      <c r="K23" s="8"/>
    </row>
    <row r="24" spans="1:11" ht="20.25">
      <c r="A24" s="152" t="str">
        <f>+A7</f>
        <v>Railroad Carriers</v>
      </c>
      <c r="B24" s="231">
        <v>0.04</v>
      </c>
      <c r="C24" s="349">
        <v>8.2500000000000004E-2</v>
      </c>
      <c r="D24" s="231">
        <v>8.5000000000000006E-2</v>
      </c>
      <c r="E24" s="349">
        <v>5.2499999999999998E-2</v>
      </c>
      <c r="F24" s="231">
        <v>7.0000000000000007E-2</v>
      </c>
      <c r="G24" s="254">
        <f>MEDIAN(B24:F24)</f>
        <v>7.0000000000000007E-2</v>
      </c>
      <c r="H24" s="254">
        <f t="shared" ref="H24" si="0">AVERAGE(B24:F24)</f>
        <v>6.6000000000000003E-2</v>
      </c>
      <c r="I24" s="8"/>
      <c r="J24" s="8"/>
      <c r="K24" s="8"/>
    </row>
    <row r="25" spans="1:11" ht="21" thickBot="1">
      <c r="A25" s="330" t="s">
        <v>0</v>
      </c>
      <c r="B25" s="209" t="s">
        <v>0</v>
      </c>
      <c r="C25" s="350" t="s">
        <v>0</v>
      </c>
      <c r="D25" s="209" t="s">
        <v>0</v>
      </c>
      <c r="E25" s="350" t="s">
        <v>0</v>
      </c>
      <c r="F25" s="209" t="s">
        <v>0</v>
      </c>
      <c r="G25" s="316"/>
      <c r="H25" s="155"/>
      <c r="I25" s="8"/>
      <c r="J25" s="8"/>
      <c r="K25" s="8"/>
    </row>
    <row r="26" spans="1:11" ht="16.5">
      <c r="A26" s="8"/>
      <c r="B26" s="8"/>
      <c r="C26" s="8"/>
      <c r="D26" s="8"/>
      <c r="E26" s="8"/>
      <c r="F26" s="8"/>
      <c r="G26" s="8"/>
      <c r="H26" s="8"/>
      <c r="I26" s="8"/>
      <c r="J26" s="8"/>
      <c r="K26" s="8"/>
    </row>
    <row r="27" spans="1:11" ht="16.5">
      <c r="A27" s="8"/>
      <c r="B27" s="8"/>
      <c r="C27" s="8"/>
      <c r="D27" s="8"/>
      <c r="E27" s="8"/>
      <c r="F27" s="8"/>
      <c r="G27" s="8"/>
      <c r="H27" s="8"/>
      <c r="I27" s="8"/>
      <c r="J27" s="8"/>
      <c r="K27" s="8"/>
    </row>
    <row r="28" spans="1:11" ht="16.5">
      <c r="A28" s="8"/>
      <c r="B28" s="8" t="s">
        <v>0</v>
      </c>
      <c r="C28" s="8"/>
      <c r="D28" s="8"/>
      <c r="E28" s="8"/>
      <c r="F28" s="8"/>
      <c r="G28" s="8"/>
      <c r="H28" s="8"/>
      <c r="I28" s="8"/>
      <c r="J28" s="8"/>
      <c r="K28" s="8"/>
    </row>
    <row r="29" spans="1:11" ht="17.25" thickBot="1">
      <c r="A29" s="8"/>
      <c r="B29" s="8"/>
      <c r="C29" s="8"/>
      <c r="D29" s="8"/>
      <c r="E29" s="8"/>
      <c r="F29" s="8"/>
      <c r="G29" s="8"/>
      <c r="H29" s="8"/>
      <c r="I29" s="8"/>
      <c r="J29" s="8"/>
      <c r="K29" s="8"/>
    </row>
    <row r="30" spans="1:11" ht="21" thickBot="1">
      <c r="A30" s="154" t="s">
        <v>249</v>
      </c>
      <c r="B30" s="8"/>
      <c r="C30" s="8"/>
      <c r="D30" s="8"/>
      <c r="E30" s="8"/>
      <c r="F30" s="8"/>
      <c r="G30" s="8"/>
      <c r="H30" s="8"/>
      <c r="I30" s="8"/>
      <c r="J30" s="8"/>
      <c r="K30" s="8"/>
    </row>
    <row r="31" spans="1:11" ht="16.5">
      <c r="A31" s="8"/>
      <c r="B31" s="8"/>
      <c r="C31" s="8"/>
      <c r="D31" s="8"/>
      <c r="E31" s="8"/>
      <c r="F31" s="8"/>
      <c r="G31" s="8"/>
      <c r="H31" s="8"/>
      <c r="I31" s="8"/>
      <c r="J31" s="8"/>
      <c r="K31" s="8"/>
    </row>
    <row r="32" spans="1:11" ht="16.5">
      <c r="A32" s="8"/>
      <c r="B32" s="8"/>
      <c r="C32" s="8"/>
      <c r="D32" s="8"/>
      <c r="E32" s="8"/>
      <c r="F32" s="8"/>
      <c r="G32" s="8"/>
      <c r="H32" s="8"/>
      <c r="I32" s="8"/>
      <c r="J32" s="8"/>
      <c r="K32" s="8"/>
    </row>
    <row r="33" spans="1:11" ht="26.25">
      <c r="A33" s="352">
        <v>1.84E-2</v>
      </c>
      <c r="B33" s="26" t="s">
        <v>463</v>
      </c>
      <c r="C33" s="8"/>
      <c r="E33" s="196" t="s">
        <v>0</v>
      </c>
      <c r="F33" s="8"/>
      <c r="G33" s="8"/>
      <c r="H33" s="8"/>
      <c r="I33" s="8"/>
      <c r="J33" s="8"/>
      <c r="K33" s="8"/>
    </row>
    <row r="34" spans="1:11" ht="26.25">
      <c r="A34" s="211"/>
      <c r="B34" s="8" t="s">
        <v>464</v>
      </c>
      <c r="C34" s="8"/>
      <c r="D34" s="8"/>
      <c r="E34" s="8"/>
      <c r="F34" s="8"/>
      <c r="G34" s="8"/>
      <c r="H34" s="8"/>
      <c r="I34" s="8"/>
      <c r="J34" s="8"/>
      <c r="K34" s="8"/>
    </row>
    <row r="35" spans="1:11" ht="26.25">
      <c r="A35" s="211"/>
      <c r="B35" s="421" t="s">
        <v>292</v>
      </c>
      <c r="C35" s="8"/>
      <c r="D35" s="8"/>
      <c r="E35" s="8"/>
      <c r="F35" s="8"/>
      <c r="G35" s="8"/>
      <c r="H35" s="8"/>
      <c r="I35" s="8"/>
      <c r="J35" s="8"/>
      <c r="K35" s="8"/>
    </row>
    <row r="36" spans="1:11" ht="26.25">
      <c r="A36" s="352">
        <v>1.7999999999999999E-2</v>
      </c>
      <c r="B36" s="26" t="s">
        <v>250</v>
      </c>
      <c r="C36" s="8"/>
      <c r="D36" s="8"/>
      <c r="E36" s="8"/>
      <c r="F36" s="8"/>
      <c r="G36" s="8"/>
      <c r="H36" s="8"/>
      <c r="I36" s="8"/>
      <c r="J36" s="8"/>
      <c r="K36" s="8"/>
    </row>
    <row r="37" spans="1:11" ht="26.25">
      <c r="A37" s="210"/>
      <c r="B37" s="8" t="s">
        <v>465</v>
      </c>
      <c r="C37" s="8"/>
      <c r="D37" s="8"/>
      <c r="E37" s="8"/>
      <c r="F37" s="8"/>
      <c r="G37" s="8"/>
      <c r="H37" s="8"/>
      <c r="I37" s="8"/>
      <c r="J37" s="8"/>
      <c r="K37" s="8"/>
    </row>
    <row r="38" spans="1:11" ht="26.25">
      <c r="A38" s="210"/>
      <c r="B38" s="421" t="s">
        <v>466</v>
      </c>
      <c r="C38" s="8"/>
      <c r="D38" s="8"/>
      <c r="E38" s="8"/>
      <c r="F38" s="8"/>
      <c r="G38" s="8"/>
      <c r="H38" s="8"/>
      <c r="I38" s="8"/>
      <c r="J38" s="8"/>
      <c r="K38" s="8"/>
    </row>
    <row r="39" spans="1:11" ht="26.25">
      <c r="A39" s="352" t="s">
        <v>460</v>
      </c>
      <c r="B39" s="26" t="s">
        <v>251</v>
      </c>
      <c r="C39" s="8"/>
      <c r="D39" s="8"/>
      <c r="E39" s="8"/>
      <c r="F39" s="8"/>
      <c r="G39" s="8"/>
      <c r="H39" s="8"/>
      <c r="I39" s="8"/>
      <c r="J39" s="8"/>
      <c r="K39" s="8"/>
    </row>
    <row r="40" spans="1:11" ht="26.25">
      <c r="A40" s="210"/>
      <c r="B40" s="120" t="s">
        <v>467</v>
      </c>
      <c r="C40" s="8"/>
      <c r="D40" s="8"/>
      <c r="E40" s="8"/>
      <c r="F40" s="8"/>
      <c r="G40" s="8"/>
      <c r="H40" s="8"/>
      <c r="I40" s="8"/>
      <c r="J40" s="8"/>
      <c r="K40" s="8"/>
    </row>
    <row r="41" spans="1:11" ht="26.25">
      <c r="A41" s="210"/>
      <c r="B41" s="421" t="s">
        <v>310</v>
      </c>
      <c r="C41" s="8"/>
      <c r="D41" s="8"/>
      <c r="E41" s="8"/>
      <c r="F41" s="8"/>
      <c r="G41" s="8"/>
      <c r="H41" s="8"/>
      <c r="I41" s="8"/>
      <c r="J41" s="8"/>
      <c r="K41" s="8"/>
    </row>
    <row r="42" spans="1:11" ht="26.25">
      <c r="A42" s="400">
        <v>1.9E-2</v>
      </c>
      <c r="B42" s="26" t="s">
        <v>447</v>
      </c>
      <c r="C42" s="8"/>
      <c r="D42" s="8"/>
      <c r="E42" s="8"/>
      <c r="F42" s="8"/>
      <c r="G42" s="8"/>
      <c r="H42" s="8"/>
      <c r="I42" s="8"/>
      <c r="J42" s="8"/>
      <c r="K42" s="8"/>
    </row>
    <row r="43" spans="1:11" ht="26.25">
      <c r="A43" s="210"/>
      <c r="B43" s="8" t="s">
        <v>448</v>
      </c>
      <c r="C43" s="8"/>
      <c r="D43" s="8"/>
      <c r="E43" s="8"/>
      <c r="F43" s="8"/>
      <c r="G43" s="8"/>
      <c r="H43" s="8"/>
      <c r="I43" s="8"/>
      <c r="J43" s="8"/>
      <c r="K43" s="8"/>
    </row>
    <row r="44" spans="1:11" ht="26.25">
      <c r="A44" s="210"/>
      <c r="B44" s="421" t="s">
        <v>309</v>
      </c>
      <c r="C44" s="8"/>
      <c r="D44" s="8"/>
      <c r="E44" s="8"/>
      <c r="F44" s="8"/>
      <c r="G44" s="8"/>
      <c r="H44" s="8"/>
      <c r="I44" s="8"/>
      <c r="J44" s="8"/>
      <c r="K44" s="8"/>
    </row>
    <row r="45" spans="1:11" ht="26.25">
      <c r="A45" s="352"/>
      <c r="B45" s="26"/>
      <c r="C45" s="8"/>
      <c r="D45" s="8"/>
      <c r="E45" s="8"/>
      <c r="F45" s="8"/>
      <c r="G45" s="8"/>
      <c r="H45" s="8"/>
      <c r="I45" s="8"/>
      <c r="J45" s="8"/>
      <c r="K45" s="8"/>
    </row>
    <row r="46" spans="1:11" ht="26.25">
      <c r="A46" s="210" t="s">
        <v>461</v>
      </c>
      <c r="B46" s="407" t="s">
        <v>468</v>
      </c>
      <c r="C46" s="8"/>
      <c r="D46" s="8"/>
      <c r="E46" s="8"/>
      <c r="F46" s="8"/>
      <c r="G46" s="8"/>
      <c r="H46" s="8"/>
      <c r="I46" s="8"/>
      <c r="J46" s="8"/>
      <c r="K46" s="8"/>
    </row>
    <row r="47" spans="1:11" ht="26.25">
      <c r="A47" s="210" t="s">
        <v>462</v>
      </c>
      <c r="B47" s="421" t="s">
        <v>469</v>
      </c>
      <c r="C47" s="8"/>
      <c r="D47" s="8"/>
      <c r="E47" s="8"/>
      <c r="F47" s="8"/>
      <c r="G47" s="8"/>
      <c r="H47" s="8"/>
      <c r="I47" s="8"/>
      <c r="J47" s="8"/>
      <c r="K47" s="8"/>
    </row>
    <row r="48" spans="1:11" ht="26.25">
      <c r="A48" s="210" t="s">
        <v>0</v>
      </c>
      <c r="C48" s="8"/>
      <c r="D48" s="8"/>
      <c r="E48" s="8"/>
      <c r="F48" s="8"/>
      <c r="G48" s="8"/>
      <c r="H48" s="8"/>
      <c r="I48" s="8"/>
      <c r="J48" s="8"/>
      <c r="K48" s="8"/>
    </row>
    <row r="49" spans="1:11" ht="20.25">
      <c r="A49" s="401" t="s">
        <v>262</v>
      </c>
      <c r="C49" s="8"/>
      <c r="D49" s="8"/>
      <c r="E49" s="8"/>
      <c r="F49" s="8"/>
      <c r="G49" s="8"/>
      <c r="H49" s="8"/>
      <c r="I49" s="8"/>
      <c r="J49" s="8"/>
      <c r="K49" s="8"/>
    </row>
    <row r="50" spans="1:11" ht="20.25">
      <c r="A50" s="26" t="s">
        <v>263</v>
      </c>
      <c r="B50" s="8"/>
      <c r="C50" s="8"/>
      <c r="D50" s="8"/>
      <c r="E50" s="8"/>
      <c r="H50" s="8"/>
      <c r="I50" s="8"/>
      <c r="J50" s="8"/>
      <c r="K50" s="8"/>
    </row>
    <row r="51" spans="1:11" ht="16.5">
      <c r="A51" s="421" t="s">
        <v>264</v>
      </c>
      <c r="B51" s="8"/>
      <c r="C51" s="8"/>
      <c r="D51" s="8"/>
      <c r="E51" s="8"/>
      <c r="F51" s="8"/>
      <c r="I51" s="8"/>
      <c r="J51" s="8"/>
      <c r="K51" s="8"/>
    </row>
    <row r="52" spans="1:11" ht="16.5">
      <c r="A52" s="421"/>
      <c r="B52" s="8"/>
      <c r="C52" s="8"/>
      <c r="D52" s="8"/>
      <c r="E52" s="8"/>
      <c r="F52" s="8"/>
      <c r="I52" s="8"/>
      <c r="J52" s="8"/>
      <c r="K52" s="8"/>
    </row>
    <row r="53" spans="1:11" ht="16.5">
      <c r="A53" s="8"/>
      <c r="B53" s="8"/>
      <c r="C53" s="8"/>
      <c r="D53" s="8"/>
      <c r="E53" s="8"/>
      <c r="F53" s="8"/>
      <c r="I53" s="8"/>
      <c r="J53" s="8"/>
      <c r="K53" s="8"/>
    </row>
    <row r="54" spans="1:11" ht="17.25" thickBot="1">
      <c r="A54" s="8"/>
      <c r="B54" s="8"/>
      <c r="C54" s="8"/>
      <c r="D54" s="8"/>
      <c r="E54" s="8"/>
      <c r="F54" s="8"/>
      <c r="I54" s="8"/>
      <c r="J54" s="8"/>
      <c r="K54" s="8"/>
    </row>
    <row r="55" spans="1:11" ht="21" thickBot="1">
      <c r="A55" s="154" t="s">
        <v>248</v>
      </c>
      <c r="B55" s="39" t="s">
        <v>398</v>
      </c>
      <c r="C55" s="8"/>
      <c r="D55" s="8"/>
      <c r="E55" s="8"/>
      <c r="F55" s="8"/>
      <c r="I55" s="418" t="s">
        <v>499</v>
      </c>
      <c r="K55" s="8"/>
    </row>
    <row r="56" spans="1:11" ht="16.5">
      <c r="A56" s="8"/>
      <c r="B56" s="8"/>
      <c r="C56" s="8"/>
      <c r="D56" s="8"/>
      <c r="E56" s="8"/>
      <c r="F56" s="8"/>
      <c r="G56" s="408" t="s">
        <v>473</v>
      </c>
      <c r="H56" s="409" t="s">
        <v>474</v>
      </c>
      <c r="I56" s="419">
        <v>1.76</v>
      </c>
      <c r="K56" s="8"/>
    </row>
    <row r="57" spans="1:11" ht="26.25">
      <c r="A57" s="352">
        <v>2.2100000000000002E-2</v>
      </c>
      <c r="B57" s="26" t="s">
        <v>399</v>
      </c>
      <c r="C57" s="8"/>
      <c r="E57" s="8"/>
      <c r="G57" s="410" t="s">
        <v>475</v>
      </c>
      <c r="H57" s="411" t="s">
        <v>476</v>
      </c>
      <c r="I57" s="419">
        <v>1.74</v>
      </c>
      <c r="K57" s="8"/>
    </row>
    <row r="58" spans="1:11" ht="26.25">
      <c r="A58" s="352">
        <v>2.41E-2</v>
      </c>
      <c r="B58" s="26" t="s">
        <v>400</v>
      </c>
      <c r="C58" s="8"/>
      <c r="E58" s="8"/>
      <c r="G58" s="410" t="s">
        <v>477</v>
      </c>
      <c r="H58" s="411" t="s">
        <v>478</v>
      </c>
      <c r="I58" s="419">
        <v>1.84</v>
      </c>
      <c r="K58" s="8"/>
    </row>
    <row r="59" spans="1:11" ht="26.25">
      <c r="A59" s="352">
        <v>2.1700000000000001E-2</v>
      </c>
      <c r="B59" s="26" t="s">
        <v>401</v>
      </c>
      <c r="C59" s="8"/>
      <c r="D59" s="8"/>
      <c r="E59" s="8"/>
      <c r="G59" s="412" t="s">
        <v>479</v>
      </c>
      <c r="H59" s="413" t="s">
        <v>480</v>
      </c>
      <c r="I59" s="420">
        <v>1.91</v>
      </c>
      <c r="K59" s="8"/>
    </row>
    <row r="60" spans="1:11" ht="15" customHeight="1">
      <c r="A60" s="352"/>
      <c r="B60" s="26"/>
      <c r="C60" s="8"/>
      <c r="D60" s="8"/>
      <c r="E60" s="8"/>
      <c r="G60" s="10"/>
      <c r="H60" s="402"/>
      <c r="I60" s="8"/>
      <c r="J60" s="8"/>
      <c r="K60" s="8"/>
    </row>
    <row r="61" spans="1:11" ht="20.25">
      <c r="A61" s="354" t="s">
        <v>449</v>
      </c>
      <c r="B61" s="26"/>
      <c r="C61" s="8"/>
      <c r="D61" s="8"/>
      <c r="E61" s="8"/>
      <c r="F61" s="331"/>
      <c r="G61" s="81"/>
      <c r="H61" s="8"/>
      <c r="I61" s="8"/>
      <c r="J61" s="8"/>
      <c r="K61" s="8"/>
    </row>
    <row r="62" spans="1:11" ht="26.25">
      <c r="A62" s="352"/>
      <c r="B62" s="26"/>
      <c r="C62" s="8"/>
      <c r="D62" s="8"/>
      <c r="E62" s="8"/>
      <c r="F62" s="331"/>
      <c r="G62" s="81"/>
      <c r="H62" s="8"/>
      <c r="I62" s="8"/>
      <c r="J62" s="8"/>
      <c r="K62" s="8"/>
    </row>
    <row r="63" spans="1:11" ht="26.25">
      <c r="A63" s="352">
        <v>2.3E-2</v>
      </c>
      <c r="B63" s="26" t="s">
        <v>470</v>
      </c>
      <c r="C63" s="8"/>
      <c r="D63" s="8"/>
      <c r="E63" s="8"/>
      <c r="F63" s="8"/>
      <c r="G63" s="8"/>
      <c r="H63" s="8"/>
      <c r="I63" s="8"/>
      <c r="J63" s="8"/>
      <c r="K63" s="8"/>
    </row>
    <row r="64" spans="1:11" ht="26.25">
      <c r="A64" s="352">
        <v>2.2599999999999999E-2</v>
      </c>
      <c r="B64" s="26" t="s">
        <v>471</v>
      </c>
      <c r="C64" s="8"/>
      <c r="D64" s="8"/>
      <c r="E64" s="8"/>
      <c r="F64" s="8"/>
      <c r="G64" s="8"/>
      <c r="H64" s="8"/>
      <c r="I64" s="8"/>
      <c r="J64" s="8"/>
      <c r="K64" s="8"/>
    </row>
    <row r="65" spans="1:11" ht="26.25">
      <c r="A65" s="352">
        <v>2.24E-2</v>
      </c>
      <c r="B65" s="26" t="s">
        <v>256</v>
      </c>
      <c r="C65" s="8"/>
      <c r="D65" s="8"/>
      <c r="E65" s="8"/>
      <c r="F65" s="8"/>
      <c r="G65" s="8"/>
      <c r="H65" s="8"/>
      <c r="I65" s="8"/>
      <c r="J65" s="8"/>
      <c r="K65" s="8"/>
    </row>
    <row r="66" spans="1:11" ht="26.25">
      <c r="A66" s="352">
        <v>2.1999999999999999E-2</v>
      </c>
      <c r="B66" s="26" t="s">
        <v>472</v>
      </c>
      <c r="C66" s="8"/>
      <c r="D66" s="8"/>
      <c r="E66" s="8"/>
      <c r="F66" s="8"/>
      <c r="G66" s="8"/>
      <c r="H66" s="8"/>
      <c r="I66" s="8"/>
      <c r="J66" s="8"/>
      <c r="K66" s="8"/>
    </row>
    <row r="67" spans="1:11" ht="27" customHeight="1">
      <c r="A67" s="352">
        <v>0.02</v>
      </c>
      <c r="B67" s="26" t="s">
        <v>254</v>
      </c>
      <c r="C67" s="8"/>
      <c r="D67" s="8"/>
      <c r="E67" s="8"/>
      <c r="F67" s="8"/>
      <c r="G67" s="8"/>
      <c r="H67" s="8"/>
      <c r="I67" s="8"/>
      <c r="J67" s="8"/>
      <c r="K67" s="8"/>
    </row>
    <row r="68" spans="1:11" ht="16.5">
      <c r="B68" s="8" t="s">
        <v>0</v>
      </c>
      <c r="C68" s="8"/>
      <c r="D68" s="8"/>
      <c r="E68" s="8"/>
      <c r="F68" s="8"/>
      <c r="G68" s="8"/>
      <c r="H68" s="8"/>
      <c r="I68" s="8"/>
      <c r="J68" s="8"/>
      <c r="K68" s="8"/>
    </row>
    <row r="69" spans="1:11" ht="16.5">
      <c r="A69" s="8"/>
      <c r="B69" s="8"/>
      <c r="C69" s="8"/>
      <c r="D69" s="8"/>
      <c r="E69" s="8"/>
      <c r="F69" s="8"/>
      <c r="G69" s="8"/>
      <c r="H69" s="8"/>
      <c r="I69" s="8"/>
      <c r="J69" s="8"/>
      <c r="K69" s="8"/>
    </row>
    <row r="70" spans="1:11" ht="17.25" thickBot="1">
      <c r="B70" s="8"/>
      <c r="C70" s="8"/>
      <c r="D70" s="24"/>
      <c r="E70" s="24"/>
      <c r="F70" s="24"/>
      <c r="G70" s="8"/>
      <c r="H70" s="8"/>
      <c r="I70" s="8"/>
      <c r="J70" s="8"/>
      <c r="K70" s="8"/>
    </row>
    <row r="71" spans="1:11" ht="26.25">
      <c r="B71" s="26"/>
      <c r="C71" s="26"/>
      <c r="D71" s="8"/>
      <c r="E71" s="27" t="s">
        <v>212</v>
      </c>
      <c r="F71" s="8"/>
      <c r="G71" s="8"/>
      <c r="H71" s="8"/>
      <c r="I71" s="8"/>
      <c r="J71" s="8"/>
      <c r="K71" s="8"/>
    </row>
    <row r="72" spans="1:11" ht="21" thickBot="1">
      <c r="A72" s="142"/>
      <c r="B72" s="26"/>
      <c r="C72" s="26"/>
      <c r="D72" s="24"/>
      <c r="E72" s="32" t="s">
        <v>500</v>
      </c>
      <c r="F72" s="24"/>
      <c r="G72" s="8"/>
      <c r="H72" s="8"/>
      <c r="I72" s="8"/>
      <c r="J72" s="8"/>
      <c r="K72" s="8"/>
    </row>
    <row r="73" spans="1:11" ht="21" thickBot="1">
      <c r="A73" s="141" t="s">
        <v>213</v>
      </c>
      <c r="B73" s="26"/>
      <c r="C73" s="26"/>
      <c r="D73" s="30"/>
      <c r="E73" s="140"/>
      <c r="F73" s="8"/>
      <c r="G73" s="8"/>
      <c r="H73" s="8"/>
      <c r="I73" s="8"/>
    </row>
    <row r="74" spans="1:11" ht="16.5">
      <c r="A74" s="34" t="s">
        <v>0</v>
      </c>
      <c r="B74" s="34"/>
      <c r="C74" s="34"/>
      <c r="D74" s="36" t="s">
        <v>0</v>
      </c>
      <c r="E74" s="36" t="s">
        <v>0</v>
      </c>
      <c r="F74" s="36" t="s">
        <v>0</v>
      </c>
      <c r="G74" s="36"/>
      <c r="H74" s="8"/>
      <c r="I74" s="8"/>
    </row>
    <row r="75" spans="1:11" ht="16.5">
      <c r="A75" s="30" t="s">
        <v>0</v>
      </c>
      <c r="B75" s="30"/>
      <c r="C75" s="30"/>
      <c r="D75" s="174" t="s">
        <v>78</v>
      </c>
      <c r="E75" s="174" t="s">
        <v>253</v>
      </c>
      <c r="F75" s="174" t="s">
        <v>127</v>
      </c>
      <c r="G75" s="255"/>
      <c r="H75" s="8"/>
      <c r="I75" s="8"/>
    </row>
    <row r="76" spans="1:11" ht="16.5">
      <c r="A76" s="117" t="s">
        <v>125</v>
      </c>
      <c r="B76" s="117"/>
      <c r="C76" s="117"/>
      <c r="D76" s="175" t="s">
        <v>80</v>
      </c>
      <c r="E76" s="175" t="s">
        <v>126</v>
      </c>
      <c r="F76" s="175" t="s">
        <v>128</v>
      </c>
      <c r="G76" s="255"/>
      <c r="H76" s="8"/>
      <c r="I76" s="8"/>
    </row>
    <row r="79" spans="1:11" ht="17.25">
      <c r="A79" s="157" t="s">
        <v>257</v>
      </c>
      <c r="B79" s="158"/>
      <c r="C79" s="204"/>
      <c r="D79" s="166">
        <f>+A57</f>
        <v>2.2100000000000002E-2</v>
      </c>
      <c r="E79" s="166">
        <v>1.7399999999999999E-2</v>
      </c>
      <c r="F79" s="159">
        <f t="shared" ref="F79:F86" si="1">+D79+E79</f>
        <v>3.95E-2</v>
      </c>
      <c r="G79" s="256"/>
      <c r="H79" s="8"/>
      <c r="I79" s="8"/>
    </row>
    <row r="80" spans="1:11" ht="17.25">
      <c r="A80" s="160" t="s">
        <v>258</v>
      </c>
      <c r="B80" s="58"/>
      <c r="C80" s="205"/>
      <c r="D80" s="353">
        <f>+A58</f>
        <v>2.41E-2</v>
      </c>
      <c r="E80" s="353">
        <v>1.84E-2</v>
      </c>
      <c r="F80" s="161">
        <f t="shared" si="1"/>
        <v>4.2499999999999996E-2</v>
      </c>
      <c r="G80" s="256"/>
      <c r="H80" s="8"/>
      <c r="I80" s="8"/>
    </row>
    <row r="81" spans="1:9" ht="17.25">
      <c r="A81" s="162" t="s">
        <v>259</v>
      </c>
      <c r="B81" s="163"/>
      <c r="C81" s="206"/>
      <c r="D81" s="167">
        <f>+A59</f>
        <v>2.1700000000000001E-2</v>
      </c>
      <c r="E81" s="167">
        <v>1.9099999999999999E-2</v>
      </c>
      <c r="F81" s="164">
        <f t="shared" si="1"/>
        <v>4.0800000000000003E-2</v>
      </c>
      <c r="G81" s="256"/>
      <c r="H81" s="8"/>
      <c r="I81" s="8"/>
    </row>
    <row r="82" spans="1:9" ht="17.25">
      <c r="A82" s="160" t="s">
        <v>260</v>
      </c>
      <c r="B82" s="58"/>
      <c r="C82" s="205"/>
      <c r="D82" s="353">
        <f t="shared" ref="D82:D84" si="2">+A63</f>
        <v>2.3E-2</v>
      </c>
      <c r="E82" s="353">
        <v>0.02</v>
      </c>
      <c r="F82" s="161">
        <f t="shared" si="1"/>
        <v>4.2999999999999997E-2</v>
      </c>
      <c r="G82" s="256"/>
      <c r="H82" s="8"/>
      <c r="I82" s="8"/>
    </row>
    <row r="83" spans="1:9" ht="17.25">
      <c r="A83" s="160" t="s">
        <v>261</v>
      </c>
      <c r="B83" s="58"/>
      <c r="C83" s="205"/>
      <c r="D83" s="353">
        <f t="shared" si="2"/>
        <v>2.2599999999999999E-2</v>
      </c>
      <c r="E83" s="353">
        <v>1.9E-2</v>
      </c>
      <c r="F83" s="161">
        <f t="shared" si="1"/>
        <v>4.1599999999999998E-2</v>
      </c>
      <c r="G83" s="256"/>
      <c r="H83" s="8"/>
      <c r="I83" s="8"/>
    </row>
    <row r="84" spans="1:9" ht="17.25">
      <c r="A84" s="160" t="s">
        <v>413</v>
      </c>
      <c r="B84" s="58"/>
      <c r="C84" s="205"/>
      <c r="D84" s="353">
        <f t="shared" si="2"/>
        <v>2.24E-2</v>
      </c>
      <c r="E84" s="353">
        <v>0.02</v>
      </c>
      <c r="F84" s="161">
        <f t="shared" si="1"/>
        <v>4.24E-2</v>
      </c>
      <c r="G84" s="256"/>
      <c r="H84" s="8"/>
      <c r="I84" s="8"/>
    </row>
    <row r="85" spans="1:9" ht="17.25">
      <c r="A85" s="160" t="s">
        <v>450</v>
      </c>
      <c r="B85" s="58"/>
      <c r="C85" s="205"/>
      <c r="D85" s="353">
        <f>+A66</f>
        <v>2.1999999999999999E-2</v>
      </c>
      <c r="E85" s="353">
        <v>1.9E-2</v>
      </c>
      <c r="F85" s="161">
        <f t="shared" si="1"/>
        <v>4.0999999999999995E-2</v>
      </c>
      <c r="G85" s="256"/>
      <c r="H85" s="8"/>
      <c r="I85" s="8"/>
    </row>
    <row r="86" spans="1:9" ht="17.25">
      <c r="A86" s="162" t="s">
        <v>255</v>
      </c>
      <c r="B86" s="163"/>
      <c r="C86" s="206"/>
      <c r="D86" s="167">
        <f>+A67</f>
        <v>0.02</v>
      </c>
      <c r="E86" s="167">
        <v>1.7999999999999999E-2</v>
      </c>
      <c r="F86" s="164">
        <f t="shared" si="1"/>
        <v>3.7999999999999999E-2</v>
      </c>
      <c r="G86" s="256"/>
      <c r="H86" s="8"/>
      <c r="I86" s="8"/>
    </row>
    <row r="87" spans="1:9" ht="17.25">
      <c r="A87" s="100"/>
      <c r="B87" s="112"/>
      <c r="C87" s="112" t="s">
        <v>46</v>
      </c>
      <c r="D87" s="165">
        <f>MAX(D79:D86)</f>
        <v>2.41E-2</v>
      </c>
      <c r="E87" s="165">
        <f t="shared" ref="E87:F87" si="3">MAX(E79:E86)</f>
        <v>0.02</v>
      </c>
      <c r="F87" s="165">
        <f t="shared" si="3"/>
        <v>4.2999999999999997E-2</v>
      </c>
      <c r="G87" s="257"/>
      <c r="H87" s="8"/>
      <c r="I87" s="8"/>
    </row>
    <row r="88" spans="1:9" ht="17.25">
      <c r="A88" s="100"/>
      <c r="B88" s="112"/>
      <c r="C88" s="112" t="s">
        <v>47</v>
      </c>
      <c r="D88" s="165">
        <f>MIN(D79:D86)</f>
        <v>0.02</v>
      </c>
      <c r="E88" s="165">
        <f t="shared" ref="E88:F88" si="4">MIN(E79:E86)</f>
        <v>1.7399999999999999E-2</v>
      </c>
      <c r="F88" s="217">
        <f t="shared" si="4"/>
        <v>3.7999999999999999E-2</v>
      </c>
      <c r="G88" s="257"/>
      <c r="H88" s="8"/>
      <c r="I88" s="8"/>
    </row>
    <row r="89" spans="1:9" ht="17.25">
      <c r="A89" s="100"/>
      <c r="B89" s="112"/>
      <c r="C89" s="112" t="s">
        <v>18</v>
      </c>
      <c r="D89" s="166">
        <f>MEDIAN(D79:D86)</f>
        <v>2.2249999999999999E-2</v>
      </c>
      <c r="E89" s="166">
        <f>MEDIAN(E79:E86)</f>
        <v>1.9E-2</v>
      </c>
      <c r="F89" s="161">
        <f t="shared" ref="F89:F90" si="5">+D89+E89</f>
        <v>4.1249999999999995E-2</v>
      </c>
      <c r="G89" s="256"/>
      <c r="H89" s="8"/>
      <c r="I89" s="8"/>
    </row>
    <row r="90" spans="1:9" ht="17.25">
      <c r="A90" s="100"/>
      <c r="B90" s="112"/>
      <c r="C90" s="112" t="s">
        <v>19</v>
      </c>
      <c r="D90" s="167">
        <f>AVERAGE(D79:D86)</f>
        <v>2.2237499999999997E-2</v>
      </c>
      <c r="E90" s="167">
        <f>AVERAGE(E79:E86)</f>
        <v>1.8862499999999997E-2</v>
      </c>
      <c r="F90" s="164">
        <f t="shared" si="5"/>
        <v>4.1099999999999998E-2</v>
      </c>
      <c r="G90" s="256"/>
      <c r="H90" s="8"/>
      <c r="I90" s="8"/>
    </row>
    <row r="91" spans="1:9" ht="18.75" customHeight="1">
      <c r="A91" s="8"/>
      <c r="B91" s="10"/>
    </row>
    <row r="92" spans="1:9" ht="17.25" thickBot="1">
      <c r="A92" s="8"/>
      <c r="B92" s="10"/>
    </row>
    <row r="93" spans="1:9" ht="27" thickBot="1">
      <c r="A93" s="8"/>
      <c r="B93" s="118"/>
      <c r="C93" s="45" t="s">
        <v>214</v>
      </c>
      <c r="D93" s="414">
        <v>2.2200000000000001E-2</v>
      </c>
      <c r="E93" s="414">
        <v>1.89E-2</v>
      </c>
      <c r="F93" s="355">
        <f>+D93+E93</f>
        <v>4.1099999999999998E-2</v>
      </c>
    </row>
    <row r="94" spans="1:9" ht="16.5">
      <c r="A94" s="8"/>
      <c r="B94" s="8"/>
      <c r="C94" s="8"/>
      <c r="D94" s="8"/>
      <c r="E94" s="8"/>
      <c r="F94" s="8"/>
      <c r="G94" s="8"/>
      <c r="I94" s="8"/>
    </row>
    <row r="95" spans="1:9" ht="16.5" customHeight="1">
      <c r="A95" s="8"/>
      <c r="B95" s="8"/>
      <c r="C95" s="8"/>
      <c r="D95" s="8"/>
      <c r="E95" s="8"/>
      <c r="F95" s="8"/>
      <c r="G95" s="8"/>
      <c r="I95" s="8" t="s">
        <v>0</v>
      </c>
    </row>
    <row r="96" spans="1:9" ht="16.5">
      <c r="A96" s="119" t="s">
        <v>148</v>
      </c>
      <c r="B96" s="120"/>
      <c r="C96" s="120"/>
      <c r="D96" s="120"/>
      <c r="E96" s="121"/>
      <c r="F96" s="120"/>
      <c r="G96" s="120"/>
      <c r="H96" s="120"/>
      <c r="I96" s="8"/>
    </row>
    <row r="97" spans="1:9" ht="16.5" customHeight="1">
      <c r="A97" s="469" t="s">
        <v>481</v>
      </c>
      <c r="B97" s="469"/>
      <c r="C97" s="469"/>
      <c r="D97" s="469"/>
      <c r="E97" s="469"/>
      <c r="F97" s="469"/>
      <c r="G97" s="469"/>
      <c r="H97" s="469"/>
      <c r="I97" s="8"/>
    </row>
    <row r="98" spans="1:9" ht="16.5">
      <c r="A98" s="421" t="s">
        <v>377</v>
      </c>
      <c r="B98" s="120"/>
      <c r="C98" s="421" t="s">
        <v>0</v>
      </c>
      <c r="D98" s="120"/>
      <c r="E98" s="121"/>
      <c r="F98" s="120"/>
      <c r="G98" s="120"/>
      <c r="H98" s="120"/>
      <c r="I98" s="8"/>
    </row>
    <row r="99" spans="1:9" ht="16.5">
      <c r="A99" s="119"/>
      <c r="B99" s="120"/>
      <c r="C99" s="120"/>
      <c r="D99" s="120"/>
      <c r="E99" s="121"/>
      <c r="F99" s="120"/>
      <c r="G99" s="120"/>
      <c r="H99" s="120"/>
      <c r="I99" s="8"/>
    </row>
    <row r="100" spans="1:9" ht="16.5" customHeight="1">
      <c r="A100" s="469" t="s">
        <v>482</v>
      </c>
      <c r="B100" s="469"/>
      <c r="C100" s="469"/>
      <c r="D100" s="469"/>
      <c r="E100" s="469"/>
      <c r="F100" s="469"/>
      <c r="G100" s="469"/>
      <c r="H100" s="469"/>
      <c r="I100" s="8"/>
    </row>
    <row r="101" spans="1:9" ht="16.5">
      <c r="A101" s="122" t="s">
        <v>149</v>
      </c>
      <c r="B101" s="123"/>
      <c r="C101" s="123" t="s">
        <v>0</v>
      </c>
      <c r="D101" s="123"/>
      <c r="E101" s="123"/>
      <c r="F101" s="123"/>
      <c r="G101" s="123"/>
      <c r="H101" s="120"/>
      <c r="I101" s="8"/>
    </row>
    <row r="102" spans="1:9" ht="16.5">
      <c r="A102" s="122"/>
      <c r="B102" s="123"/>
      <c r="C102" s="123"/>
      <c r="D102" s="123"/>
      <c r="E102" s="123"/>
      <c r="F102" s="123"/>
      <c r="G102" s="123"/>
      <c r="H102" s="120"/>
      <c r="I102" s="8"/>
    </row>
    <row r="103" spans="1:9" ht="16.5" customHeight="1">
      <c r="A103" s="469" t="s">
        <v>483</v>
      </c>
      <c r="B103" s="469"/>
      <c r="C103" s="469"/>
      <c r="D103" s="469"/>
      <c r="E103" s="469"/>
      <c r="F103" s="469"/>
      <c r="G103" s="469"/>
      <c r="H103" s="469"/>
      <c r="I103" s="8"/>
    </row>
    <row r="104" spans="1:9" ht="16.5">
      <c r="A104" s="122" t="s">
        <v>149</v>
      </c>
      <c r="B104" s="123"/>
      <c r="C104" s="123" t="s">
        <v>0</v>
      </c>
      <c r="D104" s="123"/>
      <c r="E104" s="123"/>
      <c r="F104" s="123"/>
      <c r="G104" s="123"/>
      <c r="H104" s="120"/>
      <c r="I104" s="8"/>
    </row>
    <row r="105" spans="1:9" ht="16.5">
      <c r="A105" s="122"/>
      <c r="B105" s="123"/>
      <c r="C105" s="123"/>
      <c r="D105" s="123"/>
      <c r="E105" s="123"/>
      <c r="F105" s="123"/>
      <c r="G105" s="123"/>
      <c r="H105" s="120"/>
      <c r="I105" s="8"/>
    </row>
    <row r="106" spans="1:9" ht="16.5" customHeight="1">
      <c r="A106" s="469" t="s">
        <v>484</v>
      </c>
      <c r="B106" s="469"/>
      <c r="C106" s="469"/>
      <c r="D106" s="469"/>
      <c r="E106" s="469"/>
      <c r="F106" s="469"/>
      <c r="G106" s="469"/>
      <c r="H106" s="469"/>
      <c r="I106" s="8"/>
    </row>
    <row r="107" spans="1:9" ht="16.5">
      <c r="A107" s="422" t="s">
        <v>150</v>
      </c>
      <c r="B107" s="123"/>
      <c r="C107" s="123"/>
      <c r="D107" s="8"/>
      <c r="E107" s="123"/>
      <c r="F107" s="123"/>
      <c r="G107" s="123"/>
      <c r="H107" s="120"/>
      <c r="I107" s="8"/>
    </row>
    <row r="108" spans="1:9" ht="16.5">
      <c r="A108" s="421" t="s">
        <v>485</v>
      </c>
      <c r="B108" s="123"/>
      <c r="C108" s="123"/>
      <c r="D108" s="123"/>
      <c r="E108" s="123"/>
      <c r="F108" s="123"/>
      <c r="G108" s="123"/>
      <c r="H108" s="120"/>
      <c r="I108" s="8"/>
    </row>
    <row r="109" spans="1:9" ht="16.5">
      <c r="A109" s="421"/>
      <c r="B109" s="123"/>
      <c r="C109" s="123"/>
      <c r="D109" s="123"/>
      <c r="E109" s="123"/>
      <c r="F109" s="123"/>
      <c r="G109" s="123"/>
      <c r="H109" s="120"/>
      <c r="I109" s="8"/>
    </row>
    <row r="110" spans="1:9" ht="16.5">
      <c r="A110" s="124" t="s">
        <v>486</v>
      </c>
      <c r="B110" s="124"/>
      <c r="C110" s="124"/>
      <c r="D110" s="124"/>
      <c r="E110" s="124"/>
      <c r="F110" s="124"/>
      <c r="G110" s="124"/>
      <c r="H110" s="120"/>
      <c r="I110" s="8"/>
    </row>
    <row r="111" spans="1:9" ht="16.5">
      <c r="A111" s="422" t="s">
        <v>151</v>
      </c>
      <c r="B111" s="123"/>
      <c r="C111" s="8"/>
      <c r="D111" s="123"/>
      <c r="E111" s="8"/>
      <c r="F111" s="123"/>
      <c r="G111" s="123"/>
      <c r="H111" s="120"/>
      <c r="I111" s="8"/>
    </row>
    <row r="112" spans="1:9" ht="16.5">
      <c r="A112" s="421" t="s">
        <v>451</v>
      </c>
      <c r="B112" s="123"/>
      <c r="C112" s="421"/>
      <c r="D112" s="123"/>
      <c r="E112" s="8"/>
      <c r="F112" s="123"/>
      <c r="G112" s="123"/>
      <c r="H112" s="120"/>
      <c r="I112" s="8"/>
    </row>
    <row r="113" spans="1:8" ht="16.5">
      <c r="A113" s="423" t="s">
        <v>487</v>
      </c>
      <c r="B113" s="421" t="s">
        <v>469</v>
      </c>
      <c r="C113" s="125"/>
      <c r="D113" s="125"/>
      <c r="E113" s="125"/>
      <c r="F113" s="125"/>
      <c r="G113" s="125"/>
      <c r="H113" s="126"/>
    </row>
    <row r="114" spans="1:8" ht="16.5">
      <c r="A114" s="8"/>
      <c r="B114" s="421"/>
      <c r="C114" s="125"/>
      <c r="D114" s="125"/>
      <c r="E114" s="125"/>
      <c r="F114" s="125"/>
      <c r="G114" s="125"/>
      <c r="H114" s="126"/>
    </row>
    <row r="115" spans="1:8" ht="16.5">
      <c r="A115" s="124" t="s">
        <v>488</v>
      </c>
      <c r="B115" s="8"/>
      <c r="C115" s="8"/>
      <c r="D115" s="8"/>
      <c r="E115" s="8"/>
      <c r="F115" s="8"/>
      <c r="G115" s="8"/>
      <c r="H115" s="8"/>
    </row>
    <row r="116" spans="1:8" ht="16.5">
      <c r="A116" s="421" t="s">
        <v>466</v>
      </c>
      <c r="B116" s="8"/>
      <c r="C116" s="421" t="s">
        <v>0</v>
      </c>
      <c r="D116" s="8"/>
      <c r="E116" s="8"/>
      <c r="F116" s="8"/>
      <c r="G116" s="8"/>
      <c r="H116" s="8"/>
    </row>
    <row r="117" spans="1:8" ht="16.5">
      <c r="A117" s="8"/>
      <c r="B117" s="8"/>
      <c r="C117" s="8"/>
      <c r="D117" s="8"/>
      <c r="E117" s="8"/>
      <c r="F117" s="8"/>
      <c r="G117" s="8"/>
      <c r="H117" s="8"/>
    </row>
  </sheetData>
  <mergeCells count="4">
    <mergeCell ref="A97:H97"/>
    <mergeCell ref="A100:H100"/>
    <mergeCell ref="A103:H103"/>
    <mergeCell ref="A106:H106"/>
  </mergeCells>
  <hyperlinks>
    <hyperlink ref="A51" r:id="rId1" xr:uid="{F50F6DCD-72D5-4EE0-B113-5EB1AB8F6644}"/>
    <hyperlink ref="B35" r:id="rId2" xr:uid="{C89D9993-C906-4A4E-9F17-1FCA720F9C77}"/>
    <hyperlink ref="B41" r:id="rId3" xr:uid="{47924FCE-FAA6-43F7-B32F-E9D4ED7DD8DA}"/>
    <hyperlink ref="B47" r:id="rId4" xr:uid="{7B6E1370-4FD1-464A-AB02-A5BA46383562}"/>
    <hyperlink ref="A101" r:id="rId5" xr:uid="{7A2C24A4-B158-494A-8FD9-3076FC65F0BD}"/>
    <hyperlink ref="A111" r:id="rId6" location="4" xr:uid="{97E71468-E78B-4264-9BC9-5838A69EF85F}"/>
    <hyperlink ref="A107" r:id="rId7" xr:uid="{15CC9401-5DCE-4DC1-BB0F-8098EE99C719}"/>
    <hyperlink ref="A104" r:id="rId8" xr:uid="{45EA9CD3-299D-4439-B675-E051D69E9E2B}"/>
    <hyperlink ref="A98" r:id="rId9" xr:uid="{418CDE4D-701F-4AB9-B7FB-45AC5CE6A1A3}"/>
    <hyperlink ref="C98" r:id="rId10" display="https://www.federalreserve.gov/datadownload/Preview.aspx?pi=400&amp;rel=H15&amp;preview=%20H15/H15/RIFLGFCY05_N.WF" xr:uid="{3D7B346E-7210-4788-9A61-7B692FD4CBE4}"/>
    <hyperlink ref="A112" r:id="rId11" xr:uid="{D3E96355-B5EC-4EAD-B535-E67EA54EBD63}"/>
    <hyperlink ref="C116" r:id="rId12" display="https://www.federalreserve.gov/monetarypolicy/files/fomcprojtabl20231213.pdf" xr:uid="{FC5B0E69-B835-443F-B3DB-CC35674AB9F3}"/>
    <hyperlink ref="A116" r:id="rId13" xr:uid="{3D8A1DB8-2C81-45BC-91EC-1872CEE9D6CA}"/>
    <hyperlink ref="A108" r:id="rId14" display="https://www.philadelphiafed.org/-/media/frbp/assets/surveys-and-data/survey-of-professional-forecasters/2024/spfq124.pdf" xr:uid="{4407E360-85B7-4250-B987-92853171FC1B}"/>
    <hyperlink ref="B113" r:id="rId15" xr:uid="{AE1296D7-20C7-4E19-87CC-5D08C5760084}"/>
  </hyperlinks>
  <pageMargins left="0.25" right="0.25" top="0.75" bottom="0.75" header="0.3" footer="0.3"/>
  <pageSetup scale="27" fitToWidth="0" orientation="portrait" r:id="rId16"/>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FB3E21-02C8-4DD8-8716-F089613D60AE}">
  <sheetPr>
    <tabColor rgb="FF92D050"/>
    <pageSetUpPr fitToPage="1"/>
  </sheetPr>
  <dimension ref="A1:I105"/>
  <sheetViews>
    <sheetView view="pageBreakPreview" topLeftCell="A11" zoomScale="70" zoomScaleNormal="80" zoomScaleSheetLayoutView="70" workbookViewId="0">
      <selection activeCell="D21" sqref="D21"/>
    </sheetView>
  </sheetViews>
  <sheetFormatPr defaultRowHeight="15"/>
  <cols>
    <col min="1" max="1" width="45.7109375" customWidth="1"/>
    <col min="2" max="2" width="17.85546875" customWidth="1"/>
    <col min="3" max="3" width="72.140625" customWidth="1"/>
    <col min="4" max="4" width="34.5703125" customWidth="1"/>
    <col min="5" max="5" width="21.7109375" customWidth="1"/>
    <col min="6" max="6" width="13.140625" customWidth="1"/>
    <col min="7" max="7" width="24.85546875" customWidth="1"/>
    <col min="8" max="8" width="18" customWidth="1"/>
    <col min="9" max="9" width="20.85546875" customWidth="1"/>
    <col min="10" max="10" width="19" customWidth="1"/>
    <col min="11" max="11" width="17.28515625" customWidth="1"/>
    <col min="12" max="12" width="24.140625" customWidth="1"/>
  </cols>
  <sheetData>
    <row r="1" spans="1:9" ht="26.25">
      <c r="A1" s="19" t="s">
        <v>1</v>
      </c>
      <c r="B1" s="8"/>
      <c r="C1" s="8"/>
      <c r="D1" s="8"/>
      <c r="E1" s="8"/>
      <c r="F1" s="8"/>
      <c r="G1" s="8"/>
      <c r="H1" s="8"/>
      <c r="I1" s="8"/>
    </row>
    <row r="2" spans="1:9" ht="17.25">
      <c r="A2" s="58" t="s">
        <v>9</v>
      </c>
      <c r="B2" s="8"/>
      <c r="C2" s="8"/>
      <c r="D2" s="8"/>
      <c r="E2" s="8"/>
      <c r="F2" s="8"/>
      <c r="G2" s="8"/>
      <c r="H2" s="8"/>
      <c r="I2" s="8"/>
    </row>
    <row r="3" spans="1:9" ht="16.5">
      <c r="A3" s="39" t="s">
        <v>453</v>
      </c>
      <c r="B3" s="8"/>
      <c r="C3" s="8"/>
      <c r="D3" s="8"/>
      <c r="E3" s="8"/>
      <c r="F3" s="8"/>
      <c r="G3" s="8"/>
      <c r="H3" s="8"/>
      <c r="I3" s="8"/>
    </row>
    <row r="4" spans="1:9" ht="16.5">
      <c r="A4" s="8"/>
      <c r="B4" s="8"/>
      <c r="C4" s="8"/>
      <c r="D4" s="8"/>
      <c r="E4" s="8"/>
      <c r="F4" s="8"/>
      <c r="G4" s="8"/>
      <c r="H4" s="8"/>
      <c r="I4" s="8"/>
    </row>
    <row r="5" spans="1:9" ht="18" thickBot="1">
      <c r="A5" s="58"/>
      <c r="B5" s="8"/>
      <c r="C5" s="8"/>
      <c r="D5" s="8"/>
      <c r="E5" s="8"/>
      <c r="F5" s="8"/>
      <c r="G5" s="8"/>
      <c r="H5" s="8"/>
      <c r="I5" s="8"/>
    </row>
    <row r="6" spans="1:9" ht="21" thickBot="1">
      <c r="A6" s="260" t="str">
        <f>+'S&amp;D'!A12</f>
        <v>Railroad Carriers</v>
      </c>
      <c r="B6" s="189"/>
      <c r="C6" s="8"/>
      <c r="D6" s="8"/>
      <c r="E6" s="8"/>
      <c r="F6" s="8"/>
      <c r="G6" s="8"/>
      <c r="H6" s="8"/>
      <c r="I6" s="8"/>
    </row>
    <row r="7" spans="1:9" ht="20.25">
      <c r="A7" s="26"/>
      <c r="B7" s="8"/>
      <c r="C7" s="8"/>
      <c r="D7" s="8"/>
      <c r="E7" s="8"/>
      <c r="F7" s="8"/>
      <c r="G7" s="8"/>
      <c r="H7" s="8"/>
      <c r="I7" s="8"/>
    </row>
    <row r="8" spans="1:9" ht="18" thickBot="1">
      <c r="A8" s="58"/>
      <c r="B8" s="8"/>
      <c r="C8" s="24"/>
      <c r="E8" s="8"/>
      <c r="F8" s="8"/>
      <c r="G8" s="8"/>
      <c r="H8" s="8"/>
      <c r="I8" s="8"/>
    </row>
    <row r="9" spans="1:9" ht="26.25">
      <c r="B9" s="8"/>
      <c r="C9" s="27" t="s">
        <v>157</v>
      </c>
      <c r="E9" s="8"/>
      <c r="F9" s="8"/>
      <c r="G9" s="8"/>
      <c r="H9" s="8"/>
      <c r="I9" s="8"/>
    </row>
    <row r="10" spans="1:9" ht="21" thickBot="1">
      <c r="A10" s="26"/>
      <c r="B10" s="8"/>
      <c r="C10" s="28" t="s">
        <v>454</v>
      </c>
      <c r="E10" s="8"/>
      <c r="F10" s="8"/>
      <c r="G10" s="8"/>
      <c r="H10" s="8"/>
      <c r="I10" s="8"/>
    </row>
    <row r="11" spans="1:9" ht="20.25">
      <c r="A11" s="26"/>
      <c r="B11" s="8"/>
      <c r="C11" s="8"/>
      <c r="D11" s="8"/>
      <c r="E11" s="8"/>
      <c r="F11" s="8"/>
      <c r="G11" s="8"/>
      <c r="H11" s="8"/>
      <c r="I11" s="8"/>
    </row>
    <row r="12" spans="1:9" ht="17.25" thickBot="1">
      <c r="A12" s="8"/>
      <c r="B12" s="8"/>
      <c r="C12" s="8"/>
      <c r="D12" s="8"/>
      <c r="E12" s="8"/>
      <c r="F12" s="8"/>
      <c r="G12" s="8"/>
      <c r="H12" s="8"/>
      <c r="I12" s="8"/>
    </row>
    <row r="13" spans="1:9" ht="16.5">
      <c r="A13" s="8"/>
      <c r="B13" s="8"/>
      <c r="C13" s="74" t="s">
        <v>0</v>
      </c>
      <c r="D13" s="74" t="s">
        <v>191</v>
      </c>
      <c r="E13" s="8"/>
      <c r="F13" s="8"/>
      <c r="G13" s="8"/>
      <c r="H13" s="8"/>
      <c r="I13" s="8"/>
    </row>
    <row r="14" spans="1:9" ht="21" thickBot="1">
      <c r="A14" s="8"/>
      <c r="B14" s="8"/>
      <c r="C14" s="363" t="s">
        <v>156</v>
      </c>
      <c r="D14" s="76" t="s">
        <v>279</v>
      </c>
      <c r="E14" s="8"/>
      <c r="F14" s="8"/>
      <c r="G14" s="8"/>
      <c r="H14" s="8"/>
      <c r="I14" s="8"/>
    </row>
    <row r="15" spans="1:9" ht="17.25">
      <c r="A15" s="8"/>
      <c r="B15" s="8"/>
      <c r="C15" s="270" t="s">
        <v>407</v>
      </c>
      <c r="D15" s="364">
        <f>+CAPM!F16</f>
        <v>7.0199999999999999E-2</v>
      </c>
      <c r="E15" s="366"/>
      <c r="F15" s="8"/>
      <c r="G15" s="8"/>
      <c r="H15" s="8"/>
      <c r="I15" s="8"/>
    </row>
    <row r="16" spans="1:9" ht="17.25">
      <c r="A16" s="8"/>
      <c r="B16" s="8"/>
      <c r="C16" s="271" t="s">
        <v>408</v>
      </c>
      <c r="D16" s="365">
        <f>+CAPM!F17</f>
        <v>7.1899999999999992E-2</v>
      </c>
      <c r="E16" s="366"/>
      <c r="F16" s="8"/>
      <c r="G16" s="8"/>
      <c r="H16" s="8"/>
      <c r="I16" s="8"/>
    </row>
    <row r="17" spans="1:9" ht="17.25">
      <c r="A17" s="8"/>
      <c r="B17" s="8"/>
      <c r="C17" s="271" t="s">
        <v>429</v>
      </c>
      <c r="D17" s="365">
        <f>+CAPM!F19</f>
        <v>8.7099999999999997E-2</v>
      </c>
      <c r="E17" s="366"/>
      <c r="F17" s="8"/>
      <c r="G17" s="8"/>
      <c r="H17" s="8"/>
      <c r="I17" s="8"/>
    </row>
    <row r="18" spans="1:9" ht="17.25">
      <c r="A18" s="8"/>
      <c r="B18" s="8"/>
      <c r="C18" s="271" t="s">
        <v>445</v>
      </c>
      <c r="D18" s="365">
        <f>+CAPM!F20</f>
        <v>0.1018</v>
      </c>
      <c r="E18" s="366"/>
      <c r="F18" s="8"/>
      <c r="G18" s="8"/>
      <c r="H18" s="8"/>
      <c r="I18" s="8"/>
    </row>
    <row r="19" spans="1:9" ht="17.25">
      <c r="A19" s="8"/>
      <c r="B19" s="8"/>
      <c r="C19" s="271" t="s">
        <v>430</v>
      </c>
      <c r="D19" s="365">
        <f>+CAPM!F21</f>
        <v>8.5400000000000004E-2</v>
      </c>
      <c r="E19" s="366"/>
      <c r="F19" s="8"/>
      <c r="G19" s="8"/>
      <c r="H19" s="8"/>
      <c r="I19" s="8"/>
    </row>
    <row r="20" spans="1:9" ht="17.25">
      <c r="A20" s="8"/>
      <c r="B20" s="8"/>
      <c r="C20" s="271" t="s">
        <v>431</v>
      </c>
      <c r="D20" s="365">
        <f>+CAPM!F22</f>
        <v>8.3999999999999991E-2</v>
      </c>
      <c r="E20" s="366"/>
      <c r="F20" s="8"/>
      <c r="G20" s="8"/>
      <c r="H20" s="8"/>
      <c r="I20" s="8"/>
    </row>
    <row r="21" spans="1:9" ht="17.25">
      <c r="A21" s="8"/>
      <c r="B21" s="8"/>
      <c r="C21" s="271" t="s">
        <v>158</v>
      </c>
      <c r="D21" s="365">
        <f>+CAPM!F24</f>
        <v>9.0499999999999997E-2</v>
      </c>
      <c r="E21" s="366"/>
      <c r="F21" s="8"/>
      <c r="G21" s="8"/>
      <c r="H21" s="8"/>
      <c r="I21" s="8"/>
    </row>
    <row r="22" spans="1:9" ht="17.25">
      <c r="A22" s="8"/>
      <c r="B22" s="8"/>
      <c r="C22" s="271" t="s">
        <v>159</v>
      </c>
      <c r="D22" s="365">
        <f>+CAPM!F26</f>
        <v>9.8099999999999993E-2</v>
      </c>
      <c r="E22" s="366"/>
      <c r="F22" s="8"/>
      <c r="G22" s="8"/>
      <c r="H22" s="8"/>
      <c r="I22" s="8"/>
    </row>
    <row r="23" spans="1:9" ht="17.25">
      <c r="A23" s="8"/>
      <c r="B23" s="8"/>
      <c r="C23" s="271" t="s">
        <v>160</v>
      </c>
      <c r="D23" s="365">
        <f>+CAPM!F28</f>
        <v>0.1056</v>
      </c>
      <c r="E23" s="404"/>
      <c r="G23" s="8"/>
      <c r="H23" s="8"/>
      <c r="I23" s="8"/>
    </row>
    <row r="24" spans="1:9" ht="17.25">
      <c r="A24" s="8"/>
      <c r="B24" s="8"/>
      <c r="C24" s="271" t="s">
        <v>161</v>
      </c>
      <c r="D24" s="365">
        <f>+CAPM!F29</f>
        <v>9.2999999999999999E-2</v>
      </c>
      <c r="E24" s="404"/>
      <c r="G24" s="8"/>
      <c r="H24" s="8"/>
      <c r="I24" s="8"/>
    </row>
    <row r="25" spans="1:9" ht="17.25">
      <c r="A25" s="8"/>
      <c r="B25" s="8"/>
      <c r="C25" s="272" t="s">
        <v>432</v>
      </c>
      <c r="D25" s="365">
        <f>+CAPM!F31</f>
        <v>0.1128</v>
      </c>
      <c r="E25" s="380"/>
      <c r="F25" s="8"/>
      <c r="G25" s="8"/>
      <c r="H25" s="8"/>
      <c r="I25" s="8"/>
    </row>
    <row r="26" spans="1:9" ht="17.25">
      <c r="A26" s="8"/>
      <c r="B26" s="8"/>
      <c r="C26" s="272" t="s">
        <v>433</v>
      </c>
      <c r="D26" s="365">
        <f>+CAPM!F32</f>
        <v>0.1033</v>
      </c>
      <c r="E26" s="380"/>
      <c r="F26" s="8"/>
      <c r="G26" s="8"/>
      <c r="H26" s="8"/>
      <c r="I26" s="8"/>
    </row>
    <row r="27" spans="1:9" ht="17.25">
      <c r="A27" s="8"/>
      <c r="B27" s="8"/>
      <c r="C27" s="272" t="s">
        <v>434</v>
      </c>
      <c r="D27" s="365">
        <f>+CAPM!F33</f>
        <v>9.6099999999999991E-2</v>
      </c>
      <c r="E27" s="380"/>
      <c r="F27" s="8"/>
      <c r="G27" s="8"/>
      <c r="H27" s="8"/>
      <c r="I27" s="8"/>
    </row>
    <row r="28" spans="1:9" ht="17.25">
      <c r="A28" s="8"/>
      <c r="B28" s="8"/>
      <c r="C28" s="271" t="s">
        <v>409</v>
      </c>
      <c r="D28" s="365">
        <f>+CAPM!G42</f>
        <v>7.0199999999999999E-2</v>
      </c>
      <c r="E28" s="366"/>
      <c r="F28" s="8"/>
      <c r="G28" s="8"/>
      <c r="H28" s="8"/>
      <c r="I28" s="8"/>
    </row>
    <row r="29" spans="1:9" ht="17.25">
      <c r="A29" s="8"/>
      <c r="B29" s="8"/>
      <c r="C29" s="271" t="s">
        <v>410</v>
      </c>
      <c r="D29" s="365">
        <f>+CAPM!G43</f>
        <v>7.1899999999999992E-2</v>
      </c>
      <c r="E29" s="366"/>
      <c r="F29" s="8"/>
      <c r="G29" s="8"/>
      <c r="H29" s="8"/>
      <c r="I29" s="8"/>
    </row>
    <row r="30" spans="1:9" ht="17.25">
      <c r="A30" s="8"/>
      <c r="B30" s="8"/>
      <c r="C30" s="271" t="s">
        <v>435</v>
      </c>
      <c r="D30" s="365">
        <f>+CAPM!G45</f>
        <v>8.7099999999999997E-2</v>
      </c>
      <c r="E30" s="366"/>
      <c r="F30" s="8"/>
      <c r="G30" s="8"/>
      <c r="H30" s="8"/>
      <c r="I30" s="8"/>
    </row>
    <row r="31" spans="1:9" ht="17.25">
      <c r="A31" s="8"/>
      <c r="B31" s="8"/>
      <c r="C31" s="271" t="s">
        <v>446</v>
      </c>
      <c r="D31" s="365">
        <f>+CAPM!G46</f>
        <v>9.9599999999999994E-2</v>
      </c>
      <c r="E31" s="366"/>
      <c r="F31" s="8"/>
      <c r="G31" s="8"/>
      <c r="H31" s="8"/>
      <c r="I31" s="8"/>
    </row>
    <row r="32" spans="1:9" ht="17.25">
      <c r="A32" s="8"/>
      <c r="B32" s="8"/>
      <c r="C32" s="271" t="s">
        <v>436</v>
      </c>
      <c r="D32" s="365">
        <f>+CAPM!G47</f>
        <v>8.5400000000000004E-2</v>
      </c>
      <c r="E32" s="366"/>
      <c r="F32" s="8"/>
      <c r="G32" s="8"/>
      <c r="H32" s="8"/>
      <c r="I32" s="8"/>
    </row>
    <row r="33" spans="1:9" ht="17.25">
      <c r="A33" s="8"/>
      <c r="B33" s="8"/>
      <c r="C33" s="271" t="s">
        <v>437</v>
      </c>
      <c r="D33" s="365">
        <f>+CAPM!G48</f>
        <v>8.3999999999999991E-2</v>
      </c>
      <c r="E33" s="366"/>
      <c r="F33" s="8"/>
      <c r="G33" s="8"/>
      <c r="H33" s="8"/>
      <c r="I33" s="8"/>
    </row>
    <row r="34" spans="1:9" ht="17.25">
      <c r="A34" s="8"/>
      <c r="B34" s="8"/>
      <c r="C34" s="271" t="s">
        <v>162</v>
      </c>
      <c r="D34" s="365">
        <f>+CAPM!G50</f>
        <v>9.0499999999999997E-2</v>
      </c>
      <c r="E34" s="366"/>
      <c r="F34" s="8"/>
      <c r="G34" s="8"/>
      <c r="H34" s="8"/>
      <c r="I34" s="8"/>
    </row>
    <row r="35" spans="1:9" ht="17.25">
      <c r="A35" s="8"/>
      <c r="B35" s="8"/>
      <c r="C35" s="271" t="s">
        <v>163</v>
      </c>
      <c r="D35" s="365">
        <f>+CAPM!G52</f>
        <v>9.8099999999999993E-2</v>
      </c>
      <c r="E35" s="366"/>
      <c r="F35" s="8"/>
      <c r="G35" s="8"/>
      <c r="H35" s="8"/>
      <c r="I35" s="8"/>
    </row>
    <row r="36" spans="1:9" ht="17.25">
      <c r="A36" s="8"/>
      <c r="B36" s="8"/>
      <c r="C36" s="272" t="s">
        <v>164</v>
      </c>
      <c r="D36" s="365">
        <f>+CAPM!G54</f>
        <v>0.1056</v>
      </c>
      <c r="E36" s="366"/>
      <c r="F36" s="8"/>
      <c r="G36" s="8"/>
      <c r="H36" s="8"/>
      <c r="I36" s="8"/>
    </row>
    <row r="37" spans="1:9" ht="17.25">
      <c r="A37" s="8"/>
      <c r="B37" s="8"/>
      <c r="C37" s="271" t="s">
        <v>165</v>
      </c>
      <c r="D37" s="365">
        <f>+CAPM!G55</f>
        <v>9.2999999999999999E-2</v>
      </c>
      <c r="E37" s="366"/>
      <c r="F37" s="8"/>
      <c r="G37" s="8"/>
      <c r="H37" s="8"/>
      <c r="I37" s="8"/>
    </row>
    <row r="38" spans="1:9" ht="16.5" customHeight="1">
      <c r="A38" s="8"/>
      <c r="B38" s="8"/>
      <c r="C38" s="272" t="s">
        <v>438</v>
      </c>
      <c r="D38" s="365">
        <f>+CAPM!G57</f>
        <v>0.1128</v>
      </c>
      <c r="E38" s="366" t="s">
        <v>0</v>
      </c>
      <c r="F38" s="8"/>
      <c r="G38" s="8"/>
      <c r="H38" s="8"/>
      <c r="I38" s="8"/>
    </row>
    <row r="39" spans="1:9" ht="16.5" customHeight="1">
      <c r="A39" s="8"/>
      <c r="B39" s="8"/>
      <c r="C39" s="272" t="s">
        <v>439</v>
      </c>
      <c r="D39" s="365">
        <f>+CAPM!G58</f>
        <v>0.1033</v>
      </c>
      <c r="E39" s="366"/>
      <c r="F39" s="8"/>
      <c r="G39" s="8"/>
      <c r="H39" s="8"/>
      <c r="I39" s="8"/>
    </row>
    <row r="40" spans="1:9" ht="18.75" customHeight="1">
      <c r="A40" s="8"/>
      <c r="B40" s="8"/>
      <c r="C40" s="272" t="s">
        <v>440</v>
      </c>
      <c r="D40" s="365">
        <f>+CAPM!G59</f>
        <v>9.6099999999999991E-2</v>
      </c>
      <c r="E40" s="367"/>
      <c r="F40" s="8"/>
      <c r="G40" s="8"/>
      <c r="H40" s="8"/>
      <c r="I40" s="8"/>
    </row>
    <row r="41" spans="1:9" ht="21.75" customHeight="1">
      <c r="A41" s="8"/>
      <c r="B41" s="8"/>
      <c r="C41" s="273" t="s">
        <v>239</v>
      </c>
      <c r="D41" s="207">
        <f>+'Single Stage Div Growth Model'!I28</f>
        <v>9.64E-2</v>
      </c>
      <c r="G41" s="8"/>
      <c r="H41" s="8"/>
      <c r="I41" s="8"/>
    </row>
    <row r="42" spans="1:9" ht="21.75" customHeight="1">
      <c r="A42" s="8"/>
      <c r="B42" s="8"/>
      <c r="C42" s="273" t="s">
        <v>238</v>
      </c>
      <c r="D42" s="207">
        <f>+'Single Stage Div Growth Model'!I30</f>
        <v>9.3399999999999997E-2</v>
      </c>
      <c r="G42" s="8"/>
      <c r="H42" s="8"/>
      <c r="I42" s="8"/>
    </row>
    <row r="43" spans="1:9" ht="21.75" customHeight="1">
      <c r="A43" s="8"/>
      <c r="B43" s="8"/>
      <c r="C43" s="381" t="s">
        <v>240</v>
      </c>
      <c r="D43" s="382">
        <f>+'Two-Stage Div Growth Model'!H32</f>
        <v>8.2699999999999996E-2</v>
      </c>
      <c r="G43" s="77" t="s">
        <v>0</v>
      </c>
      <c r="H43" s="8"/>
      <c r="I43" s="8"/>
    </row>
    <row r="44" spans="1:9" ht="21.75" customHeight="1">
      <c r="A44" s="8"/>
      <c r="B44" s="8"/>
      <c r="C44" s="361" t="s">
        <v>359</v>
      </c>
      <c r="D44" s="362">
        <f>+'Direct NOPAT'!G55</f>
        <v>6.88E-2</v>
      </c>
      <c r="E44" s="383" t="s">
        <v>0</v>
      </c>
      <c r="F44" s="8"/>
      <c r="G44" s="8"/>
      <c r="H44" s="8"/>
      <c r="I44" s="8"/>
    </row>
    <row r="45" spans="1:9" ht="17.25" thickBot="1">
      <c r="A45" s="8"/>
      <c r="B45" s="8"/>
      <c r="C45" s="8"/>
      <c r="D45" s="65"/>
      <c r="E45" s="8"/>
      <c r="F45" s="8"/>
      <c r="G45" s="8"/>
      <c r="H45" s="8"/>
      <c r="I45" s="8"/>
    </row>
    <row r="46" spans="1:9" ht="17.25" thickTop="1">
      <c r="A46" s="8"/>
      <c r="B46" s="8"/>
      <c r="C46" s="10" t="s">
        <v>46</v>
      </c>
      <c r="D46" s="48">
        <f>MAX(D15:D43)</f>
        <v>0.1128</v>
      </c>
      <c r="E46" s="140"/>
      <c r="F46" s="8"/>
      <c r="G46" s="8"/>
      <c r="H46" s="8"/>
      <c r="I46" s="8"/>
    </row>
    <row r="47" spans="1:9" ht="16.5">
      <c r="A47" s="8"/>
      <c r="B47" s="8"/>
      <c r="C47" s="10" t="s">
        <v>47</v>
      </c>
      <c r="D47" s="325">
        <f>MIN(D15:D43)</f>
        <v>7.0199999999999999E-2</v>
      </c>
      <c r="E47" s="8"/>
      <c r="F47" s="8"/>
      <c r="G47" s="48"/>
      <c r="H47" s="48"/>
      <c r="I47" s="48"/>
    </row>
    <row r="48" spans="1:9" ht="16.5">
      <c r="A48" s="8"/>
      <c r="B48" s="8"/>
      <c r="C48" s="10" t="s">
        <v>18</v>
      </c>
      <c r="D48" s="77">
        <f>MEDIAN(D15:D43)</f>
        <v>9.2999999999999999E-2</v>
      </c>
      <c r="E48" s="77"/>
      <c r="F48" s="77"/>
      <c r="G48" s="77"/>
      <c r="H48" s="77"/>
      <c r="I48" s="77"/>
    </row>
    <row r="49" spans="1:9" ht="16.5">
      <c r="A49" s="8"/>
      <c r="B49" s="8"/>
      <c r="C49" s="10" t="s">
        <v>411</v>
      </c>
      <c r="D49" s="78">
        <f>AVERAGE(D15:D43)</f>
        <v>9.2065517241379305E-2</v>
      </c>
      <c r="E49" s="78"/>
      <c r="F49" s="78"/>
      <c r="G49" s="78"/>
      <c r="H49" s="78"/>
      <c r="I49" s="78"/>
    </row>
    <row r="50" spans="1:9" ht="16.5">
      <c r="A50" s="8"/>
      <c r="B50" s="8"/>
      <c r="C50" s="10" t="s">
        <v>412</v>
      </c>
      <c r="D50" s="78">
        <f>HARMEAN(D15:D43)</f>
        <v>9.0521065703802459E-2</v>
      </c>
      <c r="E50" s="8"/>
      <c r="F50" s="8"/>
      <c r="G50" s="8"/>
      <c r="H50" s="8"/>
      <c r="I50" s="8"/>
    </row>
    <row r="51" spans="1:9" ht="17.25" thickBot="1">
      <c r="A51" s="8"/>
      <c r="B51" s="8"/>
      <c r="C51" s="10"/>
      <c r="D51" s="78"/>
      <c r="E51" s="8"/>
      <c r="F51" s="8"/>
      <c r="G51" s="8"/>
      <c r="H51" s="8"/>
      <c r="I51" s="8"/>
    </row>
    <row r="52" spans="1:9" ht="27" thickBot="1">
      <c r="A52" s="8"/>
      <c r="B52" s="8"/>
      <c r="C52" s="197" t="s">
        <v>246</v>
      </c>
      <c r="D52" s="394">
        <v>9.2100000000000001E-2</v>
      </c>
      <c r="E52" s="79"/>
      <c r="F52" s="79"/>
    </row>
    <row r="53" spans="1:9" ht="16.5">
      <c r="A53" s="8"/>
      <c r="B53" s="8"/>
      <c r="C53" s="8"/>
      <c r="D53" s="8"/>
      <c r="E53" s="8"/>
      <c r="F53" s="8"/>
    </row>
    <row r="54" spans="1:9" ht="17.25">
      <c r="A54" s="100" t="s">
        <v>0</v>
      </c>
      <c r="B54" s="8"/>
      <c r="C54" s="8"/>
      <c r="D54" s="8"/>
      <c r="E54" s="8"/>
      <c r="F54" s="8"/>
      <c r="G54" s="8"/>
      <c r="H54" s="8"/>
      <c r="I54" s="8"/>
    </row>
    <row r="55" spans="1:9" ht="16.5">
      <c r="A55" s="8"/>
      <c r="B55" s="8"/>
      <c r="C55" s="8"/>
      <c r="D55" s="8"/>
      <c r="E55" s="8"/>
      <c r="F55" s="8"/>
      <c r="G55" s="8"/>
      <c r="H55" s="8"/>
      <c r="I55" s="8"/>
    </row>
    <row r="56" spans="1:9" ht="16.5">
      <c r="A56" s="8"/>
      <c r="B56" s="8"/>
      <c r="C56" s="8"/>
      <c r="D56" s="8"/>
      <c r="E56" s="8"/>
      <c r="F56" s="8"/>
      <c r="G56" s="8"/>
      <c r="H56" s="8"/>
      <c r="I56" s="8"/>
    </row>
    <row r="57" spans="1:9" ht="16.5">
      <c r="A57" s="8"/>
      <c r="B57" s="8"/>
      <c r="C57" s="8"/>
      <c r="D57" s="8"/>
      <c r="E57" s="8"/>
      <c r="F57" s="8"/>
      <c r="G57" s="8"/>
      <c r="H57" s="8"/>
      <c r="I57" s="8"/>
    </row>
    <row r="58" spans="1:9" ht="16.5">
      <c r="A58" s="8"/>
      <c r="B58" s="8"/>
      <c r="C58" s="8"/>
      <c r="D58" s="8"/>
      <c r="E58" s="8"/>
      <c r="F58" s="8"/>
      <c r="G58" s="8"/>
      <c r="H58" s="8"/>
      <c r="I58" s="8"/>
    </row>
    <row r="59" spans="1:9" ht="16.5">
      <c r="A59" s="8"/>
      <c r="B59" s="8"/>
      <c r="C59" s="8"/>
      <c r="D59" s="8" t="s">
        <v>0</v>
      </c>
      <c r="E59" s="8"/>
      <c r="F59" s="8"/>
      <c r="G59" s="8"/>
      <c r="H59" s="8"/>
      <c r="I59" s="8"/>
    </row>
    <row r="60" spans="1:9" ht="16.5">
      <c r="A60" s="8"/>
      <c r="B60" s="8"/>
      <c r="C60" s="8"/>
      <c r="D60" s="8" t="s">
        <v>0</v>
      </c>
      <c r="E60" s="8"/>
      <c r="F60" s="8"/>
      <c r="G60" s="8"/>
      <c r="H60" s="8"/>
      <c r="I60" s="8"/>
    </row>
    <row r="61" spans="1:9" ht="16.5">
      <c r="A61" s="8"/>
      <c r="B61" s="8"/>
      <c r="C61" s="8"/>
      <c r="D61" s="8"/>
      <c r="E61" s="8"/>
      <c r="F61" s="8"/>
      <c r="G61" s="8"/>
      <c r="H61" s="8"/>
      <c r="I61" s="8"/>
    </row>
    <row r="62" spans="1:9" ht="16.5">
      <c r="A62" s="8"/>
      <c r="B62" s="8"/>
      <c r="C62" s="8"/>
      <c r="D62" s="8"/>
      <c r="E62" s="8"/>
      <c r="F62" s="8"/>
      <c r="G62" s="8"/>
      <c r="H62" s="8"/>
      <c r="I62" s="8"/>
    </row>
    <row r="63" spans="1:9" ht="16.5">
      <c r="A63" s="8"/>
      <c r="B63" s="8"/>
      <c r="C63" s="8"/>
      <c r="D63" s="8"/>
      <c r="E63" s="8"/>
      <c r="F63" s="8"/>
      <c r="G63" s="8"/>
      <c r="H63" s="8"/>
      <c r="I63" s="8"/>
    </row>
    <row r="64" spans="1:9" ht="16.5">
      <c r="A64" s="8"/>
      <c r="B64" s="8"/>
      <c r="C64" s="8"/>
      <c r="D64" s="8"/>
      <c r="E64" s="8"/>
      <c r="F64" s="8"/>
      <c r="G64" s="8"/>
      <c r="H64" s="8"/>
      <c r="I64" s="8"/>
    </row>
    <row r="65" spans="1:9" ht="16.5">
      <c r="A65" s="8"/>
      <c r="B65" s="8"/>
      <c r="C65" s="8"/>
      <c r="D65" s="8"/>
      <c r="E65" s="8"/>
      <c r="F65" s="8"/>
      <c r="G65" s="8"/>
      <c r="H65" s="8"/>
      <c r="I65" s="8"/>
    </row>
    <row r="66" spans="1:9" ht="16.5">
      <c r="A66" s="8"/>
      <c r="B66" s="8"/>
      <c r="C66" s="8"/>
      <c r="D66" s="8"/>
      <c r="E66" s="8"/>
      <c r="F66" s="8"/>
      <c r="G66" s="8"/>
      <c r="H66" s="8"/>
      <c r="I66" s="8"/>
    </row>
    <row r="67" spans="1:9" ht="16.5">
      <c r="A67" s="8"/>
      <c r="B67" s="8"/>
      <c r="C67" s="8"/>
      <c r="D67" s="8"/>
      <c r="E67" s="8"/>
      <c r="F67" s="8"/>
      <c r="G67" s="8"/>
      <c r="H67" s="8"/>
      <c r="I67" s="8"/>
    </row>
    <row r="68" spans="1:9" ht="16.5">
      <c r="A68" s="8"/>
      <c r="B68" s="8"/>
      <c r="C68" s="8"/>
      <c r="D68" s="8"/>
      <c r="E68" s="8"/>
      <c r="F68" s="8"/>
      <c r="G68" s="8"/>
      <c r="H68" s="8"/>
      <c r="I68" s="8"/>
    </row>
    <row r="69" spans="1:9" ht="16.5">
      <c r="A69" s="8"/>
      <c r="B69" s="8"/>
      <c r="C69" s="8"/>
      <c r="D69" s="8"/>
      <c r="E69" s="8"/>
      <c r="F69" s="8"/>
      <c r="G69" s="8"/>
      <c r="H69" s="8"/>
      <c r="I69" s="8"/>
    </row>
    <row r="70" spans="1:9" ht="16.5">
      <c r="A70" s="8"/>
      <c r="B70" s="8"/>
      <c r="C70" s="8"/>
      <c r="D70" s="8"/>
      <c r="E70" s="8"/>
      <c r="F70" s="8"/>
      <c r="G70" s="8"/>
      <c r="H70" s="8"/>
      <c r="I70" s="8"/>
    </row>
    <row r="71" spans="1:9" ht="16.5">
      <c r="A71" s="8"/>
      <c r="B71" s="8"/>
      <c r="C71" s="8"/>
      <c r="D71" s="8"/>
      <c r="E71" s="8"/>
      <c r="F71" s="8"/>
      <c r="G71" s="8"/>
      <c r="H71" s="8"/>
      <c r="I71" s="8"/>
    </row>
    <row r="72" spans="1:9" ht="16.5">
      <c r="A72" s="8"/>
      <c r="B72" s="8"/>
      <c r="C72" s="8"/>
      <c r="D72" s="8"/>
      <c r="E72" s="8"/>
      <c r="F72" s="8"/>
      <c r="G72" s="8"/>
      <c r="H72" s="8"/>
      <c r="I72" s="8"/>
    </row>
    <row r="73" spans="1:9" ht="16.5">
      <c r="A73" s="8"/>
      <c r="B73" s="8"/>
      <c r="C73" s="8"/>
      <c r="D73" s="8"/>
      <c r="E73" s="8"/>
      <c r="F73" s="8"/>
      <c r="G73" s="8"/>
      <c r="H73" s="8"/>
      <c r="I73" s="8"/>
    </row>
    <row r="74" spans="1:9" ht="16.5">
      <c r="A74" s="8"/>
      <c r="B74" s="8"/>
      <c r="C74" s="8"/>
      <c r="D74" s="8"/>
      <c r="E74" s="8"/>
      <c r="F74" s="8"/>
      <c r="G74" s="8"/>
      <c r="H74" s="8"/>
      <c r="I74" s="8"/>
    </row>
    <row r="75" spans="1:9" ht="16.5">
      <c r="A75" s="8"/>
      <c r="B75" s="8"/>
      <c r="C75" s="8"/>
      <c r="D75" s="8"/>
      <c r="E75" s="8"/>
      <c r="F75" s="8"/>
      <c r="G75" s="8"/>
      <c r="H75" s="8"/>
      <c r="I75" s="8"/>
    </row>
    <row r="76" spans="1:9" ht="16.5">
      <c r="A76" s="8"/>
      <c r="B76" s="8"/>
      <c r="C76" s="8"/>
      <c r="D76" s="8"/>
      <c r="E76" s="8"/>
      <c r="F76" s="8"/>
      <c r="G76" s="8"/>
      <c r="H76" s="8"/>
      <c r="I76" s="8"/>
    </row>
    <row r="77" spans="1:9" ht="16.5">
      <c r="A77" s="8"/>
      <c r="B77" s="8"/>
      <c r="C77" s="8"/>
      <c r="D77" s="8"/>
      <c r="E77" s="8"/>
      <c r="F77" s="8"/>
      <c r="G77" s="8"/>
      <c r="H77" s="8"/>
      <c r="I77" s="8"/>
    </row>
    <row r="78" spans="1:9" ht="16.5">
      <c r="A78" s="8"/>
      <c r="B78" s="8"/>
      <c r="C78" s="8"/>
      <c r="D78" s="8"/>
      <c r="E78" s="8"/>
      <c r="F78" s="8"/>
      <c r="G78" s="8"/>
      <c r="H78" s="8"/>
      <c r="I78" s="8"/>
    </row>
    <row r="79" spans="1:9" ht="16.5">
      <c r="A79" s="8"/>
      <c r="B79" s="8"/>
      <c r="C79" s="8"/>
      <c r="D79" s="8"/>
      <c r="E79" s="8"/>
      <c r="F79" s="8"/>
      <c r="G79" s="8"/>
      <c r="H79" s="8"/>
      <c r="I79" s="8"/>
    </row>
    <row r="80" spans="1:9" ht="16.5">
      <c r="A80" s="8"/>
      <c r="B80" s="8"/>
      <c r="C80" s="8"/>
      <c r="D80" s="8"/>
      <c r="E80" s="8"/>
      <c r="F80" s="8"/>
      <c r="G80" s="8"/>
      <c r="H80" s="8"/>
      <c r="I80" s="8"/>
    </row>
    <row r="81" spans="1:9" ht="16.5">
      <c r="A81" s="8"/>
      <c r="B81" s="8"/>
      <c r="C81" s="8"/>
      <c r="D81" s="8"/>
      <c r="E81" s="8"/>
      <c r="F81" s="8"/>
      <c r="G81" s="8"/>
      <c r="H81" s="8"/>
      <c r="I81" s="8"/>
    </row>
    <row r="82" spans="1:9" ht="16.5">
      <c r="A82" s="8"/>
      <c r="B82" s="8"/>
      <c r="C82" s="8"/>
      <c r="D82" s="8"/>
      <c r="E82" s="8"/>
      <c r="F82" s="8"/>
      <c r="G82" s="8"/>
      <c r="H82" s="8"/>
      <c r="I82" s="8"/>
    </row>
    <row r="83" spans="1:9" ht="16.5">
      <c r="A83" s="8"/>
      <c r="B83" s="8"/>
      <c r="C83" s="8"/>
      <c r="D83" s="8"/>
      <c r="E83" s="8"/>
      <c r="F83" s="8"/>
      <c r="G83" s="8"/>
      <c r="H83" s="8"/>
      <c r="I83" s="8"/>
    </row>
    <row r="84" spans="1:9" ht="16.5">
      <c r="A84" s="8"/>
      <c r="B84" s="8"/>
      <c r="C84" s="8"/>
      <c r="D84" s="8"/>
      <c r="E84" s="8"/>
      <c r="F84" s="8"/>
      <c r="G84" s="8"/>
      <c r="H84" s="8"/>
      <c r="I84" s="8"/>
    </row>
    <row r="85" spans="1:9" ht="16.5">
      <c r="A85" s="8"/>
      <c r="B85" s="8"/>
      <c r="C85" s="8"/>
      <c r="D85" s="8"/>
      <c r="E85" s="8"/>
      <c r="F85" s="8"/>
      <c r="G85" s="8"/>
      <c r="H85" s="8"/>
      <c r="I85" s="8"/>
    </row>
    <row r="86" spans="1:9" ht="16.5">
      <c r="A86" s="8"/>
      <c r="B86" s="8"/>
      <c r="C86" s="8"/>
      <c r="D86" s="8"/>
      <c r="E86" s="8"/>
      <c r="F86" s="8"/>
      <c r="G86" s="8"/>
      <c r="H86" s="8"/>
      <c r="I86" s="8"/>
    </row>
    <row r="87" spans="1:9" ht="16.5">
      <c r="A87" s="8"/>
      <c r="B87" s="8"/>
      <c r="C87" s="8"/>
      <c r="D87" s="8"/>
      <c r="E87" s="8"/>
      <c r="F87" s="8"/>
      <c r="G87" s="8"/>
      <c r="H87" s="8"/>
      <c r="I87" s="8"/>
    </row>
    <row r="88" spans="1:9" ht="16.5">
      <c r="A88" s="8"/>
      <c r="B88" s="8"/>
      <c r="C88" s="8"/>
      <c r="D88" s="8"/>
      <c r="E88" s="8"/>
      <c r="F88" s="8"/>
      <c r="G88" s="8"/>
      <c r="H88" s="8"/>
      <c r="I88" s="8"/>
    </row>
    <row r="89" spans="1:9" ht="16.5">
      <c r="A89" s="8"/>
      <c r="B89" s="8"/>
      <c r="C89" s="8"/>
      <c r="D89" s="8"/>
      <c r="E89" s="8"/>
      <c r="F89" s="8"/>
      <c r="G89" s="8"/>
      <c r="H89" s="8"/>
      <c r="I89" s="8"/>
    </row>
    <row r="90" spans="1:9" ht="16.5">
      <c r="A90" s="8"/>
      <c r="B90" s="8"/>
      <c r="C90" s="8"/>
      <c r="D90" s="8"/>
      <c r="E90" s="8"/>
      <c r="F90" s="8"/>
      <c r="G90" s="8"/>
      <c r="H90" s="8"/>
      <c r="I90" s="8"/>
    </row>
    <row r="91" spans="1:9" ht="16.5">
      <c r="A91" s="8"/>
      <c r="B91" s="8"/>
      <c r="C91" s="8"/>
      <c r="D91" s="8"/>
      <c r="E91" s="8"/>
      <c r="F91" s="8"/>
      <c r="G91" s="8"/>
      <c r="H91" s="8"/>
      <c r="I91" s="8"/>
    </row>
    <row r="92" spans="1:9" ht="16.5">
      <c r="A92" s="8"/>
      <c r="B92" s="8"/>
      <c r="C92" s="8"/>
      <c r="D92" s="8"/>
      <c r="E92" s="8"/>
      <c r="F92" s="8"/>
      <c r="G92" s="8"/>
      <c r="H92" s="8"/>
      <c r="I92" s="8"/>
    </row>
    <row r="93" spans="1:9" ht="16.5">
      <c r="A93" s="8"/>
      <c r="B93" s="8"/>
      <c r="C93" s="8"/>
      <c r="D93" s="8"/>
      <c r="E93" s="8"/>
      <c r="F93" s="8"/>
      <c r="G93" s="8"/>
      <c r="H93" s="8"/>
      <c r="I93" s="8"/>
    </row>
    <row r="94" spans="1:9" ht="16.5">
      <c r="A94" s="8"/>
      <c r="B94" s="8"/>
      <c r="C94" s="8"/>
      <c r="D94" s="8"/>
      <c r="E94" s="8"/>
      <c r="F94" s="8"/>
      <c r="G94" s="8"/>
      <c r="H94" s="8"/>
      <c r="I94" s="8"/>
    </row>
    <row r="95" spans="1:9" ht="16.5">
      <c r="A95" s="8"/>
      <c r="B95" s="8"/>
      <c r="C95" s="8"/>
      <c r="D95" s="8"/>
      <c r="E95" s="8"/>
      <c r="F95" s="8"/>
      <c r="G95" s="8"/>
      <c r="H95" s="8"/>
      <c r="I95" s="8"/>
    </row>
    <row r="96" spans="1:9" ht="16.5">
      <c r="A96" s="8"/>
      <c r="B96" s="8"/>
      <c r="C96" s="8"/>
      <c r="D96" s="8"/>
      <c r="E96" s="8"/>
      <c r="F96" s="8"/>
      <c r="G96" s="8"/>
      <c r="H96" s="8"/>
      <c r="I96" s="8"/>
    </row>
    <row r="97" spans="1:9" ht="16.5">
      <c r="A97" s="8"/>
      <c r="B97" s="8"/>
      <c r="C97" s="8"/>
      <c r="D97" s="8"/>
      <c r="E97" s="8"/>
      <c r="F97" s="8"/>
      <c r="G97" s="8"/>
      <c r="H97" s="8"/>
      <c r="I97" s="8"/>
    </row>
    <row r="98" spans="1:9" ht="16.5">
      <c r="A98" s="8"/>
      <c r="B98" s="8"/>
      <c r="C98" s="8"/>
      <c r="D98" s="8"/>
      <c r="E98" s="8"/>
      <c r="F98" s="8"/>
      <c r="G98" s="8"/>
      <c r="H98" s="8"/>
      <c r="I98" s="8"/>
    </row>
    <row r="99" spans="1:9" ht="16.5">
      <c r="A99" s="8"/>
      <c r="B99" s="8"/>
      <c r="C99" s="8"/>
      <c r="D99" s="8"/>
      <c r="E99" s="8"/>
      <c r="F99" s="8"/>
      <c r="G99" s="8"/>
      <c r="H99" s="8"/>
      <c r="I99" s="8"/>
    </row>
    <row r="100" spans="1:9" ht="16.5">
      <c r="A100" s="8"/>
      <c r="B100" s="8"/>
      <c r="C100" s="8"/>
      <c r="D100" s="8"/>
      <c r="E100" s="8"/>
      <c r="F100" s="8"/>
      <c r="G100" s="8"/>
      <c r="H100" s="8"/>
      <c r="I100" s="8"/>
    </row>
    <row r="101" spans="1:9" ht="16.5">
      <c r="A101" s="8"/>
      <c r="B101" s="8"/>
      <c r="C101" s="8"/>
      <c r="D101" s="8"/>
      <c r="E101" s="8"/>
      <c r="F101" s="8"/>
      <c r="G101" s="8"/>
      <c r="H101" s="8"/>
      <c r="I101" s="8"/>
    </row>
    <row r="102" spans="1:9" ht="16.5">
      <c r="A102" s="8"/>
      <c r="B102" s="8"/>
      <c r="C102" s="8"/>
      <c r="D102" s="8"/>
      <c r="E102" s="8"/>
      <c r="F102" s="8"/>
      <c r="G102" s="8"/>
      <c r="H102" s="8"/>
      <c r="I102" s="8"/>
    </row>
    <row r="103" spans="1:9" ht="16.5">
      <c r="A103" s="8"/>
      <c r="B103" s="8"/>
      <c r="C103" s="8"/>
      <c r="D103" s="8"/>
      <c r="E103" s="8"/>
      <c r="F103" s="8"/>
      <c r="G103" s="8"/>
      <c r="H103" s="8"/>
      <c r="I103" s="8"/>
    </row>
    <row r="104" spans="1:9" ht="16.5">
      <c r="A104" s="8"/>
      <c r="B104" s="8"/>
      <c r="C104" s="8"/>
      <c r="D104" s="8"/>
      <c r="E104" s="8"/>
      <c r="F104" s="8"/>
      <c r="G104" s="8"/>
      <c r="H104" s="8"/>
      <c r="I104" s="8"/>
    </row>
    <row r="105" spans="1:9" ht="16.5">
      <c r="A105" s="8"/>
      <c r="B105" s="8"/>
      <c r="C105" s="8"/>
      <c r="D105" s="8"/>
      <c r="E105" s="8"/>
      <c r="F105" s="8"/>
      <c r="G105" s="8"/>
      <c r="H105" s="8"/>
      <c r="I105" s="8"/>
    </row>
  </sheetData>
  <pageMargins left="0.25" right="0.25" top="0.75" bottom="0.75" header="0.3" footer="0.3"/>
  <pageSetup scale="49"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385D29-F7AC-49AA-AB69-67F9FC9054F9}">
  <sheetPr>
    <tabColor rgb="FF92D050"/>
    <pageSetUpPr fitToPage="1"/>
  </sheetPr>
  <dimension ref="A1:J84"/>
  <sheetViews>
    <sheetView view="pageBreakPreview" topLeftCell="A10" zoomScale="60" zoomScaleNormal="80" workbookViewId="0">
      <selection activeCell="A61" sqref="A61:B61"/>
    </sheetView>
  </sheetViews>
  <sheetFormatPr defaultRowHeight="15"/>
  <cols>
    <col min="1" max="1" width="74.5703125" customWidth="1"/>
    <col min="2" max="2" width="21.7109375" customWidth="1"/>
    <col min="3" max="3" width="24.5703125" customWidth="1"/>
    <col min="4" max="4" width="29.42578125" customWidth="1"/>
    <col min="5" max="5" width="30.5703125" customWidth="1"/>
    <col min="6" max="6" width="32.140625" customWidth="1"/>
    <col min="7" max="7" width="27" customWidth="1"/>
    <col min="8" max="8" width="13.7109375" customWidth="1"/>
    <col min="9" max="9" width="13.85546875" customWidth="1"/>
    <col min="10" max="11" width="14.140625" bestFit="1" customWidth="1"/>
  </cols>
  <sheetData>
    <row r="1" spans="1:10" ht="26.25">
      <c r="A1" s="19" t="s">
        <v>1</v>
      </c>
      <c r="B1" s="19"/>
      <c r="C1" s="19"/>
      <c r="D1" s="8"/>
      <c r="E1" s="8"/>
      <c r="F1" s="8"/>
      <c r="G1" s="8"/>
      <c r="H1" s="8"/>
      <c r="I1" s="8"/>
      <c r="J1" s="8"/>
    </row>
    <row r="2" spans="1:10" ht="17.25">
      <c r="A2" s="20" t="s">
        <v>9</v>
      </c>
      <c r="B2" s="20"/>
      <c r="C2" s="20"/>
      <c r="D2" s="8"/>
      <c r="E2" s="8"/>
      <c r="F2" s="8"/>
      <c r="G2" s="8"/>
      <c r="H2" s="8"/>
      <c r="I2" s="8"/>
      <c r="J2" s="8"/>
    </row>
    <row r="3" spans="1:10" ht="16.5">
      <c r="A3" s="21" t="s">
        <v>453</v>
      </c>
      <c r="B3" s="21"/>
      <c r="C3" s="21"/>
      <c r="D3" s="8"/>
      <c r="E3" s="8"/>
      <c r="F3" s="8"/>
      <c r="G3" s="8"/>
      <c r="H3" s="8"/>
      <c r="I3" s="8"/>
      <c r="J3" s="8"/>
    </row>
    <row r="4" spans="1:10" ht="16.5">
      <c r="A4" s="21"/>
      <c r="B4" s="21"/>
      <c r="C4" s="21"/>
      <c r="D4" s="8"/>
      <c r="E4" s="8"/>
      <c r="F4" s="8"/>
      <c r="G4" s="8"/>
      <c r="H4" s="8"/>
      <c r="I4" s="8"/>
      <c r="J4" s="8"/>
    </row>
    <row r="5" spans="1:10" ht="17.25" thickBot="1">
      <c r="A5" s="8"/>
      <c r="B5" s="8"/>
      <c r="C5" s="8"/>
      <c r="D5" s="8"/>
      <c r="E5" s="8"/>
      <c r="F5" s="8"/>
      <c r="G5" s="8"/>
      <c r="H5" s="22" t="s">
        <v>0</v>
      </c>
      <c r="I5" s="22"/>
      <c r="J5" s="8"/>
    </row>
    <row r="6" spans="1:10" ht="21" thickBot="1">
      <c r="A6" s="23" t="str">
        <f>+'S&amp;D'!A12</f>
        <v>Railroad Carriers</v>
      </c>
      <c r="B6" s="8"/>
      <c r="C6" s="8"/>
      <c r="D6" s="24"/>
      <c r="E6" s="24"/>
      <c r="F6" s="24"/>
      <c r="G6" s="8"/>
      <c r="H6" s="8"/>
      <c r="I6" s="8"/>
      <c r="J6" s="8"/>
    </row>
    <row r="7" spans="1:10" ht="26.25">
      <c r="B7" s="26"/>
      <c r="C7" s="26"/>
      <c r="D7" s="8"/>
      <c r="E7" s="27" t="s">
        <v>210</v>
      </c>
      <c r="F7" s="8"/>
      <c r="G7" s="8"/>
      <c r="H7" s="8"/>
      <c r="I7" s="8"/>
      <c r="J7" s="8"/>
    </row>
    <row r="8" spans="1:10" ht="21" thickBot="1">
      <c r="A8" s="26"/>
      <c r="B8" s="26"/>
      <c r="C8" s="26"/>
      <c r="D8" s="24"/>
      <c r="E8" s="32" t="s">
        <v>454</v>
      </c>
      <c r="F8" s="24"/>
      <c r="G8" s="8"/>
      <c r="H8" s="8"/>
      <c r="I8" s="8"/>
      <c r="J8" s="8"/>
    </row>
    <row r="9" spans="1:10" ht="20.25">
      <c r="A9" s="26"/>
      <c r="B9" s="26"/>
      <c r="C9" s="26"/>
      <c r="D9" s="8"/>
      <c r="E9" s="30"/>
      <c r="F9" s="8"/>
      <c r="G9" s="8"/>
      <c r="H9" s="8"/>
      <c r="I9" s="8"/>
      <c r="J9" s="8"/>
    </row>
    <row r="10" spans="1:10" ht="20.25">
      <c r="A10" s="26"/>
      <c r="B10" s="26"/>
      <c r="H10" s="8"/>
      <c r="I10" s="8"/>
      <c r="J10" s="8"/>
    </row>
    <row r="11" spans="1:10" ht="20.25">
      <c r="A11" s="26"/>
      <c r="B11" s="26"/>
      <c r="H11" s="8"/>
      <c r="I11" s="8"/>
      <c r="J11" s="8"/>
    </row>
    <row r="12" spans="1:10" ht="30" customHeight="1" thickBot="1">
      <c r="A12" s="26"/>
      <c r="B12" s="26"/>
      <c r="C12" t="s">
        <v>0</v>
      </c>
      <c r="H12" s="8"/>
      <c r="I12" s="8"/>
      <c r="J12" s="8"/>
    </row>
    <row r="13" spans="1:10" ht="26.25" customHeight="1" thickBot="1">
      <c r="A13" s="151" t="s">
        <v>226</v>
      </c>
      <c r="B13" s="8" t="s">
        <v>0</v>
      </c>
      <c r="C13" s="8"/>
      <c r="D13" s="8"/>
      <c r="E13" s="8"/>
      <c r="F13" s="8"/>
      <c r="G13" s="8"/>
      <c r="H13" s="8"/>
      <c r="I13" s="8"/>
      <c r="J13" s="8"/>
    </row>
    <row r="14" spans="1:10" ht="42" customHeight="1" thickBot="1">
      <c r="A14" s="150" t="s">
        <v>224</v>
      </c>
      <c r="B14" s="149" t="s">
        <v>215</v>
      </c>
      <c r="C14" s="148" t="s">
        <v>227</v>
      </c>
      <c r="D14" s="149" t="s">
        <v>217</v>
      </c>
      <c r="E14" s="149" t="s">
        <v>403</v>
      </c>
      <c r="F14" s="147" t="s">
        <v>216</v>
      </c>
      <c r="G14" s="8"/>
      <c r="H14" s="8"/>
      <c r="I14" s="8"/>
      <c r="J14" s="8"/>
    </row>
    <row r="15" spans="1:10" ht="16.5">
      <c r="A15" s="144"/>
      <c r="B15" s="106"/>
      <c r="C15" s="106"/>
      <c r="D15" s="106"/>
      <c r="E15" s="106"/>
      <c r="F15" s="145"/>
      <c r="G15" s="8"/>
      <c r="H15" s="8"/>
      <c r="I15" s="8"/>
      <c r="J15" s="8"/>
    </row>
    <row r="16" spans="1:10" ht="17.25">
      <c r="A16" s="190" t="s">
        <v>405</v>
      </c>
      <c r="B16" s="203">
        <v>2.9100000000000001E-2</v>
      </c>
      <c r="C16" s="200">
        <f>+'Beta for CAPM'!I29</f>
        <v>1</v>
      </c>
      <c r="D16" s="191">
        <f>+B16*C16</f>
        <v>2.9100000000000001E-2</v>
      </c>
      <c r="E16" s="191">
        <f>+'Growth &amp; Inflation Rates'!F93</f>
        <v>4.1099999999999998E-2</v>
      </c>
      <c r="F16" s="192">
        <f>+D16+E16</f>
        <v>7.0199999999999999E-2</v>
      </c>
      <c r="G16" s="8"/>
      <c r="H16" s="8"/>
      <c r="I16" s="8"/>
      <c r="J16" s="8"/>
    </row>
    <row r="17" spans="1:10" ht="17.25">
      <c r="A17" s="190" t="s">
        <v>406</v>
      </c>
      <c r="B17" s="203">
        <v>3.0800000000000001E-2</v>
      </c>
      <c r="C17" s="200">
        <f>+C16</f>
        <v>1</v>
      </c>
      <c r="D17" s="191">
        <f>+B17*C17</f>
        <v>3.0800000000000001E-2</v>
      </c>
      <c r="E17" s="191">
        <f>+E16</f>
        <v>4.1099999999999998E-2</v>
      </c>
      <c r="F17" s="192">
        <f>+D17+E17</f>
        <v>7.1899999999999992E-2</v>
      </c>
      <c r="G17" s="8"/>
      <c r="H17" s="8"/>
      <c r="I17" s="8"/>
      <c r="J17" s="8"/>
    </row>
    <row r="18" spans="1:10" ht="17.25">
      <c r="A18" s="193"/>
      <c r="B18" s="100"/>
      <c r="C18" s="100"/>
      <c r="D18" s="100"/>
      <c r="E18" s="100"/>
      <c r="F18" s="194"/>
      <c r="G18" s="8"/>
      <c r="H18" s="8"/>
      <c r="I18" s="8"/>
      <c r="J18" s="8"/>
    </row>
    <row r="19" spans="1:10" ht="17.25">
      <c r="A19" s="190" t="s">
        <v>423</v>
      </c>
      <c r="B19" s="203">
        <v>4.5999999999999999E-2</v>
      </c>
      <c r="C19" s="200">
        <f>+C16</f>
        <v>1</v>
      </c>
      <c r="D19" s="191">
        <f>+B19*C19</f>
        <v>4.5999999999999999E-2</v>
      </c>
      <c r="E19" s="191">
        <f>+E16</f>
        <v>4.1099999999999998E-2</v>
      </c>
      <c r="F19" s="192">
        <f>+D19+E19</f>
        <v>8.7099999999999997E-2</v>
      </c>
      <c r="G19" s="8"/>
      <c r="H19" s="8"/>
      <c r="I19" s="8"/>
      <c r="J19" s="8"/>
    </row>
    <row r="20" spans="1:10" ht="17.25">
      <c r="A20" s="190" t="s">
        <v>444</v>
      </c>
      <c r="B20" s="203">
        <v>6.0699999999999997E-2</v>
      </c>
      <c r="C20" s="200">
        <f>+C16</f>
        <v>1</v>
      </c>
      <c r="D20" s="191">
        <f>+B20*C20</f>
        <v>6.0699999999999997E-2</v>
      </c>
      <c r="E20" s="191">
        <f>+E16</f>
        <v>4.1099999999999998E-2</v>
      </c>
      <c r="F20" s="192">
        <f>+D20+E20</f>
        <v>0.1018</v>
      </c>
      <c r="G20" s="8"/>
      <c r="H20" s="8"/>
      <c r="I20" s="8"/>
      <c r="J20" s="8"/>
    </row>
    <row r="21" spans="1:10" ht="17.25">
      <c r="A21" s="190" t="s">
        <v>424</v>
      </c>
      <c r="B21" s="203">
        <v>4.4299999999999999E-2</v>
      </c>
      <c r="C21" s="200">
        <f>+C16</f>
        <v>1</v>
      </c>
      <c r="D21" s="191">
        <f>+B21*C21</f>
        <v>4.4299999999999999E-2</v>
      </c>
      <c r="E21" s="191">
        <f>+E16</f>
        <v>4.1099999999999998E-2</v>
      </c>
      <c r="F21" s="192">
        <f>+D21+E21</f>
        <v>8.5400000000000004E-2</v>
      </c>
      <c r="G21" s="8"/>
      <c r="H21" s="8"/>
      <c r="I21" s="8"/>
      <c r="J21" s="8"/>
    </row>
    <row r="22" spans="1:10" ht="17.25">
      <c r="A22" s="190" t="s">
        <v>425</v>
      </c>
      <c r="B22" s="203">
        <v>4.2900000000000001E-2</v>
      </c>
      <c r="C22" s="200">
        <f>+C16</f>
        <v>1</v>
      </c>
      <c r="D22" s="191">
        <f>+B22*C22</f>
        <v>4.2900000000000001E-2</v>
      </c>
      <c r="E22" s="191">
        <f>+E16</f>
        <v>4.1099999999999998E-2</v>
      </c>
      <c r="F22" s="192">
        <f>+D22+E22</f>
        <v>8.3999999999999991E-2</v>
      </c>
      <c r="G22" s="8"/>
      <c r="H22" s="8"/>
      <c r="I22" s="8"/>
      <c r="J22" s="8"/>
    </row>
    <row r="23" spans="1:10" ht="17.25">
      <c r="A23" s="190" t="s">
        <v>0</v>
      </c>
      <c r="B23" s="203" t="s">
        <v>0</v>
      </c>
      <c r="C23" s="201" t="s">
        <v>0</v>
      </c>
      <c r="D23" s="191" t="s">
        <v>0</v>
      </c>
      <c r="E23" s="191" t="s">
        <v>0</v>
      </c>
      <c r="F23" s="192" t="s">
        <v>0</v>
      </c>
      <c r="G23" s="8"/>
      <c r="H23" s="8"/>
      <c r="I23" s="8"/>
      <c r="J23" s="8"/>
    </row>
    <row r="24" spans="1:10" ht="17.25">
      <c r="A24" s="190" t="s">
        <v>220</v>
      </c>
      <c r="B24" s="203">
        <v>4.9399999999999999E-2</v>
      </c>
      <c r="C24" s="200">
        <f>+C16</f>
        <v>1</v>
      </c>
      <c r="D24" s="191">
        <f>+B24*C24</f>
        <v>4.9399999999999999E-2</v>
      </c>
      <c r="E24" s="191">
        <f>+E16</f>
        <v>4.1099999999999998E-2</v>
      </c>
      <c r="F24" s="192">
        <f>+D24+E24</f>
        <v>9.0499999999999997E-2</v>
      </c>
      <c r="G24" s="8"/>
      <c r="H24" s="8"/>
      <c r="I24" s="8"/>
      <c r="J24" s="8"/>
    </row>
    <row r="25" spans="1:10" ht="17.25">
      <c r="A25" s="190" t="s">
        <v>0</v>
      </c>
      <c r="B25" s="203" t="s">
        <v>0</v>
      </c>
      <c r="C25" s="201" t="s">
        <v>0</v>
      </c>
      <c r="D25" s="191" t="s">
        <v>0</v>
      </c>
      <c r="E25" s="191" t="s">
        <v>0</v>
      </c>
      <c r="F25" s="192" t="s">
        <v>0</v>
      </c>
      <c r="G25" s="8"/>
      <c r="H25" s="8"/>
      <c r="I25" s="8"/>
      <c r="J25" s="8"/>
    </row>
    <row r="26" spans="1:10" ht="17.25">
      <c r="A26" s="190" t="s">
        <v>441</v>
      </c>
      <c r="B26" s="203">
        <v>5.7000000000000002E-2</v>
      </c>
      <c r="C26" s="200">
        <f>+C16</f>
        <v>1</v>
      </c>
      <c r="D26" s="191">
        <f>+B26*C26</f>
        <v>5.7000000000000002E-2</v>
      </c>
      <c r="E26" s="191">
        <f>+E16</f>
        <v>4.1099999999999998E-2</v>
      </c>
      <c r="F26" s="192">
        <f>+D26+E26</f>
        <v>9.8099999999999993E-2</v>
      </c>
      <c r="G26" s="8"/>
      <c r="H26" s="8"/>
      <c r="I26" s="8"/>
      <c r="J26" s="8"/>
    </row>
    <row r="27" spans="1:10" ht="17.25">
      <c r="A27" s="190" t="s">
        <v>0</v>
      </c>
      <c r="B27" s="203" t="s">
        <v>0</v>
      </c>
      <c r="C27" s="201" t="s">
        <v>0</v>
      </c>
      <c r="D27" s="191" t="s">
        <v>0</v>
      </c>
      <c r="E27" s="191" t="s">
        <v>0</v>
      </c>
      <c r="F27" s="192" t="s">
        <v>0</v>
      </c>
      <c r="G27" s="8"/>
      <c r="H27" s="8"/>
      <c r="I27" s="8"/>
      <c r="J27" s="8"/>
    </row>
    <row r="28" spans="1:10" ht="17.25">
      <c r="A28" s="190" t="s">
        <v>221</v>
      </c>
      <c r="B28" s="203">
        <v>6.4500000000000002E-2</v>
      </c>
      <c r="C28" s="200">
        <f>+C16</f>
        <v>1</v>
      </c>
      <c r="D28" s="191">
        <f>+B28*C28</f>
        <v>6.4500000000000002E-2</v>
      </c>
      <c r="E28" s="191">
        <f>+E16</f>
        <v>4.1099999999999998E-2</v>
      </c>
      <c r="F28" s="192">
        <f>+D28+E28</f>
        <v>0.1056</v>
      </c>
      <c r="G28" s="8"/>
      <c r="H28" s="8"/>
      <c r="I28" s="8"/>
      <c r="J28" s="8"/>
    </row>
    <row r="29" spans="1:10" ht="17.25">
      <c r="A29" s="190" t="s">
        <v>222</v>
      </c>
      <c r="B29" s="203">
        <v>5.1900000000000002E-2</v>
      </c>
      <c r="C29" s="200">
        <f>+C16</f>
        <v>1</v>
      </c>
      <c r="D29" s="191">
        <f>+B29*C29</f>
        <v>5.1900000000000002E-2</v>
      </c>
      <c r="E29" s="191">
        <f>+E16</f>
        <v>4.1099999999999998E-2</v>
      </c>
      <c r="F29" s="192">
        <f>+D29+E29</f>
        <v>9.2999999999999999E-2</v>
      </c>
      <c r="G29" s="8"/>
      <c r="H29" s="8"/>
      <c r="I29" s="8"/>
      <c r="J29" s="8"/>
    </row>
    <row r="30" spans="1:10" ht="17.25">
      <c r="A30" s="190"/>
      <c r="B30" s="203"/>
      <c r="C30" s="200"/>
      <c r="D30" s="191"/>
      <c r="E30" s="191"/>
      <c r="F30" s="192"/>
      <c r="G30" s="8"/>
      <c r="H30" s="8"/>
      <c r="I30" s="8"/>
      <c r="J30" s="8"/>
    </row>
    <row r="31" spans="1:10" ht="17.25">
      <c r="A31" s="190" t="s">
        <v>426</v>
      </c>
      <c r="B31" s="203">
        <v>7.17E-2</v>
      </c>
      <c r="C31" s="200">
        <f>+C16</f>
        <v>1</v>
      </c>
      <c r="D31" s="191">
        <f>+B31*C31</f>
        <v>7.17E-2</v>
      </c>
      <c r="E31" s="191">
        <f>+E16</f>
        <v>4.1099999999999998E-2</v>
      </c>
      <c r="F31" s="192">
        <f>+D31+E31</f>
        <v>0.1128</v>
      </c>
      <c r="G31" s="8"/>
      <c r="H31" s="8"/>
      <c r="I31" s="8"/>
      <c r="J31" s="8"/>
    </row>
    <row r="32" spans="1:10" ht="17.25">
      <c r="A32" s="190" t="s">
        <v>427</v>
      </c>
      <c r="B32" s="203">
        <v>6.2199999999999998E-2</v>
      </c>
      <c r="C32" s="200">
        <f>+C16</f>
        <v>1</v>
      </c>
      <c r="D32" s="191">
        <f>+B32*C32</f>
        <v>6.2199999999999998E-2</v>
      </c>
      <c r="E32" s="191">
        <f>+E16</f>
        <v>4.1099999999999998E-2</v>
      </c>
      <c r="F32" s="192">
        <f>+D32+E32</f>
        <v>0.1033</v>
      </c>
      <c r="G32" s="8"/>
      <c r="H32" s="8"/>
      <c r="I32" s="8"/>
      <c r="J32" s="8"/>
    </row>
    <row r="33" spans="1:10" ht="17.25">
      <c r="A33" s="190" t="s">
        <v>428</v>
      </c>
      <c r="B33" s="203">
        <v>5.5E-2</v>
      </c>
      <c r="C33" s="200">
        <f>+C16</f>
        <v>1</v>
      </c>
      <c r="D33" s="191">
        <f>+B33*C33</f>
        <v>5.5E-2</v>
      </c>
      <c r="E33" s="191">
        <f>+E16</f>
        <v>4.1099999999999998E-2</v>
      </c>
      <c r="F33" s="192">
        <f>+D33+E33</f>
        <v>9.6099999999999991E-2</v>
      </c>
      <c r="G33" s="8"/>
      <c r="H33" s="8"/>
      <c r="I33" s="8"/>
      <c r="J33" s="8"/>
    </row>
    <row r="34" spans="1:10" ht="17.25">
      <c r="A34" s="190"/>
      <c r="B34" s="203"/>
      <c r="C34" s="200"/>
      <c r="D34" s="191"/>
      <c r="E34" s="191"/>
      <c r="F34" s="192"/>
      <c r="G34" s="8"/>
      <c r="H34" s="8"/>
      <c r="I34" s="8"/>
      <c r="J34" s="8"/>
    </row>
    <row r="35" spans="1:10" ht="17.25">
      <c r="A35" s="426" t="s">
        <v>416</v>
      </c>
      <c r="B35" s="427">
        <v>0</v>
      </c>
      <c r="C35" s="200">
        <f>+C16</f>
        <v>1</v>
      </c>
      <c r="D35" s="191">
        <f>+B35*C35</f>
        <v>0</v>
      </c>
      <c r="E35" s="191">
        <v>0</v>
      </c>
      <c r="F35" s="192">
        <f>+D35+E35</f>
        <v>0</v>
      </c>
      <c r="G35" s="8"/>
      <c r="H35" s="8"/>
      <c r="I35" s="8"/>
      <c r="J35" s="8"/>
    </row>
    <row r="36" spans="1:10" ht="17.25" thickBot="1">
      <c r="A36" s="392"/>
      <c r="B36" s="24"/>
      <c r="C36" s="24"/>
      <c r="D36" s="24"/>
      <c r="E36" s="24"/>
      <c r="F36" s="393"/>
      <c r="G36" s="8"/>
      <c r="H36" s="8"/>
      <c r="I36" s="8"/>
      <c r="J36" s="8"/>
    </row>
    <row r="37" spans="1:10" ht="16.5">
      <c r="A37" s="8"/>
      <c r="B37" s="8"/>
      <c r="C37" s="8"/>
      <c r="D37" s="8"/>
      <c r="E37" s="8"/>
      <c r="F37" s="8"/>
      <c r="G37" s="8"/>
      <c r="H37" s="8"/>
      <c r="I37" s="8"/>
      <c r="J37" s="8"/>
    </row>
    <row r="38" spans="1:10" ht="17.25" thickBot="1">
      <c r="A38" s="8"/>
      <c r="B38" s="8"/>
      <c r="C38" s="8"/>
      <c r="D38" s="8"/>
      <c r="E38" s="8"/>
      <c r="F38" s="8"/>
      <c r="G38" s="8" t="s">
        <v>0</v>
      </c>
      <c r="H38" s="8"/>
      <c r="I38" s="8"/>
      <c r="J38" s="8"/>
    </row>
    <row r="39" spans="1:10" ht="27" customHeight="1" thickBot="1">
      <c r="A39" s="151" t="s">
        <v>225</v>
      </c>
      <c r="B39" s="8"/>
      <c r="C39" s="8"/>
      <c r="D39" s="8"/>
      <c r="E39" s="8"/>
      <c r="F39" s="8"/>
      <c r="G39" s="8"/>
      <c r="H39" s="8"/>
      <c r="I39" s="8"/>
      <c r="J39" s="8"/>
    </row>
    <row r="40" spans="1:10" ht="44.25" customHeight="1" thickBot="1">
      <c r="A40" s="150" t="s">
        <v>223</v>
      </c>
      <c r="B40" s="149" t="s">
        <v>215</v>
      </c>
      <c r="C40" s="148" t="s">
        <v>227</v>
      </c>
      <c r="D40" s="149" t="s">
        <v>218</v>
      </c>
      <c r="E40" s="149" t="s">
        <v>219</v>
      </c>
      <c r="F40" s="149" t="s">
        <v>403</v>
      </c>
      <c r="G40" s="147" t="s">
        <v>216</v>
      </c>
      <c r="H40" s="8"/>
      <c r="I40" s="8"/>
      <c r="J40" s="8"/>
    </row>
    <row r="41" spans="1:10" ht="16.5">
      <c r="A41" s="144"/>
      <c r="B41" s="106"/>
      <c r="C41" s="106"/>
      <c r="D41" s="106"/>
      <c r="E41" s="106"/>
      <c r="F41" s="106"/>
      <c r="G41" s="145"/>
      <c r="H41" s="8"/>
      <c r="I41" s="8"/>
      <c r="J41" s="8"/>
    </row>
    <row r="42" spans="1:10" ht="17.25">
      <c r="A42" s="190" t="s">
        <v>442</v>
      </c>
      <c r="B42" s="203">
        <f>+B16</f>
        <v>2.9100000000000001E-2</v>
      </c>
      <c r="C42" s="199">
        <f>+C16</f>
        <v>1</v>
      </c>
      <c r="D42" s="191">
        <f>+B42*C42*0.75</f>
        <v>2.1825000000000001E-2</v>
      </c>
      <c r="E42" s="203">
        <f>+B42*0.25</f>
        <v>7.2750000000000002E-3</v>
      </c>
      <c r="F42" s="191">
        <f>+E16</f>
        <v>4.1099999999999998E-2</v>
      </c>
      <c r="G42" s="192">
        <f>+D42+E42+F42</f>
        <v>7.0199999999999999E-2</v>
      </c>
      <c r="H42" s="8"/>
      <c r="I42" s="8"/>
      <c r="J42" s="8"/>
    </row>
    <row r="43" spans="1:10" ht="17.25">
      <c r="A43" s="190" t="s">
        <v>443</v>
      </c>
      <c r="B43" s="203">
        <f>+B17</f>
        <v>3.0800000000000001E-2</v>
      </c>
      <c r="C43" s="199">
        <f>+C17</f>
        <v>1</v>
      </c>
      <c r="D43" s="191">
        <f>+B43*C43*0.75</f>
        <v>2.3100000000000002E-2</v>
      </c>
      <c r="E43" s="203">
        <f>+B43*0.25</f>
        <v>7.7000000000000002E-3</v>
      </c>
      <c r="F43" s="191">
        <f>+E17</f>
        <v>4.1099999999999998E-2</v>
      </c>
      <c r="G43" s="192">
        <f>+D43+E43+F43</f>
        <v>7.1899999999999992E-2</v>
      </c>
      <c r="H43" s="8"/>
      <c r="I43" s="8"/>
      <c r="J43" s="8"/>
    </row>
    <row r="44" spans="1:10" ht="17.25">
      <c r="A44" s="193"/>
      <c r="B44" s="100"/>
      <c r="C44" s="100"/>
      <c r="D44" s="100"/>
      <c r="E44" s="100"/>
      <c r="F44" s="100"/>
      <c r="G44" s="194"/>
      <c r="H44" s="8"/>
      <c r="I44" s="8"/>
      <c r="J44" s="8"/>
    </row>
    <row r="45" spans="1:10" ht="17.25">
      <c r="A45" s="190" t="str">
        <f>+A19</f>
        <v>Damodaran Implied ERP Ex Ante   Trailing 12 mo Cash Yield (3)</v>
      </c>
      <c r="B45" s="203">
        <f t="shared" ref="B45:C45" si="0">+B19</f>
        <v>4.5999999999999999E-2</v>
      </c>
      <c r="C45" s="199">
        <f t="shared" si="0"/>
        <v>1</v>
      </c>
      <c r="D45" s="191">
        <f>+B45*C45*0.75</f>
        <v>3.4500000000000003E-2</v>
      </c>
      <c r="E45" s="203">
        <f>+B45*0.25</f>
        <v>1.15E-2</v>
      </c>
      <c r="F45" s="191">
        <f>+E19</f>
        <v>4.1099999999999998E-2</v>
      </c>
      <c r="G45" s="192">
        <f>+D45+E45+F45</f>
        <v>8.7099999999999997E-2</v>
      </c>
      <c r="H45" s="8"/>
      <c r="I45" s="8"/>
      <c r="J45" s="8"/>
    </row>
    <row r="46" spans="1:10" ht="17.25">
      <c r="A46" s="190" t="str">
        <f>+A20</f>
        <v>Damodaran Implied ERP Ex Ante   Avg CF Yield Last 10 Yrs (3)</v>
      </c>
      <c r="B46" s="203">
        <v>5.8500000000000003E-2</v>
      </c>
      <c r="C46" s="199">
        <f>+C19</f>
        <v>1</v>
      </c>
      <c r="D46" s="191">
        <f>+B46*C46*0.75</f>
        <v>4.3875000000000004E-2</v>
      </c>
      <c r="E46" s="203">
        <f>+B46*0.25</f>
        <v>1.4625000000000001E-2</v>
      </c>
      <c r="F46" s="191">
        <f>+E19</f>
        <v>4.1099999999999998E-2</v>
      </c>
      <c r="G46" s="192">
        <f>+D46+E46+F46</f>
        <v>9.9599999999999994E-2</v>
      </c>
      <c r="H46" s="8"/>
      <c r="I46" s="8"/>
      <c r="J46" s="8"/>
    </row>
    <row r="47" spans="1:10" ht="17.25">
      <c r="A47" s="190" t="str">
        <f>+A21</f>
        <v>Damodaran Implied ERP Ex Ante   Net Cash Yield (3)</v>
      </c>
      <c r="B47" s="203">
        <f>+B21</f>
        <v>4.4299999999999999E-2</v>
      </c>
      <c r="C47" s="199">
        <f>+C21</f>
        <v>1</v>
      </c>
      <c r="D47" s="191">
        <f>+B47*C47*0.75</f>
        <v>3.3224999999999998E-2</v>
      </c>
      <c r="E47" s="203">
        <f>+B47*0.25</f>
        <v>1.1075E-2</v>
      </c>
      <c r="F47" s="191">
        <f>+E21</f>
        <v>4.1099999999999998E-2</v>
      </c>
      <c r="G47" s="192">
        <f>+D47+E47+F47</f>
        <v>8.5400000000000004E-2</v>
      </c>
      <c r="H47" s="8"/>
      <c r="I47" s="8"/>
      <c r="J47" s="8"/>
    </row>
    <row r="48" spans="1:10" ht="17.25">
      <c r="A48" s="190" t="str">
        <f>+A22</f>
        <v>Damodaran Implied ERP Ex Ante   Norm. Earnings &amp; Payout (3)</v>
      </c>
      <c r="B48" s="203">
        <f>+B22</f>
        <v>4.2900000000000001E-2</v>
      </c>
      <c r="C48" s="199">
        <f>+C22</f>
        <v>1</v>
      </c>
      <c r="D48" s="191">
        <f>+B48*C48*0.75</f>
        <v>3.2175000000000002E-2</v>
      </c>
      <c r="E48" s="203">
        <f>+B48*0.25</f>
        <v>1.0725E-2</v>
      </c>
      <c r="F48" s="191">
        <f>+E22</f>
        <v>4.1099999999999998E-2</v>
      </c>
      <c r="G48" s="192">
        <f>+D48+E48+F48</f>
        <v>8.3999999999999991E-2</v>
      </c>
      <c r="H48" s="8"/>
      <c r="I48" s="8"/>
      <c r="J48" s="8"/>
    </row>
    <row r="49" spans="1:10" ht="17.25">
      <c r="A49" s="190" t="s">
        <v>0</v>
      </c>
      <c r="B49" s="203" t="s">
        <v>0</v>
      </c>
      <c r="C49" s="191" t="s">
        <v>0</v>
      </c>
      <c r="D49" s="191" t="s">
        <v>0</v>
      </c>
      <c r="E49" s="203" t="s">
        <v>0</v>
      </c>
      <c r="F49" s="191" t="s">
        <v>0</v>
      </c>
      <c r="G49" s="192" t="s">
        <v>0</v>
      </c>
      <c r="H49" s="8"/>
      <c r="I49" s="8"/>
      <c r="J49" s="8"/>
    </row>
    <row r="50" spans="1:10" ht="17.25">
      <c r="A50" s="190" t="s">
        <v>220</v>
      </c>
      <c r="B50" s="203">
        <f>+B24</f>
        <v>4.9399999999999999E-2</v>
      </c>
      <c r="C50" s="199">
        <f>+C24</f>
        <v>1</v>
      </c>
      <c r="D50" s="191">
        <f>+B50*C50*0.75</f>
        <v>3.705E-2</v>
      </c>
      <c r="E50" s="203">
        <f>+B50*0.25</f>
        <v>1.235E-2</v>
      </c>
      <c r="F50" s="191">
        <f>+E24</f>
        <v>4.1099999999999998E-2</v>
      </c>
      <c r="G50" s="192">
        <f>+D50+E50+F50</f>
        <v>9.0499999999999997E-2</v>
      </c>
      <c r="H50" s="8"/>
      <c r="I50" s="8"/>
      <c r="J50" s="8"/>
    </row>
    <row r="51" spans="1:10" ht="17.25">
      <c r="A51" s="190" t="s">
        <v>0</v>
      </c>
      <c r="B51" s="203" t="s">
        <v>0</v>
      </c>
      <c r="C51" s="191" t="s">
        <v>0</v>
      </c>
      <c r="D51" s="191" t="s">
        <v>0</v>
      </c>
      <c r="E51" s="203" t="s">
        <v>0</v>
      </c>
      <c r="F51" s="191" t="s">
        <v>0</v>
      </c>
      <c r="G51" s="192" t="s">
        <v>0</v>
      </c>
    </row>
    <row r="52" spans="1:10" ht="17.25">
      <c r="A52" s="190" t="s">
        <v>441</v>
      </c>
      <c r="B52" s="203">
        <f>+B26</f>
        <v>5.7000000000000002E-2</v>
      </c>
      <c r="C52" s="199">
        <f>+C26</f>
        <v>1</v>
      </c>
      <c r="D52" s="191">
        <f>+B52*C52*0.75</f>
        <v>4.2750000000000003E-2</v>
      </c>
      <c r="E52" s="203">
        <f>+B52*0.25</f>
        <v>1.4250000000000001E-2</v>
      </c>
      <c r="F52" s="191">
        <f>+E26</f>
        <v>4.1099999999999998E-2</v>
      </c>
      <c r="G52" s="192">
        <f>+D52+E52+F52</f>
        <v>9.8099999999999993E-2</v>
      </c>
    </row>
    <row r="53" spans="1:10" ht="17.25">
      <c r="A53" s="190" t="s">
        <v>0</v>
      </c>
      <c r="B53" s="203" t="s">
        <v>0</v>
      </c>
      <c r="C53" s="191" t="s">
        <v>0</v>
      </c>
      <c r="D53" s="191" t="s">
        <v>0</v>
      </c>
      <c r="E53" s="203" t="s">
        <v>0</v>
      </c>
      <c r="F53" s="191" t="s">
        <v>0</v>
      </c>
      <c r="G53" s="192" t="s">
        <v>0</v>
      </c>
    </row>
    <row r="54" spans="1:10" ht="17.25">
      <c r="A54" s="190" t="s">
        <v>221</v>
      </c>
      <c r="B54" s="203">
        <f>+B28</f>
        <v>6.4500000000000002E-2</v>
      </c>
      <c r="C54" s="199">
        <f>+C28</f>
        <v>1</v>
      </c>
      <c r="D54" s="191">
        <f>+B54*C54*0.75</f>
        <v>4.8375000000000001E-2</v>
      </c>
      <c r="E54" s="203">
        <f>+B54*0.25</f>
        <v>1.6125E-2</v>
      </c>
      <c r="F54" s="191">
        <f>+E28</f>
        <v>4.1099999999999998E-2</v>
      </c>
      <c r="G54" s="192">
        <f>+D54+E54+F54</f>
        <v>0.1056</v>
      </c>
    </row>
    <row r="55" spans="1:10" ht="17.25">
      <c r="A55" s="190" t="s">
        <v>222</v>
      </c>
      <c r="B55" s="203">
        <f>+B29</f>
        <v>5.1900000000000002E-2</v>
      </c>
      <c r="C55" s="199">
        <f>+C29</f>
        <v>1</v>
      </c>
      <c r="D55" s="191">
        <f>+B55*C55*0.75</f>
        <v>3.8925000000000001E-2</v>
      </c>
      <c r="E55" s="203">
        <f>+B55*0.25</f>
        <v>1.2975E-2</v>
      </c>
      <c r="F55" s="191">
        <f>+E29</f>
        <v>4.1099999999999998E-2</v>
      </c>
      <c r="G55" s="192">
        <f>+D55+E55+F55</f>
        <v>9.2999999999999999E-2</v>
      </c>
    </row>
    <row r="56" spans="1:10" ht="17.25">
      <c r="A56" s="190"/>
      <c r="B56" s="203"/>
      <c r="C56" s="199"/>
      <c r="D56" s="191"/>
      <c r="E56" s="203"/>
      <c r="F56" s="191"/>
      <c r="G56" s="192"/>
    </row>
    <row r="57" spans="1:10" ht="17.25">
      <c r="A57" s="190" t="s">
        <v>426</v>
      </c>
      <c r="B57" s="203">
        <f>+B31</f>
        <v>7.17E-2</v>
      </c>
      <c r="C57" s="199">
        <f>+C31</f>
        <v>1</v>
      </c>
      <c r="D57" s="191">
        <f>+B57*C57*0.75</f>
        <v>5.3775000000000003E-2</v>
      </c>
      <c r="E57" s="203">
        <f>+B57*0.25</f>
        <v>1.7925E-2</v>
      </c>
      <c r="F57" s="191">
        <f>+E31</f>
        <v>4.1099999999999998E-2</v>
      </c>
      <c r="G57" s="192">
        <f>+D57+E57+F57</f>
        <v>0.1128</v>
      </c>
    </row>
    <row r="58" spans="1:10" ht="17.25">
      <c r="A58" s="190" t="s">
        <v>427</v>
      </c>
      <c r="B58" s="203">
        <f>+B32</f>
        <v>6.2199999999999998E-2</v>
      </c>
      <c r="C58" s="199">
        <f>+C32</f>
        <v>1</v>
      </c>
      <c r="D58" s="191">
        <f>+B58*C58*0.75</f>
        <v>4.6649999999999997E-2</v>
      </c>
      <c r="E58" s="203">
        <f>+B58*0.25</f>
        <v>1.555E-2</v>
      </c>
      <c r="F58" s="191">
        <f>+E32</f>
        <v>4.1099999999999998E-2</v>
      </c>
      <c r="G58" s="192">
        <f>+D58+E58+F58</f>
        <v>0.1033</v>
      </c>
    </row>
    <row r="59" spans="1:10" ht="17.25">
      <c r="A59" s="190" t="s">
        <v>428</v>
      </c>
      <c r="B59" s="203">
        <f>+B33</f>
        <v>5.5E-2</v>
      </c>
      <c r="C59" s="199">
        <f>+C29</f>
        <v>1</v>
      </c>
      <c r="D59" s="191">
        <f>+B59*C59*0.75</f>
        <v>4.1250000000000002E-2</v>
      </c>
      <c r="E59" s="203">
        <f>+B59*0.25</f>
        <v>1.375E-2</v>
      </c>
      <c r="F59" s="191">
        <f>+E33</f>
        <v>4.1099999999999998E-2</v>
      </c>
      <c r="G59" s="192">
        <f>+D59+E59+F59</f>
        <v>9.6099999999999991E-2</v>
      </c>
    </row>
    <row r="60" spans="1:10" ht="17.25">
      <c r="A60" s="190"/>
      <c r="B60" s="203"/>
      <c r="C60" s="199"/>
      <c r="D60" s="191"/>
      <c r="E60" s="203"/>
      <c r="F60" s="191"/>
      <c r="G60" s="192"/>
    </row>
    <row r="61" spans="1:10" ht="17.25">
      <c r="A61" s="426" t="s">
        <v>416</v>
      </c>
      <c r="B61" s="427">
        <f>+B35</f>
        <v>0</v>
      </c>
      <c r="C61" s="199">
        <f>+C33</f>
        <v>1</v>
      </c>
      <c r="D61" s="191">
        <f>+B61*C61*0.75</f>
        <v>0</v>
      </c>
      <c r="E61" s="203">
        <f>+B61*0.25</f>
        <v>0</v>
      </c>
      <c r="F61" s="191">
        <f>+E35</f>
        <v>0</v>
      </c>
      <c r="G61" s="192">
        <f>+D61+E61+F61</f>
        <v>0</v>
      </c>
    </row>
    <row r="62" spans="1:10" ht="15.75" thickBot="1">
      <c r="A62" s="289"/>
      <c r="B62" s="142"/>
      <c r="C62" s="142"/>
      <c r="D62" s="142"/>
      <c r="E62" s="142"/>
      <c r="F62" s="142"/>
      <c r="G62" s="290"/>
    </row>
    <row r="64" spans="1:10" ht="17.25">
      <c r="A64" s="58" t="s">
        <v>72</v>
      </c>
      <c r="E64" s="202" t="s">
        <v>0</v>
      </c>
    </row>
    <row r="65" spans="1:7" ht="16.5">
      <c r="A65" s="424" t="s">
        <v>0</v>
      </c>
      <c r="E65" s="202" t="s">
        <v>0</v>
      </c>
    </row>
    <row r="66" spans="1:7" ht="16.5">
      <c r="A66" s="424" t="s">
        <v>415</v>
      </c>
      <c r="B66" s="8"/>
      <c r="C66" s="8"/>
      <c r="D66" s="8"/>
      <c r="E66" s="8"/>
      <c r="F66" s="8"/>
      <c r="G66" s="8"/>
    </row>
    <row r="67" spans="1:7" ht="16.5">
      <c r="A67" s="424" t="s">
        <v>0</v>
      </c>
      <c r="B67" s="8"/>
      <c r="C67" s="8"/>
      <c r="D67" s="8"/>
      <c r="E67" s="8"/>
      <c r="F67" s="8"/>
      <c r="G67" s="8"/>
    </row>
    <row r="68" spans="1:7" ht="16.5">
      <c r="A68" s="424" t="s">
        <v>489</v>
      </c>
      <c r="B68" s="8"/>
      <c r="C68" s="8"/>
      <c r="D68" s="8"/>
      <c r="E68" s="8"/>
      <c r="F68" s="8"/>
      <c r="G68" s="8"/>
    </row>
    <row r="69" spans="1:7" ht="16.5">
      <c r="A69" s="425" t="s">
        <v>420</v>
      </c>
      <c r="C69" s="8"/>
      <c r="D69" s="8"/>
      <c r="E69" s="8"/>
      <c r="F69" s="8"/>
      <c r="G69" s="8"/>
    </row>
    <row r="70" spans="1:7" ht="16.5">
      <c r="A70" s="424" t="s">
        <v>0</v>
      </c>
      <c r="B70" s="8"/>
      <c r="C70" s="8"/>
      <c r="D70" s="8"/>
      <c r="E70" s="8"/>
      <c r="F70" s="8"/>
      <c r="G70" s="8"/>
    </row>
    <row r="71" spans="1:7" ht="16.5">
      <c r="A71" s="424" t="s">
        <v>490</v>
      </c>
      <c r="B71" s="8"/>
      <c r="C71" s="8"/>
      <c r="D71" s="8"/>
      <c r="E71" s="8"/>
      <c r="F71" s="8"/>
      <c r="G71" s="8"/>
    </row>
    <row r="72" spans="1:7" ht="16.5">
      <c r="A72" s="425" t="s">
        <v>419</v>
      </c>
      <c r="B72" s="8"/>
      <c r="C72" s="8"/>
      <c r="D72" s="8"/>
      <c r="E72" s="8"/>
      <c r="F72" s="8"/>
      <c r="G72" s="8"/>
    </row>
    <row r="73" spans="1:7" ht="16.5">
      <c r="A73" s="424"/>
      <c r="B73" s="8"/>
      <c r="C73" s="8"/>
      <c r="D73" s="8"/>
      <c r="E73" s="8"/>
      <c r="F73" s="8"/>
      <c r="G73" s="8"/>
    </row>
    <row r="74" spans="1:7" ht="16.5">
      <c r="A74" s="424" t="s">
        <v>491</v>
      </c>
      <c r="B74" s="8"/>
      <c r="C74" s="8"/>
      <c r="D74" s="8"/>
      <c r="E74" s="8"/>
      <c r="F74" s="8"/>
      <c r="G74" s="8"/>
    </row>
    <row r="75" spans="1:7" ht="16.5">
      <c r="A75" s="425" t="s">
        <v>492</v>
      </c>
      <c r="B75" s="8"/>
      <c r="C75" s="8"/>
      <c r="D75" s="8"/>
      <c r="E75" s="8"/>
      <c r="F75" s="8"/>
      <c r="G75" s="8"/>
    </row>
    <row r="76" spans="1:7" ht="16.5">
      <c r="A76" s="424"/>
      <c r="B76" s="8"/>
      <c r="C76" s="8"/>
      <c r="D76" s="8"/>
      <c r="E76" s="8"/>
      <c r="F76" s="8"/>
      <c r="G76" s="8"/>
    </row>
    <row r="77" spans="1:7" ht="16.5">
      <c r="A77" s="424" t="s">
        <v>493</v>
      </c>
      <c r="B77" s="8"/>
      <c r="C77" s="8"/>
      <c r="D77" s="8"/>
      <c r="E77" s="8"/>
      <c r="F77" s="8"/>
      <c r="G77" s="8"/>
    </row>
    <row r="78" spans="1:7" ht="16.5">
      <c r="A78" s="425" t="s">
        <v>418</v>
      </c>
      <c r="B78" s="8"/>
      <c r="C78" s="8"/>
      <c r="D78" s="8"/>
      <c r="E78" s="8"/>
      <c r="F78" s="8"/>
      <c r="G78" s="8"/>
    </row>
    <row r="79" spans="1:7" ht="16.5">
      <c r="A79" s="424"/>
    </row>
    <row r="80" spans="1:7" ht="16.5">
      <c r="A80" s="424" t="s">
        <v>494</v>
      </c>
    </row>
    <row r="81" spans="1:7" ht="16.5">
      <c r="A81" s="424" t="s">
        <v>0</v>
      </c>
    </row>
    <row r="82" spans="1:7" ht="16.5">
      <c r="A82" s="424" t="s">
        <v>495</v>
      </c>
    </row>
    <row r="83" spans="1:7" ht="16.5">
      <c r="A83" s="425" t="s">
        <v>417</v>
      </c>
    </row>
    <row r="84" spans="1:7" ht="21" thickBot="1">
      <c r="A84" s="143"/>
      <c r="B84" s="143"/>
      <c r="C84" s="143"/>
      <c r="D84" s="24"/>
      <c r="E84" s="32"/>
      <c r="F84" s="24"/>
      <c r="G84" s="142"/>
    </row>
  </sheetData>
  <hyperlinks>
    <hyperlink ref="A83" r:id="rId1" xr:uid="{DD278B30-47A8-4C40-9DA9-F26B0BE64D77}"/>
    <hyperlink ref="A78" r:id="rId2" xr:uid="{22BFF1D9-9063-4840-9EBB-BAAA89671A0B}"/>
    <hyperlink ref="A69" r:id="rId3" xr:uid="{B632FA86-D7E5-4EBE-9C09-6EA64CFC20C7}"/>
    <hyperlink ref="A72" r:id="rId4" xr:uid="{736A6E4F-FF23-4FC9-90CE-DA3FAE462FFA}"/>
    <hyperlink ref="A75" r:id="rId5" xr:uid="{8B45AC68-02F4-4E3B-85E8-949CCDA48AAA}"/>
  </hyperlinks>
  <pageMargins left="0.25" right="0.25" top="0.75" bottom="0.75" header="0.3" footer="0.3"/>
  <pageSetup scale="40" orientation="portrait" r:id="rId6"/>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EEAA8-BBA3-479C-8851-708BD7E9A4CD}">
  <sheetPr>
    <tabColor rgb="FF92D050"/>
  </sheetPr>
  <dimension ref="A1:K43"/>
  <sheetViews>
    <sheetView view="pageBreakPreview" zoomScale="70" zoomScaleNormal="80" zoomScaleSheetLayoutView="70" workbookViewId="0">
      <selection activeCell="I31" sqref="I31"/>
    </sheetView>
  </sheetViews>
  <sheetFormatPr defaultRowHeight="15"/>
  <cols>
    <col min="1" max="1" width="45.140625" customWidth="1"/>
    <col min="2" max="2" width="13.28515625" customWidth="1"/>
    <col min="3" max="3" width="19.140625" bestFit="1" customWidth="1"/>
    <col min="4" max="4" width="15.28515625" customWidth="1"/>
    <col min="5" max="5" width="27.140625" customWidth="1"/>
    <col min="6" max="6" width="22" customWidth="1"/>
    <col min="7" max="7" width="29.28515625" customWidth="1"/>
    <col min="8" max="8" width="37" customWidth="1"/>
    <col min="9" max="9" width="24.5703125" customWidth="1"/>
    <col min="10" max="10" width="24.140625" customWidth="1"/>
    <col min="12" max="12" width="10.5703125" customWidth="1"/>
  </cols>
  <sheetData>
    <row r="1" spans="1:11" ht="26.25">
      <c r="A1" s="19" t="s">
        <v>1</v>
      </c>
      <c r="B1" s="8"/>
      <c r="C1" s="8"/>
      <c r="D1" s="8"/>
      <c r="E1" s="8"/>
      <c r="F1" s="8"/>
      <c r="G1" s="8"/>
      <c r="H1" s="8"/>
      <c r="I1" s="8"/>
      <c r="J1" s="8"/>
      <c r="K1" s="8"/>
    </row>
    <row r="2" spans="1:11" ht="17.25">
      <c r="A2" s="20" t="s">
        <v>9</v>
      </c>
      <c r="B2" s="8"/>
      <c r="C2" s="8"/>
      <c r="D2" s="8"/>
      <c r="E2" s="8"/>
      <c r="F2" s="8"/>
      <c r="G2" s="8"/>
      <c r="H2" s="8"/>
      <c r="I2" s="8"/>
      <c r="J2" s="8"/>
      <c r="K2" s="8"/>
    </row>
    <row r="3" spans="1:11" ht="16.5">
      <c r="A3" s="21" t="s">
        <v>453</v>
      </c>
      <c r="B3" s="8"/>
      <c r="C3" s="8"/>
      <c r="D3" s="8"/>
      <c r="E3" s="8"/>
      <c r="F3" s="8"/>
      <c r="G3" s="8"/>
      <c r="H3" s="8"/>
      <c r="I3" s="8"/>
      <c r="J3" s="8"/>
      <c r="K3" s="8"/>
    </row>
    <row r="4" spans="1:11" ht="16.5">
      <c r="A4" s="21"/>
      <c r="B4" s="8"/>
      <c r="C4" s="8"/>
      <c r="D4" s="8"/>
      <c r="E4" s="8"/>
      <c r="F4" s="8"/>
      <c r="G4" s="8"/>
      <c r="H4" s="8"/>
      <c r="I4" s="8"/>
      <c r="J4" s="8"/>
      <c r="K4" s="8"/>
    </row>
    <row r="5" spans="1:11" ht="17.25" thickBot="1">
      <c r="A5" s="8"/>
      <c r="B5" s="8"/>
      <c r="C5" s="8"/>
      <c r="D5" s="8"/>
      <c r="E5" s="8"/>
      <c r="F5" s="8" t="s">
        <v>0</v>
      </c>
      <c r="G5" s="8"/>
      <c r="H5" s="22"/>
      <c r="I5" s="8"/>
      <c r="J5" s="8"/>
      <c r="K5" s="8"/>
    </row>
    <row r="6" spans="1:11" ht="18" thickBot="1">
      <c r="A6" s="262" t="str">
        <f>+'S&amp;D'!A12</f>
        <v>Railroad Carriers</v>
      </c>
      <c r="B6" s="189"/>
      <c r="C6" s="8"/>
      <c r="D6" s="24"/>
      <c r="E6" s="24"/>
      <c r="F6" s="24"/>
      <c r="G6" s="25" t="s">
        <v>0</v>
      </c>
      <c r="H6" s="24"/>
      <c r="I6" s="8"/>
      <c r="J6" s="8"/>
      <c r="K6" s="8"/>
    </row>
    <row r="7" spans="1:11" ht="26.25">
      <c r="A7" s="26"/>
      <c r="B7" s="8"/>
      <c r="C7" s="8"/>
      <c r="D7" s="8"/>
      <c r="E7" s="8"/>
      <c r="F7" s="27" t="s">
        <v>404</v>
      </c>
      <c r="G7" s="8"/>
      <c r="H7" s="8"/>
      <c r="I7" s="8"/>
      <c r="J7" s="8"/>
      <c r="K7" s="8"/>
    </row>
    <row r="8" spans="1:11" ht="21" thickBot="1">
      <c r="A8" s="26"/>
      <c r="B8" s="8"/>
      <c r="C8" s="8"/>
      <c r="D8" s="24"/>
      <c r="E8" s="24"/>
      <c r="F8" s="28" t="s">
        <v>454</v>
      </c>
      <c r="G8" s="24"/>
      <c r="H8" s="24"/>
      <c r="I8" s="8"/>
      <c r="J8" s="8"/>
      <c r="K8" s="8"/>
    </row>
    <row r="9" spans="1:11" ht="17.25" thickBot="1">
      <c r="A9" s="29" t="s">
        <v>0</v>
      </c>
      <c r="B9" s="29" t="s">
        <v>0</v>
      </c>
      <c r="C9" s="29" t="s">
        <v>0</v>
      </c>
      <c r="D9" s="24"/>
      <c r="E9" s="29"/>
      <c r="F9" s="29" t="s">
        <v>0</v>
      </c>
      <c r="G9" s="29"/>
      <c r="H9" s="24"/>
      <c r="I9" s="24"/>
      <c r="J9" s="24"/>
      <c r="K9" s="8"/>
    </row>
    <row r="10" spans="1:11" ht="16.5">
      <c r="A10" s="30" t="s">
        <v>0</v>
      </c>
      <c r="B10" s="30" t="s">
        <v>3</v>
      </c>
      <c r="C10" s="30" t="s">
        <v>5</v>
      </c>
      <c r="D10" s="30" t="s">
        <v>166</v>
      </c>
      <c r="E10" s="30" t="s">
        <v>12</v>
      </c>
      <c r="F10" s="30" t="s">
        <v>177</v>
      </c>
      <c r="G10" s="30" t="s">
        <v>178</v>
      </c>
      <c r="H10" s="30" t="s">
        <v>178</v>
      </c>
      <c r="I10" s="30" t="s">
        <v>174</v>
      </c>
      <c r="J10" s="30" t="s">
        <v>174</v>
      </c>
      <c r="K10" s="8"/>
    </row>
    <row r="11" spans="1:11" ht="16.5">
      <c r="A11" s="30" t="s">
        <v>2</v>
      </c>
      <c r="B11" s="30" t="s">
        <v>4</v>
      </c>
      <c r="C11" s="30" t="s">
        <v>6</v>
      </c>
      <c r="D11" s="30" t="s">
        <v>206</v>
      </c>
      <c r="E11" s="30" t="s">
        <v>14</v>
      </c>
      <c r="F11" s="30" t="s">
        <v>374</v>
      </c>
      <c r="G11" s="30" t="s">
        <v>207</v>
      </c>
      <c r="H11" s="30" t="s">
        <v>208</v>
      </c>
      <c r="I11" s="30" t="s">
        <v>169</v>
      </c>
      <c r="J11" s="30" t="s">
        <v>172</v>
      </c>
      <c r="K11" s="8"/>
    </row>
    <row r="12" spans="1:11" ht="16.5">
      <c r="A12" s="30"/>
      <c r="B12" s="30"/>
      <c r="C12" s="30"/>
      <c r="D12" s="30"/>
      <c r="E12" s="30"/>
      <c r="F12" s="31" t="s">
        <v>0</v>
      </c>
      <c r="G12" s="31" t="s">
        <v>496</v>
      </c>
      <c r="H12" s="31" t="s">
        <v>496</v>
      </c>
      <c r="I12" s="30"/>
      <c r="J12" s="30"/>
      <c r="K12" s="8"/>
    </row>
    <row r="13" spans="1:11" ht="17.25" thickBot="1">
      <c r="A13" s="32" t="s">
        <v>24</v>
      </c>
      <c r="B13" s="33" t="s">
        <v>89</v>
      </c>
      <c r="C13" s="33" t="s">
        <v>90</v>
      </c>
      <c r="D13" s="33" t="s">
        <v>91</v>
      </c>
      <c r="E13" s="33" t="s">
        <v>92</v>
      </c>
      <c r="F13" s="33" t="s">
        <v>93</v>
      </c>
      <c r="G13" s="33" t="s">
        <v>94</v>
      </c>
      <c r="H13" s="33" t="s">
        <v>95</v>
      </c>
      <c r="I13" s="33" t="s">
        <v>175</v>
      </c>
      <c r="J13" s="33" t="s">
        <v>176</v>
      </c>
      <c r="K13" s="8"/>
    </row>
    <row r="14" spans="1:11" ht="16.5">
      <c r="A14" s="34" t="s">
        <v>7</v>
      </c>
      <c r="B14" s="34" t="s">
        <v>7</v>
      </c>
      <c r="C14" s="34" t="s">
        <v>7</v>
      </c>
      <c r="D14" s="35" t="s">
        <v>113</v>
      </c>
      <c r="E14" s="35"/>
      <c r="F14" s="34" t="s">
        <v>0</v>
      </c>
      <c r="G14" s="34" t="s">
        <v>7</v>
      </c>
      <c r="H14" s="34" t="s">
        <v>7</v>
      </c>
      <c r="I14" s="34" t="s">
        <v>15</v>
      </c>
      <c r="J14" s="34" t="s">
        <v>15</v>
      </c>
      <c r="K14" s="8"/>
    </row>
    <row r="15" spans="1:11" ht="16.5">
      <c r="A15" s="30"/>
      <c r="B15" s="30"/>
      <c r="C15" s="30"/>
      <c r="D15" s="30"/>
      <c r="E15" s="30"/>
      <c r="F15" s="30"/>
      <c r="G15" s="30"/>
      <c r="H15" s="8"/>
      <c r="I15" s="8"/>
      <c r="J15" s="8"/>
      <c r="K15" s="8"/>
    </row>
    <row r="16" spans="1:11" ht="16.5">
      <c r="A16" s="8"/>
      <c r="B16" s="8"/>
      <c r="C16" s="8"/>
      <c r="D16" s="8"/>
      <c r="E16" s="8"/>
      <c r="F16" s="8"/>
      <c r="G16" s="8"/>
      <c r="H16" s="8"/>
      <c r="I16" s="8"/>
      <c r="J16" s="8"/>
      <c r="K16" s="8"/>
    </row>
    <row r="17" spans="1:11" ht="17.25">
      <c r="A17" s="58" t="str">
        <f>+'S&amp;D'!A22</f>
        <v>Canadian National</v>
      </c>
      <c r="B17" s="85" t="str">
        <f>+'S&amp;D'!B22</f>
        <v>CNI</v>
      </c>
      <c r="C17" s="85" t="str">
        <f>+'S&amp;D'!C22</f>
        <v>Railroad</v>
      </c>
      <c r="D17" s="55">
        <f>+'S&amp;D'!G22</f>
        <v>125.63</v>
      </c>
      <c r="E17" s="56">
        <f>+'S&amp;D'!D36</f>
        <v>80884770569.349991</v>
      </c>
      <c r="F17" s="49">
        <f>+'Dividends '!H16</f>
        <v>2.0695693703733187E-2</v>
      </c>
      <c r="G17" s="49">
        <v>8.5000000000000006E-2</v>
      </c>
      <c r="H17" s="49">
        <v>9.5000000000000001E-2</v>
      </c>
      <c r="I17" s="318">
        <f>+F17+G17</f>
        <v>0.10569569370373319</v>
      </c>
      <c r="J17" s="318">
        <f>+F17+H17</f>
        <v>0.11569569370373319</v>
      </c>
      <c r="K17" s="8"/>
    </row>
    <row r="18" spans="1:11" ht="17.25">
      <c r="A18" s="58" t="str">
        <f>+'S&amp;D'!A23</f>
        <v>Canadian Pacific Kansas City Limited  CPKC</v>
      </c>
      <c r="B18" s="85" t="str">
        <f>+'S&amp;D'!B23</f>
        <v>CP</v>
      </c>
      <c r="C18" s="85" t="str">
        <f>+'S&amp;D'!C23</f>
        <v>Railroad</v>
      </c>
      <c r="D18" s="55">
        <f>+'S&amp;D'!G23</f>
        <v>79.06</v>
      </c>
      <c r="E18" s="56">
        <f>+'S&amp;D'!D37</f>
        <v>73691826000</v>
      </c>
      <c r="F18" s="49">
        <f>+'Dividends '!H17</f>
        <v>8.0951176321780918E-3</v>
      </c>
      <c r="G18" s="49">
        <v>0.08</v>
      </c>
      <c r="H18" s="49">
        <v>7.0000000000000007E-2</v>
      </c>
      <c r="I18" s="318">
        <f t="shared" ref="I18:I21" si="0">+F18+G18</f>
        <v>8.8095117632178088E-2</v>
      </c>
      <c r="J18" s="318">
        <f t="shared" ref="J18:J21" si="1">+F18+H18</f>
        <v>7.8095117632178093E-2</v>
      </c>
      <c r="K18" s="8"/>
    </row>
    <row r="19" spans="1:11" ht="17.25">
      <c r="A19" s="58" t="str">
        <f>+'S&amp;D'!A24</f>
        <v>CSX Corp</v>
      </c>
      <c r="B19" s="85" t="str">
        <f>+'S&amp;D'!B24</f>
        <v>CSX</v>
      </c>
      <c r="C19" s="85" t="str">
        <f>+'S&amp;D'!C24</f>
        <v>Railroad</v>
      </c>
      <c r="D19" s="55">
        <f>+'S&amp;D'!G24</f>
        <v>34.67</v>
      </c>
      <c r="E19" s="56">
        <f>+'S&amp;D'!D38</f>
        <v>67883860000</v>
      </c>
      <c r="F19" s="49">
        <f>+'Dividends '!H18</f>
        <v>1.4998557830977791E-2</v>
      </c>
      <c r="G19" s="49">
        <v>0.1</v>
      </c>
      <c r="H19" s="49">
        <v>7.4999999999999997E-2</v>
      </c>
      <c r="I19" s="318">
        <f t="shared" si="0"/>
        <v>0.1149985578309778</v>
      </c>
      <c r="J19" s="318">
        <f t="shared" si="1"/>
        <v>8.9998557830977793E-2</v>
      </c>
      <c r="K19" s="8"/>
    </row>
    <row r="20" spans="1:11" ht="17.25">
      <c r="A20" s="58" t="str">
        <f>+'S&amp;D'!A25</f>
        <v>Norfolk Southern</v>
      </c>
      <c r="B20" s="85" t="str">
        <f>+'S&amp;D'!B25</f>
        <v>NSC</v>
      </c>
      <c r="C20" s="85" t="str">
        <f>+'S&amp;D'!C25</f>
        <v>Railroad</v>
      </c>
      <c r="D20" s="55">
        <f>+'S&amp;D'!G25</f>
        <v>236.38</v>
      </c>
      <c r="E20" s="56">
        <f>+'S&amp;D'!D39</f>
        <v>53346534820.519997</v>
      </c>
      <c r="F20" s="49">
        <f>+'Dividends '!H19</f>
        <v>2.3690667569168287E-2</v>
      </c>
      <c r="G20" s="49">
        <v>0.06</v>
      </c>
      <c r="H20" s="49">
        <v>7.4999999999999997E-2</v>
      </c>
      <c r="I20" s="318">
        <f t="shared" si="0"/>
        <v>8.3690667569168292E-2</v>
      </c>
      <c r="J20" s="318">
        <f t="shared" si="1"/>
        <v>9.8690667569168278E-2</v>
      </c>
      <c r="K20" s="8"/>
    </row>
    <row r="21" spans="1:11" ht="18" thickBot="1">
      <c r="A21" s="58" t="str">
        <f>+'S&amp;D'!A26</f>
        <v>Union Pacific Railroad</v>
      </c>
      <c r="B21" s="85" t="str">
        <f>+'S&amp;D'!B26</f>
        <v>UNP</v>
      </c>
      <c r="C21" s="85" t="str">
        <f>+'S&amp;D'!C26</f>
        <v>Railroad</v>
      </c>
      <c r="D21" s="55">
        <f>+'S&amp;D'!G26</f>
        <v>245.62</v>
      </c>
      <c r="E21" s="56">
        <f>+'S&amp;D'!D40</f>
        <v>149755450794.67999</v>
      </c>
      <c r="F21" s="345">
        <f>+'Dividends '!H20</f>
        <v>2.4427978177672827E-2</v>
      </c>
      <c r="G21" s="345">
        <v>6.5000000000000002E-2</v>
      </c>
      <c r="H21" s="345">
        <v>0.06</v>
      </c>
      <c r="I21" s="346">
        <f t="shared" si="0"/>
        <v>8.9427978177672826E-2</v>
      </c>
      <c r="J21" s="346">
        <f t="shared" si="1"/>
        <v>8.4427978177672822E-2</v>
      </c>
      <c r="K21" s="8"/>
    </row>
    <row r="22" spans="1:11" ht="17.25" thickTop="1">
      <c r="A22" s="8"/>
      <c r="B22" s="8"/>
      <c r="C22" s="10" t="s">
        <v>0</v>
      </c>
      <c r="D22" s="11" t="s">
        <v>0</v>
      </c>
      <c r="E22" s="11" t="s">
        <v>46</v>
      </c>
      <c r="F22" s="416">
        <f>MAX(F17:F21)</f>
        <v>2.4427978177672827E-2</v>
      </c>
      <c r="G22" s="308">
        <f t="shared" ref="G22:J22" si="2">MAX(G17:G21)</f>
        <v>0.1</v>
      </c>
      <c r="H22" s="308">
        <f t="shared" si="2"/>
        <v>9.5000000000000001E-2</v>
      </c>
      <c r="I22" s="308">
        <f t="shared" si="2"/>
        <v>0.1149985578309778</v>
      </c>
      <c r="J22" s="308">
        <f t="shared" si="2"/>
        <v>0.11569569370373319</v>
      </c>
      <c r="K22" s="8"/>
    </row>
    <row r="23" spans="1:11" ht="16.5">
      <c r="A23" s="8"/>
      <c r="B23" s="8"/>
      <c r="C23" s="10"/>
      <c r="D23" s="11"/>
      <c r="E23" s="11" t="s">
        <v>47</v>
      </c>
      <c r="F23" s="415">
        <f>MIN(F17:F21)</f>
        <v>8.0951176321780918E-3</v>
      </c>
      <c r="G23" s="322">
        <f t="shared" ref="G23:J23" si="3">MIN(G17:G21)</f>
        <v>0.06</v>
      </c>
      <c r="H23" s="322">
        <f t="shared" si="3"/>
        <v>0.06</v>
      </c>
      <c r="I23" s="322">
        <f t="shared" si="3"/>
        <v>8.3690667569168292E-2</v>
      </c>
      <c r="J23" s="322">
        <f t="shared" si="3"/>
        <v>7.8095117632178093E-2</v>
      </c>
      <c r="K23" s="8"/>
    </row>
    <row r="24" spans="1:11" ht="16.5">
      <c r="A24" s="8"/>
      <c r="B24" s="8"/>
      <c r="D24" s="13" t="s">
        <v>0</v>
      </c>
      <c r="E24" s="10" t="s">
        <v>18</v>
      </c>
      <c r="F24" s="50">
        <f>MEDIAN(F17:F21)</f>
        <v>2.0695693703733187E-2</v>
      </c>
      <c r="G24" s="312">
        <f>MEDIAN(G17:G21)</f>
        <v>0.08</v>
      </c>
      <c r="H24" s="312">
        <f>MEDIAN(H17:H21)</f>
        <v>7.4999999999999997E-2</v>
      </c>
      <c r="I24" s="313">
        <f>MEDIAN(I17:I21)</f>
        <v>8.9427978177672826E-2</v>
      </c>
      <c r="J24" s="313">
        <f>MEDIAN(J17:J21)</f>
        <v>8.9998557830977793E-2</v>
      </c>
      <c r="K24" s="8"/>
    </row>
    <row r="25" spans="1:11" ht="16.5">
      <c r="A25" s="8"/>
      <c r="B25" s="8"/>
      <c r="D25" s="17" t="s">
        <v>0</v>
      </c>
      <c r="E25" s="10" t="s">
        <v>411</v>
      </c>
      <c r="F25" s="50">
        <f>AVERAGE(F17:F21)</f>
        <v>1.8381602982746034E-2</v>
      </c>
      <c r="G25" s="50">
        <f>AVERAGE(G17:G21)</f>
        <v>7.8E-2</v>
      </c>
      <c r="H25" s="312">
        <f>AVERAGE(H17:H21)</f>
        <v>7.4999999999999997E-2</v>
      </c>
      <c r="I25" s="313">
        <f>AVERAGE(I17:I21)</f>
        <v>9.6381602982746034E-2</v>
      </c>
      <c r="J25" s="313">
        <f>AVERAGE(J17:J21)</f>
        <v>9.3381602982746031E-2</v>
      </c>
      <c r="K25" s="8"/>
    </row>
    <row r="26" spans="1:11" ht="16.5">
      <c r="A26" s="8"/>
      <c r="B26" s="8"/>
      <c r="D26" s="17"/>
      <c r="E26" s="10"/>
      <c r="F26" s="14"/>
      <c r="G26" s="14"/>
      <c r="H26" s="15"/>
      <c r="I26" s="16"/>
      <c r="J26" s="16"/>
      <c r="K26" s="8"/>
    </row>
    <row r="27" spans="1:11" ht="17.25" thickBot="1">
      <c r="A27" s="8"/>
      <c r="B27" s="8"/>
      <c r="C27" s="8"/>
      <c r="D27" s="8"/>
      <c r="E27" s="8"/>
      <c r="F27" s="8"/>
      <c r="G27" s="8"/>
      <c r="H27" s="8"/>
      <c r="I27" s="8"/>
      <c r="J27" s="8"/>
      <c r="K27" s="8"/>
    </row>
    <row r="28" spans="1:11" ht="27" thickBot="1">
      <c r="A28" s="8"/>
      <c r="B28" s="8"/>
      <c r="C28" s="8"/>
      <c r="D28" s="8"/>
      <c r="E28" s="8"/>
      <c r="F28" s="8"/>
      <c r="G28" s="186" t="s">
        <v>180</v>
      </c>
      <c r="H28" s="188"/>
      <c r="I28" s="314">
        <v>9.64E-2</v>
      </c>
      <c r="J28" s="8"/>
      <c r="K28" s="8"/>
    </row>
    <row r="29" spans="1:11" ht="20.25" customHeight="1" thickBot="1">
      <c r="A29" s="8"/>
      <c r="B29" s="8"/>
      <c r="C29" s="8"/>
      <c r="D29" s="8"/>
      <c r="E29" s="8"/>
      <c r="F29" s="8"/>
      <c r="G29" s="8"/>
      <c r="H29" s="8"/>
      <c r="I29" s="8"/>
      <c r="J29" s="8"/>
      <c r="K29" s="8"/>
    </row>
    <row r="30" spans="1:11" ht="27" thickBot="1">
      <c r="A30" s="8"/>
      <c r="B30" s="8"/>
      <c r="C30" s="8"/>
      <c r="D30" s="8"/>
      <c r="E30" s="8"/>
      <c r="F30" s="8"/>
      <c r="G30" s="186" t="s">
        <v>179</v>
      </c>
      <c r="H30" s="189"/>
      <c r="I30" s="314">
        <v>9.3399999999999997E-2</v>
      </c>
      <c r="J30" s="8"/>
      <c r="K30" s="8"/>
    </row>
    <row r="31" spans="1:11" ht="16.5">
      <c r="A31" s="8"/>
      <c r="B31" s="8"/>
      <c r="C31" s="8"/>
      <c r="D31" s="8"/>
      <c r="E31" s="8"/>
      <c r="F31" s="8"/>
      <c r="G31" s="8"/>
      <c r="H31" s="8"/>
      <c r="I31" s="8"/>
      <c r="J31" s="8"/>
    </row>
    <row r="32" spans="1:11" ht="26.25">
      <c r="A32" s="19" t="s">
        <v>362</v>
      </c>
      <c r="B32" s="8"/>
      <c r="C32" s="19" t="s">
        <v>361</v>
      </c>
      <c r="D32" s="8"/>
      <c r="E32" s="8"/>
      <c r="F32" s="8"/>
      <c r="G32" s="8"/>
      <c r="H32" s="8"/>
      <c r="I32" s="8"/>
      <c r="J32" s="8"/>
    </row>
    <row r="33" spans="1:10" ht="17.25">
      <c r="A33" s="58" t="s">
        <v>365</v>
      </c>
      <c r="B33" s="8"/>
      <c r="C33" s="58" t="s">
        <v>365</v>
      </c>
      <c r="D33" s="8"/>
      <c r="E33" s="8"/>
      <c r="F33" s="8"/>
      <c r="G33" s="8"/>
      <c r="H33" s="8"/>
      <c r="I33" s="8"/>
      <c r="J33" s="8"/>
    </row>
    <row r="34" spans="1:10" ht="17.25">
      <c r="A34" s="58" t="s">
        <v>364</v>
      </c>
      <c r="B34" s="8"/>
      <c r="C34" s="58" t="s">
        <v>363</v>
      </c>
      <c r="D34" s="8"/>
      <c r="E34" s="8"/>
      <c r="F34" s="8"/>
      <c r="G34" s="8"/>
      <c r="H34" s="8"/>
      <c r="I34" s="8"/>
      <c r="J34" s="8"/>
    </row>
    <row r="35" spans="1:10" ht="16.5">
      <c r="A35" s="39"/>
      <c r="B35" s="8"/>
      <c r="C35" s="39"/>
      <c r="D35" s="8"/>
      <c r="E35" s="8"/>
      <c r="F35" s="8"/>
      <c r="G35" s="8"/>
      <c r="H35" s="8"/>
      <c r="I35" s="8"/>
      <c r="J35" s="8"/>
    </row>
    <row r="36" spans="1:10" ht="16.5">
      <c r="A36" s="39"/>
      <c r="B36" s="8"/>
      <c r="C36" s="39"/>
      <c r="D36" s="8"/>
      <c r="E36" s="8"/>
      <c r="F36" s="8"/>
      <c r="G36" s="8"/>
      <c r="H36" s="8"/>
      <c r="I36" s="8"/>
      <c r="J36" s="8"/>
    </row>
    <row r="37" spans="1:10" ht="26.25">
      <c r="A37" s="19" t="s">
        <v>203</v>
      </c>
      <c r="B37" s="8"/>
      <c r="C37" s="19" t="s">
        <v>203</v>
      </c>
      <c r="D37" s="8"/>
      <c r="E37" s="8"/>
      <c r="F37" s="8"/>
      <c r="G37" s="8"/>
      <c r="H37" s="8"/>
      <c r="I37" s="8"/>
      <c r="J37" s="8"/>
    </row>
    <row r="38" spans="1:10" ht="16.5">
      <c r="A38" s="39"/>
      <c r="B38" s="8"/>
      <c r="C38" s="39"/>
      <c r="D38" s="8"/>
      <c r="E38" s="8"/>
      <c r="F38" s="8"/>
      <c r="G38" s="8"/>
      <c r="H38" s="8"/>
      <c r="I38" s="8"/>
      <c r="J38" s="8"/>
    </row>
    <row r="39" spans="1:10" ht="17.25">
      <c r="A39" s="58" t="s">
        <v>204</v>
      </c>
      <c r="B39" s="8"/>
      <c r="C39" s="58" t="s">
        <v>204</v>
      </c>
      <c r="D39" s="8"/>
      <c r="E39" s="8"/>
      <c r="F39" s="8"/>
      <c r="G39" s="8"/>
      <c r="H39" s="8"/>
      <c r="I39" s="8"/>
      <c r="J39" s="8"/>
    </row>
    <row r="40" spans="1:10" ht="17.25">
      <c r="A40" s="58" t="s">
        <v>202</v>
      </c>
      <c r="B40" s="8"/>
      <c r="C40" s="58" t="s">
        <v>202</v>
      </c>
      <c r="D40" s="8"/>
      <c r="E40" s="8"/>
      <c r="F40" s="8"/>
      <c r="G40" s="8"/>
      <c r="H40" s="8"/>
      <c r="I40" s="8"/>
      <c r="J40" s="8"/>
    </row>
    <row r="41" spans="1:10" ht="17.25">
      <c r="A41" s="58" t="s">
        <v>205</v>
      </c>
      <c r="B41" s="8"/>
      <c r="C41" s="58" t="s">
        <v>205</v>
      </c>
      <c r="D41" s="8"/>
      <c r="E41" s="8"/>
      <c r="F41" s="8"/>
      <c r="G41" s="8"/>
      <c r="H41" s="8"/>
      <c r="I41" s="8"/>
      <c r="J41" s="8"/>
    </row>
    <row r="42" spans="1:10" ht="17.25">
      <c r="A42" s="58" t="s">
        <v>367</v>
      </c>
      <c r="B42" s="8"/>
      <c r="C42" s="58" t="s">
        <v>366</v>
      </c>
      <c r="D42" s="8"/>
      <c r="E42" s="8"/>
      <c r="F42" s="8"/>
      <c r="G42" s="8"/>
      <c r="H42" s="8"/>
      <c r="I42" s="8"/>
      <c r="J42" s="8"/>
    </row>
    <row r="43" spans="1:10" ht="17.25">
      <c r="A43" s="58"/>
      <c r="B43" s="8"/>
      <c r="C43" s="58"/>
      <c r="D43" s="8"/>
      <c r="E43" s="8"/>
      <c r="F43" s="8"/>
      <c r="G43" s="8"/>
      <c r="H43" s="8"/>
      <c r="I43" s="8"/>
      <c r="J43" s="8"/>
    </row>
  </sheetData>
  <pageMargins left="0.25" right="0.25" top="0.75" bottom="0.75" header="0.3" footer="0.3"/>
  <pageSetup scale="5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150D5-3409-4DE1-88B0-B66A1BCAC2E5}">
  <sheetPr>
    <tabColor rgb="FF92D050"/>
  </sheetPr>
  <dimension ref="A1:K105"/>
  <sheetViews>
    <sheetView view="pageBreakPreview" topLeftCell="A12" zoomScale="70" zoomScaleNormal="80" zoomScaleSheetLayoutView="70" workbookViewId="0">
      <selection activeCell="H33" sqref="H33"/>
    </sheetView>
  </sheetViews>
  <sheetFormatPr defaultRowHeight="15"/>
  <cols>
    <col min="1" max="1" width="47.85546875" customWidth="1"/>
    <col min="2" max="2" width="15.28515625" customWidth="1"/>
    <col min="3" max="3" width="24.5703125" customWidth="1"/>
    <col min="4" max="4" width="26.5703125" customWidth="1"/>
    <col min="5" max="5" width="30.7109375" customWidth="1"/>
    <col min="6" max="6" width="22.42578125" customWidth="1"/>
    <col min="7" max="7" width="27" customWidth="1"/>
    <col min="8" max="8" width="39.85546875" customWidth="1"/>
    <col min="9" max="9" width="15.28515625" customWidth="1"/>
    <col min="10" max="10" width="24.5703125" customWidth="1"/>
    <col min="11" max="11" width="24.140625" customWidth="1"/>
    <col min="13" max="13" width="10.5703125" customWidth="1"/>
  </cols>
  <sheetData>
    <row r="1" spans="1:9" ht="26.25">
      <c r="A1" s="19" t="s">
        <v>1</v>
      </c>
      <c r="B1" s="8"/>
      <c r="C1" s="8"/>
      <c r="D1" s="8"/>
      <c r="E1" s="8"/>
      <c r="F1" s="8"/>
      <c r="G1" s="8"/>
      <c r="H1" s="8"/>
      <c r="I1" s="8"/>
    </row>
    <row r="2" spans="1:9" ht="17.25">
      <c r="A2" s="20" t="s">
        <v>9</v>
      </c>
      <c r="B2" s="8"/>
      <c r="C2" s="8"/>
      <c r="D2" s="8"/>
      <c r="E2" s="8"/>
      <c r="F2" s="8"/>
      <c r="G2" s="8"/>
      <c r="H2" s="8"/>
      <c r="I2" s="8"/>
    </row>
    <row r="3" spans="1:9" ht="16.5">
      <c r="A3" s="21" t="s">
        <v>453</v>
      </c>
      <c r="B3" s="8"/>
      <c r="C3" s="8"/>
      <c r="D3" s="8"/>
      <c r="E3" s="8"/>
      <c r="F3" s="8"/>
      <c r="G3" s="8"/>
      <c r="H3" s="8"/>
      <c r="I3" s="8"/>
    </row>
    <row r="4" spans="1:9" ht="16.5">
      <c r="A4" s="21"/>
      <c r="B4" s="8"/>
      <c r="C4" s="8"/>
      <c r="D4" s="8"/>
      <c r="E4" s="8"/>
      <c r="F4" s="8"/>
      <c r="G4" s="8"/>
      <c r="H4" s="8"/>
      <c r="I4" s="8"/>
    </row>
    <row r="5" spans="1:9" ht="17.25" thickBot="1">
      <c r="A5" s="8"/>
      <c r="B5" s="8"/>
      <c r="C5" s="8"/>
      <c r="D5" s="8"/>
      <c r="E5" s="8"/>
      <c r="F5" s="8"/>
      <c r="G5" s="8"/>
      <c r="H5" s="8"/>
      <c r="I5" s="22"/>
    </row>
    <row r="6" spans="1:9" ht="21" thickBot="1">
      <c r="A6" s="260" t="str">
        <f>+'S&amp;D'!A12</f>
        <v>Railroad Carriers</v>
      </c>
      <c r="B6" s="189"/>
      <c r="C6" s="8"/>
      <c r="D6" s="8"/>
      <c r="E6" s="8"/>
      <c r="F6" s="8"/>
      <c r="G6" s="8"/>
      <c r="H6" s="8"/>
      <c r="I6" s="8"/>
    </row>
    <row r="7" spans="1:9" ht="20.25">
      <c r="A7" s="26"/>
      <c r="B7" s="8"/>
      <c r="C7" s="8"/>
      <c r="D7" s="8"/>
      <c r="E7" s="8"/>
      <c r="F7" s="8"/>
      <c r="G7" s="8"/>
      <c r="H7" s="8"/>
      <c r="I7" s="8"/>
    </row>
    <row r="8" spans="1:9" ht="21" thickBot="1">
      <c r="A8" s="26"/>
      <c r="B8" s="8"/>
      <c r="C8" s="8"/>
      <c r="D8" s="24"/>
      <c r="E8" s="24"/>
      <c r="F8" s="24"/>
      <c r="G8" s="8"/>
      <c r="H8" s="8"/>
      <c r="I8" s="8"/>
    </row>
    <row r="9" spans="1:9" ht="26.25">
      <c r="A9" s="26"/>
      <c r="B9" s="8"/>
      <c r="C9" s="8"/>
      <c r="D9" s="8"/>
      <c r="E9" s="27" t="s">
        <v>181</v>
      </c>
      <c r="F9" s="8"/>
      <c r="G9" s="8"/>
      <c r="H9" s="8"/>
      <c r="I9" s="8"/>
    </row>
    <row r="10" spans="1:9" ht="21" thickBot="1">
      <c r="A10" s="26"/>
      <c r="B10" s="8"/>
      <c r="C10" s="8"/>
      <c r="D10" s="24"/>
      <c r="E10" s="28" t="s">
        <v>454</v>
      </c>
      <c r="F10" s="24"/>
      <c r="G10" s="8"/>
      <c r="H10" s="8"/>
      <c r="I10" s="8"/>
    </row>
    <row r="11" spans="1:9" ht="20.25">
      <c r="A11" s="26"/>
      <c r="B11" s="8"/>
      <c r="C11" s="8"/>
      <c r="D11" s="8"/>
      <c r="E11" s="8"/>
      <c r="F11" s="30"/>
      <c r="G11" s="30"/>
      <c r="H11" s="8"/>
      <c r="I11" s="8"/>
    </row>
    <row r="12" spans="1:9" ht="20.25">
      <c r="A12" s="26"/>
      <c r="B12" s="8"/>
      <c r="C12" s="8"/>
      <c r="D12" s="8" t="s">
        <v>0</v>
      </c>
      <c r="E12" s="8"/>
      <c r="F12" s="30"/>
      <c r="G12" s="30"/>
      <c r="H12" s="8"/>
      <c r="I12" s="8"/>
    </row>
    <row r="13" spans="1:9" ht="45.75" customHeight="1" thickBot="1">
      <c r="A13" s="29" t="s">
        <v>0</v>
      </c>
      <c r="B13" s="29" t="s">
        <v>0</v>
      </c>
      <c r="C13" s="29" t="s">
        <v>0</v>
      </c>
      <c r="D13" s="24"/>
      <c r="E13" s="24"/>
      <c r="F13" s="29" t="s">
        <v>0</v>
      </c>
      <c r="G13" s="29"/>
      <c r="H13" s="29"/>
      <c r="I13" s="8"/>
    </row>
    <row r="14" spans="1:9" ht="16.5">
      <c r="A14" s="30" t="s">
        <v>0</v>
      </c>
      <c r="B14" s="30" t="s">
        <v>3</v>
      </c>
      <c r="C14" s="30" t="s">
        <v>5</v>
      </c>
      <c r="D14" s="30" t="s">
        <v>177</v>
      </c>
      <c r="E14" s="30" t="s">
        <v>178</v>
      </c>
      <c r="F14" s="30" t="s">
        <v>182</v>
      </c>
      <c r="G14" s="30" t="s">
        <v>19</v>
      </c>
      <c r="H14" s="30" t="s">
        <v>185</v>
      </c>
      <c r="I14" s="8"/>
    </row>
    <row r="15" spans="1:9" ht="16.5">
      <c r="A15" s="30" t="s">
        <v>2</v>
      </c>
      <c r="B15" s="30" t="s">
        <v>4</v>
      </c>
      <c r="C15" s="30" t="s">
        <v>6</v>
      </c>
      <c r="D15" s="30" t="s">
        <v>0</v>
      </c>
      <c r="E15" s="30" t="s">
        <v>184</v>
      </c>
      <c r="F15" s="30" t="s">
        <v>128</v>
      </c>
      <c r="G15" s="30" t="s">
        <v>183</v>
      </c>
      <c r="H15" s="30" t="s">
        <v>173</v>
      </c>
      <c r="I15" s="8"/>
    </row>
    <row r="16" spans="1:9" ht="16.5">
      <c r="A16" s="30"/>
      <c r="B16" s="30" t="s">
        <v>0</v>
      </c>
      <c r="C16" s="30" t="s">
        <v>0</v>
      </c>
      <c r="D16" s="30" t="s">
        <v>0</v>
      </c>
      <c r="E16" s="30" t="s">
        <v>183</v>
      </c>
      <c r="F16" s="31" t="s">
        <v>0</v>
      </c>
      <c r="G16" s="30" t="s">
        <v>189</v>
      </c>
      <c r="H16" s="31" t="s">
        <v>190</v>
      </c>
      <c r="I16" s="8"/>
    </row>
    <row r="17" spans="1:11" ht="18" customHeight="1" thickBot="1">
      <c r="A17" s="62" t="s">
        <v>0</v>
      </c>
      <c r="B17" s="33" t="s">
        <v>0</v>
      </c>
      <c r="C17" s="33" t="s">
        <v>0</v>
      </c>
      <c r="D17" s="28" t="s">
        <v>187</v>
      </c>
      <c r="E17" s="28" t="s">
        <v>188</v>
      </c>
      <c r="F17" s="28" t="s">
        <v>186</v>
      </c>
      <c r="G17" s="30" t="s">
        <v>94</v>
      </c>
      <c r="H17" s="142"/>
      <c r="I17" s="8"/>
    </row>
    <row r="18" spans="1:11" ht="16.5">
      <c r="A18" s="34" t="s">
        <v>0</v>
      </c>
      <c r="B18" s="34" t="s">
        <v>0</v>
      </c>
      <c r="C18" s="34" t="s">
        <v>0</v>
      </c>
      <c r="D18" s="34" t="s">
        <v>7</v>
      </c>
      <c r="E18" s="34" t="s">
        <v>7</v>
      </c>
      <c r="F18" s="34" t="s">
        <v>0</v>
      </c>
      <c r="G18" s="63" t="s">
        <v>0</v>
      </c>
      <c r="H18" s="34" t="s">
        <v>0</v>
      </c>
      <c r="I18" s="8"/>
    </row>
    <row r="19" spans="1:11" ht="16.5">
      <c r="A19" s="30"/>
      <c r="B19" s="30"/>
      <c r="C19" s="30"/>
      <c r="D19" s="30"/>
      <c r="E19" s="8"/>
      <c r="F19" s="30"/>
      <c r="G19" s="8"/>
      <c r="H19" s="8"/>
      <c r="I19" s="8"/>
      <c r="J19" t="s">
        <v>0</v>
      </c>
      <c r="K19" t="s">
        <v>0</v>
      </c>
    </row>
    <row r="20" spans="1:11" ht="16.5">
      <c r="A20" s="8"/>
      <c r="B20" s="8"/>
      <c r="C20" s="8"/>
      <c r="D20" s="8"/>
      <c r="E20" s="8"/>
      <c r="F20" s="8"/>
      <c r="G20" s="8"/>
      <c r="H20" s="8" t="s">
        <v>0</v>
      </c>
      <c r="I20" s="8"/>
      <c r="J20" t="s">
        <v>0</v>
      </c>
      <c r="K20" t="s">
        <v>0</v>
      </c>
    </row>
    <row r="21" spans="1:11" ht="17.25">
      <c r="A21" s="58" t="str">
        <f>+'S&amp;D'!A22</f>
        <v>Canadian National</v>
      </c>
      <c r="B21" s="85" t="str">
        <f>+'S&amp;D'!B22</f>
        <v>CNI</v>
      </c>
      <c r="C21" s="30" t="str">
        <f>+'S&amp;D'!C22</f>
        <v>Railroad</v>
      </c>
      <c r="D21" s="61">
        <f>+'Dividends '!H16</f>
        <v>2.0695693703733187E-2</v>
      </c>
      <c r="E21" s="61">
        <f>+'Single Stage Div Growth Model'!H17</f>
        <v>9.5000000000000001E-2</v>
      </c>
      <c r="F21" s="61">
        <f>+'Growth &amp; Inflation Rates'!F93</f>
        <v>4.1099999999999998E-2</v>
      </c>
      <c r="G21" s="61">
        <f t="shared" ref="G21" si="0">(F21+E21)/2</f>
        <v>6.8049999999999999E-2</v>
      </c>
      <c r="H21" s="61">
        <f>D21*(1+(0.5*G21))+(0.67*E21)+(0.33*F21)</f>
        <v>9.8612864682002713E-2</v>
      </c>
      <c r="I21" s="8"/>
      <c r="J21" t="s">
        <v>0</v>
      </c>
      <c r="K21" t="s">
        <v>0</v>
      </c>
    </row>
    <row r="22" spans="1:11" ht="17.25">
      <c r="A22" s="58" t="str">
        <f>+'S&amp;D'!A23</f>
        <v>Canadian Pacific Kansas City Limited  CPKC</v>
      </c>
      <c r="B22" s="85" t="str">
        <f>+'S&amp;D'!B23</f>
        <v>CP</v>
      </c>
      <c r="C22" s="30" t="str">
        <f>+'S&amp;D'!C23</f>
        <v>Railroad</v>
      </c>
      <c r="D22" s="61">
        <f>+'Dividends '!H17</f>
        <v>8.0951176321780918E-3</v>
      </c>
      <c r="E22" s="61">
        <f>+'Single Stage Div Growth Model'!H18</f>
        <v>7.0000000000000007E-2</v>
      </c>
      <c r="F22" s="61">
        <f>+F21</f>
        <v>4.1099999999999998E-2</v>
      </c>
      <c r="G22" s="61">
        <f t="shared" ref="G22:G25" si="1">(F22+E22)/2</f>
        <v>5.5550000000000002E-2</v>
      </c>
      <c r="H22" s="61">
        <f t="shared" ref="H22:H25" si="2">D22*(1+(0.5*G22))+(0.67*E22)+(0.33*F22)</f>
        <v>6.8782959524411852E-2</v>
      </c>
      <c r="I22" s="8"/>
    </row>
    <row r="23" spans="1:11" ht="17.25">
      <c r="A23" s="58" t="str">
        <f>+'S&amp;D'!A24</f>
        <v>CSX Corp</v>
      </c>
      <c r="B23" s="85" t="str">
        <f>+'S&amp;D'!B24</f>
        <v>CSX</v>
      </c>
      <c r="C23" s="30" t="str">
        <f>+'S&amp;D'!C24</f>
        <v>Railroad</v>
      </c>
      <c r="D23" s="61">
        <f>+'Dividends '!H18</f>
        <v>1.4998557830977791E-2</v>
      </c>
      <c r="E23" s="61">
        <f>+'Single Stage Div Growth Model'!H19</f>
        <v>7.4999999999999997E-2</v>
      </c>
      <c r="F23" s="61">
        <f>+F21</f>
        <v>4.1099999999999998E-2</v>
      </c>
      <c r="G23" s="61">
        <f t="shared" si="1"/>
        <v>5.8049999999999997E-2</v>
      </c>
      <c r="H23" s="61">
        <f t="shared" si="2"/>
        <v>7.9246890972021936E-2</v>
      </c>
      <c r="I23" s="8"/>
    </row>
    <row r="24" spans="1:11" ht="17.25">
      <c r="A24" s="58" t="str">
        <f>+'S&amp;D'!A25</f>
        <v>Norfolk Southern</v>
      </c>
      <c r="B24" s="85" t="str">
        <f>+'S&amp;D'!B25</f>
        <v>NSC</v>
      </c>
      <c r="C24" s="30" t="str">
        <f>+'S&amp;D'!C25</f>
        <v>Railroad</v>
      </c>
      <c r="D24" s="61">
        <f>+'Dividends '!H19</f>
        <v>2.3690667569168287E-2</v>
      </c>
      <c r="E24" s="61">
        <f>+'Single Stage Div Growth Model'!H20</f>
        <v>7.4999999999999997E-2</v>
      </c>
      <c r="F24" s="61">
        <f>+F21</f>
        <v>4.1099999999999998E-2</v>
      </c>
      <c r="G24" s="61">
        <f t="shared" si="1"/>
        <v>5.8049999999999997E-2</v>
      </c>
      <c r="H24" s="61">
        <f t="shared" si="2"/>
        <v>8.8191289195363412E-2</v>
      </c>
      <c r="I24" s="8"/>
    </row>
    <row r="25" spans="1:11" ht="18" thickBot="1">
      <c r="A25" s="58" t="str">
        <f>+'S&amp;D'!A26</f>
        <v>Union Pacific Railroad</v>
      </c>
      <c r="B25" s="85" t="str">
        <f>+'S&amp;D'!B26</f>
        <v>UNP</v>
      </c>
      <c r="C25" s="30" t="str">
        <f>+'S&amp;D'!C26</f>
        <v>Railroad</v>
      </c>
      <c r="D25" s="61">
        <f>+'Dividends '!H20</f>
        <v>2.4427978177672827E-2</v>
      </c>
      <c r="E25" s="61">
        <f>+'Single Stage Div Growth Model'!H21</f>
        <v>0.06</v>
      </c>
      <c r="F25" s="61">
        <f>+F21</f>
        <v>4.1099999999999998E-2</v>
      </c>
      <c r="G25" s="347">
        <f t="shared" si="1"/>
        <v>5.0549999999999998E-2</v>
      </c>
      <c r="H25" s="347">
        <f t="shared" si="2"/>
        <v>7.8808395326113515E-2</v>
      </c>
      <c r="I25" s="8"/>
    </row>
    <row r="26" spans="1:11" ht="17.25" thickTop="1">
      <c r="A26" s="8"/>
      <c r="B26" s="8"/>
      <c r="C26" s="8"/>
      <c r="D26" s="8"/>
      <c r="E26" s="8"/>
      <c r="F26" s="8"/>
      <c r="G26" s="180" t="s">
        <v>46</v>
      </c>
      <c r="H26" s="51">
        <f>MAX(H21:H25)</f>
        <v>9.8612864682002713E-2</v>
      </c>
      <c r="I26" s="8"/>
    </row>
    <row r="27" spans="1:11" ht="16.5">
      <c r="A27" s="8"/>
      <c r="B27" s="8"/>
      <c r="C27" s="10" t="s">
        <v>0</v>
      </c>
      <c r="D27" s="11" t="s">
        <v>0</v>
      </c>
      <c r="E27" s="11" t="s">
        <v>0</v>
      </c>
      <c r="F27" s="12" t="s">
        <v>0</v>
      </c>
      <c r="G27" s="321" t="s">
        <v>47</v>
      </c>
      <c r="H27" s="305">
        <f>MIN(H21:H25)</f>
        <v>6.8782959524411852E-2</v>
      </c>
      <c r="I27" s="8"/>
    </row>
    <row r="28" spans="1:11" ht="16.5">
      <c r="A28" s="8"/>
      <c r="B28" s="8"/>
      <c r="D28" s="51" t="s">
        <v>0</v>
      </c>
      <c r="E28" s="46" t="s">
        <v>0</v>
      </c>
      <c r="F28" s="46" t="s">
        <v>0</v>
      </c>
      <c r="G28" s="10" t="s">
        <v>18</v>
      </c>
      <c r="H28" s="47">
        <f>MEDIAN(H21:H25)</f>
        <v>7.9246890972021936E-2</v>
      </c>
      <c r="I28" s="8"/>
    </row>
    <row r="29" spans="1:11" ht="16.5">
      <c r="A29" s="8"/>
      <c r="B29" s="8"/>
      <c r="D29" s="51" t="s">
        <v>0</v>
      </c>
      <c r="E29" s="46" t="s">
        <v>0</v>
      </c>
      <c r="F29" s="51" t="s">
        <v>0</v>
      </c>
      <c r="G29" s="10" t="s">
        <v>411</v>
      </c>
      <c r="H29" s="47">
        <f>AVERAGE(H21:H25)</f>
        <v>8.2728479939982683E-2</v>
      </c>
      <c r="I29" s="8"/>
    </row>
    <row r="30" spans="1:11" ht="16.5">
      <c r="A30" s="8"/>
      <c r="B30" s="8"/>
      <c r="C30" s="10"/>
      <c r="D30" s="14" t="s">
        <v>0</v>
      </c>
      <c r="E30" s="15"/>
      <c r="F30" s="14"/>
      <c r="G30" s="16"/>
      <c r="H30" s="16"/>
      <c r="I30" s="8"/>
    </row>
    <row r="31" spans="1:11" ht="17.25" thickBot="1">
      <c r="A31" s="8"/>
      <c r="B31" s="8"/>
      <c r="C31" s="8"/>
      <c r="D31" s="8"/>
      <c r="E31" s="8"/>
      <c r="F31" s="8"/>
      <c r="G31" s="8"/>
      <c r="H31" s="8"/>
      <c r="I31" s="8"/>
    </row>
    <row r="32" spans="1:11" ht="27" thickBot="1">
      <c r="A32" s="8"/>
      <c r="B32" s="8"/>
      <c r="C32" s="8"/>
      <c r="D32" s="8"/>
      <c r="F32" s="186"/>
      <c r="G32" s="187" t="s">
        <v>237</v>
      </c>
      <c r="H32" s="315">
        <v>8.2699999999999996E-2</v>
      </c>
      <c r="I32" s="8"/>
    </row>
    <row r="33" spans="1:9" ht="16.5">
      <c r="A33" s="8"/>
      <c r="B33" s="8"/>
      <c r="C33" s="8"/>
      <c r="D33" s="8"/>
      <c r="E33" s="8"/>
      <c r="F33" s="8"/>
      <c r="G33" s="8"/>
      <c r="H33" s="8"/>
      <c r="I33" s="8"/>
    </row>
    <row r="34" spans="1:9" ht="27">
      <c r="A34" s="19" t="s">
        <v>0</v>
      </c>
      <c r="B34" s="8"/>
      <c r="C34" s="8"/>
      <c r="D34" s="8"/>
      <c r="E34" s="8"/>
      <c r="F34" s="8"/>
      <c r="G34" s="18" t="s">
        <v>0</v>
      </c>
      <c r="H34" s="8"/>
      <c r="I34" s="8"/>
    </row>
    <row r="35" spans="1:9" ht="16.5">
      <c r="A35" s="39"/>
      <c r="B35" s="8"/>
      <c r="C35" s="8"/>
      <c r="D35" s="8"/>
      <c r="E35" s="8"/>
      <c r="F35" s="8"/>
      <c r="G35" s="8"/>
      <c r="H35" s="8"/>
      <c r="I35" s="8"/>
    </row>
    <row r="36" spans="1:9" ht="26.25">
      <c r="A36" s="19" t="s">
        <v>314</v>
      </c>
      <c r="B36" s="8"/>
      <c r="C36" s="8"/>
      <c r="D36" s="8"/>
      <c r="E36" s="8"/>
      <c r="F36" s="8"/>
      <c r="G36" s="8"/>
      <c r="H36" s="8"/>
      <c r="I36" s="8"/>
    </row>
    <row r="37" spans="1:9" ht="16.5">
      <c r="A37" s="39"/>
      <c r="B37" s="8"/>
      <c r="C37" s="8"/>
      <c r="D37" s="8"/>
      <c r="E37" s="8"/>
      <c r="F37" s="8"/>
      <c r="G37" s="8"/>
      <c r="H37" s="8"/>
      <c r="I37" s="8"/>
    </row>
    <row r="38" spans="1:9" ht="17.25">
      <c r="A38" s="58" t="s">
        <v>204</v>
      </c>
      <c r="B38" s="8"/>
      <c r="C38" s="8"/>
      <c r="D38" s="8"/>
      <c r="E38" s="8"/>
      <c r="F38" s="8"/>
      <c r="G38" s="8"/>
      <c r="H38" s="8"/>
      <c r="I38" s="8"/>
    </row>
    <row r="39" spans="1:9" ht="17.25">
      <c r="A39" s="58" t="s">
        <v>317</v>
      </c>
      <c r="B39" s="8"/>
      <c r="C39" s="8"/>
      <c r="D39" s="8"/>
      <c r="E39" s="8"/>
      <c r="F39" s="8"/>
      <c r="G39" s="8"/>
      <c r="H39" s="8"/>
      <c r="I39" s="8"/>
    </row>
    <row r="40" spans="1:9" ht="17.25">
      <c r="A40" s="58" t="s">
        <v>315</v>
      </c>
      <c r="B40" s="8"/>
      <c r="C40" s="8"/>
      <c r="D40" s="8"/>
      <c r="E40" s="8"/>
      <c r="F40" s="8"/>
      <c r="G40" s="8"/>
      <c r="H40" s="8"/>
      <c r="I40" s="8"/>
    </row>
    <row r="41" spans="1:9" ht="17.25">
      <c r="A41" s="58" t="s">
        <v>316</v>
      </c>
      <c r="B41" s="8"/>
      <c r="C41" s="8"/>
      <c r="D41" s="8"/>
      <c r="E41" s="8"/>
      <c r="F41" s="8"/>
      <c r="G41" s="8"/>
      <c r="H41" s="8"/>
      <c r="I41" s="8"/>
    </row>
    <row r="42" spans="1:9" ht="17.25">
      <c r="A42" s="58" t="s">
        <v>318</v>
      </c>
      <c r="B42" s="8"/>
      <c r="C42" s="8"/>
      <c r="D42" s="8"/>
      <c r="E42" s="8"/>
      <c r="F42" s="8"/>
      <c r="G42" s="8"/>
      <c r="H42" s="8"/>
      <c r="I42" s="8"/>
    </row>
    <row r="43" spans="1:9" ht="16.5">
      <c r="A43" s="8"/>
      <c r="B43" s="8"/>
      <c r="C43" s="8"/>
      <c r="D43" s="8"/>
      <c r="E43" s="8"/>
      <c r="F43" s="8"/>
      <c r="G43" s="8"/>
      <c r="H43" s="8"/>
      <c r="I43" s="8"/>
    </row>
    <row r="44" spans="1:9" ht="16.5">
      <c r="A44" s="8"/>
      <c r="B44" s="8"/>
      <c r="C44" s="8"/>
      <c r="D44" s="8"/>
      <c r="E44" s="8"/>
      <c r="F44" s="8"/>
      <c r="G44" s="8"/>
      <c r="H44" s="8"/>
      <c r="I44" s="8"/>
    </row>
    <row r="45" spans="1:9" ht="16.5">
      <c r="A45" s="8"/>
      <c r="B45" s="8"/>
      <c r="C45" s="8"/>
      <c r="D45" s="8"/>
      <c r="E45" s="8"/>
      <c r="F45" s="8"/>
      <c r="G45" s="8"/>
      <c r="H45" s="8"/>
      <c r="I45" s="8"/>
    </row>
    <row r="46" spans="1:9" ht="16.5">
      <c r="A46" s="8"/>
      <c r="B46" s="8"/>
      <c r="C46" s="8"/>
      <c r="D46" s="8"/>
      <c r="E46" s="8"/>
      <c r="F46" s="8"/>
      <c r="G46" s="8"/>
      <c r="H46" s="8"/>
      <c r="I46" s="8"/>
    </row>
    <row r="47" spans="1:9" ht="16.5">
      <c r="A47" s="8"/>
      <c r="B47" s="8"/>
      <c r="C47" s="8"/>
      <c r="D47" s="8"/>
      <c r="E47" s="8"/>
      <c r="F47" s="8"/>
      <c r="G47" s="8"/>
      <c r="H47" s="8"/>
      <c r="I47" s="8"/>
    </row>
    <row r="48" spans="1:9" ht="16.5">
      <c r="A48" s="8"/>
      <c r="B48" s="8"/>
      <c r="C48" s="8"/>
      <c r="D48" s="8"/>
      <c r="E48" s="8"/>
      <c r="F48" s="8"/>
      <c r="G48" s="8"/>
      <c r="H48" s="8"/>
      <c r="I48" s="8"/>
    </row>
    <row r="49" spans="1:9" ht="16.5">
      <c r="A49" s="8"/>
      <c r="B49" s="8"/>
      <c r="C49" s="8"/>
      <c r="D49" s="8"/>
      <c r="E49" s="8"/>
      <c r="F49" s="8"/>
      <c r="G49" s="8"/>
      <c r="H49" s="8"/>
      <c r="I49" s="8"/>
    </row>
    <row r="50" spans="1:9" ht="16.5">
      <c r="A50" s="8"/>
      <c r="B50" s="8"/>
      <c r="C50" s="8"/>
      <c r="D50" s="8"/>
      <c r="E50" s="8"/>
      <c r="F50" s="8"/>
      <c r="G50" s="8"/>
      <c r="H50" s="8"/>
      <c r="I50" s="8"/>
    </row>
    <row r="51" spans="1:9" ht="16.5">
      <c r="A51" s="8"/>
      <c r="B51" s="8"/>
      <c r="C51" s="8"/>
      <c r="D51" s="8"/>
      <c r="E51" s="8"/>
      <c r="F51" s="8"/>
      <c r="G51" s="8"/>
      <c r="H51" s="8"/>
      <c r="I51" s="8"/>
    </row>
    <row r="52" spans="1:9" ht="16.5">
      <c r="A52" s="8"/>
      <c r="B52" s="8"/>
      <c r="C52" s="8"/>
      <c r="D52" s="8"/>
      <c r="E52" s="8"/>
      <c r="F52" s="8"/>
      <c r="G52" s="8"/>
      <c r="H52" s="8"/>
      <c r="I52" s="8"/>
    </row>
    <row r="53" spans="1:9" ht="16.5">
      <c r="A53" s="8"/>
      <c r="B53" s="8"/>
      <c r="C53" s="8"/>
      <c r="D53" s="8"/>
      <c r="E53" s="8"/>
      <c r="F53" s="8"/>
      <c r="G53" s="8"/>
      <c r="H53" s="8"/>
      <c r="I53" s="8"/>
    </row>
    <row r="54" spans="1:9" ht="16.5">
      <c r="A54" s="8"/>
      <c r="B54" s="8"/>
      <c r="C54" s="8"/>
      <c r="D54" s="8"/>
      <c r="E54" s="8"/>
      <c r="F54" s="8"/>
      <c r="G54" s="8"/>
      <c r="H54" s="8"/>
      <c r="I54" s="8"/>
    </row>
    <row r="55" spans="1:9" ht="16.5">
      <c r="A55" s="8"/>
      <c r="B55" s="8"/>
      <c r="C55" s="8"/>
      <c r="D55" s="8"/>
      <c r="E55" s="8"/>
      <c r="F55" s="8"/>
      <c r="G55" s="8"/>
      <c r="H55" s="8"/>
      <c r="I55" s="8"/>
    </row>
    <row r="56" spans="1:9" ht="16.5">
      <c r="A56" s="8"/>
      <c r="B56" s="8"/>
      <c r="C56" s="8"/>
      <c r="D56" s="8"/>
      <c r="E56" s="8"/>
      <c r="F56" s="8"/>
      <c r="G56" s="8"/>
      <c r="H56" s="8"/>
      <c r="I56" s="8"/>
    </row>
    <row r="57" spans="1:9" ht="16.5">
      <c r="A57" s="8"/>
      <c r="B57" s="8"/>
      <c r="C57" s="8"/>
      <c r="D57" s="8"/>
      <c r="E57" s="8"/>
      <c r="F57" s="8"/>
      <c r="G57" s="8"/>
      <c r="H57" s="8"/>
      <c r="I57" s="8"/>
    </row>
    <row r="58" spans="1:9" ht="16.5">
      <c r="A58" s="8"/>
      <c r="B58" s="8"/>
      <c r="C58" s="8"/>
      <c r="D58" s="8"/>
      <c r="E58" s="8"/>
      <c r="F58" s="8"/>
      <c r="G58" s="8"/>
      <c r="H58" s="8"/>
      <c r="I58" s="8"/>
    </row>
    <row r="59" spans="1:9" ht="16.5">
      <c r="A59" s="8"/>
      <c r="B59" s="8"/>
      <c r="C59" s="8"/>
      <c r="D59" s="8"/>
      <c r="E59" s="8"/>
      <c r="F59" s="8"/>
      <c r="G59" s="8"/>
      <c r="H59" s="8"/>
      <c r="I59" s="8"/>
    </row>
    <row r="60" spans="1:9" ht="16.5">
      <c r="A60" s="8"/>
      <c r="B60" s="8"/>
      <c r="C60" s="8"/>
      <c r="D60" s="8"/>
      <c r="E60" s="8"/>
      <c r="F60" s="8"/>
      <c r="G60" s="8"/>
      <c r="H60" s="8"/>
      <c r="I60" s="8"/>
    </row>
    <row r="61" spans="1:9" ht="16.5">
      <c r="A61" s="8"/>
      <c r="B61" s="8"/>
      <c r="C61" s="8"/>
      <c r="D61" s="8"/>
      <c r="E61" s="8"/>
      <c r="F61" s="8"/>
      <c r="G61" s="8"/>
      <c r="H61" s="8"/>
      <c r="I61" s="8"/>
    </row>
    <row r="62" spans="1:9" ht="16.5">
      <c r="A62" s="8"/>
      <c r="B62" s="8"/>
      <c r="C62" s="8"/>
      <c r="D62" s="8"/>
      <c r="E62" s="8"/>
      <c r="F62" s="8"/>
      <c r="G62" s="8"/>
      <c r="H62" s="8"/>
      <c r="I62" s="8"/>
    </row>
    <row r="63" spans="1:9" ht="16.5">
      <c r="A63" s="8"/>
      <c r="B63" s="8"/>
      <c r="C63" s="8"/>
      <c r="D63" s="8"/>
      <c r="E63" s="8"/>
      <c r="F63" s="8"/>
      <c r="G63" s="8"/>
      <c r="H63" s="8"/>
      <c r="I63" s="8"/>
    </row>
    <row r="64" spans="1:9" ht="16.5">
      <c r="A64" s="8"/>
      <c r="B64" s="8"/>
      <c r="C64" s="8"/>
      <c r="D64" s="8"/>
      <c r="E64" s="8"/>
      <c r="F64" s="8"/>
      <c r="G64" s="8"/>
      <c r="H64" s="8"/>
      <c r="I64" s="8"/>
    </row>
    <row r="65" spans="1:9" ht="16.5">
      <c r="A65" s="8"/>
      <c r="B65" s="8"/>
      <c r="C65" s="8"/>
      <c r="D65" s="8"/>
      <c r="E65" s="8"/>
      <c r="F65" s="8"/>
      <c r="G65" s="8"/>
      <c r="H65" s="8"/>
      <c r="I65" s="8"/>
    </row>
    <row r="66" spans="1:9" ht="16.5">
      <c r="A66" s="8"/>
      <c r="B66" s="8"/>
      <c r="C66" s="8"/>
      <c r="D66" s="8"/>
      <c r="E66" s="8"/>
      <c r="F66" s="8"/>
      <c r="G66" s="8"/>
      <c r="H66" s="8"/>
      <c r="I66" s="8"/>
    </row>
    <row r="67" spans="1:9" ht="16.5">
      <c r="A67" s="8"/>
      <c r="B67" s="8"/>
      <c r="C67" s="8"/>
      <c r="D67" s="8"/>
      <c r="E67" s="8"/>
      <c r="F67" s="8"/>
      <c r="G67" s="8"/>
      <c r="H67" s="8"/>
      <c r="I67" s="8"/>
    </row>
    <row r="68" spans="1:9" ht="16.5">
      <c r="A68" s="8"/>
      <c r="B68" s="8"/>
      <c r="C68" s="8"/>
      <c r="D68" s="8"/>
      <c r="E68" s="8"/>
      <c r="F68" s="8"/>
      <c r="G68" s="8"/>
      <c r="H68" s="8"/>
      <c r="I68" s="8"/>
    </row>
    <row r="69" spans="1:9" ht="16.5">
      <c r="A69" s="8"/>
      <c r="B69" s="8"/>
      <c r="C69" s="8"/>
      <c r="D69" s="8"/>
      <c r="E69" s="8"/>
      <c r="F69" s="8"/>
      <c r="G69" s="8"/>
      <c r="H69" s="8"/>
      <c r="I69" s="8"/>
    </row>
    <row r="70" spans="1:9" ht="16.5">
      <c r="A70" s="8"/>
      <c r="B70" s="8"/>
      <c r="C70" s="8"/>
      <c r="D70" s="8"/>
      <c r="E70" s="8"/>
      <c r="F70" s="8"/>
      <c r="G70" s="8"/>
      <c r="H70" s="8"/>
      <c r="I70" s="8"/>
    </row>
    <row r="71" spans="1:9" ht="16.5">
      <c r="A71" s="8"/>
      <c r="B71" s="8"/>
      <c r="C71" s="8"/>
      <c r="D71" s="8"/>
      <c r="E71" s="8"/>
      <c r="F71" s="8"/>
      <c r="G71" s="8"/>
      <c r="H71" s="8"/>
      <c r="I71" s="8"/>
    </row>
    <row r="72" spans="1:9" ht="16.5">
      <c r="A72" s="8"/>
      <c r="B72" s="8"/>
      <c r="C72" s="8"/>
      <c r="D72" s="8"/>
      <c r="E72" s="8"/>
      <c r="F72" s="8"/>
      <c r="G72" s="8"/>
      <c r="H72" s="8"/>
      <c r="I72" s="8"/>
    </row>
    <row r="73" spans="1:9" ht="16.5">
      <c r="A73" s="8"/>
      <c r="B73" s="8"/>
      <c r="C73" s="8"/>
      <c r="D73" s="8"/>
      <c r="E73" s="8"/>
      <c r="F73" s="8"/>
      <c r="G73" s="8"/>
      <c r="H73" s="8"/>
      <c r="I73" s="8"/>
    </row>
    <row r="74" spans="1:9" ht="16.5">
      <c r="A74" s="8"/>
      <c r="B74" s="8"/>
      <c r="C74" s="8"/>
      <c r="D74" s="8"/>
      <c r="E74" s="8"/>
      <c r="F74" s="8"/>
      <c r="G74" s="8"/>
      <c r="H74" s="8"/>
      <c r="I74" s="8"/>
    </row>
    <row r="75" spans="1:9" ht="16.5">
      <c r="A75" s="8"/>
      <c r="B75" s="8"/>
      <c r="C75" s="8"/>
      <c r="D75" s="8"/>
      <c r="E75" s="8"/>
      <c r="F75" s="8"/>
      <c r="G75" s="8"/>
      <c r="H75" s="8"/>
      <c r="I75" s="8"/>
    </row>
    <row r="76" spans="1:9" ht="16.5">
      <c r="A76" s="8"/>
      <c r="B76" s="8"/>
      <c r="C76" s="8"/>
      <c r="D76" s="8"/>
      <c r="E76" s="8"/>
      <c r="F76" s="8"/>
      <c r="G76" s="8"/>
      <c r="H76" s="8"/>
      <c r="I76" s="8"/>
    </row>
    <row r="77" spans="1:9" ht="16.5">
      <c r="A77" s="8"/>
      <c r="B77" s="8"/>
      <c r="C77" s="8"/>
      <c r="D77" s="8"/>
      <c r="E77" s="8"/>
      <c r="F77" s="8"/>
      <c r="G77" s="8"/>
      <c r="H77" s="8"/>
      <c r="I77" s="8"/>
    </row>
    <row r="78" spans="1:9" ht="16.5">
      <c r="A78" s="8"/>
      <c r="B78" s="8"/>
      <c r="C78" s="8"/>
      <c r="D78" s="8"/>
      <c r="E78" s="8"/>
      <c r="F78" s="8"/>
      <c r="G78" s="8"/>
      <c r="H78" s="8"/>
      <c r="I78" s="8"/>
    </row>
    <row r="79" spans="1:9" ht="16.5">
      <c r="A79" s="8"/>
      <c r="B79" s="8"/>
      <c r="C79" s="8"/>
      <c r="D79" s="8"/>
      <c r="E79" s="8"/>
      <c r="F79" s="8"/>
      <c r="G79" s="8"/>
      <c r="H79" s="8"/>
      <c r="I79" s="8"/>
    </row>
    <row r="80" spans="1:9" ht="16.5">
      <c r="A80" s="8"/>
      <c r="B80" s="8"/>
      <c r="C80" s="8"/>
      <c r="D80" s="8"/>
      <c r="E80" s="8"/>
      <c r="F80" s="8"/>
      <c r="G80" s="8"/>
      <c r="H80" s="8"/>
      <c r="I80" s="8"/>
    </row>
    <row r="81" spans="1:9" ht="16.5">
      <c r="A81" s="8"/>
      <c r="B81" s="8"/>
      <c r="C81" s="8"/>
      <c r="D81" s="8"/>
      <c r="E81" s="8"/>
      <c r="F81" s="8"/>
      <c r="G81" s="8"/>
      <c r="H81" s="8"/>
      <c r="I81" s="8"/>
    </row>
    <row r="82" spans="1:9" ht="16.5">
      <c r="A82" s="8"/>
      <c r="B82" s="8"/>
      <c r="C82" s="8"/>
      <c r="D82" s="8"/>
      <c r="E82" s="8"/>
      <c r="F82" s="8"/>
      <c r="G82" s="8"/>
      <c r="H82" s="8"/>
      <c r="I82" s="8"/>
    </row>
    <row r="83" spans="1:9" ht="16.5">
      <c r="A83" s="8"/>
      <c r="B83" s="8"/>
      <c r="C83" s="8"/>
      <c r="D83" s="8"/>
      <c r="E83" s="8"/>
      <c r="F83" s="8"/>
      <c r="G83" s="8"/>
      <c r="H83" s="8"/>
      <c r="I83" s="8"/>
    </row>
    <row r="84" spans="1:9" ht="16.5">
      <c r="A84" s="8"/>
      <c r="B84" s="8"/>
      <c r="C84" s="8"/>
      <c r="D84" s="8"/>
      <c r="E84" s="8"/>
      <c r="F84" s="8"/>
      <c r="G84" s="8"/>
      <c r="H84" s="8"/>
      <c r="I84" s="8"/>
    </row>
    <row r="85" spans="1:9" ht="16.5">
      <c r="A85" s="8"/>
      <c r="B85" s="8"/>
      <c r="C85" s="8"/>
      <c r="D85" s="8"/>
      <c r="E85" s="8"/>
      <c r="F85" s="8"/>
      <c r="G85" s="8"/>
      <c r="H85" s="8"/>
      <c r="I85" s="8"/>
    </row>
    <row r="86" spans="1:9" ht="16.5">
      <c r="A86" s="8"/>
      <c r="B86" s="8"/>
      <c r="C86" s="8"/>
      <c r="D86" s="8"/>
      <c r="E86" s="8"/>
      <c r="F86" s="8"/>
      <c r="G86" s="8"/>
      <c r="H86" s="8"/>
      <c r="I86" s="8"/>
    </row>
    <row r="87" spans="1:9" ht="16.5">
      <c r="A87" s="8"/>
      <c r="B87" s="8"/>
      <c r="C87" s="8"/>
      <c r="D87" s="8"/>
      <c r="E87" s="8"/>
      <c r="F87" s="8"/>
      <c r="G87" s="8"/>
      <c r="H87" s="8"/>
      <c r="I87" s="8"/>
    </row>
    <row r="88" spans="1:9" ht="16.5">
      <c r="A88" s="8"/>
      <c r="B88" s="8"/>
      <c r="C88" s="8"/>
      <c r="D88" s="8"/>
      <c r="E88" s="8"/>
      <c r="F88" s="8"/>
      <c r="G88" s="8"/>
      <c r="H88" s="8"/>
      <c r="I88" s="8"/>
    </row>
    <row r="89" spans="1:9" ht="16.5">
      <c r="A89" s="8"/>
      <c r="B89" s="8"/>
      <c r="C89" s="8"/>
      <c r="D89" s="8"/>
      <c r="E89" s="8"/>
      <c r="F89" s="8"/>
      <c r="G89" s="8"/>
      <c r="H89" s="8"/>
      <c r="I89" s="8"/>
    </row>
    <row r="90" spans="1:9" ht="16.5">
      <c r="A90" s="8"/>
      <c r="B90" s="8"/>
      <c r="C90" s="8"/>
      <c r="D90" s="8"/>
      <c r="E90" s="8"/>
      <c r="F90" s="8"/>
      <c r="G90" s="8"/>
      <c r="H90" s="8"/>
      <c r="I90" s="8"/>
    </row>
    <row r="91" spans="1:9" ht="16.5">
      <c r="A91" s="8"/>
      <c r="B91" s="8"/>
      <c r="C91" s="8"/>
      <c r="D91" s="8"/>
      <c r="E91" s="8"/>
      <c r="F91" s="8"/>
      <c r="G91" s="8"/>
      <c r="H91" s="8"/>
      <c r="I91" s="8"/>
    </row>
    <row r="92" spans="1:9" ht="16.5">
      <c r="A92" s="8"/>
      <c r="B92" s="8"/>
      <c r="C92" s="8"/>
      <c r="D92" s="8"/>
      <c r="E92" s="8"/>
      <c r="F92" s="8"/>
      <c r="G92" s="8"/>
      <c r="H92" s="8"/>
      <c r="I92" s="8"/>
    </row>
    <row r="93" spans="1:9" ht="16.5">
      <c r="A93" s="8"/>
      <c r="B93" s="8"/>
      <c r="C93" s="8"/>
      <c r="D93" s="8"/>
      <c r="E93" s="8"/>
      <c r="F93" s="8"/>
      <c r="G93" s="8"/>
      <c r="H93" s="8"/>
      <c r="I93" s="8"/>
    </row>
    <row r="94" spans="1:9" ht="16.5">
      <c r="A94" s="8"/>
      <c r="B94" s="8"/>
      <c r="C94" s="8"/>
      <c r="D94" s="8"/>
      <c r="E94" s="8"/>
      <c r="F94" s="8"/>
      <c r="G94" s="8"/>
      <c r="H94" s="8"/>
      <c r="I94" s="8"/>
    </row>
    <row r="95" spans="1:9" ht="16.5">
      <c r="A95" s="8"/>
      <c r="B95" s="8"/>
      <c r="C95" s="8"/>
      <c r="D95" s="8"/>
      <c r="E95" s="8"/>
      <c r="F95" s="8"/>
      <c r="G95" s="8"/>
      <c r="H95" s="8"/>
      <c r="I95" s="8"/>
    </row>
    <row r="96" spans="1:9" ht="16.5">
      <c r="A96" s="8"/>
      <c r="B96" s="8"/>
      <c r="C96" s="8"/>
      <c r="D96" s="8"/>
      <c r="E96" s="8"/>
      <c r="F96" s="8"/>
      <c r="G96" s="8"/>
      <c r="H96" s="8"/>
      <c r="I96" s="8"/>
    </row>
    <row r="97" spans="1:9" ht="16.5">
      <c r="A97" s="8"/>
      <c r="B97" s="8"/>
      <c r="C97" s="8"/>
      <c r="D97" s="8"/>
      <c r="E97" s="8"/>
      <c r="F97" s="8"/>
      <c r="G97" s="8"/>
      <c r="H97" s="8"/>
      <c r="I97" s="8"/>
    </row>
    <row r="98" spans="1:9" ht="16.5">
      <c r="A98" s="8"/>
      <c r="B98" s="8"/>
      <c r="C98" s="8"/>
      <c r="D98" s="8"/>
      <c r="E98" s="8"/>
      <c r="F98" s="8"/>
      <c r="G98" s="8"/>
      <c r="H98" s="8"/>
      <c r="I98" s="8"/>
    </row>
    <row r="99" spans="1:9" ht="16.5">
      <c r="A99" s="8"/>
      <c r="B99" s="8"/>
      <c r="C99" s="8"/>
      <c r="D99" s="8"/>
      <c r="E99" s="8"/>
      <c r="F99" s="8"/>
      <c r="G99" s="8"/>
      <c r="H99" s="8"/>
      <c r="I99" s="8"/>
    </row>
    <row r="100" spans="1:9" ht="16.5">
      <c r="A100" s="8"/>
      <c r="B100" s="8"/>
      <c r="C100" s="8"/>
      <c r="D100" s="8"/>
      <c r="E100" s="8"/>
      <c r="F100" s="8"/>
      <c r="G100" s="8"/>
      <c r="H100" s="8"/>
      <c r="I100" s="8"/>
    </row>
    <row r="101" spans="1:9" ht="16.5">
      <c r="A101" s="8"/>
      <c r="B101" s="8"/>
      <c r="C101" s="8"/>
      <c r="D101" s="8"/>
      <c r="E101" s="8"/>
      <c r="F101" s="8"/>
      <c r="G101" s="8"/>
      <c r="H101" s="8"/>
      <c r="I101" s="8"/>
    </row>
    <row r="102" spans="1:9" ht="16.5">
      <c r="A102" s="8"/>
      <c r="B102" s="8"/>
      <c r="C102" s="8"/>
      <c r="D102" s="8"/>
      <c r="E102" s="8"/>
      <c r="F102" s="8"/>
      <c r="G102" s="8"/>
      <c r="H102" s="8"/>
      <c r="I102" s="8"/>
    </row>
    <row r="103" spans="1:9" ht="16.5">
      <c r="A103" s="8"/>
      <c r="B103" s="8"/>
      <c r="C103" s="8"/>
      <c r="D103" s="8"/>
      <c r="E103" s="8"/>
      <c r="F103" s="8"/>
      <c r="G103" s="8"/>
      <c r="H103" s="8"/>
      <c r="I103" s="8"/>
    </row>
    <row r="104" spans="1:9" ht="16.5">
      <c r="A104" s="8"/>
      <c r="B104" s="8"/>
      <c r="C104" s="8"/>
      <c r="D104" s="8"/>
      <c r="E104" s="8"/>
      <c r="F104" s="8"/>
      <c r="G104" s="8"/>
      <c r="H104" s="8"/>
      <c r="I104" s="8"/>
    </row>
    <row r="105" spans="1:9" ht="16.5">
      <c r="A105" s="8"/>
      <c r="B105" s="8"/>
      <c r="C105" s="8"/>
      <c r="D105" s="8"/>
      <c r="E105" s="8"/>
      <c r="F105" s="8"/>
      <c r="G105" s="8"/>
      <c r="H105" s="8"/>
      <c r="I105" s="8"/>
    </row>
  </sheetData>
  <pageMargins left="0.25" right="0.25" top="0.75" bottom="0.75" header="0.3" footer="0.3"/>
  <pageSetup scale="48"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E18509-4469-4CA1-837E-28DCE856C1A1}">
  <sheetPr>
    <tabColor rgb="FF92D050"/>
  </sheetPr>
  <dimension ref="A1:N42"/>
  <sheetViews>
    <sheetView view="pageBreakPreview" zoomScale="60" zoomScaleNormal="80" workbookViewId="0">
      <selection activeCell="I30" sqref="I30"/>
    </sheetView>
  </sheetViews>
  <sheetFormatPr defaultRowHeight="15"/>
  <cols>
    <col min="1" max="1" width="21.5703125" customWidth="1"/>
    <col min="2" max="2" width="45.7109375" customWidth="1"/>
    <col min="3" max="3" width="20.85546875" customWidth="1"/>
    <col min="4" max="4" width="24" customWidth="1"/>
    <col min="5" max="5" width="29.28515625" customWidth="1"/>
    <col min="6" max="6" width="26.42578125" customWidth="1"/>
    <col min="7" max="7" width="23" customWidth="1"/>
    <col min="8" max="8" width="27.28515625" customWidth="1"/>
    <col min="9" max="9" width="29.42578125" customWidth="1"/>
    <col min="10" max="10" width="21.28515625" customWidth="1"/>
    <col min="11" max="11" width="4.42578125" customWidth="1"/>
    <col min="12" max="12" width="22.7109375" customWidth="1"/>
    <col min="13" max="13" width="17.28515625" customWidth="1"/>
  </cols>
  <sheetData>
    <row r="1" spans="1:14" ht="26.25">
      <c r="A1" s="19" t="s">
        <v>1</v>
      </c>
      <c r="C1" s="8"/>
      <c r="D1" s="8"/>
      <c r="E1" s="8"/>
      <c r="F1" s="8"/>
      <c r="G1" s="8"/>
      <c r="H1" s="8"/>
      <c r="I1" s="8"/>
      <c r="J1" s="8"/>
      <c r="K1" s="8"/>
      <c r="L1" s="8"/>
      <c r="M1" s="8"/>
      <c r="N1" s="8"/>
    </row>
    <row r="2" spans="1:14" ht="17.25">
      <c r="A2" s="58" t="s">
        <v>9</v>
      </c>
      <c r="C2" s="8"/>
      <c r="D2" s="8"/>
      <c r="E2" s="8"/>
      <c r="F2" s="8"/>
      <c r="G2" s="8"/>
      <c r="H2" s="8"/>
      <c r="I2" s="8"/>
      <c r="J2" s="8"/>
      <c r="K2" s="8"/>
      <c r="L2" s="8"/>
      <c r="M2" s="8"/>
      <c r="N2" s="8"/>
    </row>
    <row r="3" spans="1:14" ht="16.5">
      <c r="A3" s="21" t="s">
        <v>453</v>
      </c>
      <c r="C3" s="8"/>
      <c r="D3" s="8"/>
      <c r="E3" s="8"/>
      <c r="F3" s="8"/>
      <c r="G3" s="8"/>
      <c r="H3" s="8"/>
      <c r="I3" s="8"/>
      <c r="J3" s="8"/>
      <c r="K3" s="8"/>
      <c r="L3" s="8"/>
      <c r="M3" s="8"/>
      <c r="N3" s="8"/>
    </row>
    <row r="4" spans="1:14" ht="16.5">
      <c r="A4" s="8"/>
      <c r="C4" s="8"/>
      <c r="D4" s="8"/>
      <c r="E4" s="22" t="s">
        <v>0</v>
      </c>
      <c r="F4" s="8"/>
      <c r="G4" s="8"/>
      <c r="H4" s="8"/>
      <c r="I4" s="8"/>
      <c r="J4" s="8"/>
      <c r="K4" s="8"/>
      <c r="L4" s="8"/>
      <c r="M4" s="8"/>
      <c r="N4" s="8"/>
    </row>
    <row r="5" spans="1:14" ht="18" thickBot="1">
      <c r="A5" s="58"/>
      <c r="C5" s="8"/>
      <c r="D5" s="8"/>
      <c r="E5" s="8"/>
      <c r="F5" s="8"/>
      <c r="G5" s="8"/>
      <c r="H5" s="8"/>
      <c r="I5" s="8"/>
      <c r="J5" s="8"/>
      <c r="K5" s="8"/>
      <c r="L5" s="8"/>
      <c r="M5" s="8"/>
      <c r="N5" s="8"/>
    </row>
    <row r="6" spans="1:14" ht="21" thickBot="1">
      <c r="A6" s="260" t="str">
        <f>+'S&amp;D'!A12</f>
        <v>Railroad Carriers</v>
      </c>
      <c r="B6" s="181"/>
      <c r="C6" s="8"/>
      <c r="D6" s="8"/>
      <c r="E6" s="8"/>
      <c r="F6" s="8"/>
      <c r="G6" s="8"/>
      <c r="H6" s="8"/>
    </row>
    <row r="7" spans="1:14" ht="18" thickBot="1">
      <c r="A7" s="58"/>
      <c r="C7" s="8"/>
      <c r="D7" s="24"/>
      <c r="E7" s="24"/>
      <c r="F7" s="24"/>
      <c r="G7" s="8"/>
      <c r="H7" s="8"/>
    </row>
    <row r="8" spans="1:14" ht="26.25">
      <c r="C8" s="8"/>
      <c r="D8" s="8"/>
      <c r="E8" s="27" t="s">
        <v>370</v>
      </c>
      <c r="F8" s="8"/>
      <c r="G8" s="8"/>
      <c r="H8" s="8"/>
    </row>
    <row r="9" spans="1:14" ht="21" thickBot="1">
      <c r="B9" s="26"/>
      <c r="C9" s="8"/>
      <c r="D9" s="24"/>
      <c r="E9" s="28" t="s">
        <v>454</v>
      </c>
      <c r="F9" s="24"/>
      <c r="G9" s="8"/>
      <c r="H9" s="8"/>
    </row>
    <row r="10" spans="1:14" ht="17.25" thickBot="1">
      <c r="B10" s="29" t="s">
        <v>0</v>
      </c>
      <c r="C10" s="29" t="s">
        <v>0</v>
      </c>
      <c r="D10" s="29" t="s">
        <v>0</v>
      </c>
      <c r="E10" s="29" t="s">
        <v>0</v>
      </c>
      <c r="F10" s="29" t="s">
        <v>0</v>
      </c>
      <c r="G10" s="29" t="s">
        <v>0</v>
      </c>
      <c r="H10" s="24"/>
      <c r="I10" s="142"/>
      <c r="J10" s="142"/>
    </row>
    <row r="11" spans="1:14" ht="16.5">
      <c r="B11" s="30" t="s">
        <v>0</v>
      </c>
      <c r="C11" s="30" t="s">
        <v>3</v>
      </c>
      <c r="D11" s="30" t="s">
        <v>350</v>
      </c>
      <c r="E11" s="373" t="s">
        <v>351</v>
      </c>
      <c r="F11" s="30" t="s">
        <v>232</v>
      </c>
      <c r="G11" s="30" t="s">
        <v>26</v>
      </c>
      <c r="H11" s="373" t="s">
        <v>369</v>
      </c>
      <c r="I11" s="30" t="s">
        <v>369</v>
      </c>
      <c r="J11" s="30" t="s">
        <v>26</v>
      </c>
    </row>
    <row r="12" spans="1:14" ht="17.25" thickBot="1">
      <c r="B12" s="32" t="s">
        <v>2</v>
      </c>
      <c r="C12" s="32" t="s">
        <v>4</v>
      </c>
      <c r="D12" s="32" t="s">
        <v>27</v>
      </c>
      <c r="E12" s="374" t="s">
        <v>168</v>
      </c>
      <c r="F12" s="32" t="s">
        <v>371</v>
      </c>
      <c r="G12" s="32" t="s">
        <v>29</v>
      </c>
      <c r="H12" s="374" t="s">
        <v>397</v>
      </c>
      <c r="I12" s="32" t="s">
        <v>28</v>
      </c>
      <c r="J12" s="32" t="s">
        <v>29</v>
      </c>
    </row>
    <row r="13" spans="1:14">
      <c r="B13" s="34" t="s">
        <v>0</v>
      </c>
      <c r="C13" s="34" t="s">
        <v>0</v>
      </c>
      <c r="D13" s="35" t="s">
        <v>113</v>
      </c>
      <c r="E13" s="375" t="s">
        <v>114</v>
      </c>
      <c r="F13" s="34" t="s">
        <v>0</v>
      </c>
      <c r="G13" s="34" t="s">
        <v>0</v>
      </c>
      <c r="H13" s="375" t="s">
        <v>114</v>
      </c>
      <c r="I13" s="34" t="s">
        <v>0</v>
      </c>
      <c r="J13" s="34" t="s">
        <v>0</v>
      </c>
    </row>
    <row r="14" spans="1:14" ht="16.5">
      <c r="B14" s="30"/>
      <c r="C14" s="30"/>
      <c r="D14" s="30"/>
      <c r="E14" s="368"/>
      <c r="F14" s="30"/>
      <c r="G14" s="30"/>
      <c r="H14" s="376"/>
      <c r="I14" s="30"/>
      <c r="J14" s="30"/>
    </row>
    <row r="15" spans="1:14" ht="16.5">
      <c r="B15" s="8"/>
      <c r="C15" s="8"/>
      <c r="D15" s="8"/>
      <c r="E15" s="366"/>
      <c r="F15" s="8"/>
      <c r="H15" s="366"/>
      <c r="I15" s="8"/>
    </row>
    <row r="16" spans="1:14" ht="17.25">
      <c r="B16" s="58" t="str">
        <f>+'S&amp;D'!A22</f>
        <v>Canadian National</v>
      </c>
      <c r="C16" s="85" t="str">
        <f>+'S&amp;D'!B22</f>
        <v>CNI</v>
      </c>
      <c r="D16" s="176">
        <f>+'S&amp;D'!G22</f>
        <v>125.63</v>
      </c>
      <c r="E16" s="369">
        <v>20.3</v>
      </c>
      <c r="F16" s="377">
        <f>D16/E16</f>
        <v>6.188669950738916</v>
      </c>
      <c r="G16" s="52">
        <f t="shared" ref="G16:G20" si="0">1/F16</f>
        <v>0.16158560853299372</v>
      </c>
      <c r="H16" s="369">
        <v>24.95</v>
      </c>
      <c r="I16" s="377">
        <f>D16/H16</f>
        <v>5.0352705410821645</v>
      </c>
      <c r="J16" s="52">
        <f t="shared" ref="J16:J20" si="1">1/I16</f>
        <v>0.19859906073390113</v>
      </c>
    </row>
    <row r="17" spans="1:10" ht="17.25">
      <c r="B17" s="58" t="str">
        <f>+'S&amp;D'!A23</f>
        <v>Canadian Pacific Kansas City Limited  CPKC</v>
      </c>
      <c r="C17" s="85" t="str">
        <f>+'S&amp;D'!B23</f>
        <v>CP</v>
      </c>
      <c r="D17" s="176">
        <f>+'S&amp;D'!G23</f>
        <v>79.06</v>
      </c>
      <c r="E17" s="369">
        <v>11.9</v>
      </c>
      <c r="F17" s="377">
        <f t="shared" ref="F17:F20" si="2">D17/E17</f>
        <v>6.643697478991597</v>
      </c>
      <c r="G17" s="52">
        <f t="shared" si="0"/>
        <v>0.1505185934733114</v>
      </c>
      <c r="H17" s="369">
        <v>35.9</v>
      </c>
      <c r="I17" s="377">
        <f>D17/H17</f>
        <v>2.2022284122562676</v>
      </c>
      <c r="J17" s="52">
        <f t="shared" si="1"/>
        <v>0.45408550467998982</v>
      </c>
    </row>
    <row r="18" spans="1:10" ht="17.25">
      <c r="B18" s="58" t="str">
        <f>+'S&amp;D'!A24</f>
        <v>CSX Corp</v>
      </c>
      <c r="C18" s="85" t="str">
        <f>+'S&amp;D'!B24</f>
        <v>CSX</v>
      </c>
      <c r="D18" s="176">
        <f>+'S&amp;D'!G24</f>
        <v>34.67</v>
      </c>
      <c r="E18" s="369">
        <v>8</v>
      </c>
      <c r="F18" s="377">
        <f t="shared" si="2"/>
        <v>4.3337500000000002</v>
      </c>
      <c r="G18" s="52">
        <f t="shared" si="0"/>
        <v>0.23074704355350445</v>
      </c>
      <c r="H18" s="369">
        <v>6.1</v>
      </c>
      <c r="I18" s="377">
        <f>D18/H18</f>
        <v>5.6836065573770496</v>
      </c>
      <c r="J18" s="52">
        <f t="shared" si="1"/>
        <v>0.17594462070954714</v>
      </c>
    </row>
    <row r="19" spans="1:10" ht="17.25">
      <c r="B19" s="58" t="str">
        <f>+'S&amp;D'!A25</f>
        <v>Norfolk Southern</v>
      </c>
      <c r="C19" s="85" t="str">
        <f>+'S&amp;D'!B25</f>
        <v>NSC</v>
      </c>
      <c r="D19" s="176">
        <f>+'S&amp;D'!G25</f>
        <v>236.38</v>
      </c>
      <c r="E19" s="369">
        <v>56</v>
      </c>
      <c r="F19" s="377">
        <f t="shared" si="2"/>
        <v>4.2210714285714284</v>
      </c>
      <c r="G19" s="52">
        <f t="shared" si="0"/>
        <v>0.23690667569168289</v>
      </c>
      <c r="H19" s="369">
        <v>57.95</v>
      </c>
      <c r="I19" s="377">
        <f>D19/H19</f>
        <v>4.0790336496980153</v>
      </c>
      <c r="J19" s="52">
        <f t="shared" si="1"/>
        <v>0.24515610457737544</v>
      </c>
    </row>
    <row r="20" spans="1:10" ht="17.25">
      <c r="B20" s="58" t="str">
        <f>+'S&amp;D'!A26</f>
        <v>Union Pacific Railroad</v>
      </c>
      <c r="C20" s="85" t="str">
        <f>+'S&amp;D'!B26</f>
        <v>UNP</v>
      </c>
      <c r="D20" s="176">
        <f>+'S&amp;D'!G26</f>
        <v>245.62</v>
      </c>
      <c r="E20" s="369">
        <v>41.35</v>
      </c>
      <c r="F20" s="377">
        <f t="shared" si="2"/>
        <v>5.9400241837968561</v>
      </c>
      <c r="G20" s="52">
        <f t="shared" si="0"/>
        <v>0.16834948294112856</v>
      </c>
      <c r="H20" s="369">
        <v>27.8</v>
      </c>
      <c r="I20" s="377">
        <f>D20/H20</f>
        <v>8.8352517985611509</v>
      </c>
      <c r="J20" s="52">
        <f t="shared" si="1"/>
        <v>0.11318296555655077</v>
      </c>
    </row>
    <row r="21" spans="1:10" ht="11.25" customHeight="1" thickBot="1">
      <c r="B21" s="8"/>
      <c r="C21" s="65"/>
      <c r="D21" s="65"/>
      <c r="E21" s="370"/>
      <c r="F21" s="378"/>
      <c r="G21" s="379"/>
      <c r="H21" s="370"/>
      <c r="I21" s="378"/>
      <c r="J21" s="379"/>
    </row>
    <row r="22" spans="1:10" ht="17.25" thickTop="1">
      <c r="B22" s="8"/>
      <c r="D22" s="10" t="s">
        <v>46</v>
      </c>
      <c r="E22" s="371">
        <f t="shared" ref="E22" si="3">MAX(E16:E20)</f>
        <v>56</v>
      </c>
      <c r="F22" s="66">
        <f>MAX(F16:F20)</f>
        <v>6.643697478991597</v>
      </c>
      <c r="G22" s="48">
        <f t="shared" ref="G22:J22" si="4">MAX(G16:G20)</f>
        <v>0.23690667569168289</v>
      </c>
      <c r="H22" s="371">
        <f t="shared" si="4"/>
        <v>57.95</v>
      </c>
      <c r="I22" s="66">
        <f t="shared" si="4"/>
        <v>8.8352517985611509</v>
      </c>
      <c r="J22" s="48">
        <f t="shared" si="4"/>
        <v>0.45408550467998982</v>
      </c>
    </row>
    <row r="23" spans="1:10" ht="16.5">
      <c r="B23" s="8"/>
      <c r="D23" s="324" t="s">
        <v>47</v>
      </c>
      <c r="E23" s="372">
        <f t="shared" ref="E23" si="5">MIN(E16:E20)</f>
        <v>8</v>
      </c>
      <c r="F23" s="329">
        <f>MIN(F16:F20)</f>
        <v>4.2210714285714284</v>
      </c>
      <c r="G23" s="325">
        <f t="shared" ref="G23:J23" si="6">MIN(G16:G20)</f>
        <v>0.1505185934733114</v>
      </c>
      <c r="H23" s="372">
        <f t="shared" si="6"/>
        <v>6.1</v>
      </c>
      <c r="I23" s="329">
        <f t="shared" si="6"/>
        <v>2.2022284122562676</v>
      </c>
      <c r="J23" s="325">
        <f t="shared" si="6"/>
        <v>0.11318296555655077</v>
      </c>
    </row>
    <row r="24" spans="1:10" ht="16.5">
      <c r="B24" s="8"/>
      <c r="D24" s="10" t="s">
        <v>18</v>
      </c>
      <c r="E24" s="15">
        <f t="shared" ref="E24:J24" si="7">MEDIAN(E16:E20)</f>
        <v>20.3</v>
      </c>
      <c r="F24" s="15">
        <f t="shared" si="7"/>
        <v>5.9400241837968561</v>
      </c>
      <c r="G24" s="52">
        <f t="shared" si="7"/>
        <v>0.16834948294112856</v>
      </c>
      <c r="H24" s="14">
        <f t="shared" si="7"/>
        <v>27.8</v>
      </c>
      <c r="I24" s="14">
        <f t="shared" si="7"/>
        <v>5.0352705410821645</v>
      </c>
      <c r="J24" s="52">
        <f t="shared" si="7"/>
        <v>0.19859906073390113</v>
      </c>
    </row>
    <row r="25" spans="1:10" ht="16.5">
      <c r="B25" s="8"/>
      <c r="D25" s="10" t="s">
        <v>411</v>
      </c>
      <c r="E25" s="15">
        <f t="shared" ref="E25:J25" si="8">AVERAGE(E16:E20)</f>
        <v>27.51</v>
      </c>
      <c r="F25" s="15">
        <f t="shared" si="8"/>
        <v>5.4654426084197594</v>
      </c>
      <c r="G25" s="68">
        <f t="shared" si="8"/>
        <v>0.1896214808385242</v>
      </c>
      <c r="H25" s="14">
        <f t="shared" si="8"/>
        <v>30.54</v>
      </c>
      <c r="I25" s="14">
        <f t="shared" si="8"/>
        <v>5.1670781917949302</v>
      </c>
      <c r="J25" s="68">
        <f t="shared" si="8"/>
        <v>0.23739365125147285</v>
      </c>
    </row>
    <row r="26" spans="1:10" ht="16.5">
      <c r="B26" s="8"/>
      <c r="C26" s="8"/>
      <c r="D26" s="8"/>
      <c r="E26" s="8"/>
      <c r="F26" s="8"/>
      <c r="H26" s="8"/>
      <c r="I26" s="8"/>
    </row>
    <row r="27" spans="1:10" ht="16.5">
      <c r="B27" s="8"/>
      <c r="C27" s="8"/>
      <c r="D27" s="8"/>
      <c r="E27" s="8"/>
      <c r="F27" s="8"/>
      <c r="H27" s="8"/>
      <c r="I27" s="8"/>
    </row>
    <row r="28" spans="1:10" ht="17.25" thickBot="1">
      <c r="B28" s="8"/>
      <c r="C28" s="8"/>
      <c r="D28" s="8"/>
      <c r="E28" s="8"/>
      <c r="F28" s="8"/>
      <c r="I28" s="8"/>
    </row>
    <row r="29" spans="1:10" ht="27" thickBot="1">
      <c r="B29" s="70" t="s">
        <v>0</v>
      </c>
      <c r="C29" s="8"/>
      <c r="D29" s="19" t="s">
        <v>124</v>
      </c>
      <c r="E29" s="19"/>
      <c r="F29" s="232">
        <v>5.47</v>
      </c>
      <c r="I29" s="232">
        <v>5.17</v>
      </c>
    </row>
    <row r="30" spans="1:10" ht="16.5">
      <c r="B30" s="70" t="s">
        <v>0</v>
      </c>
      <c r="C30" s="8"/>
      <c r="D30" s="8"/>
      <c r="E30" s="8"/>
      <c r="F30" s="8"/>
      <c r="H30" s="8"/>
    </row>
    <row r="31" spans="1:10" ht="16.5">
      <c r="B31" s="70"/>
      <c r="C31" s="8"/>
      <c r="D31" s="8"/>
      <c r="E31" s="8"/>
      <c r="F31" s="8"/>
      <c r="H31" s="8"/>
    </row>
    <row r="32" spans="1:10" ht="17.25">
      <c r="A32" s="100" t="s">
        <v>372</v>
      </c>
      <c r="B32" s="70"/>
      <c r="C32" s="8"/>
      <c r="D32" s="8"/>
      <c r="E32" s="8"/>
      <c r="F32" s="8"/>
      <c r="H32" s="8"/>
    </row>
    <row r="33" spans="1:14" ht="17.25">
      <c r="A33" s="100" t="s">
        <v>355</v>
      </c>
      <c r="B33" s="70"/>
      <c r="C33" s="8"/>
      <c r="D33" s="8"/>
      <c r="E33" s="8"/>
      <c r="F33" s="8"/>
      <c r="G33" s="8"/>
      <c r="H33" s="8"/>
    </row>
    <row r="34" spans="1:14" ht="16.5">
      <c r="B34" s="70"/>
      <c r="C34" s="8"/>
      <c r="D34" s="8"/>
      <c r="E34" s="8"/>
      <c r="F34" s="8"/>
      <c r="G34" s="8"/>
      <c r="H34" s="8"/>
    </row>
    <row r="35" spans="1:14" ht="17.25">
      <c r="A35" s="100" t="s">
        <v>373</v>
      </c>
      <c r="B35" s="70"/>
      <c r="C35" s="8"/>
      <c r="D35" s="8"/>
      <c r="E35" s="8"/>
      <c r="F35" s="8"/>
      <c r="G35" s="8"/>
      <c r="H35" s="8"/>
    </row>
    <row r="36" spans="1:14" ht="17.25">
      <c r="A36" s="100" t="s">
        <v>353</v>
      </c>
      <c r="B36" s="70"/>
      <c r="C36" s="8"/>
      <c r="D36" s="8"/>
      <c r="E36" s="8"/>
      <c r="F36" s="8"/>
      <c r="G36" s="8"/>
      <c r="H36" s="8"/>
    </row>
    <row r="37" spans="1:14" ht="17.25">
      <c r="A37" s="100" t="s">
        <v>354</v>
      </c>
      <c r="B37" s="70"/>
      <c r="C37" s="8"/>
      <c r="D37" s="8"/>
      <c r="E37" s="8"/>
      <c r="F37" s="8"/>
      <c r="G37" s="8"/>
      <c r="H37" s="8"/>
    </row>
    <row r="38" spans="1:14" ht="16.5">
      <c r="B38" s="8"/>
      <c r="C38" s="8"/>
      <c r="D38" s="8"/>
      <c r="E38" s="8"/>
      <c r="F38" s="8"/>
      <c r="G38" s="8"/>
      <c r="H38" s="8"/>
      <c r="I38" s="8"/>
      <c r="J38" s="8"/>
      <c r="K38" s="8"/>
      <c r="L38" s="8"/>
      <c r="M38" s="8"/>
      <c r="N38" s="8"/>
    </row>
    <row r="39" spans="1:14" ht="16.5">
      <c r="B39" s="8"/>
      <c r="C39" s="8"/>
      <c r="D39" s="8"/>
      <c r="E39" s="8"/>
      <c r="F39" s="8"/>
      <c r="G39" s="8"/>
      <c r="H39" s="8"/>
      <c r="I39" s="8"/>
      <c r="J39" s="8"/>
      <c r="K39" s="8"/>
      <c r="L39" s="8"/>
      <c r="M39" s="8"/>
      <c r="N39" s="8"/>
    </row>
    <row r="41" spans="1:14">
      <c r="B41" s="356" t="s">
        <v>0</v>
      </c>
      <c r="D41" s="356" t="s">
        <v>0</v>
      </c>
      <c r="G41" s="356" t="s">
        <v>0</v>
      </c>
    </row>
    <row r="42" spans="1:14">
      <c r="B42" s="356" t="s">
        <v>0</v>
      </c>
      <c r="D42" s="356" t="s">
        <v>0</v>
      </c>
      <c r="G42" s="356" t="s">
        <v>0</v>
      </c>
    </row>
  </sheetData>
  <pageMargins left="0.25" right="0.25" top="0.75" bottom="0.75" header="0.3" footer="0.3"/>
  <pageSetup scale="4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K31"/>
  <sheetViews>
    <sheetView view="pageBreakPreview" topLeftCell="A10" zoomScale="80" zoomScaleNormal="80" zoomScaleSheetLayoutView="80" workbookViewId="0">
      <selection activeCell="D31" sqref="D31"/>
    </sheetView>
  </sheetViews>
  <sheetFormatPr defaultRowHeight="15"/>
  <cols>
    <col min="1" max="1" width="22.28515625" customWidth="1"/>
    <col min="2" max="2" width="39.7109375" customWidth="1"/>
    <col min="3" max="3" width="16.85546875" customWidth="1"/>
    <col min="4" max="4" width="35.28515625" customWidth="1"/>
    <col min="5" max="5" width="18" customWidth="1"/>
    <col min="6" max="6" width="20.85546875" bestFit="1" customWidth="1"/>
    <col min="7" max="7" width="22" customWidth="1"/>
    <col min="8" max="8" width="23.7109375" customWidth="1"/>
  </cols>
  <sheetData>
    <row r="1" spans="1:11" ht="26.25">
      <c r="A1" s="19" t="s">
        <v>1</v>
      </c>
      <c r="C1" s="8"/>
      <c r="D1" s="8"/>
      <c r="E1" s="8"/>
      <c r="F1" s="8"/>
      <c r="G1" s="8"/>
      <c r="H1" s="8"/>
      <c r="I1" s="8"/>
      <c r="J1" s="8"/>
      <c r="K1" s="8"/>
    </row>
    <row r="2" spans="1:11" ht="17.25">
      <c r="A2" s="20" t="s">
        <v>9</v>
      </c>
      <c r="C2" s="8"/>
      <c r="D2" s="8"/>
      <c r="E2" s="8"/>
      <c r="F2" s="8"/>
      <c r="G2" s="8"/>
      <c r="H2" s="8"/>
      <c r="I2" s="8"/>
      <c r="J2" s="8"/>
      <c r="K2" s="8"/>
    </row>
    <row r="3" spans="1:11" ht="17.25" customHeight="1">
      <c r="A3" s="21" t="s">
        <v>453</v>
      </c>
      <c r="C3" s="8"/>
      <c r="D3" s="8"/>
      <c r="E3" s="8"/>
      <c r="F3" s="8"/>
      <c r="G3" s="8"/>
      <c r="H3" s="8"/>
      <c r="I3" s="8"/>
      <c r="J3" s="8"/>
      <c r="K3" s="8"/>
    </row>
    <row r="4" spans="1:11" ht="17.25" customHeight="1">
      <c r="B4" s="21"/>
      <c r="C4" s="8"/>
      <c r="D4" s="8"/>
      <c r="E4" s="8"/>
      <c r="F4" s="8"/>
      <c r="G4" s="8"/>
      <c r="H4" s="8"/>
      <c r="I4" s="8"/>
      <c r="J4" s="8"/>
      <c r="K4" s="8"/>
    </row>
    <row r="5" spans="1:11" ht="17.25" customHeight="1">
      <c r="B5" s="139"/>
      <c r="C5" s="8"/>
      <c r="D5" s="8"/>
      <c r="E5" s="8"/>
      <c r="F5" s="8"/>
      <c r="G5" s="8"/>
      <c r="H5" s="8"/>
      <c r="I5" s="8"/>
      <c r="J5" s="8"/>
      <c r="K5" s="8"/>
    </row>
    <row r="6" spans="1:11" ht="17.25" customHeight="1">
      <c r="B6" s="139"/>
      <c r="C6" s="8"/>
      <c r="D6" s="8"/>
      <c r="E6" s="8"/>
      <c r="F6" s="8"/>
      <c r="G6" s="8"/>
      <c r="H6" s="8"/>
      <c r="I6" s="8"/>
      <c r="J6" s="8"/>
      <c r="K6" s="8"/>
    </row>
    <row r="7" spans="1:11" ht="17.25" customHeight="1">
      <c r="B7" s="139"/>
      <c r="C7" s="8"/>
      <c r="D7" s="8"/>
      <c r="E7" s="8"/>
      <c r="F7" s="8"/>
      <c r="G7" s="8"/>
      <c r="H7" s="8"/>
      <c r="I7" s="8"/>
      <c r="J7" s="8"/>
      <c r="K7" s="8"/>
    </row>
    <row r="8" spans="1:11" ht="16.5">
      <c r="B8" s="21"/>
      <c r="C8" s="8"/>
      <c r="D8" s="8"/>
      <c r="E8" s="8"/>
      <c r="F8" s="8"/>
      <c r="G8" s="8"/>
      <c r="H8" s="8"/>
      <c r="I8" s="8"/>
      <c r="J8" s="8"/>
      <c r="K8" s="8"/>
    </row>
    <row r="9" spans="1:11" ht="20.25">
      <c r="B9" s="8"/>
      <c r="C9" s="8"/>
      <c r="D9" s="73" t="s">
        <v>0</v>
      </c>
      <c r="E9" s="8"/>
      <c r="F9" s="8"/>
      <c r="G9" s="8"/>
      <c r="H9" s="8"/>
      <c r="I9" s="8"/>
      <c r="J9" s="8"/>
      <c r="K9" s="8"/>
    </row>
    <row r="10" spans="1:11" ht="20.25">
      <c r="B10" s="8"/>
      <c r="C10" s="8"/>
      <c r="D10" s="73" t="s">
        <v>64</v>
      </c>
      <c r="E10" s="8"/>
      <c r="F10" s="8"/>
      <c r="G10" s="8"/>
      <c r="H10" s="8"/>
      <c r="I10" s="8"/>
      <c r="J10" s="8"/>
      <c r="K10" s="8"/>
    </row>
    <row r="11" spans="1:11" ht="16.5">
      <c r="B11" s="8"/>
      <c r="C11" s="8"/>
      <c r="D11" s="8"/>
      <c r="E11" s="8"/>
      <c r="F11" s="8"/>
      <c r="G11" s="8"/>
      <c r="H11" s="8"/>
      <c r="I11" s="8"/>
      <c r="J11" s="8"/>
      <c r="K11" s="8"/>
    </row>
    <row r="12" spans="1:11" ht="16.5">
      <c r="B12" s="8"/>
      <c r="C12" s="8"/>
      <c r="D12" s="8"/>
      <c r="E12" s="8"/>
      <c r="F12" s="8"/>
      <c r="G12" s="8"/>
      <c r="H12" s="8"/>
      <c r="I12" s="8"/>
      <c r="J12" s="8"/>
      <c r="K12" s="8"/>
    </row>
    <row r="13" spans="1:11" ht="16.5">
      <c r="B13" s="8"/>
      <c r="C13" s="8"/>
      <c r="D13" s="8"/>
      <c r="E13" s="22"/>
      <c r="F13" s="8"/>
      <c r="G13" s="8"/>
      <c r="H13" s="8"/>
      <c r="I13" s="8"/>
      <c r="J13" s="8"/>
      <c r="K13" s="8"/>
    </row>
    <row r="14" spans="1:11" ht="16.5">
      <c r="B14" s="8"/>
      <c r="C14" s="8"/>
      <c r="D14" s="8"/>
      <c r="E14" s="8"/>
      <c r="F14" s="8"/>
      <c r="G14" s="8"/>
      <c r="H14" s="8"/>
      <c r="I14" s="8"/>
      <c r="J14" s="8"/>
      <c r="K14" s="8"/>
    </row>
    <row r="15" spans="1:11" ht="17.25" thickBot="1">
      <c r="B15" s="8"/>
      <c r="C15" s="24"/>
      <c r="D15" s="24"/>
      <c r="E15" s="24"/>
      <c r="F15" s="8"/>
      <c r="G15" s="8"/>
      <c r="H15" s="8"/>
      <c r="I15" s="8"/>
      <c r="J15" s="8"/>
      <c r="K15" s="8"/>
    </row>
    <row r="16" spans="1:11" ht="26.25">
      <c r="B16" s="8"/>
      <c r="C16" s="8"/>
      <c r="D16" s="27" t="str">
        <f>+'S&amp;D'!A12</f>
        <v>Railroad Carriers</v>
      </c>
      <c r="E16" s="8"/>
      <c r="F16" s="8"/>
      <c r="G16" s="8"/>
      <c r="H16" s="8"/>
      <c r="I16" s="8"/>
      <c r="J16" s="8"/>
      <c r="K16" s="8"/>
    </row>
    <row r="17" spans="2:11" ht="17.25" thickBot="1">
      <c r="B17" s="8"/>
      <c r="C17" s="24"/>
      <c r="D17" s="32" t="s">
        <v>0</v>
      </c>
      <c r="E17" s="24"/>
      <c r="F17" s="8"/>
      <c r="G17" s="8"/>
      <c r="H17" s="8"/>
      <c r="I17" s="8"/>
      <c r="J17" s="8"/>
      <c r="K17" s="8"/>
    </row>
    <row r="18" spans="2:11" ht="17.25" thickBot="1">
      <c r="B18" s="24"/>
      <c r="C18" s="24"/>
      <c r="D18" s="32" t="s">
        <v>0</v>
      </c>
      <c r="E18" s="24"/>
      <c r="F18" s="24"/>
      <c r="G18" s="24"/>
      <c r="H18" s="8"/>
      <c r="I18" s="8"/>
      <c r="J18" s="8"/>
      <c r="K18" s="8"/>
    </row>
    <row r="19" spans="2:11" ht="16.5">
      <c r="B19" s="30" t="s">
        <v>31</v>
      </c>
      <c r="C19" s="30" t="s">
        <v>32</v>
      </c>
      <c r="D19" s="30" t="s">
        <v>33</v>
      </c>
      <c r="E19" s="30" t="s">
        <v>68</v>
      </c>
      <c r="F19" s="30" t="s">
        <v>33</v>
      </c>
      <c r="G19" s="30" t="s">
        <v>34</v>
      </c>
      <c r="H19" s="8"/>
      <c r="I19" s="8"/>
      <c r="J19" s="8"/>
      <c r="K19" s="8"/>
    </row>
    <row r="20" spans="2:11" ht="17.25" thickBot="1">
      <c r="B20" s="32" t="s">
        <v>32</v>
      </c>
      <c r="C20" s="32" t="s">
        <v>35</v>
      </c>
      <c r="D20" s="32" t="s">
        <v>36</v>
      </c>
      <c r="E20" s="32" t="s">
        <v>23</v>
      </c>
      <c r="F20" s="32" t="s">
        <v>37</v>
      </c>
      <c r="G20" s="32" t="s">
        <v>38</v>
      </c>
      <c r="H20" s="8"/>
      <c r="I20" s="8"/>
      <c r="J20" s="8"/>
      <c r="K20" s="8"/>
    </row>
    <row r="21" spans="2:11" ht="16.5">
      <c r="B21" s="34" t="s">
        <v>0</v>
      </c>
      <c r="C21" s="34" t="s">
        <v>0</v>
      </c>
      <c r="D21" s="34" t="s">
        <v>0</v>
      </c>
      <c r="E21" s="34" t="s">
        <v>0</v>
      </c>
      <c r="F21" s="34" t="s">
        <v>0</v>
      </c>
      <c r="G21" s="34" t="s">
        <v>0</v>
      </c>
      <c r="H21" s="8"/>
      <c r="I21" s="8"/>
      <c r="J21" s="8"/>
      <c r="K21" s="8"/>
    </row>
    <row r="22" spans="2:11" ht="16.5">
      <c r="B22" s="30"/>
      <c r="C22" s="30"/>
      <c r="D22" s="30"/>
      <c r="E22" s="30"/>
      <c r="F22" s="30"/>
      <c r="G22" s="30"/>
      <c r="H22" s="8"/>
      <c r="I22" s="8"/>
      <c r="J22" s="8"/>
      <c r="K22" s="8"/>
    </row>
    <row r="23" spans="2:11" ht="17.25">
      <c r="B23" s="85" t="s">
        <v>39</v>
      </c>
      <c r="C23" s="131">
        <f>'S&amp;D'!J47</f>
        <v>0.81</v>
      </c>
      <c r="D23" s="131">
        <f>+'Indicated Yield Equity Rate '!D52</f>
        <v>9.2100000000000001E-2</v>
      </c>
      <c r="E23" s="98" t="s">
        <v>40</v>
      </c>
      <c r="F23" s="131">
        <f>+D23</f>
        <v>9.2100000000000001E-2</v>
      </c>
      <c r="G23" s="132">
        <f>+F23*C23</f>
        <v>7.4601000000000001E-2</v>
      </c>
      <c r="H23" s="8"/>
      <c r="I23" s="8"/>
      <c r="J23" s="8"/>
      <c r="K23" s="8"/>
    </row>
    <row r="24" spans="2:11" ht="17.25">
      <c r="B24" s="85" t="s">
        <v>0</v>
      </c>
      <c r="C24" s="98" t="s">
        <v>0</v>
      </c>
      <c r="D24" s="98" t="s">
        <v>0</v>
      </c>
      <c r="E24" s="98" t="s">
        <v>0</v>
      </c>
      <c r="F24" s="133" t="s">
        <v>0</v>
      </c>
      <c r="G24" s="115" t="s">
        <v>0</v>
      </c>
      <c r="H24" s="8"/>
      <c r="I24" s="8"/>
      <c r="J24" s="8"/>
      <c r="K24" s="8"/>
    </row>
    <row r="25" spans="2:11" ht="17.25">
      <c r="B25" s="85" t="s">
        <v>41</v>
      </c>
      <c r="C25" s="131">
        <f>'S&amp;D'!K47</f>
        <v>0.19</v>
      </c>
      <c r="D25" s="131">
        <f>+'Yield Debt'!J27</f>
        <v>5.4800000000000001E-2</v>
      </c>
      <c r="E25" s="131">
        <v>0.26</v>
      </c>
      <c r="F25" s="131">
        <f>+D25*(1-E25)</f>
        <v>4.0551999999999998E-2</v>
      </c>
      <c r="G25" s="132">
        <f>+C25*F25</f>
        <v>7.7048799999999999E-3</v>
      </c>
      <c r="H25" s="8"/>
      <c r="I25" s="8"/>
      <c r="J25" s="8"/>
      <c r="K25" s="8"/>
    </row>
    <row r="26" spans="2:11" ht="18" thickBot="1">
      <c r="B26" s="91" t="s">
        <v>0</v>
      </c>
      <c r="C26" s="91" t="s">
        <v>0</v>
      </c>
      <c r="D26" s="91" t="s">
        <v>0</v>
      </c>
      <c r="E26" s="91" t="s">
        <v>0</v>
      </c>
      <c r="F26" s="134" t="s">
        <v>0</v>
      </c>
      <c r="G26" s="135" t="s">
        <v>0</v>
      </c>
      <c r="H26" s="8"/>
      <c r="I26" s="8"/>
      <c r="J26" s="8"/>
      <c r="K26" s="8"/>
    </row>
    <row r="27" spans="2:11" ht="17.25">
      <c r="B27" s="85" t="s">
        <v>71</v>
      </c>
      <c r="C27" s="136">
        <f>+C23+C25</f>
        <v>1</v>
      </c>
      <c r="D27" s="85" t="s">
        <v>0</v>
      </c>
      <c r="E27" s="85" t="s">
        <v>0</v>
      </c>
      <c r="F27" s="137" t="s">
        <v>0</v>
      </c>
      <c r="G27" s="132">
        <f>+G23+G25</f>
        <v>8.2305879999999998E-2</v>
      </c>
      <c r="H27" s="8"/>
      <c r="I27" s="8"/>
      <c r="J27" s="8"/>
      <c r="K27" s="8"/>
    </row>
    <row r="28" spans="2:11" ht="18" thickBot="1">
      <c r="B28" s="58"/>
      <c r="C28" s="58"/>
      <c r="D28" s="58"/>
      <c r="E28" s="58"/>
      <c r="F28" s="58"/>
      <c r="G28" s="138"/>
      <c r="H28" s="8"/>
      <c r="I28" s="8"/>
      <c r="J28" s="8"/>
      <c r="K28" s="8"/>
    </row>
    <row r="29" spans="2:11" ht="18" thickBot="1">
      <c r="B29" s="8"/>
      <c r="C29" s="8"/>
      <c r="D29" s="8"/>
      <c r="E29" s="8"/>
      <c r="F29" s="198" t="s">
        <v>74</v>
      </c>
      <c r="G29" s="300">
        <v>8.2299999999999998E-2</v>
      </c>
      <c r="H29" s="8"/>
      <c r="I29" s="8"/>
      <c r="J29" s="8"/>
      <c r="K29" s="8"/>
    </row>
    <row r="30" spans="2:11" ht="16.5">
      <c r="B30" s="8"/>
      <c r="C30" s="8"/>
      <c r="D30" s="8"/>
      <c r="E30" s="8"/>
      <c r="F30" s="8"/>
      <c r="G30" s="8" t="s">
        <v>422</v>
      </c>
      <c r="H30" s="8"/>
      <c r="I30" s="8"/>
      <c r="J30" s="8"/>
      <c r="K30" s="8"/>
    </row>
    <row r="31" spans="2:11" ht="16.5">
      <c r="B31" s="8"/>
      <c r="C31" s="8"/>
      <c r="D31" s="8"/>
      <c r="E31" s="8"/>
      <c r="F31" s="8"/>
      <c r="G31" s="8"/>
      <c r="H31" s="8"/>
      <c r="I31" s="8"/>
      <c r="J31" s="8"/>
      <c r="K31" s="8"/>
    </row>
  </sheetData>
  <pageMargins left="0.25" right="0.25" top="0.75" bottom="0.75" header="0.3" footer="0.3"/>
  <pageSetup scale="67"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
  <sheetViews>
    <sheetView workbookViewId="0">
      <selection activeCell="L13" sqref="L13"/>
    </sheetView>
  </sheetViews>
  <sheetFormatPr defaultRowHeight="1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5631F-B284-4F75-B05C-C409AB53D71E}">
  <sheetPr>
    <tabColor rgb="FF92D050"/>
    <pageSetUpPr fitToPage="1"/>
  </sheetPr>
  <dimension ref="A1:K64"/>
  <sheetViews>
    <sheetView view="pageBreakPreview" topLeftCell="A22" zoomScale="80" zoomScaleNormal="80" zoomScaleSheetLayoutView="80" workbookViewId="0">
      <selection activeCell="D39" sqref="D39"/>
    </sheetView>
  </sheetViews>
  <sheetFormatPr defaultRowHeight="15"/>
  <cols>
    <col min="1" max="1" width="17.28515625" customWidth="1"/>
    <col min="2" max="2" width="31.7109375" customWidth="1"/>
    <col min="3" max="3" width="16.5703125" customWidth="1"/>
    <col min="4" max="4" width="35.28515625" customWidth="1"/>
    <col min="5" max="5" width="14.85546875" customWidth="1"/>
    <col min="6" max="6" width="25.85546875" customWidth="1"/>
    <col min="7" max="7" width="24.140625" customWidth="1"/>
    <col min="8" max="8" width="17.7109375" customWidth="1"/>
  </cols>
  <sheetData>
    <row r="1" spans="1:11" ht="26.25">
      <c r="A1" s="19" t="s">
        <v>1</v>
      </c>
      <c r="C1" s="8"/>
      <c r="D1" s="8"/>
      <c r="E1" s="8"/>
      <c r="F1" s="8"/>
      <c r="G1" s="8"/>
      <c r="H1" s="8"/>
      <c r="I1" s="8"/>
      <c r="J1" s="8"/>
      <c r="K1" s="8"/>
    </row>
    <row r="2" spans="1:11" ht="17.25">
      <c r="A2" s="20" t="s">
        <v>9</v>
      </c>
      <c r="C2" s="8"/>
      <c r="D2" s="8"/>
      <c r="E2" s="8"/>
      <c r="F2" s="8"/>
      <c r="G2" s="8"/>
      <c r="H2" s="8"/>
      <c r="I2" s="8"/>
      <c r="J2" s="8"/>
      <c r="K2" s="8"/>
    </row>
    <row r="3" spans="1:11" ht="16.5">
      <c r="A3" s="21" t="s">
        <v>453</v>
      </c>
      <c r="C3" s="8"/>
      <c r="D3" s="8"/>
      <c r="E3" s="8"/>
      <c r="F3" s="8"/>
      <c r="G3" s="8"/>
      <c r="H3" s="8"/>
      <c r="I3" s="8"/>
      <c r="J3" s="8"/>
      <c r="K3" s="8"/>
    </row>
    <row r="4" spans="1:11" ht="16.5">
      <c r="B4" s="21"/>
      <c r="C4" s="8"/>
      <c r="D4" s="8"/>
      <c r="E4" s="8"/>
      <c r="F4" s="8"/>
      <c r="G4" s="8"/>
      <c r="H4" s="8"/>
      <c r="I4" s="8"/>
      <c r="J4" s="8"/>
      <c r="K4" s="8"/>
    </row>
    <row r="5" spans="1:11" ht="16.5">
      <c r="B5" s="21"/>
      <c r="C5" s="8"/>
      <c r="D5" s="8"/>
      <c r="E5" s="8"/>
      <c r="F5" s="8"/>
      <c r="G5" s="8"/>
      <c r="H5" s="8"/>
      <c r="I5" s="8"/>
      <c r="J5" s="8"/>
      <c r="K5" s="8"/>
    </row>
    <row r="6" spans="1:11" ht="16.5">
      <c r="B6" s="21"/>
      <c r="C6" s="8"/>
      <c r="D6" s="8"/>
      <c r="E6" s="8"/>
      <c r="F6" s="8"/>
      <c r="G6" s="8"/>
      <c r="H6" s="8"/>
      <c r="I6" s="8"/>
      <c r="J6" s="8"/>
      <c r="K6" s="8"/>
    </row>
    <row r="7" spans="1:11" ht="16.5">
      <c r="B7" s="21"/>
      <c r="C7" s="8"/>
      <c r="D7" s="8"/>
      <c r="E7" s="8"/>
      <c r="F7" s="8"/>
      <c r="G7" s="8"/>
      <c r="H7" s="8"/>
      <c r="I7" s="8"/>
      <c r="J7" s="8"/>
      <c r="K7" s="8"/>
    </row>
    <row r="8" spans="1:11" ht="16.5">
      <c r="B8" s="21"/>
      <c r="C8" s="8"/>
      <c r="D8" s="8"/>
      <c r="E8" s="8"/>
      <c r="F8" s="8"/>
      <c r="G8" s="8"/>
      <c r="H8" s="8"/>
      <c r="I8" s="8"/>
      <c r="J8" s="8"/>
      <c r="K8" s="8"/>
    </row>
    <row r="9" spans="1:11" ht="16.5">
      <c r="B9" s="21"/>
      <c r="C9" s="8"/>
      <c r="D9" s="8"/>
      <c r="E9" s="8"/>
      <c r="F9" s="8"/>
      <c r="G9" s="8"/>
      <c r="H9" s="8"/>
      <c r="I9" s="8"/>
      <c r="J9" s="8"/>
      <c r="K9" s="8"/>
    </row>
    <row r="10" spans="1:11" ht="20.25">
      <c r="B10" s="8"/>
      <c r="C10" s="8"/>
      <c r="D10" s="73" t="s">
        <v>0</v>
      </c>
      <c r="E10" s="8"/>
      <c r="F10" s="8"/>
      <c r="G10" s="8"/>
      <c r="H10" s="8"/>
      <c r="I10" s="8"/>
      <c r="J10" s="8"/>
      <c r="K10" s="8"/>
    </row>
    <row r="11" spans="1:11" ht="20.25">
      <c r="B11" s="8"/>
      <c r="C11" s="8"/>
      <c r="D11" s="73" t="s">
        <v>63</v>
      </c>
      <c r="E11" s="8"/>
      <c r="F11" s="8"/>
      <c r="G11" s="8"/>
      <c r="H11" s="8"/>
      <c r="I11" s="8"/>
      <c r="J11" s="8"/>
      <c r="K11" s="8"/>
    </row>
    <row r="12" spans="1:11" ht="16.5">
      <c r="B12" s="8"/>
      <c r="C12" s="8"/>
      <c r="D12" s="8"/>
      <c r="E12" s="8"/>
      <c r="F12" s="8"/>
      <c r="G12" s="8"/>
      <c r="H12" s="8"/>
      <c r="I12" s="8"/>
      <c r="J12" s="8"/>
      <c r="K12" s="8"/>
    </row>
    <row r="13" spans="1:11" ht="16.5">
      <c r="B13" s="8"/>
      <c r="C13" s="8"/>
      <c r="D13" s="8"/>
      <c r="E13" s="8"/>
      <c r="F13" s="8"/>
      <c r="G13" s="8"/>
      <c r="H13" s="8"/>
      <c r="I13" s="8"/>
      <c r="J13" s="8"/>
      <c r="K13" s="8"/>
    </row>
    <row r="14" spans="1:11" ht="17.25" thickBot="1">
      <c r="B14" s="8"/>
      <c r="C14" s="24"/>
      <c r="D14" s="24"/>
      <c r="E14" s="24"/>
      <c r="F14" s="8"/>
      <c r="G14" s="8"/>
      <c r="H14" s="8"/>
      <c r="I14" s="8"/>
      <c r="J14" s="8"/>
      <c r="K14" s="8"/>
    </row>
    <row r="15" spans="1:11" ht="26.25">
      <c r="B15" s="8"/>
      <c r="C15" s="8"/>
      <c r="D15" s="27" t="str">
        <f>+'S&amp;D'!A12</f>
        <v>Railroad Carriers</v>
      </c>
      <c r="E15" s="8"/>
      <c r="F15" s="8"/>
      <c r="G15" s="8"/>
      <c r="H15" s="8"/>
      <c r="I15" s="8"/>
      <c r="J15" s="8"/>
      <c r="K15" s="8"/>
    </row>
    <row r="16" spans="1:11" ht="21" thickBot="1">
      <c r="B16" s="8"/>
      <c r="C16" s="24"/>
      <c r="D16" s="130" t="s">
        <v>70</v>
      </c>
      <c r="E16" s="24"/>
      <c r="F16" s="8"/>
      <c r="G16" s="8"/>
      <c r="H16" s="8"/>
      <c r="I16" s="8"/>
      <c r="J16" s="8"/>
      <c r="K16" s="8"/>
    </row>
    <row r="17" spans="2:11" ht="16.5">
      <c r="H17" s="8"/>
      <c r="I17" s="8"/>
      <c r="J17" s="8"/>
      <c r="K17" s="8"/>
    </row>
    <row r="18" spans="2:11" ht="17.25" thickBot="1">
      <c r="B18" s="24"/>
      <c r="C18" s="24"/>
      <c r="D18" s="32" t="s">
        <v>0</v>
      </c>
      <c r="E18" s="24"/>
      <c r="F18" s="24"/>
      <c r="G18" s="24"/>
      <c r="H18" s="8"/>
      <c r="I18" s="8"/>
      <c r="J18" s="8"/>
      <c r="K18" s="8"/>
    </row>
    <row r="19" spans="2:11" ht="16.5">
      <c r="B19" s="30" t="s">
        <v>31</v>
      </c>
      <c r="C19" s="30" t="s">
        <v>32</v>
      </c>
      <c r="D19" s="30" t="s">
        <v>67</v>
      </c>
      <c r="E19" s="30" t="s">
        <v>68</v>
      </c>
      <c r="F19" s="30" t="s">
        <v>66</v>
      </c>
      <c r="G19" s="30" t="s">
        <v>34</v>
      </c>
      <c r="H19" s="8"/>
      <c r="I19" s="8"/>
      <c r="J19" s="8"/>
      <c r="K19" s="8"/>
    </row>
    <row r="20" spans="2:11" ht="17.25" thickBot="1">
      <c r="B20" s="32" t="s">
        <v>32</v>
      </c>
      <c r="C20" s="32" t="s">
        <v>35</v>
      </c>
      <c r="D20" s="32" t="s">
        <v>36</v>
      </c>
      <c r="E20" s="32" t="s">
        <v>23</v>
      </c>
      <c r="F20" s="32" t="s">
        <v>37</v>
      </c>
      <c r="G20" s="32" t="s">
        <v>69</v>
      </c>
      <c r="H20" s="8"/>
      <c r="I20" s="8"/>
      <c r="J20" s="8"/>
      <c r="K20" s="8"/>
    </row>
    <row r="21" spans="2:11" ht="16.5">
      <c r="B21" s="34" t="s">
        <v>0</v>
      </c>
      <c r="C21" s="34" t="s">
        <v>0</v>
      </c>
      <c r="D21" s="34" t="s">
        <v>0</v>
      </c>
      <c r="E21" s="34" t="s">
        <v>0</v>
      </c>
      <c r="F21" s="34" t="s">
        <v>0</v>
      </c>
      <c r="G21" s="34" t="s">
        <v>0</v>
      </c>
      <c r="H21" s="8"/>
      <c r="I21" s="8"/>
      <c r="J21" s="8"/>
      <c r="K21" s="8"/>
    </row>
    <row r="22" spans="2:11" ht="16.5">
      <c r="B22" s="30"/>
      <c r="C22" s="30"/>
      <c r="D22" s="30"/>
      <c r="E22" s="30"/>
      <c r="F22" s="30"/>
      <c r="G22" s="30"/>
      <c r="H22" s="8"/>
      <c r="I22" s="8"/>
      <c r="J22" s="8"/>
      <c r="K22" s="8"/>
    </row>
    <row r="23" spans="2:11" ht="17.25">
      <c r="B23" s="85" t="s">
        <v>39</v>
      </c>
      <c r="C23" s="131">
        <f>'S&amp;D'!J47</f>
        <v>0.81</v>
      </c>
      <c r="D23" s="131">
        <f>+'Direct NOPAT'!J31</f>
        <v>5.1750000000000004E-2</v>
      </c>
      <c r="E23" s="98" t="s">
        <v>40</v>
      </c>
      <c r="F23" s="131">
        <f>+D23</f>
        <v>5.1750000000000004E-2</v>
      </c>
      <c r="G23" s="132">
        <f>+F23*C23</f>
        <v>4.1917500000000003E-2</v>
      </c>
      <c r="H23" s="8"/>
      <c r="I23" s="8"/>
      <c r="J23" s="8"/>
      <c r="K23" s="8"/>
    </row>
    <row r="24" spans="2:11" ht="17.25">
      <c r="B24" s="85" t="s">
        <v>0</v>
      </c>
      <c r="C24" s="98" t="s">
        <v>0</v>
      </c>
      <c r="D24" s="98" t="s">
        <v>0</v>
      </c>
      <c r="E24" s="98" t="s">
        <v>0</v>
      </c>
      <c r="F24" s="133" t="s">
        <v>0</v>
      </c>
      <c r="G24" s="115" t="s">
        <v>0</v>
      </c>
      <c r="H24" s="8"/>
      <c r="I24" s="8"/>
      <c r="J24" s="8"/>
      <c r="K24" s="8"/>
    </row>
    <row r="25" spans="2:11" ht="17.25">
      <c r="B25" s="85" t="s">
        <v>41</v>
      </c>
      <c r="C25" s="131">
        <f>'S&amp;D'!K47</f>
        <v>0.19</v>
      </c>
      <c r="D25" s="131">
        <f>+'Direct Debt'!I30</f>
        <v>4.5499999999999999E-2</v>
      </c>
      <c r="E25" s="131">
        <v>0.26</v>
      </c>
      <c r="F25" s="131">
        <f>+D25*(1-E25)</f>
        <v>3.3669999999999999E-2</v>
      </c>
      <c r="G25" s="132">
        <f>+C25*F25</f>
        <v>6.3972999999999999E-3</v>
      </c>
      <c r="H25" s="8"/>
      <c r="I25" s="8"/>
      <c r="J25" s="8"/>
      <c r="K25" s="8"/>
    </row>
    <row r="26" spans="2:11" ht="18" thickBot="1">
      <c r="B26" s="91" t="s">
        <v>0</v>
      </c>
      <c r="C26" s="91" t="s">
        <v>0</v>
      </c>
      <c r="D26" s="91" t="s">
        <v>0</v>
      </c>
      <c r="E26" s="91" t="s">
        <v>0</v>
      </c>
      <c r="F26" s="134" t="s">
        <v>0</v>
      </c>
      <c r="G26" s="135" t="s">
        <v>0</v>
      </c>
      <c r="H26" s="8"/>
      <c r="I26" s="8"/>
      <c r="J26" s="8"/>
      <c r="K26" s="8"/>
    </row>
    <row r="27" spans="2:11" ht="17.25">
      <c r="B27" s="85" t="s">
        <v>42</v>
      </c>
      <c r="C27" s="136">
        <f>+C23+C25</f>
        <v>1</v>
      </c>
      <c r="D27" s="85" t="s">
        <v>0</v>
      </c>
      <c r="E27" s="85" t="s">
        <v>0</v>
      </c>
      <c r="F27" s="137" t="s">
        <v>0</v>
      </c>
      <c r="G27" s="132">
        <f>+G23+G25</f>
        <v>4.8314800000000005E-2</v>
      </c>
      <c r="H27" s="8"/>
      <c r="I27" s="8"/>
      <c r="J27" s="8"/>
      <c r="K27" s="8"/>
    </row>
    <row r="28" spans="2:11" ht="18" thickBot="1">
      <c r="B28" s="58"/>
      <c r="C28" s="58"/>
      <c r="D28" s="58"/>
      <c r="E28" s="58"/>
      <c r="F28" s="58"/>
      <c r="G28" s="138"/>
      <c r="H28" s="8"/>
      <c r="I28" s="8"/>
      <c r="J28" s="8"/>
      <c r="K28" s="8"/>
    </row>
    <row r="29" spans="2:11" ht="18" thickBot="1">
      <c r="B29" s="8"/>
      <c r="C29" s="8"/>
      <c r="D29" s="8"/>
      <c r="E29" s="8"/>
      <c r="F29" s="198" t="s">
        <v>74</v>
      </c>
      <c r="G29" s="300">
        <v>4.8300000000000003E-2</v>
      </c>
      <c r="H29" s="8"/>
      <c r="I29" s="8"/>
      <c r="J29" s="8"/>
      <c r="K29" s="8"/>
    </row>
    <row r="30" spans="2:11" ht="18" thickBot="1">
      <c r="B30" s="8"/>
      <c r="C30" s="8"/>
      <c r="D30" s="8"/>
      <c r="E30" s="8"/>
      <c r="F30" s="137"/>
      <c r="G30" s="132"/>
      <c r="H30" s="8"/>
      <c r="I30" s="8"/>
      <c r="J30" s="8"/>
      <c r="K30" s="8"/>
    </row>
    <row r="31" spans="2:11" ht="18" thickBot="1">
      <c r="B31" s="8"/>
      <c r="C31" s="8"/>
      <c r="D31" s="8"/>
      <c r="E31" s="8"/>
      <c r="F31" s="198" t="s">
        <v>233</v>
      </c>
      <c r="G31" s="233">
        <f>1/G29</f>
        <v>20.703933747412009</v>
      </c>
      <c r="H31" s="8"/>
      <c r="I31" s="8"/>
      <c r="J31" s="8"/>
      <c r="K31" s="8"/>
    </row>
    <row r="32" spans="2:11" ht="17.25">
      <c r="B32" s="8"/>
      <c r="C32" s="8"/>
      <c r="D32" s="8"/>
      <c r="E32" s="8"/>
      <c r="F32" s="137"/>
      <c r="G32" s="132"/>
      <c r="H32" s="8"/>
      <c r="I32" s="8"/>
      <c r="J32" s="8"/>
      <c r="K32" s="8"/>
    </row>
    <row r="33" spans="1:11" ht="17.25">
      <c r="B33" s="8"/>
      <c r="C33" s="8"/>
      <c r="D33" s="8"/>
      <c r="E33" s="8"/>
      <c r="F33" s="137"/>
      <c r="G33" s="132"/>
      <c r="H33" s="8"/>
      <c r="I33" s="8"/>
      <c r="J33" s="8"/>
      <c r="K33" s="8"/>
    </row>
    <row r="34" spans="1:11" ht="26.25">
      <c r="A34" s="19" t="s">
        <v>1</v>
      </c>
      <c r="C34" s="8"/>
      <c r="D34" s="8"/>
      <c r="E34" s="8"/>
      <c r="F34" s="137"/>
      <c r="G34" s="132"/>
      <c r="H34" s="8"/>
      <c r="I34" s="8"/>
      <c r="J34" s="8"/>
      <c r="K34" s="8"/>
    </row>
    <row r="35" spans="1:11" ht="17.25">
      <c r="A35" s="20" t="s">
        <v>9</v>
      </c>
      <c r="C35" s="8"/>
      <c r="D35" s="8"/>
      <c r="E35" s="8"/>
      <c r="F35" s="137"/>
      <c r="G35" s="132"/>
      <c r="H35" s="8"/>
      <c r="I35" s="8"/>
      <c r="J35" s="8"/>
      <c r="K35" s="8"/>
    </row>
    <row r="36" spans="1:11" ht="17.25">
      <c r="A36" s="21" t="s">
        <v>453</v>
      </c>
      <c r="C36" s="8"/>
      <c r="D36" s="8"/>
      <c r="E36" s="8"/>
      <c r="F36" s="137"/>
      <c r="G36" s="132"/>
      <c r="H36" s="8"/>
      <c r="I36" s="8"/>
      <c r="J36" s="8"/>
      <c r="K36" s="8"/>
    </row>
    <row r="37" spans="1:11" ht="17.25">
      <c r="A37" s="21"/>
      <c r="C37" s="8"/>
      <c r="D37" s="8"/>
      <c r="E37" s="8"/>
      <c r="F37" s="137"/>
      <c r="G37" s="132"/>
      <c r="H37" s="8"/>
      <c r="I37" s="8"/>
      <c r="J37" s="8"/>
      <c r="K37" s="8"/>
    </row>
    <row r="38" spans="1:11" ht="17.25">
      <c r="A38" s="21"/>
      <c r="C38" s="8"/>
      <c r="D38" s="8"/>
      <c r="E38" s="8"/>
      <c r="F38" s="137"/>
      <c r="G38" s="132"/>
      <c r="H38" s="8"/>
      <c r="I38" s="8"/>
      <c r="J38" s="8"/>
      <c r="K38" s="8"/>
    </row>
    <row r="39" spans="1:11" ht="17.25">
      <c r="A39" s="21"/>
      <c r="C39" s="8"/>
      <c r="D39" s="8"/>
      <c r="E39" s="8"/>
      <c r="F39" s="137"/>
      <c r="G39" s="132"/>
      <c r="H39" s="8"/>
      <c r="I39" s="8"/>
      <c r="J39" s="8"/>
      <c r="K39" s="8"/>
    </row>
    <row r="40" spans="1:11" ht="17.25">
      <c r="A40" s="21"/>
      <c r="C40" s="8"/>
      <c r="D40" s="8"/>
      <c r="E40" s="8"/>
      <c r="F40" s="137"/>
      <c r="G40" s="132"/>
      <c r="H40" s="8"/>
      <c r="I40" s="8"/>
      <c r="J40" s="8"/>
      <c r="K40" s="8"/>
    </row>
    <row r="41" spans="1:11" ht="17.25">
      <c r="A41" s="21"/>
      <c r="C41" s="8"/>
      <c r="D41" s="8"/>
      <c r="E41" s="8"/>
      <c r="F41" s="137"/>
      <c r="G41" s="132"/>
      <c r="H41" s="8"/>
      <c r="I41" s="8"/>
      <c r="J41" s="8"/>
      <c r="K41" s="8"/>
    </row>
    <row r="42" spans="1:11" ht="17.25">
      <c r="A42" s="21"/>
      <c r="C42" s="8"/>
      <c r="D42" s="8"/>
      <c r="E42" s="8"/>
      <c r="F42" s="137"/>
      <c r="G42" s="132"/>
      <c r="H42" s="8"/>
      <c r="I42" s="8"/>
      <c r="J42" s="8"/>
      <c r="K42" s="8"/>
    </row>
    <row r="43" spans="1:11" ht="17.25">
      <c r="A43" s="21"/>
      <c r="C43" s="8"/>
      <c r="D43" s="8"/>
      <c r="E43" s="8"/>
      <c r="F43" s="137"/>
      <c r="G43" s="132"/>
      <c r="H43" s="8"/>
      <c r="I43" s="8"/>
      <c r="J43" s="8"/>
      <c r="K43" s="8"/>
    </row>
    <row r="44" spans="1:11" ht="20.25">
      <c r="A44" s="21"/>
      <c r="C44" s="8"/>
      <c r="D44" s="73" t="s">
        <v>63</v>
      </c>
      <c r="E44" s="8"/>
      <c r="F44" s="137"/>
      <c r="G44" s="132"/>
      <c r="H44" s="8"/>
      <c r="I44" s="8"/>
      <c r="J44" s="8"/>
      <c r="K44" s="8"/>
    </row>
    <row r="45" spans="1:11" ht="20.25">
      <c r="A45" s="21"/>
      <c r="C45" s="8"/>
      <c r="D45" s="73"/>
      <c r="E45" s="8"/>
      <c r="F45" s="137"/>
      <c r="G45" s="132"/>
      <c r="H45" s="8"/>
      <c r="I45" s="8"/>
      <c r="J45" s="8"/>
      <c r="K45" s="8"/>
    </row>
    <row r="46" spans="1:11" ht="20.25">
      <c r="A46" s="21"/>
      <c r="C46" s="8"/>
      <c r="D46" s="73"/>
      <c r="E46" s="8"/>
      <c r="F46" s="137"/>
      <c r="G46" s="132"/>
      <c r="H46" s="8"/>
      <c r="I46" s="8"/>
      <c r="J46" s="8"/>
      <c r="K46" s="8"/>
    </row>
    <row r="47" spans="1:11" ht="17.25" thickBot="1">
      <c r="B47" s="8"/>
      <c r="C47" s="24"/>
      <c r="D47" s="24"/>
      <c r="E47" s="24"/>
      <c r="F47" s="8"/>
      <c r="G47" s="8"/>
      <c r="H47" s="8"/>
      <c r="I47" s="8"/>
      <c r="J47" s="8"/>
      <c r="K47" s="8"/>
    </row>
    <row r="48" spans="1:11" ht="26.25">
      <c r="B48" s="8"/>
      <c r="C48" s="8"/>
      <c r="D48" s="27" t="str">
        <f>+D15</f>
        <v>Railroad Carriers</v>
      </c>
      <c r="E48" s="8"/>
      <c r="F48" s="8"/>
      <c r="G48" s="8"/>
      <c r="H48" s="8"/>
      <c r="I48" s="8"/>
      <c r="J48" s="8"/>
      <c r="K48" s="8"/>
    </row>
    <row r="49" spans="2:11" ht="21" thickBot="1">
      <c r="B49" s="8"/>
      <c r="C49" s="24"/>
      <c r="D49" s="130" t="s">
        <v>65</v>
      </c>
      <c r="E49" s="24"/>
      <c r="F49" s="8"/>
      <c r="G49" s="8"/>
      <c r="H49" s="8"/>
      <c r="I49" s="8"/>
      <c r="J49" s="8"/>
      <c r="K49" s="8"/>
    </row>
    <row r="50" spans="2:11" ht="16.5">
      <c r="B50" s="8"/>
      <c r="C50" s="8"/>
      <c r="D50" s="8"/>
      <c r="E50" s="8"/>
      <c r="F50" s="8"/>
      <c r="G50" s="8"/>
      <c r="H50" s="8"/>
      <c r="I50" s="8"/>
      <c r="J50" s="8"/>
      <c r="K50" s="8"/>
    </row>
    <row r="51" spans="2:11" ht="17.25" thickBot="1">
      <c r="B51" s="24"/>
      <c r="C51" s="24"/>
      <c r="D51" s="32" t="s">
        <v>0</v>
      </c>
      <c r="E51" s="24"/>
      <c r="F51" s="24"/>
      <c r="G51" s="24"/>
      <c r="H51" s="8"/>
      <c r="I51" s="8"/>
      <c r="J51" s="8"/>
      <c r="K51" s="8"/>
    </row>
    <row r="52" spans="2:11" ht="16.5">
      <c r="B52" s="30" t="s">
        <v>31</v>
      </c>
      <c r="C52" s="30" t="s">
        <v>32</v>
      </c>
      <c r="D52" s="30" t="s">
        <v>67</v>
      </c>
      <c r="E52" s="30" t="s">
        <v>68</v>
      </c>
      <c r="F52" s="30" t="s">
        <v>66</v>
      </c>
      <c r="G52" s="30" t="s">
        <v>34</v>
      </c>
      <c r="H52" s="8"/>
      <c r="I52" s="8"/>
      <c r="J52" s="8"/>
      <c r="K52" s="8"/>
    </row>
    <row r="53" spans="2:11" ht="17.25" thickBot="1">
      <c r="B53" s="32" t="s">
        <v>32</v>
      </c>
      <c r="C53" s="32" t="s">
        <v>35</v>
      </c>
      <c r="D53" s="32" t="s">
        <v>36</v>
      </c>
      <c r="E53" s="32" t="s">
        <v>23</v>
      </c>
      <c r="F53" s="32" t="s">
        <v>37</v>
      </c>
      <c r="G53" s="32" t="s">
        <v>69</v>
      </c>
      <c r="H53" s="8"/>
      <c r="I53" s="8"/>
      <c r="J53" s="8"/>
      <c r="K53" s="8"/>
    </row>
    <row r="54" spans="2:11" ht="16.5">
      <c r="B54" s="34" t="s">
        <v>0</v>
      </c>
      <c r="C54" s="34" t="s">
        <v>0</v>
      </c>
      <c r="D54" s="34" t="s">
        <v>0</v>
      </c>
      <c r="E54" s="34" t="s">
        <v>0</v>
      </c>
      <c r="F54" s="34" t="s">
        <v>0</v>
      </c>
      <c r="G54" s="34" t="s">
        <v>0</v>
      </c>
      <c r="H54" s="8"/>
      <c r="I54" s="8"/>
      <c r="J54" s="8"/>
      <c r="K54" s="8"/>
    </row>
    <row r="55" spans="2:11" ht="16.5">
      <c r="B55" s="30"/>
      <c r="C55" s="30"/>
      <c r="D55" s="30"/>
      <c r="E55" s="30"/>
      <c r="F55" s="30"/>
      <c r="G55" s="30"/>
      <c r="H55" s="8"/>
      <c r="I55" s="8"/>
      <c r="J55" s="8"/>
      <c r="K55" s="8"/>
    </row>
    <row r="56" spans="2:11" ht="17.25">
      <c r="B56" s="85" t="s">
        <v>39</v>
      </c>
      <c r="C56" s="131">
        <f>'S&amp;D'!J47</f>
        <v>0.81</v>
      </c>
      <c r="D56" s="131">
        <f>'Direct GCF'!F28</f>
        <v>6.8893373138896888E-2</v>
      </c>
      <c r="E56" s="98" t="s">
        <v>40</v>
      </c>
      <c r="F56" s="131">
        <f>+D56</f>
        <v>6.8893373138896888E-2</v>
      </c>
      <c r="G56" s="132">
        <f>+F56*C56</f>
        <v>5.5803632242506486E-2</v>
      </c>
      <c r="H56" s="8"/>
      <c r="I56" s="8"/>
      <c r="J56" s="8"/>
      <c r="K56" s="8"/>
    </row>
    <row r="57" spans="2:11" ht="17.25">
      <c r="B57" s="85" t="s">
        <v>0</v>
      </c>
      <c r="C57" s="98" t="s">
        <v>0</v>
      </c>
      <c r="D57" s="98" t="s">
        <v>0</v>
      </c>
      <c r="E57" s="98" t="s">
        <v>0</v>
      </c>
      <c r="F57" s="133" t="s">
        <v>0</v>
      </c>
      <c r="G57" s="115" t="s">
        <v>0</v>
      </c>
      <c r="H57" s="8"/>
      <c r="I57" s="8"/>
      <c r="J57" s="8"/>
      <c r="K57" s="8"/>
    </row>
    <row r="58" spans="2:11" ht="17.25">
      <c r="B58" s="85" t="s">
        <v>41</v>
      </c>
      <c r="C58" s="131">
        <f>'S&amp;D'!K47</f>
        <v>0.19</v>
      </c>
      <c r="D58" s="131">
        <f>+'Direct Debt'!I30</f>
        <v>4.5499999999999999E-2</v>
      </c>
      <c r="E58" s="131">
        <v>0.26</v>
      </c>
      <c r="F58" s="131">
        <f>+D58*(1-E58)</f>
        <v>3.3669999999999999E-2</v>
      </c>
      <c r="G58" s="132">
        <f>+C58*F58</f>
        <v>6.3972999999999999E-3</v>
      </c>
      <c r="H58" s="8"/>
      <c r="I58" s="8"/>
      <c r="J58" s="8"/>
      <c r="K58" s="8"/>
    </row>
    <row r="59" spans="2:11" ht="18" thickBot="1">
      <c r="B59" s="91" t="s">
        <v>0</v>
      </c>
      <c r="C59" s="91" t="s">
        <v>0</v>
      </c>
      <c r="D59" s="91" t="s">
        <v>0</v>
      </c>
      <c r="E59" s="91" t="s">
        <v>0</v>
      </c>
      <c r="F59" s="134" t="s">
        <v>0</v>
      </c>
      <c r="G59" s="135" t="s">
        <v>0</v>
      </c>
      <c r="H59" s="8"/>
      <c r="I59" s="8"/>
      <c r="J59" s="8"/>
      <c r="K59" s="8"/>
    </row>
    <row r="60" spans="2:11" ht="17.25">
      <c r="B60" s="85" t="s">
        <v>42</v>
      </c>
      <c r="C60" s="136">
        <f>+C56+C58</f>
        <v>1</v>
      </c>
      <c r="D60" s="85" t="s">
        <v>0</v>
      </c>
      <c r="E60" s="85" t="s">
        <v>0</v>
      </c>
      <c r="F60" s="137" t="s">
        <v>0</v>
      </c>
      <c r="G60" s="132">
        <f>+G56+G58</f>
        <v>6.2200932242506488E-2</v>
      </c>
      <c r="H60" s="8"/>
      <c r="I60" s="8"/>
      <c r="J60" s="8"/>
      <c r="K60" s="8"/>
    </row>
    <row r="61" spans="2:11" ht="18" thickBot="1">
      <c r="B61" s="58"/>
      <c r="C61" s="58"/>
      <c r="D61" s="58"/>
      <c r="E61" s="58"/>
      <c r="F61" s="58"/>
      <c r="G61" s="138"/>
      <c r="H61" s="8"/>
      <c r="I61" s="8"/>
      <c r="J61" s="8"/>
      <c r="K61" s="8"/>
    </row>
    <row r="62" spans="2:11" ht="18" thickBot="1">
      <c r="B62" s="8"/>
      <c r="C62" s="8"/>
      <c r="D62" s="8"/>
      <c r="E62" s="8"/>
      <c r="F62" s="198" t="s">
        <v>74</v>
      </c>
      <c r="G62" s="300">
        <v>6.2199999999999998E-2</v>
      </c>
      <c r="H62" s="8"/>
      <c r="I62" s="8"/>
      <c r="J62" s="8"/>
      <c r="K62" s="8"/>
    </row>
    <row r="63" spans="2:11" ht="15.75" thickBot="1"/>
    <row r="64" spans="2:11" ht="18" thickBot="1">
      <c r="F64" s="198" t="s">
        <v>233</v>
      </c>
      <c r="G64" s="233">
        <f>1/G62</f>
        <v>16.077170418006432</v>
      </c>
    </row>
  </sheetData>
  <pageMargins left="0.25" right="0.25" top="0.75" bottom="0.75" header="0.3" footer="0.3"/>
  <pageSetup scale="72" fitToHeight="0" orientation="landscape" r:id="rId1"/>
  <rowBreaks count="1" manualBreakCount="1">
    <brk id="33" max="7"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N71"/>
  <sheetViews>
    <sheetView tabSelected="1" view="pageBreakPreview" topLeftCell="A12" zoomScale="60" zoomScaleNormal="80" zoomScalePageLayoutView="70" workbookViewId="0">
      <pane xSplit="1" topLeftCell="B1" activePane="topRight" state="frozen"/>
      <selection pane="topRight" activeCell="K40" sqref="K40"/>
    </sheetView>
  </sheetViews>
  <sheetFormatPr defaultRowHeight="15"/>
  <cols>
    <col min="1" max="1" width="63" customWidth="1"/>
    <col min="2" max="2" width="11.5703125" bestFit="1" customWidth="1"/>
    <col min="3" max="3" width="20.42578125" bestFit="1" customWidth="1"/>
    <col min="4" max="4" width="25.5703125" bestFit="1" customWidth="1"/>
    <col min="5" max="5" width="28" customWidth="1"/>
    <col min="6" max="8" width="29.140625" customWidth="1"/>
    <col min="9" max="9" width="28.5703125" customWidth="1"/>
    <col min="10" max="10" width="28.7109375" customWidth="1"/>
    <col min="11" max="11" width="28.5703125" customWidth="1"/>
    <col min="12" max="12" width="28.85546875" customWidth="1"/>
    <col min="13" max="13" width="30.140625" bestFit="1" customWidth="1"/>
    <col min="14" max="14" width="24.42578125" customWidth="1"/>
  </cols>
  <sheetData>
    <row r="1" spans="1:12" ht="26.25">
      <c r="A1" s="19" t="s">
        <v>1</v>
      </c>
      <c r="B1" s="8"/>
      <c r="C1" s="8"/>
      <c r="D1" s="8"/>
      <c r="E1" s="8"/>
      <c r="F1" s="8"/>
      <c r="G1" s="8"/>
      <c r="H1" s="8"/>
      <c r="I1" s="8"/>
      <c r="J1" s="8"/>
      <c r="K1" s="8"/>
    </row>
    <row r="2" spans="1:12" ht="17.25">
      <c r="A2" s="20" t="s">
        <v>9</v>
      </c>
      <c r="B2" s="8"/>
      <c r="C2" s="8"/>
      <c r="D2" s="8"/>
      <c r="E2" s="8"/>
      <c r="F2" s="8"/>
      <c r="G2" s="8"/>
      <c r="H2" s="8"/>
      <c r="I2" s="8"/>
      <c r="J2" s="8"/>
      <c r="K2" s="8"/>
    </row>
    <row r="3" spans="1:12" ht="16.5">
      <c r="A3" s="21" t="s">
        <v>453</v>
      </c>
      <c r="B3" s="8"/>
      <c r="C3" s="8"/>
      <c r="D3" s="8"/>
      <c r="E3" s="8"/>
      <c r="F3" s="8"/>
      <c r="G3" s="8"/>
      <c r="H3" s="8"/>
      <c r="I3" s="8"/>
      <c r="J3" s="8"/>
      <c r="K3" s="8"/>
    </row>
    <row r="4" spans="1:12" ht="16.5">
      <c r="A4" s="21"/>
      <c r="B4" s="8"/>
      <c r="C4" s="8"/>
      <c r="D4" s="8"/>
      <c r="E4" s="8"/>
      <c r="F4" s="196" t="s">
        <v>0</v>
      </c>
      <c r="G4" s="8"/>
      <c r="H4" s="8"/>
      <c r="I4" s="8"/>
      <c r="J4" s="8"/>
      <c r="K4" s="8"/>
    </row>
    <row r="5" spans="1:12" ht="16.5">
      <c r="B5" s="8"/>
      <c r="C5" s="8"/>
      <c r="D5" s="8"/>
      <c r="E5" s="22"/>
      <c r="F5" s="196" t="s">
        <v>0</v>
      </c>
      <c r="G5" s="8"/>
      <c r="H5" s="8"/>
      <c r="I5" s="8"/>
      <c r="J5" s="8"/>
      <c r="K5" s="8" t="s">
        <v>0</v>
      </c>
    </row>
    <row r="6" spans="1:12" ht="16.5">
      <c r="A6" s="8"/>
      <c r="B6" s="8"/>
      <c r="C6" s="8"/>
      <c r="D6" s="8"/>
      <c r="E6" s="8"/>
      <c r="F6" s="8"/>
      <c r="G6" s="8"/>
      <c r="H6" s="8"/>
      <c r="I6" s="8"/>
      <c r="J6" s="8"/>
      <c r="K6" s="8"/>
    </row>
    <row r="7" spans="1:12" ht="16.5">
      <c r="A7" s="8"/>
      <c r="B7" s="30"/>
      <c r="C7" s="30"/>
      <c r="D7" s="30"/>
      <c r="E7" s="30"/>
      <c r="F7" s="30"/>
      <c r="G7" s="10"/>
      <c r="H7" s="39"/>
      <c r="I7" s="39" t="s">
        <v>0</v>
      </c>
      <c r="J7" s="80"/>
      <c r="K7" s="80"/>
      <c r="L7" s="2"/>
    </row>
    <row r="8" spans="1:12" ht="16.5">
      <c r="A8" s="81"/>
      <c r="B8" s="30"/>
      <c r="C8" s="30"/>
      <c r="D8" s="30"/>
      <c r="E8" s="30"/>
      <c r="F8" s="30"/>
      <c r="G8" s="10"/>
      <c r="H8" s="39"/>
      <c r="I8" s="39" t="s">
        <v>0</v>
      </c>
      <c r="J8" s="80"/>
      <c r="K8" s="80"/>
      <c r="L8" s="2"/>
    </row>
    <row r="9" spans="1:12" ht="16.5">
      <c r="A9" s="81"/>
      <c r="B9" s="30"/>
      <c r="C9" s="30"/>
      <c r="D9" s="30"/>
      <c r="E9" s="30"/>
      <c r="F9" s="30"/>
      <c r="G9" s="10"/>
      <c r="H9" s="39"/>
      <c r="I9" s="39" t="s">
        <v>0</v>
      </c>
      <c r="J9" s="80"/>
      <c r="K9" s="80"/>
      <c r="L9" s="2"/>
    </row>
    <row r="10" spans="1:12" ht="16.5">
      <c r="A10" s="39"/>
      <c r="D10" s="39"/>
      <c r="E10" s="39"/>
      <c r="F10" s="39"/>
      <c r="G10" s="39"/>
      <c r="H10" s="39"/>
      <c r="I10" s="39"/>
      <c r="J10" s="39"/>
      <c r="K10" s="39"/>
      <c r="L10" s="1"/>
    </row>
    <row r="11" spans="1:12" ht="17.25" thickBot="1">
      <c r="A11" s="39"/>
      <c r="D11" s="39"/>
      <c r="E11" s="82"/>
      <c r="F11" s="24"/>
      <c r="G11" s="82"/>
      <c r="H11" s="39"/>
      <c r="I11" s="39"/>
      <c r="J11" s="39" t="s">
        <v>0</v>
      </c>
      <c r="K11" s="39"/>
      <c r="L11" s="1"/>
    </row>
    <row r="12" spans="1:12" ht="27" thickBot="1">
      <c r="A12" s="23" t="s">
        <v>378</v>
      </c>
      <c r="D12" s="39"/>
      <c r="E12" s="39"/>
      <c r="F12" s="27" t="s">
        <v>75</v>
      </c>
      <c r="G12" s="39"/>
      <c r="H12" s="39"/>
      <c r="I12" s="39"/>
      <c r="J12" s="39"/>
      <c r="K12" s="8"/>
    </row>
    <row r="13" spans="1:12" ht="21" thickBot="1">
      <c r="A13" s="26"/>
      <c r="D13" s="39"/>
      <c r="E13" s="82"/>
      <c r="F13" s="32" t="s">
        <v>454</v>
      </c>
      <c r="G13" s="82"/>
      <c r="H13" s="39"/>
      <c r="I13" s="39"/>
      <c r="J13" s="39"/>
      <c r="K13" s="8"/>
    </row>
    <row r="14" spans="1:12" ht="20.25">
      <c r="A14" s="26"/>
      <c r="B14" s="39"/>
      <c r="C14" s="39"/>
      <c r="D14" s="39" t="s">
        <v>0</v>
      </c>
      <c r="E14" s="39" t="s">
        <v>0</v>
      </c>
      <c r="F14" s="9" t="s">
        <v>0</v>
      </c>
      <c r="G14" s="39"/>
      <c r="H14" s="39"/>
      <c r="I14" s="39"/>
      <c r="J14" s="39"/>
      <c r="K14" s="8"/>
    </row>
    <row r="15" spans="1:12" ht="17.25" thickBot="1">
      <c r="A15" s="37" t="s">
        <v>0</v>
      </c>
      <c r="B15" s="37" t="s">
        <v>0</v>
      </c>
      <c r="C15" s="37" t="s">
        <v>0</v>
      </c>
      <c r="D15" s="37"/>
      <c r="E15" s="37"/>
      <c r="F15" s="37"/>
      <c r="G15" s="37" t="s">
        <v>0</v>
      </c>
      <c r="H15" s="82"/>
      <c r="I15" s="82"/>
      <c r="J15" s="82"/>
      <c r="K15" s="8"/>
    </row>
    <row r="16" spans="1:12" ht="17.25">
      <c r="A16" s="249"/>
      <c r="B16" s="250"/>
      <c r="C16" s="267"/>
      <c r="D16" s="234" t="s">
        <v>13</v>
      </c>
      <c r="E16" s="264" t="s">
        <v>13</v>
      </c>
      <c r="F16" s="234" t="s">
        <v>13</v>
      </c>
      <c r="G16" s="251" t="s">
        <v>243</v>
      </c>
      <c r="H16" s="429" t="s">
        <v>455</v>
      </c>
      <c r="I16" s="87" t="s">
        <v>455</v>
      </c>
      <c r="J16" s="429" t="s">
        <v>455</v>
      </c>
      <c r="K16" s="8"/>
    </row>
    <row r="17" spans="1:13" ht="17.25">
      <c r="A17" s="83" t="s">
        <v>0</v>
      </c>
      <c r="B17" s="84" t="s">
        <v>3</v>
      </c>
      <c r="C17" s="237" t="s">
        <v>5</v>
      </c>
      <c r="D17" s="86" t="s">
        <v>10</v>
      </c>
      <c r="E17" s="265" t="s">
        <v>10</v>
      </c>
      <c r="F17" s="86" t="s">
        <v>19</v>
      </c>
      <c r="G17" s="87" t="s">
        <v>455</v>
      </c>
      <c r="H17" s="84" t="s">
        <v>12</v>
      </c>
      <c r="I17" s="255" t="s">
        <v>11</v>
      </c>
      <c r="J17" s="88" t="s">
        <v>153</v>
      </c>
      <c r="K17" s="8"/>
    </row>
    <row r="18" spans="1:13" ht="17.25">
      <c r="A18" s="83" t="s">
        <v>2</v>
      </c>
      <c r="B18" s="84" t="s">
        <v>4</v>
      </c>
      <c r="C18" s="237" t="s">
        <v>6</v>
      </c>
      <c r="D18" s="86" t="s">
        <v>46</v>
      </c>
      <c r="E18" s="265" t="s">
        <v>47</v>
      </c>
      <c r="F18" s="86" t="s">
        <v>10</v>
      </c>
      <c r="G18" s="87" t="s">
        <v>10</v>
      </c>
      <c r="H18" s="84" t="s">
        <v>73</v>
      </c>
      <c r="I18" s="255" t="s">
        <v>368</v>
      </c>
      <c r="J18" s="88" t="s">
        <v>505</v>
      </c>
      <c r="K18" s="8" t="s">
        <v>0</v>
      </c>
    </row>
    <row r="19" spans="1:13" ht="18" thickBot="1">
      <c r="A19" s="89" t="s">
        <v>0</v>
      </c>
      <c r="B19" s="90" t="s">
        <v>0</v>
      </c>
      <c r="C19" s="107" t="s">
        <v>0</v>
      </c>
      <c r="D19" s="90" t="s">
        <v>0</v>
      </c>
      <c r="E19" s="91" t="s">
        <v>0</v>
      </c>
      <c r="F19" s="90" t="s">
        <v>0</v>
      </c>
      <c r="G19" s="91" t="s">
        <v>0</v>
      </c>
      <c r="H19" s="92" t="s">
        <v>62</v>
      </c>
      <c r="I19" s="93" t="s">
        <v>61</v>
      </c>
      <c r="J19" s="92" t="s">
        <v>61</v>
      </c>
      <c r="K19" s="8"/>
    </row>
    <row r="20" spans="1:13" ht="16.5">
      <c r="A20" s="268" t="s">
        <v>7</v>
      </c>
      <c r="B20" s="288" t="s">
        <v>7</v>
      </c>
      <c r="C20" s="268" t="s">
        <v>7</v>
      </c>
      <c r="D20" s="296" t="s">
        <v>7</v>
      </c>
      <c r="E20" s="296" t="s">
        <v>7</v>
      </c>
      <c r="F20" s="38" t="s">
        <v>15</v>
      </c>
      <c r="G20" s="287" t="s">
        <v>7</v>
      </c>
      <c r="H20" s="268" t="s">
        <v>8</v>
      </c>
      <c r="I20" s="288" t="s">
        <v>8</v>
      </c>
      <c r="J20" s="268" t="s">
        <v>8</v>
      </c>
      <c r="K20" s="8"/>
    </row>
    <row r="21" spans="1:13" ht="17.25">
      <c r="A21" s="84"/>
      <c r="B21" s="85"/>
      <c r="C21" s="84"/>
      <c r="D21" s="237"/>
      <c r="E21" s="85"/>
      <c r="F21" s="83"/>
      <c r="G21" s="83"/>
      <c r="H21" s="84"/>
      <c r="I21" s="58"/>
      <c r="J21" s="96"/>
      <c r="K21" s="8"/>
    </row>
    <row r="22" spans="1:13" ht="17.25">
      <c r="A22" s="97" t="s">
        <v>379</v>
      </c>
      <c r="B22" s="75" t="s">
        <v>380</v>
      </c>
      <c r="C22" s="85" t="s">
        <v>381</v>
      </c>
      <c r="D22" s="357">
        <v>126.68</v>
      </c>
      <c r="E22" s="358">
        <v>103.96</v>
      </c>
      <c r="F22" s="357">
        <f>AVERAGE(D22,E22)</f>
        <v>115.32</v>
      </c>
      <c r="G22" s="358">
        <v>125.63</v>
      </c>
      <c r="H22" s="339">
        <v>643833245</v>
      </c>
      <c r="I22" s="344">
        <v>0</v>
      </c>
      <c r="J22" s="340">
        <f>(16133000000+2340000000)*0.7561</f>
        <v>13967435300</v>
      </c>
      <c r="K22" s="8" t="s">
        <v>0</v>
      </c>
      <c r="L22" t="s">
        <v>0</v>
      </c>
      <c r="M22" t="s">
        <v>0</v>
      </c>
    </row>
    <row r="23" spans="1:13" ht="17.25">
      <c r="A23" s="97" t="s">
        <v>506</v>
      </c>
      <c r="B23" s="75" t="s">
        <v>382</v>
      </c>
      <c r="C23" s="85" t="s">
        <v>381</v>
      </c>
      <c r="D23" s="357">
        <v>80.41</v>
      </c>
      <c r="E23" s="358">
        <v>69.069999999999993</v>
      </c>
      <c r="F23" s="357">
        <f>AVERAGE(D23,E23)</f>
        <v>74.739999999999995</v>
      </c>
      <c r="G23" s="358">
        <v>79.06</v>
      </c>
      <c r="H23" s="339">
        <v>932100000</v>
      </c>
      <c r="I23" s="344">
        <v>0</v>
      </c>
      <c r="J23" s="340">
        <f>(19351000000+3143000000)*0.7561</f>
        <v>17007713400</v>
      </c>
      <c r="K23" s="8" t="s">
        <v>0</v>
      </c>
      <c r="L23" t="s">
        <v>0</v>
      </c>
    </row>
    <row r="24" spans="1:13" ht="17.25">
      <c r="A24" s="97" t="s">
        <v>383</v>
      </c>
      <c r="B24" s="75" t="s">
        <v>384</v>
      </c>
      <c r="C24" s="85" t="s">
        <v>381</v>
      </c>
      <c r="D24" s="357">
        <v>35.090000000000003</v>
      </c>
      <c r="E24" s="358">
        <v>29.03</v>
      </c>
      <c r="F24" s="357">
        <f t="shared" ref="F24:F26" si="0">AVERAGE(D24,E24)</f>
        <v>32.06</v>
      </c>
      <c r="G24" s="358">
        <v>34.67</v>
      </c>
      <c r="H24" s="339">
        <v>1958000000</v>
      </c>
      <c r="I24" s="344">
        <v>0</v>
      </c>
      <c r="J24" s="340">
        <f>18533000000</f>
        <v>18533000000</v>
      </c>
      <c r="K24" s="8"/>
    </row>
    <row r="25" spans="1:13" ht="17.25">
      <c r="A25" s="97" t="s">
        <v>385</v>
      </c>
      <c r="B25" s="75" t="s">
        <v>386</v>
      </c>
      <c r="C25" s="85" t="s">
        <v>381</v>
      </c>
      <c r="D25" s="357">
        <v>237.64</v>
      </c>
      <c r="E25" s="358">
        <v>183.09</v>
      </c>
      <c r="F25" s="357">
        <f t="shared" si="0"/>
        <v>210.36500000000001</v>
      </c>
      <c r="G25" s="358">
        <v>236.38</v>
      </c>
      <c r="H25" s="339">
        <v>225681254</v>
      </c>
      <c r="I25" s="341">
        <v>0</v>
      </c>
      <c r="J25" s="340">
        <f>17175000000+4000000</f>
        <v>17179000000</v>
      </c>
      <c r="K25" s="8"/>
    </row>
    <row r="26" spans="1:13" ht="18" thickBot="1">
      <c r="A26" s="292" t="s">
        <v>387</v>
      </c>
      <c r="B26" s="76" t="s">
        <v>388</v>
      </c>
      <c r="C26" s="91" t="s">
        <v>381</v>
      </c>
      <c r="D26" s="359">
        <v>246.99</v>
      </c>
      <c r="E26" s="360">
        <v>199.33</v>
      </c>
      <c r="F26" s="359">
        <f t="shared" si="0"/>
        <v>223.16000000000003</v>
      </c>
      <c r="G26" s="428">
        <v>245.62</v>
      </c>
      <c r="H26" s="338">
        <f>609703814</f>
        <v>609703814</v>
      </c>
      <c r="I26" s="342">
        <v>0</v>
      </c>
      <c r="J26" s="343">
        <f>32579000000+158000000</f>
        <v>32737000000</v>
      </c>
      <c r="K26" s="8"/>
    </row>
    <row r="27" spans="1:13" ht="17.25">
      <c r="A27" s="100"/>
      <c r="B27" s="100"/>
      <c r="C27" s="100"/>
      <c r="D27" s="100"/>
      <c r="E27" s="100"/>
      <c r="F27" s="100"/>
      <c r="G27" s="100"/>
      <c r="H27" s="100"/>
      <c r="I27" s="100"/>
      <c r="J27" s="100"/>
      <c r="K27" s="8"/>
      <c r="L27" t="s">
        <v>0</v>
      </c>
    </row>
    <row r="28" spans="1:13" ht="17.25">
      <c r="A28" s="405" t="s">
        <v>457</v>
      </c>
      <c r="B28" s="100"/>
      <c r="C28" s="100"/>
      <c r="D28" s="100" t="s">
        <v>0</v>
      </c>
      <c r="E28" s="100"/>
      <c r="F28" s="100"/>
      <c r="G28" s="100"/>
      <c r="H28" s="100" t="s">
        <v>0</v>
      </c>
      <c r="I28" s="100"/>
      <c r="J28" s="100" t="s">
        <v>0</v>
      </c>
      <c r="K28" s="8"/>
    </row>
    <row r="29" spans="1:13" ht="18" thickBot="1">
      <c r="A29" s="101" t="s">
        <v>0</v>
      </c>
      <c r="B29" s="102"/>
      <c r="C29" s="102"/>
      <c r="D29" s="102"/>
      <c r="E29" s="102"/>
      <c r="F29" s="24"/>
      <c r="G29" s="102"/>
      <c r="H29" s="102"/>
      <c r="I29" s="102"/>
      <c r="J29" s="100"/>
      <c r="K29" s="100"/>
      <c r="L29" s="3"/>
    </row>
    <row r="30" spans="1:13" ht="17.25">
      <c r="A30" s="103"/>
      <c r="B30" s="430"/>
      <c r="C30" s="104"/>
      <c r="D30" s="430"/>
      <c r="E30" s="105" t="s">
        <v>0</v>
      </c>
      <c r="F30" s="429" t="s">
        <v>0</v>
      </c>
      <c r="G30" s="429" t="s">
        <v>0</v>
      </c>
      <c r="H30" s="208"/>
      <c r="I30" s="430"/>
      <c r="J30" s="430"/>
      <c r="K30" s="430"/>
    </row>
    <row r="31" spans="1:13" ht="17.25">
      <c r="A31" s="83"/>
      <c r="B31" s="84"/>
      <c r="C31" s="85"/>
      <c r="D31" s="431" t="s">
        <v>455</v>
      </c>
      <c r="E31" s="87" t="s">
        <v>455</v>
      </c>
      <c r="F31" s="431" t="s">
        <v>455</v>
      </c>
      <c r="G31" s="431" t="s">
        <v>455</v>
      </c>
      <c r="H31" s="431" t="s">
        <v>455</v>
      </c>
      <c r="I31" s="431" t="s">
        <v>455</v>
      </c>
      <c r="J31" s="431" t="s">
        <v>455</v>
      </c>
      <c r="K31" s="431" t="s">
        <v>455</v>
      </c>
    </row>
    <row r="32" spans="1:13" ht="17.25">
      <c r="A32" s="83" t="s">
        <v>0</v>
      </c>
      <c r="B32" s="84" t="s">
        <v>3</v>
      </c>
      <c r="C32" s="85" t="s">
        <v>5</v>
      </c>
      <c r="D32" s="84" t="s">
        <v>12</v>
      </c>
      <c r="E32" s="98" t="s">
        <v>152</v>
      </c>
      <c r="F32" s="88" t="s">
        <v>293</v>
      </c>
      <c r="G32" s="88" t="s">
        <v>503</v>
      </c>
      <c r="H32" s="84" t="s">
        <v>209</v>
      </c>
      <c r="I32" s="88" t="s">
        <v>16</v>
      </c>
      <c r="J32" s="88" t="s">
        <v>17</v>
      </c>
      <c r="K32" s="88" t="s">
        <v>52</v>
      </c>
    </row>
    <row r="33" spans="1:14" ht="18" thickBot="1">
      <c r="A33" s="89" t="s">
        <v>2</v>
      </c>
      <c r="B33" s="90" t="s">
        <v>4</v>
      </c>
      <c r="C33" s="91" t="s">
        <v>6</v>
      </c>
      <c r="D33" s="90" t="s">
        <v>14</v>
      </c>
      <c r="E33" s="91" t="s">
        <v>14</v>
      </c>
      <c r="F33" s="90" t="s">
        <v>306</v>
      </c>
      <c r="G33" s="90" t="s">
        <v>306</v>
      </c>
      <c r="H33" s="90" t="s">
        <v>14</v>
      </c>
      <c r="I33" s="76" t="s">
        <v>504</v>
      </c>
      <c r="J33" s="90" t="s">
        <v>0</v>
      </c>
      <c r="K33" s="90" t="s">
        <v>360</v>
      </c>
    </row>
    <row r="34" spans="1:14" ht="16.5">
      <c r="A34" s="94" t="s">
        <v>7</v>
      </c>
      <c r="B34" s="95" t="s">
        <v>7</v>
      </c>
      <c r="C34" s="38" t="s">
        <v>7</v>
      </c>
      <c r="D34" s="95" t="s">
        <v>15</v>
      </c>
      <c r="E34" s="38" t="s">
        <v>8</v>
      </c>
      <c r="F34" s="95" t="s">
        <v>8</v>
      </c>
      <c r="G34" s="95" t="s">
        <v>8</v>
      </c>
      <c r="H34" s="95" t="s">
        <v>8</v>
      </c>
      <c r="I34" s="95" t="s">
        <v>15</v>
      </c>
      <c r="J34" s="95" t="s">
        <v>15</v>
      </c>
      <c r="K34" s="95" t="s">
        <v>15</v>
      </c>
      <c r="M34" s="452" t="s">
        <v>510</v>
      </c>
      <c r="N34" s="452" t="s">
        <v>510</v>
      </c>
    </row>
    <row r="35" spans="1:14" ht="17.25">
      <c r="A35" s="83"/>
      <c r="B35" s="84"/>
      <c r="C35" s="85"/>
      <c r="D35" s="434"/>
      <c r="E35" s="100"/>
      <c r="F35" s="96"/>
      <c r="G35" s="96"/>
      <c r="H35" s="434"/>
      <c r="I35" s="96"/>
      <c r="J35" s="96"/>
      <c r="K35" s="96"/>
      <c r="M35" s="453" t="s">
        <v>509</v>
      </c>
      <c r="N35" s="453" t="s">
        <v>508</v>
      </c>
    </row>
    <row r="36" spans="1:14" ht="17.25">
      <c r="A36" s="97" t="str">
        <f t="shared" ref="A36:C40" si="1">+A22</f>
        <v>Canadian National</v>
      </c>
      <c r="B36" s="84" t="str">
        <f t="shared" si="1"/>
        <v>CNI</v>
      </c>
      <c r="C36" s="85" t="str">
        <f t="shared" si="1"/>
        <v>Railroad</v>
      </c>
      <c r="D36" s="340">
        <f>(+H22)*G22</f>
        <v>80884770569.349991</v>
      </c>
      <c r="E36" s="109">
        <f>(1/1)*I22</f>
        <v>0</v>
      </c>
      <c r="F36" s="340">
        <f>(117000000+298000000)*0.7561</f>
        <v>313781500</v>
      </c>
      <c r="G36" s="340"/>
      <c r="H36" s="340">
        <f>(17844000000/18435000000)*J22</f>
        <v>13519659099.170057</v>
      </c>
      <c r="I36" s="339">
        <f t="shared" ref="I36:I38" si="2">+D36+E36+F36+G36+H36</f>
        <v>94718211168.52005</v>
      </c>
      <c r="J36" s="432">
        <f>(+D36)/I36</f>
        <v>0.85395162737440233</v>
      </c>
      <c r="K36" s="432">
        <f>(+E36+F36+G36+H36)/I36</f>
        <v>0.14604837262559761</v>
      </c>
      <c r="M36" s="454">
        <v>0</v>
      </c>
      <c r="N36" s="454">
        <v>2297762101</v>
      </c>
    </row>
    <row r="37" spans="1:14" ht="17.25">
      <c r="A37" s="97" t="str">
        <f t="shared" si="1"/>
        <v>Canadian Pacific Kansas City Limited  CPKC</v>
      </c>
      <c r="B37" s="84" t="str">
        <f t="shared" si="1"/>
        <v>CP</v>
      </c>
      <c r="C37" s="85" t="str">
        <f t="shared" si="1"/>
        <v>Railroad</v>
      </c>
      <c r="D37" s="340">
        <f>(+H23)*G23</f>
        <v>73691826000</v>
      </c>
      <c r="E37" s="109">
        <f>(1/1)*I23</f>
        <v>0</v>
      </c>
      <c r="F37" s="436">
        <f>345000000*0.7561</f>
        <v>260854500</v>
      </c>
      <c r="G37" s="340"/>
      <c r="H37" s="340">
        <f>(20550000000/21437000000)*J23</f>
        <v>16303984250.128283</v>
      </c>
      <c r="I37" s="339">
        <f>+D37+E37+F37+G37+H37</f>
        <v>90256664750.128281</v>
      </c>
      <c r="J37" s="432">
        <f>(+D37)/I37</f>
        <v>0.81646963361667169</v>
      </c>
      <c r="K37" s="432">
        <f t="shared" ref="K37:K40" si="3">(+E37+F37+G37+H37)/I37</f>
        <v>0.18353036638332837</v>
      </c>
      <c r="M37" s="455">
        <v>0</v>
      </c>
      <c r="N37" s="455">
        <v>1444298231</v>
      </c>
    </row>
    <row r="38" spans="1:14" ht="17.25">
      <c r="A38" s="97" t="str">
        <f t="shared" si="1"/>
        <v>CSX Corp</v>
      </c>
      <c r="B38" s="84" t="str">
        <f t="shared" si="1"/>
        <v>CSX</v>
      </c>
      <c r="C38" s="85" t="str">
        <f t="shared" si="1"/>
        <v>Railroad</v>
      </c>
      <c r="D38" s="340">
        <f>(+H24)*G24</f>
        <v>67883860000</v>
      </c>
      <c r="E38" s="109">
        <f>(1/1)*I24</f>
        <v>0</v>
      </c>
      <c r="F38" s="340">
        <v>559000000</v>
      </c>
      <c r="G38" s="340"/>
      <c r="H38" s="435">
        <f>(17528000000/18533000000)*J24</f>
        <v>17528000000</v>
      </c>
      <c r="I38" s="339">
        <f t="shared" si="2"/>
        <v>85970860000</v>
      </c>
      <c r="J38" s="432">
        <f>(+D38)/I38</f>
        <v>0.7896147601640835</v>
      </c>
      <c r="K38" s="432">
        <f t="shared" si="3"/>
        <v>0.2103852398359165</v>
      </c>
      <c r="M38" s="456">
        <v>559000000</v>
      </c>
      <c r="N38" s="455">
        <v>1335235907</v>
      </c>
    </row>
    <row r="39" spans="1:14" ht="17.25">
      <c r="A39" s="332" t="str">
        <f t="shared" si="1"/>
        <v>Norfolk Southern</v>
      </c>
      <c r="B39" s="84" t="str">
        <f t="shared" si="1"/>
        <v>NSC</v>
      </c>
      <c r="C39" s="85" t="str">
        <f t="shared" si="1"/>
        <v>Railroad</v>
      </c>
      <c r="D39" s="340">
        <f>(+H25)*G25</f>
        <v>53346534820.519997</v>
      </c>
      <c r="E39" s="297">
        <f>(1/1)*I25</f>
        <v>0</v>
      </c>
      <c r="F39" s="340">
        <v>392000000</v>
      </c>
      <c r="G39" s="340"/>
      <c r="H39" s="435">
        <f>(16631000000/17179000000)*J25</f>
        <v>16631000000</v>
      </c>
      <c r="I39" s="339">
        <f>+D39+E39+F39+G39+H39</f>
        <v>70369534820.519989</v>
      </c>
      <c r="J39" s="432">
        <f>(+D39)/I39</f>
        <v>0.75809133819887031</v>
      </c>
      <c r="K39" s="432">
        <f>(+E39+F39+G39+H39)/I39</f>
        <v>0.24190866180112983</v>
      </c>
      <c r="M39" s="456">
        <v>392000000</v>
      </c>
      <c r="N39" s="455">
        <v>2753046107</v>
      </c>
    </row>
    <row r="40" spans="1:14" ht="17.25">
      <c r="A40" s="97" t="str">
        <f t="shared" si="1"/>
        <v>Union Pacific Railroad</v>
      </c>
      <c r="B40" s="84" t="str">
        <f t="shared" si="1"/>
        <v>UNP</v>
      </c>
      <c r="C40" s="85" t="str">
        <f t="shared" si="1"/>
        <v>Railroad</v>
      </c>
      <c r="D40" s="340">
        <f>(+H26)*G26</f>
        <v>149755450794.67999</v>
      </c>
      <c r="E40" s="109">
        <f>(1/1)*I26</f>
        <v>0</v>
      </c>
      <c r="F40" s="340">
        <f>355000000+1245000000</f>
        <v>1600000000</v>
      </c>
      <c r="G40" s="340"/>
      <c r="H40" s="435">
        <f>(28.5/33.3)*J26</f>
        <v>28018153153.153152</v>
      </c>
      <c r="I40" s="339">
        <f>+D40+E40+F40+G40+H40</f>
        <v>179373603947.83313</v>
      </c>
      <c r="J40" s="432">
        <f>(+D40)/I40</f>
        <v>0.83488009104301142</v>
      </c>
      <c r="K40" s="432">
        <f t="shared" si="3"/>
        <v>0.16511990895698869</v>
      </c>
      <c r="M40" s="456">
        <f>355000000+1245000000</f>
        <v>1600000000</v>
      </c>
      <c r="N40" s="455">
        <v>6145347285</v>
      </c>
    </row>
    <row r="41" spans="1:14" ht="18" thickBot="1">
      <c r="A41" s="110"/>
      <c r="B41" s="433"/>
      <c r="C41" s="102"/>
      <c r="D41" s="433"/>
      <c r="E41" s="102"/>
      <c r="F41" s="433"/>
      <c r="G41" s="433"/>
      <c r="H41" s="433"/>
      <c r="I41" s="433"/>
      <c r="J41" s="433"/>
      <c r="K41" s="433"/>
    </row>
    <row r="42" spans="1:14" ht="17.25">
      <c r="A42" s="8"/>
      <c r="B42" s="8"/>
      <c r="C42" s="8"/>
      <c r="D42" s="8"/>
      <c r="E42" s="8"/>
      <c r="F42" s="8"/>
      <c r="H42" s="8"/>
      <c r="I42" s="112" t="s">
        <v>46</v>
      </c>
      <c r="J42" s="114">
        <f>MAX(J36:J40)</f>
        <v>0.85395162737440233</v>
      </c>
      <c r="K42" s="114">
        <f>MAX(K36:K40)</f>
        <v>0.24190866180112983</v>
      </c>
    </row>
    <row r="43" spans="1:14" ht="17.25">
      <c r="A43" s="8"/>
      <c r="B43" s="8"/>
      <c r="C43" s="8"/>
      <c r="D43" s="8"/>
      <c r="E43" s="8" t="s">
        <v>0</v>
      </c>
      <c r="F43" s="8"/>
      <c r="H43" s="8" t="s">
        <v>0</v>
      </c>
      <c r="I43" s="326" t="s">
        <v>47</v>
      </c>
      <c r="J43" s="327">
        <f>MIN(J36:J40)</f>
        <v>0.75809133819887031</v>
      </c>
      <c r="K43" s="327">
        <f>MIN(K36:K40)</f>
        <v>0.14604837262559761</v>
      </c>
    </row>
    <row r="44" spans="1:14" ht="17.25">
      <c r="A44" s="8"/>
      <c r="B44" s="8"/>
      <c r="C44" s="8"/>
      <c r="D44" s="8"/>
      <c r="H44" s="8" t="s">
        <v>0</v>
      </c>
      <c r="I44" s="10" t="s">
        <v>18</v>
      </c>
      <c r="J44" s="113">
        <f>MEDIAN(J36:J40)</f>
        <v>0.81646963361667169</v>
      </c>
      <c r="K44" s="114">
        <f>MEDIAN(K36:K40)</f>
        <v>0.18353036638332837</v>
      </c>
    </row>
    <row r="45" spans="1:14" ht="17.25">
      <c r="A45" s="8"/>
      <c r="B45" s="8"/>
      <c r="C45" s="8"/>
      <c r="D45" s="8" t="s">
        <v>0</v>
      </c>
      <c r="H45" s="8" t="s">
        <v>0</v>
      </c>
      <c r="I45" s="10" t="s">
        <v>411</v>
      </c>
      <c r="J45" s="113">
        <f>AVERAGE(J36:J40)</f>
        <v>0.81060149007940774</v>
      </c>
      <c r="K45" s="114">
        <f>AVERAGE(K36:K40)</f>
        <v>0.18939850992059221</v>
      </c>
    </row>
    <row r="46" spans="1:14" ht="18" thickBot="1">
      <c r="A46" s="8"/>
      <c r="B46" s="8"/>
      <c r="C46" s="8"/>
      <c r="D46" s="8"/>
      <c r="H46" s="8"/>
      <c r="I46" s="8"/>
      <c r="J46" s="58"/>
      <c r="K46" s="58"/>
    </row>
    <row r="47" spans="1:14" ht="27" thickBot="1">
      <c r="A47" s="8"/>
      <c r="B47" s="8"/>
      <c r="C47" s="8"/>
      <c r="D47" s="8"/>
      <c r="H47" s="8"/>
      <c r="I47" s="197" t="s">
        <v>211</v>
      </c>
      <c r="J47" s="298">
        <v>0.81</v>
      </c>
      <c r="K47" s="299">
        <v>0.19</v>
      </c>
    </row>
    <row r="48" spans="1:14" ht="17.25">
      <c r="A48" s="8"/>
      <c r="B48" s="8"/>
      <c r="C48" s="8"/>
      <c r="D48" s="8"/>
      <c r="G48" s="8"/>
      <c r="H48" s="8"/>
      <c r="I48" s="58"/>
      <c r="J48" s="58" t="s">
        <v>0</v>
      </c>
      <c r="K48" s="8"/>
    </row>
    <row r="49" spans="1:11" ht="16.5">
      <c r="G49" s="8"/>
      <c r="H49" s="8"/>
      <c r="I49" s="8"/>
      <c r="J49" s="8"/>
      <c r="K49" s="8"/>
    </row>
    <row r="50" spans="1:11" ht="16.5">
      <c r="G50" s="8"/>
      <c r="H50" s="8"/>
      <c r="I50" s="8"/>
      <c r="J50" s="8"/>
      <c r="K50" s="8"/>
    </row>
    <row r="51" spans="1:11" ht="26.25">
      <c r="A51" s="18" t="s">
        <v>72</v>
      </c>
      <c r="B51" s="8"/>
      <c r="C51" s="70"/>
      <c r="D51" s="116"/>
      <c r="E51" s="333"/>
      <c r="H51" s="8"/>
      <c r="I51" s="8"/>
      <c r="J51" s="8"/>
      <c r="K51" s="8"/>
    </row>
    <row r="52" spans="1:11" ht="16.5">
      <c r="A52" s="81" t="s">
        <v>55</v>
      </c>
      <c r="B52" s="8"/>
      <c r="C52" s="70"/>
      <c r="D52" s="116"/>
      <c r="E52" s="333"/>
      <c r="H52" s="8"/>
      <c r="I52" s="8"/>
      <c r="J52" s="8"/>
      <c r="K52" s="8"/>
    </row>
    <row r="53" spans="1:11" ht="16.5">
      <c r="A53" s="8" t="s">
        <v>155</v>
      </c>
      <c r="B53" s="8"/>
      <c r="C53" s="8"/>
      <c r="D53" s="8"/>
    </row>
    <row r="54" spans="1:11" ht="16.5">
      <c r="A54" s="8" t="s">
        <v>501</v>
      </c>
      <c r="B54" s="8"/>
      <c r="C54" s="8"/>
      <c r="D54" s="8"/>
    </row>
    <row r="55" spans="1:11" ht="16.5">
      <c r="A55" s="8" t="s">
        <v>154</v>
      </c>
      <c r="B55" s="8"/>
      <c r="C55" s="8"/>
      <c r="D55" s="8"/>
    </row>
    <row r="56" spans="1:11" ht="16.5">
      <c r="A56" s="8" t="s">
        <v>502</v>
      </c>
      <c r="B56" s="8"/>
      <c r="C56" s="8"/>
      <c r="D56" s="8"/>
    </row>
    <row r="57" spans="1:11" ht="16.5">
      <c r="A57" s="8" t="s">
        <v>507</v>
      </c>
      <c r="B57" s="8"/>
      <c r="C57" s="8"/>
      <c r="D57" s="8"/>
    </row>
    <row r="58" spans="1:11" ht="16.5">
      <c r="A58" s="8" t="s">
        <v>0</v>
      </c>
      <c r="B58" s="8"/>
      <c r="C58" s="8"/>
      <c r="D58" s="8"/>
    </row>
    <row r="59" spans="1:11" ht="16.5">
      <c r="B59" s="8"/>
      <c r="C59" s="8"/>
      <c r="D59" s="8"/>
    </row>
    <row r="60" spans="1:11" ht="16.5">
      <c r="A60" s="8"/>
      <c r="B60" s="8"/>
      <c r="C60" s="8"/>
      <c r="D60" s="8"/>
    </row>
    <row r="61" spans="1:11" ht="26.25">
      <c r="A61" s="266" t="s">
        <v>313</v>
      </c>
      <c r="B61" s="8"/>
      <c r="C61" s="8"/>
      <c r="D61" s="8"/>
    </row>
    <row r="62" spans="1:11" ht="17.25" customHeight="1">
      <c r="A62" s="266"/>
      <c r="B62" s="8"/>
      <c r="C62" s="8"/>
      <c r="D62" s="8"/>
    </row>
    <row r="63" spans="1:11" ht="16.5">
      <c r="A63" s="120" t="s">
        <v>390</v>
      </c>
      <c r="B63" s="8"/>
      <c r="C63" s="8"/>
      <c r="D63" s="8"/>
    </row>
    <row r="64" spans="1:11" ht="16.5">
      <c r="A64" s="120" t="s">
        <v>391</v>
      </c>
      <c r="B64" s="8"/>
      <c r="C64" s="8"/>
      <c r="D64" s="8"/>
    </row>
    <row r="65" spans="1:4" ht="16.5">
      <c r="A65" s="120" t="s">
        <v>392</v>
      </c>
      <c r="B65" s="8"/>
      <c r="C65" s="8"/>
      <c r="D65" s="8"/>
    </row>
    <row r="66" spans="1:4" ht="16.5">
      <c r="A66" s="120" t="s">
        <v>393</v>
      </c>
      <c r="B66" s="8"/>
      <c r="C66" s="8"/>
      <c r="D66" s="8"/>
    </row>
    <row r="67" spans="1:4" ht="16.5">
      <c r="A67" s="120" t="s">
        <v>394</v>
      </c>
      <c r="B67" s="8"/>
      <c r="C67" s="8"/>
      <c r="D67" s="8"/>
    </row>
    <row r="68" spans="1:4" ht="20.25" customHeight="1">
      <c r="A68" s="120" t="s">
        <v>395</v>
      </c>
      <c r="B68" s="8"/>
      <c r="C68" s="121" t="s">
        <v>389</v>
      </c>
      <c r="D68" s="8"/>
    </row>
    <row r="69" spans="1:4" ht="16.5">
      <c r="A69" s="335"/>
      <c r="B69" s="8"/>
      <c r="C69" s="8"/>
      <c r="D69" s="8"/>
    </row>
    <row r="70" spans="1:4" ht="26.25">
      <c r="A70" s="266" t="s">
        <v>396</v>
      </c>
      <c r="B70" s="8"/>
      <c r="C70" s="8"/>
      <c r="D70" s="8"/>
    </row>
    <row r="71" spans="1:4" ht="23.25">
      <c r="A71" s="334"/>
    </row>
  </sheetData>
  <pageMargins left="0.25" right="0.25" top="0.75" bottom="0.75" header="0.3" footer="0.3"/>
  <pageSetup scale="38" orientation="landscape" r:id="rId1"/>
  <rowBreaks count="1" manualBreakCount="1">
    <brk id="47" max="11" man="1"/>
  </rowBreaks>
  <colBreaks count="1" manualBreakCount="1">
    <brk id="11" max="94"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1FF50-7DB7-41D1-AD2F-655311479817}">
  <sheetPr>
    <tabColor rgb="FF92D050"/>
    <pageSetUpPr fitToPage="1"/>
  </sheetPr>
  <dimension ref="A1:I56"/>
  <sheetViews>
    <sheetView view="pageBreakPreview" topLeftCell="A10" zoomScale="70" zoomScaleNormal="80" zoomScaleSheetLayoutView="70" zoomScalePageLayoutView="70" workbookViewId="0">
      <pane xSplit="1" topLeftCell="B1" activePane="topRight" state="frozen"/>
      <selection pane="topRight" activeCell="E38" sqref="E38"/>
    </sheetView>
  </sheetViews>
  <sheetFormatPr defaultRowHeight="15"/>
  <cols>
    <col min="1" max="1" width="62.42578125" customWidth="1"/>
    <col min="2" max="2" width="11.5703125" bestFit="1" customWidth="1"/>
    <col min="3" max="3" width="20.42578125" bestFit="1" customWidth="1"/>
    <col min="4" max="4" width="30.140625" customWidth="1"/>
    <col min="5" max="5" width="28" customWidth="1"/>
    <col min="6" max="6" width="29.140625" customWidth="1"/>
    <col min="7" max="7" width="23.42578125" customWidth="1"/>
    <col min="8" max="8" width="12.85546875" customWidth="1"/>
    <col min="9" max="9" width="25.85546875" bestFit="1" customWidth="1"/>
    <col min="10" max="10" width="30.140625" bestFit="1" customWidth="1"/>
    <col min="11" max="11" width="9.140625" customWidth="1"/>
  </cols>
  <sheetData>
    <row r="1" spans="1:9" ht="26.25">
      <c r="A1" s="19" t="s">
        <v>1</v>
      </c>
      <c r="B1" s="8"/>
      <c r="C1" s="8"/>
      <c r="D1" s="8"/>
      <c r="E1" s="8"/>
      <c r="F1" s="8"/>
      <c r="G1" s="8"/>
      <c r="H1" s="8"/>
    </row>
    <row r="2" spans="1:9" ht="17.25">
      <c r="A2" s="20" t="s">
        <v>9</v>
      </c>
      <c r="B2" s="8"/>
      <c r="C2" s="8"/>
      <c r="D2" s="8"/>
      <c r="E2" s="8"/>
      <c r="F2" s="8"/>
      <c r="G2" s="8"/>
      <c r="H2" s="8"/>
    </row>
    <row r="3" spans="1:9" ht="16.5">
      <c r="A3" s="21" t="s">
        <v>453</v>
      </c>
      <c r="B3" s="8"/>
      <c r="C3" s="8"/>
      <c r="D3" s="8"/>
      <c r="E3" s="8"/>
      <c r="F3" s="8"/>
      <c r="G3" s="8"/>
      <c r="H3" s="8"/>
    </row>
    <row r="4" spans="1:9" ht="16.5">
      <c r="A4" s="21"/>
      <c r="B4" s="8"/>
      <c r="C4" s="8"/>
      <c r="D4" s="8"/>
      <c r="E4" s="8"/>
      <c r="F4" s="196" t="s">
        <v>0</v>
      </c>
      <c r="G4" s="8"/>
      <c r="H4" s="8"/>
    </row>
    <row r="5" spans="1:9" ht="16.5">
      <c r="B5" s="8"/>
      <c r="C5" s="8"/>
      <c r="D5" s="8"/>
      <c r="E5" s="22"/>
      <c r="F5" s="196" t="s">
        <v>0</v>
      </c>
      <c r="G5" s="8"/>
      <c r="H5" s="8" t="s">
        <v>0</v>
      </c>
    </row>
    <row r="6" spans="1:9" ht="16.5">
      <c r="A6" s="81"/>
      <c r="B6" s="30"/>
      <c r="C6" s="30"/>
      <c r="D6" s="30"/>
      <c r="E6" s="30"/>
      <c r="F6" s="30"/>
      <c r="G6" s="10"/>
      <c r="H6" s="80"/>
      <c r="I6" s="2"/>
    </row>
    <row r="7" spans="1:9" ht="16.5">
      <c r="A7" s="39"/>
      <c r="B7" s="39"/>
      <c r="C7" s="39"/>
      <c r="D7" s="39"/>
      <c r="E7" s="39"/>
      <c r="F7" s="39"/>
      <c r="G7" s="39"/>
      <c r="H7" s="39"/>
      <c r="I7" s="1"/>
    </row>
    <row r="8" spans="1:9" ht="17.25" thickBot="1">
      <c r="A8" s="39"/>
      <c r="B8" s="39"/>
      <c r="C8" s="39"/>
      <c r="D8" s="82"/>
      <c r="E8" s="24"/>
      <c r="F8" s="82"/>
      <c r="H8" s="39"/>
      <c r="I8" s="1"/>
    </row>
    <row r="9" spans="1:9" ht="27" thickBot="1">
      <c r="A9" s="23" t="str">
        <f>+'S&amp;D'!A12</f>
        <v>Railroad Carriers</v>
      </c>
      <c r="B9" s="39"/>
      <c r="C9" s="39"/>
      <c r="D9" s="39"/>
      <c r="E9" s="27" t="s">
        <v>304</v>
      </c>
      <c r="F9" s="39"/>
      <c r="H9" s="8"/>
    </row>
    <row r="10" spans="1:9" ht="21" thickBot="1">
      <c r="A10" s="26"/>
      <c r="B10" s="39"/>
      <c r="C10" s="39"/>
      <c r="D10" s="82"/>
      <c r="E10" s="32" t="s">
        <v>454</v>
      </c>
      <c r="F10" s="82"/>
      <c r="H10" s="8"/>
    </row>
    <row r="11" spans="1:9" ht="20.25">
      <c r="A11" s="26"/>
      <c r="B11" s="39"/>
      <c r="C11" s="39"/>
      <c r="D11" s="39"/>
      <c r="E11" s="30"/>
      <c r="F11" s="39"/>
      <c r="H11" s="8"/>
    </row>
    <row r="12" spans="1:9" ht="20.25">
      <c r="A12" s="26"/>
      <c r="B12" s="39"/>
      <c r="C12" s="39"/>
      <c r="D12" s="39"/>
      <c r="E12" s="30"/>
      <c r="F12" s="39"/>
      <c r="H12" s="8"/>
    </row>
    <row r="13" spans="1:9" ht="16.5">
      <c r="B13" s="39"/>
      <c r="C13" s="39"/>
      <c r="D13" s="39"/>
      <c r="E13" s="30"/>
      <c r="F13" s="39"/>
      <c r="H13" s="8"/>
    </row>
    <row r="14" spans="1:9" ht="20.25">
      <c r="A14" s="26"/>
      <c r="B14" s="39"/>
      <c r="C14" s="39"/>
      <c r="D14" s="39"/>
      <c r="E14" s="9" t="s">
        <v>0</v>
      </c>
      <c r="F14" s="39"/>
      <c r="H14" s="8"/>
    </row>
    <row r="15" spans="1:9" ht="17.25" thickBot="1">
      <c r="A15" s="37" t="s">
        <v>0</v>
      </c>
      <c r="B15" s="37" t="s">
        <v>0</v>
      </c>
      <c r="C15" s="37" t="s">
        <v>0</v>
      </c>
      <c r="D15" s="37"/>
      <c r="E15" s="37"/>
      <c r="F15" s="37"/>
      <c r="H15" s="8"/>
    </row>
    <row r="16" spans="1:9" ht="17.25">
      <c r="A16" s="249"/>
      <c r="B16" s="250"/>
      <c r="C16" s="251"/>
      <c r="D16" s="234" t="s">
        <v>0</v>
      </c>
      <c r="E16" s="235" t="s">
        <v>0</v>
      </c>
      <c r="F16" s="234" t="s">
        <v>0</v>
      </c>
      <c r="H16" s="8"/>
    </row>
    <row r="17" spans="1:8" ht="17.25">
      <c r="A17" s="83" t="s">
        <v>0</v>
      </c>
      <c r="B17" s="84" t="s">
        <v>3</v>
      </c>
      <c r="C17" s="85" t="s">
        <v>5</v>
      </c>
      <c r="D17" s="86" t="s">
        <v>0</v>
      </c>
      <c r="E17" s="236" t="s">
        <v>0</v>
      </c>
      <c r="F17" s="86" t="s">
        <v>296</v>
      </c>
      <c r="H17" s="8"/>
    </row>
    <row r="18" spans="1:8" ht="17.25">
      <c r="A18" s="83"/>
      <c r="B18" s="84" t="s">
        <v>4</v>
      </c>
      <c r="C18" s="85" t="s">
        <v>6</v>
      </c>
      <c r="D18" s="86" t="s">
        <v>305</v>
      </c>
      <c r="E18" s="236" t="s">
        <v>305</v>
      </c>
      <c r="F18" s="86" t="s">
        <v>130</v>
      </c>
      <c r="H18" s="8"/>
    </row>
    <row r="19" spans="1:8" ht="18" thickBot="1">
      <c r="A19" s="89" t="s">
        <v>2</v>
      </c>
      <c r="B19" s="90" t="s">
        <v>0</v>
      </c>
      <c r="C19" s="91" t="s">
        <v>0</v>
      </c>
      <c r="D19" s="286" t="s">
        <v>294</v>
      </c>
      <c r="E19" s="285" t="s">
        <v>61</v>
      </c>
      <c r="F19" s="90" t="s">
        <v>0</v>
      </c>
      <c r="H19" s="8"/>
    </row>
    <row r="20" spans="1:8" ht="16.5">
      <c r="A20" s="287" t="s">
        <v>7</v>
      </c>
      <c r="B20" s="268" t="s">
        <v>7</v>
      </c>
      <c r="C20" s="288" t="s">
        <v>7</v>
      </c>
      <c r="D20" s="268" t="s">
        <v>7</v>
      </c>
      <c r="E20" s="296" t="s">
        <v>295</v>
      </c>
      <c r="F20" s="95"/>
      <c r="H20" s="8"/>
    </row>
    <row r="21" spans="1:8" ht="17.25">
      <c r="A21" s="83"/>
      <c r="B21" s="84"/>
      <c r="C21" s="85"/>
      <c r="D21" s="84"/>
      <c r="E21" s="237"/>
      <c r="F21" s="84"/>
      <c r="H21" s="8"/>
    </row>
    <row r="22" spans="1:8" ht="17.25">
      <c r="A22" s="97" t="str">
        <f>+'S&amp;D'!A22</f>
        <v>Canadian National</v>
      </c>
      <c r="B22" s="75" t="str">
        <f>+'S&amp;D'!B22</f>
        <v>CNI</v>
      </c>
      <c r="C22" s="85" t="str">
        <f>+'S&amp;D'!C22</f>
        <v>Railroad</v>
      </c>
      <c r="D22" s="252">
        <f>+'S&amp;D'!D36</f>
        <v>80884770569.349991</v>
      </c>
      <c r="E22" s="253">
        <f>20117000000*0.7561</f>
        <v>15210463700</v>
      </c>
      <c r="F22" s="99">
        <f>+D22/E22</f>
        <v>5.3177057691771745</v>
      </c>
      <c r="H22" s="8"/>
    </row>
    <row r="23" spans="1:8" ht="17.25">
      <c r="A23" s="97" t="str">
        <f>+'S&amp;D'!A23</f>
        <v>Canadian Pacific Kansas City Limited  CPKC</v>
      </c>
      <c r="B23" s="75" t="str">
        <f>+'S&amp;D'!B23</f>
        <v>CP</v>
      </c>
      <c r="C23" s="85" t="str">
        <f>+'S&amp;D'!C23</f>
        <v>Railroad</v>
      </c>
      <c r="D23" s="252">
        <f>+'S&amp;D'!D37</f>
        <v>73691826000</v>
      </c>
      <c r="E23" s="253">
        <f>41492000000*0.7561</f>
        <v>31372101200</v>
      </c>
      <c r="F23" s="99">
        <f>+D23/E23</f>
        <v>2.3489604833991802</v>
      </c>
      <c r="H23" s="8"/>
    </row>
    <row r="24" spans="1:8" ht="17.25">
      <c r="A24" s="97" t="str">
        <f>+'S&amp;D'!A24</f>
        <v>CSX Corp</v>
      </c>
      <c r="B24" s="75" t="str">
        <f>+'S&amp;D'!B24</f>
        <v>CSX</v>
      </c>
      <c r="C24" s="85" t="str">
        <f>+'S&amp;D'!C24</f>
        <v>Railroad</v>
      </c>
      <c r="D24" s="252">
        <f>+'S&amp;D'!D38</f>
        <v>67883860000</v>
      </c>
      <c r="E24" s="253">
        <f>12133000000-5000000</f>
        <v>12128000000</v>
      </c>
      <c r="F24" s="99">
        <f t="shared" ref="F24:F26" si="0">+D24/E24</f>
        <v>5.5972839709762532</v>
      </c>
      <c r="H24" s="8"/>
    </row>
    <row r="25" spans="1:8" ht="17.25">
      <c r="A25" s="97" t="str">
        <f>+'S&amp;D'!A25</f>
        <v>Norfolk Southern</v>
      </c>
      <c r="B25" s="75" t="str">
        <f>+'S&amp;D'!B25</f>
        <v>NSC</v>
      </c>
      <c r="C25" s="85" t="str">
        <f>+'S&amp;D'!C25</f>
        <v>Railroad</v>
      </c>
      <c r="D25" s="252">
        <f>+'S&amp;D'!D39</f>
        <v>53346534820.519997</v>
      </c>
      <c r="E25" s="253">
        <v>12781000000</v>
      </c>
      <c r="F25" s="99">
        <f t="shared" si="0"/>
        <v>4.1738936562491196</v>
      </c>
      <c r="H25" s="8"/>
    </row>
    <row r="26" spans="1:8" ht="18" thickBot="1">
      <c r="A26" s="292" t="str">
        <f>+'S&amp;D'!A26</f>
        <v>Union Pacific Railroad</v>
      </c>
      <c r="B26" s="76" t="str">
        <f>+'S&amp;D'!B26</f>
        <v>UNP</v>
      </c>
      <c r="C26" s="91" t="str">
        <f>+'S&amp;D'!C26</f>
        <v>Railroad</v>
      </c>
      <c r="D26" s="293">
        <f>+'S&amp;D'!D40</f>
        <v>149755450794.67999</v>
      </c>
      <c r="E26" s="337">
        <v>14788000000</v>
      </c>
      <c r="F26" s="99">
        <f t="shared" si="0"/>
        <v>10.126822477324858</v>
      </c>
      <c r="H26" s="8"/>
    </row>
    <row r="27" spans="1:8" ht="27" customHeight="1" thickBot="1">
      <c r="A27" s="110"/>
      <c r="B27" s="102"/>
      <c r="C27" s="102"/>
      <c r="D27" s="111"/>
      <c r="E27" s="336" t="s">
        <v>303</v>
      </c>
      <c r="F27" s="198">
        <f>AVERAGE(F22:F26)</f>
        <v>5.5129332714253172</v>
      </c>
      <c r="H27" s="8"/>
    </row>
    <row r="28" spans="1:8" ht="17.25">
      <c r="A28" s="100"/>
      <c r="B28" s="100"/>
      <c r="C28" s="100"/>
      <c r="D28" s="100"/>
      <c r="E28" s="246"/>
      <c r="F28" s="248"/>
      <c r="H28" s="8"/>
    </row>
    <row r="29" spans="1:8" ht="17.25">
      <c r="A29" s="100"/>
      <c r="B29" s="100"/>
      <c r="C29" s="100"/>
      <c r="D29" s="100"/>
      <c r="E29" s="246"/>
      <c r="F29" s="248"/>
      <c r="H29" s="8"/>
    </row>
    <row r="30" spans="1:8" ht="17.25">
      <c r="A30" s="100"/>
      <c r="B30" s="100"/>
      <c r="C30" s="100"/>
      <c r="D30" s="100"/>
      <c r="E30" s="246"/>
      <c r="F30" s="248"/>
      <c r="H30" s="8"/>
    </row>
    <row r="31" spans="1:8" ht="18" thickBot="1">
      <c r="A31" s="100"/>
      <c r="B31" s="100"/>
      <c r="C31" s="100"/>
      <c r="D31" s="100"/>
      <c r="E31" s="100"/>
      <c r="F31" s="100"/>
      <c r="H31" s="8"/>
    </row>
    <row r="32" spans="1:8" ht="17.25">
      <c r="A32" s="249"/>
      <c r="B32" s="250"/>
      <c r="C32" s="251"/>
      <c r="D32" s="234" t="s">
        <v>0</v>
      </c>
      <c r="E32" s="235" t="s">
        <v>0</v>
      </c>
      <c r="F32" s="234" t="s">
        <v>0</v>
      </c>
      <c r="H32" s="8"/>
    </row>
    <row r="33" spans="1:8" ht="17.25">
      <c r="A33" s="83" t="s">
        <v>0</v>
      </c>
      <c r="B33" s="84" t="s">
        <v>3</v>
      </c>
      <c r="C33" s="85" t="s">
        <v>5</v>
      </c>
      <c r="D33" s="86" t="s">
        <v>0</v>
      </c>
      <c r="E33" s="236" t="s">
        <v>0</v>
      </c>
      <c r="F33" s="86" t="s">
        <v>296</v>
      </c>
      <c r="H33" s="8"/>
    </row>
    <row r="34" spans="1:8" ht="17.25">
      <c r="A34" s="83"/>
      <c r="B34" s="84" t="s">
        <v>4</v>
      </c>
      <c r="C34" s="85" t="s">
        <v>6</v>
      </c>
      <c r="D34" s="86" t="s">
        <v>297</v>
      </c>
      <c r="E34" s="236" t="s">
        <v>297</v>
      </c>
      <c r="F34" s="86" t="s">
        <v>130</v>
      </c>
    </row>
    <row r="35" spans="1:8" ht="18" thickBot="1">
      <c r="A35" s="89" t="s">
        <v>2</v>
      </c>
      <c r="B35" s="90" t="s">
        <v>0</v>
      </c>
      <c r="C35" s="91" t="s">
        <v>0</v>
      </c>
      <c r="D35" s="286" t="s">
        <v>294</v>
      </c>
      <c r="E35" s="285" t="s">
        <v>61</v>
      </c>
      <c r="F35" s="90" t="s">
        <v>0</v>
      </c>
    </row>
    <row r="36" spans="1:8">
      <c r="A36" s="287" t="s">
        <v>7</v>
      </c>
      <c r="B36" s="268" t="s">
        <v>7</v>
      </c>
      <c r="C36" s="288" t="s">
        <v>7</v>
      </c>
      <c r="D36" s="268" t="s">
        <v>295</v>
      </c>
      <c r="E36" s="108" t="s">
        <v>295</v>
      </c>
      <c r="F36" s="95"/>
    </row>
    <row r="37" spans="1:8" ht="17.25">
      <c r="A37" s="83"/>
      <c r="B37" s="84"/>
      <c r="C37" s="85"/>
      <c r="D37" s="84"/>
      <c r="E37" s="237"/>
      <c r="F37" s="84"/>
    </row>
    <row r="38" spans="1:8" ht="17.25">
      <c r="A38" s="97" t="str">
        <f t="shared" ref="A38:C42" si="1">+A22</f>
        <v>Canadian National</v>
      </c>
      <c r="B38" s="75" t="str">
        <f t="shared" si="1"/>
        <v>CNI</v>
      </c>
      <c r="C38" s="85" t="str">
        <f t="shared" si="1"/>
        <v>Railroad</v>
      </c>
      <c r="D38" s="252">
        <f>+'S&amp;D'!H36</f>
        <v>13519659099.170057</v>
      </c>
      <c r="E38" s="253">
        <f>+'S&amp;D'!J22</f>
        <v>13967435300</v>
      </c>
      <c r="F38" s="99">
        <f>+D38/E38</f>
        <v>0.96794141578519122</v>
      </c>
    </row>
    <row r="39" spans="1:8" ht="17.25">
      <c r="A39" s="97" t="str">
        <f t="shared" si="1"/>
        <v>Canadian Pacific Kansas City Limited  CPKC</v>
      </c>
      <c r="B39" s="75" t="str">
        <f t="shared" si="1"/>
        <v>CP</v>
      </c>
      <c r="C39" s="85" t="str">
        <f t="shared" si="1"/>
        <v>Railroad</v>
      </c>
      <c r="D39" s="252">
        <f>+'S&amp;D'!H37</f>
        <v>16303984250.128283</v>
      </c>
      <c r="E39" s="253">
        <f>+'S&amp;D'!J23</f>
        <v>17007713400</v>
      </c>
      <c r="F39" s="99">
        <f t="shared" ref="F39:F42" si="2">+D39/E39</f>
        <v>0.95862294164295381</v>
      </c>
    </row>
    <row r="40" spans="1:8" ht="17.25">
      <c r="A40" s="97" t="str">
        <f t="shared" si="1"/>
        <v>CSX Corp</v>
      </c>
      <c r="B40" s="75" t="str">
        <f t="shared" si="1"/>
        <v>CSX</v>
      </c>
      <c r="C40" s="85" t="str">
        <f t="shared" si="1"/>
        <v>Railroad</v>
      </c>
      <c r="D40" s="252">
        <f>+'S&amp;D'!H38</f>
        <v>17528000000</v>
      </c>
      <c r="E40" s="253">
        <f>+'S&amp;D'!J24</f>
        <v>18533000000</v>
      </c>
      <c r="F40" s="99">
        <f t="shared" si="2"/>
        <v>0.94577240597852474</v>
      </c>
    </row>
    <row r="41" spans="1:8" ht="17.25">
      <c r="A41" s="97" t="str">
        <f t="shared" si="1"/>
        <v>Norfolk Southern</v>
      </c>
      <c r="B41" s="75" t="str">
        <f t="shared" si="1"/>
        <v>NSC</v>
      </c>
      <c r="C41" s="85" t="str">
        <f t="shared" si="1"/>
        <v>Railroad</v>
      </c>
      <c r="D41" s="252">
        <f>+'S&amp;D'!H39</f>
        <v>16631000000</v>
      </c>
      <c r="E41" s="253">
        <f>+'S&amp;D'!J25</f>
        <v>17179000000</v>
      </c>
      <c r="F41" s="99">
        <f t="shared" si="2"/>
        <v>0.96810058792712028</v>
      </c>
    </row>
    <row r="42" spans="1:8" ht="18" thickBot="1">
      <c r="A42" s="292" t="str">
        <f t="shared" si="1"/>
        <v>Union Pacific Railroad</v>
      </c>
      <c r="B42" s="76" t="str">
        <f t="shared" si="1"/>
        <v>UNP</v>
      </c>
      <c r="C42" s="91" t="str">
        <f t="shared" si="1"/>
        <v>Railroad</v>
      </c>
      <c r="D42" s="293">
        <f>+'S&amp;D'!H40</f>
        <v>28018153153.153152</v>
      </c>
      <c r="E42" s="253">
        <f>+'S&amp;D'!J26</f>
        <v>32737000000</v>
      </c>
      <c r="F42" s="99">
        <f t="shared" si="2"/>
        <v>0.85585585585585588</v>
      </c>
    </row>
    <row r="43" spans="1:8" ht="27.75" customHeight="1" thickBot="1">
      <c r="A43" s="289"/>
      <c r="B43" s="142"/>
      <c r="C43" s="142"/>
      <c r="D43" s="290"/>
      <c r="E43" s="291" t="s">
        <v>303</v>
      </c>
      <c r="F43" s="198">
        <f>AVERAGE(F38:F42)</f>
        <v>0.93925864143792914</v>
      </c>
    </row>
    <row r="48" spans="1:8">
      <c r="C48" s="238" t="s">
        <v>298</v>
      </c>
      <c r="D48" s="238" t="s">
        <v>299</v>
      </c>
      <c r="E48" s="238"/>
    </row>
    <row r="49" spans="1:6">
      <c r="A49" s="240"/>
      <c r="B49" s="240"/>
      <c r="C49" s="239" t="s">
        <v>35</v>
      </c>
      <c r="D49" s="239" t="s">
        <v>300</v>
      </c>
      <c r="E49" s="239" t="s">
        <v>301</v>
      </c>
    </row>
    <row r="50" spans="1:6" ht="17.25">
      <c r="A50" s="85" t="s">
        <v>39</v>
      </c>
      <c r="B50" s="131" t="s">
        <v>0</v>
      </c>
      <c r="C50" s="131">
        <f>+'Yield CapRate'!C23</f>
        <v>0.81</v>
      </c>
      <c r="D50" s="244">
        <f>+F27</f>
        <v>5.5129332714253172</v>
      </c>
      <c r="E50" s="245">
        <f>+C50*D50</f>
        <v>4.4654759498545076</v>
      </c>
      <c r="F50" s="132" t="s">
        <v>0</v>
      </c>
    </row>
    <row r="51" spans="1:6" ht="17.25">
      <c r="A51" s="241" t="s">
        <v>41</v>
      </c>
      <c r="B51" s="242" t="str">
        <f>'S&amp;D'!J33</f>
        <v xml:space="preserve"> </v>
      </c>
      <c r="C51" s="242">
        <f>+'Yield CapRate'!C25</f>
        <v>0.19</v>
      </c>
      <c r="D51" s="243">
        <f>+F43</f>
        <v>0.93925864143792914</v>
      </c>
      <c r="E51" s="243">
        <f>+C51*D51</f>
        <v>0.17845914187320655</v>
      </c>
      <c r="F51" s="132" t="s">
        <v>0</v>
      </c>
    </row>
    <row r="52" spans="1:6">
      <c r="D52" s="246" t="s">
        <v>302</v>
      </c>
      <c r="E52" s="247">
        <f>+E50+E51</f>
        <v>4.6439350917277142</v>
      </c>
    </row>
    <row r="55" spans="1:6" ht="20.25">
      <c r="A55" s="26" t="s">
        <v>421</v>
      </c>
    </row>
    <row r="56" spans="1:6" ht="19.5" customHeight="1">
      <c r="A56" s="26" t="s">
        <v>376</v>
      </c>
    </row>
  </sheetData>
  <pageMargins left="0.25" right="0.25" top="0.75" bottom="0.75" header="0.3" footer="0.3"/>
  <pageSetup scale="52" orientation="landscape" r:id="rId1"/>
  <rowBreaks count="1" manualBreakCount="1">
    <brk id="31" max="6" man="1"/>
  </rowBreaks>
  <colBreaks count="1" manualBreakCount="1">
    <brk id="8" max="71"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1145E-BF36-4A2C-868C-9B0DC0104C72}">
  <sheetPr>
    <tabColor rgb="FF92D050"/>
  </sheetPr>
  <dimension ref="A1:L73"/>
  <sheetViews>
    <sheetView view="pageBreakPreview" zoomScale="70" zoomScaleNormal="80" zoomScaleSheetLayoutView="70" workbookViewId="0">
      <selection activeCell="K5" sqref="K5"/>
    </sheetView>
  </sheetViews>
  <sheetFormatPr defaultRowHeight="15"/>
  <cols>
    <col min="1" max="1" width="41" customWidth="1"/>
    <col min="2" max="2" width="10.85546875" bestFit="1" customWidth="1"/>
    <col min="3" max="3" width="10.7109375" customWidth="1"/>
    <col min="4" max="4" width="28.5703125" customWidth="1"/>
    <col min="5" max="5" width="22.28515625" customWidth="1"/>
    <col min="6" max="6" width="26.5703125" customWidth="1"/>
    <col min="7" max="7" width="26.42578125" customWidth="1"/>
    <col min="8" max="8" width="23.85546875" customWidth="1"/>
    <col min="9" max="9" width="15" customWidth="1"/>
    <col min="10" max="10" width="14.140625" bestFit="1" customWidth="1"/>
    <col min="11" max="11" width="16.7109375" customWidth="1"/>
    <col min="12" max="12" width="23.140625" customWidth="1"/>
  </cols>
  <sheetData>
    <row r="1" spans="1:12" ht="26.25">
      <c r="A1" s="19" t="s">
        <v>1</v>
      </c>
      <c r="B1" s="8"/>
      <c r="C1" s="8"/>
      <c r="D1" s="8"/>
      <c r="E1" s="8"/>
      <c r="F1" s="8"/>
      <c r="G1" s="8"/>
      <c r="H1" s="8"/>
      <c r="I1" s="8"/>
      <c r="J1" s="8"/>
      <c r="K1" s="8"/>
      <c r="L1" s="8"/>
    </row>
    <row r="2" spans="1:12" ht="17.25">
      <c r="A2" s="20" t="s">
        <v>9</v>
      </c>
      <c r="B2" s="8"/>
      <c r="C2" s="8"/>
      <c r="D2" s="8"/>
      <c r="E2" s="8"/>
      <c r="F2" s="8"/>
      <c r="G2" s="8"/>
      <c r="H2" s="8"/>
      <c r="I2" s="8"/>
      <c r="J2" s="8"/>
      <c r="K2" s="8"/>
      <c r="L2" s="8"/>
    </row>
    <row r="3" spans="1:12" ht="16.5">
      <c r="A3" s="21" t="s">
        <v>453</v>
      </c>
      <c r="B3" s="8"/>
      <c r="C3" s="8"/>
      <c r="D3" s="8"/>
      <c r="E3" s="8"/>
      <c r="F3" s="8"/>
      <c r="G3" s="8"/>
      <c r="H3" s="8"/>
      <c r="I3" s="8"/>
      <c r="J3" s="8"/>
      <c r="K3" s="8"/>
      <c r="L3" s="8"/>
    </row>
    <row r="4" spans="1:12" ht="16.5">
      <c r="A4" s="21"/>
      <c r="B4" s="8"/>
      <c r="C4" s="8"/>
      <c r="D4" s="8"/>
      <c r="E4" s="8"/>
      <c r="F4" s="8"/>
      <c r="G4" s="8"/>
      <c r="H4" s="8"/>
      <c r="I4" s="8"/>
      <c r="J4" s="8"/>
      <c r="K4" s="8"/>
      <c r="L4" s="8"/>
    </row>
    <row r="5" spans="1:12" ht="16.5">
      <c r="A5" s="21"/>
      <c r="B5" s="8"/>
      <c r="C5" s="8"/>
      <c r="D5" s="8"/>
      <c r="E5" s="8"/>
      <c r="F5" s="8"/>
      <c r="G5" s="8"/>
      <c r="H5" s="8"/>
      <c r="I5" s="8"/>
      <c r="J5" s="8"/>
      <c r="K5" s="8"/>
      <c r="L5" s="8"/>
    </row>
    <row r="6" spans="1:12" ht="16.5">
      <c r="A6" s="21"/>
      <c r="B6" s="8"/>
      <c r="C6" s="8"/>
      <c r="D6" s="8"/>
      <c r="E6" s="8"/>
      <c r="F6" s="8"/>
      <c r="G6" s="8"/>
      <c r="H6" s="8"/>
      <c r="I6" s="8"/>
      <c r="J6" s="8"/>
      <c r="K6" s="8"/>
      <c r="L6" s="8"/>
    </row>
    <row r="7" spans="1:12" ht="17.25" thickBot="1">
      <c r="A7" s="8"/>
      <c r="B7" s="8"/>
      <c r="C7" s="8"/>
      <c r="D7" s="8"/>
      <c r="E7" s="8"/>
      <c r="F7" s="24"/>
      <c r="G7" s="24"/>
      <c r="H7" s="25" t="s">
        <v>0</v>
      </c>
      <c r="I7" s="8"/>
      <c r="J7" s="8"/>
      <c r="K7" s="8"/>
      <c r="L7" s="8"/>
    </row>
    <row r="8" spans="1:12" ht="27" thickBot="1">
      <c r="A8" s="260" t="str">
        <f>+'S&amp;D'!A12</f>
        <v>Railroad Carriers</v>
      </c>
      <c r="B8" s="261"/>
      <c r="C8" s="189"/>
      <c r="D8" s="8"/>
      <c r="E8" s="8"/>
      <c r="F8" s="8"/>
      <c r="G8" s="27" t="s">
        <v>76</v>
      </c>
      <c r="H8" s="8"/>
      <c r="I8" s="8"/>
      <c r="J8" s="8"/>
      <c r="K8" s="8"/>
      <c r="L8" s="8"/>
    </row>
    <row r="9" spans="1:12" ht="20.25">
      <c r="A9" s="26"/>
      <c r="B9" s="8"/>
      <c r="C9" s="8"/>
      <c r="D9" s="8"/>
      <c r="E9" s="8"/>
      <c r="F9" s="8"/>
      <c r="G9" s="85" t="s">
        <v>77</v>
      </c>
      <c r="H9" s="8"/>
      <c r="I9" s="8"/>
      <c r="J9" s="8"/>
      <c r="K9" s="8"/>
      <c r="L9" s="8"/>
    </row>
    <row r="10" spans="1:12" ht="18" customHeight="1" thickBot="1">
      <c r="A10" s="36" t="s">
        <v>0</v>
      </c>
      <c r="B10" s="36" t="s">
        <v>0</v>
      </c>
      <c r="C10" s="36" t="s">
        <v>0</v>
      </c>
      <c r="D10" s="8"/>
      <c r="E10" s="8"/>
      <c r="F10" s="29" t="s">
        <v>0</v>
      </c>
      <c r="G10" s="32" t="s">
        <v>454</v>
      </c>
      <c r="H10" s="29" t="s">
        <v>0</v>
      </c>
      <c r="I10" s="36" t="s">
        <v>0</v>
      </c>
      <c r="J10" s="8"/>
      <c r="K10" s="8"/>
      <c r="L10" s="8"/>
    </row>
    <row r="11" spans="1:12" ht="18" customHeight="1">
      <c r="A11" s="36"/>
      <c r="B11" s="36"/>
      <c r="C11" s="36"/>
      <c r="D11" s="8"/>
      <c r="E11" s="8"/>
      <c r="J11" s="8"/>
      <c r="K11" s="8"/>
      <c r="L11" s="8"/>
    </row>
    <row r="12" spans="1:12" ht="18" customHeight="1">
      <c r="A12" s="36"/>
      <c r="B12" s="36"/>
      <c r="C12" s="36"/>
      <c r="D12" s="8" t="s">
        <v>0</v>
      </c>
      <c r="E12" s="8" t="s">
        <v>0</v>
      </c>
      <c r="G12" s="9" t="s">
        <v>0</v>
      </c>
      <c r="J12" s="8"/>
      <c r="K12" s="8"/>
      <c r="L12" s="8" t="s">
        <v>0</v>
      </c>
    </row>
    <row r="13" spans="1:12" ht="17.25" thickBot="1">
      <c r="A13" s="29"/>
      <c r="B13" s="29"/>
      <c r="C13" s="29"/>
      <c r="D13" s="29"/>
      <c r="E13" s="32"/>
      <c r="F13" s="29"/>
      <c r="G13" s="29"/>
      <c r="H13" s="29"/>
      <c r="I13" s="29"/>
      <c r="J13" s="24"/>
      <c r="K13" s="24"/>
      <c r="L13" s="24"/>
    </row>
    <row r="14" spans="1:12" ht="15" customHeight="1" thickBot="1">
      <c r="A14" s="29" t="s">
        <v>24</v>
      </c>
      <c r="B14" s="29" t="s">
        <v>89</v>
      </c>
      <c r="C14" s="29" t="s">
        <v>90</v>
      </c>
      <c r="D14" s="37" t="s">
        <v>91</v>
      </c>
      <c r="E14" s="29" t="s">
        <v>92</v>
      </c>
      <c r="F14" s="29" t="s">
        <v>93</v>
      </c>
      <c r="G14" s="29" t="s">
        <v>94</v>
      </c>
      <c r="H14" s="29" t="s">
        <v>95</v>
      </c>
      <c r="I14" s="29" t="s">
        <v>96</v>
      </c>
      <c r="J14" s="29" t="s">
        <v>97</v>
      </c>
      <c r="K14" s="29" t="s">
        <v>98</v>
      </c>
      <c r="L14" s="29" t="s">
        <v>106</v>
      </c>
    </row>
    <row r="15" spans="1:12" ht="16.5">
      <c r="A15" s="30" t="s">
        <v>0</v>
      </c>
      <c r="B15" s="30" t="s">
        <v>3</v>
      </c>
      <c r="C15" s="30" t="s">
        <v>78</v>
      </c>
      <c r="D15" s="30" t="s">
        <v>81</v>
      </c>
      <c r="E15" s="30" t="s">
        <v>81</v>
      </c>
      <c r="F15" s="30" t="s">
        <v>82</v>
      </c>
      <c r="G15" s="30" t="s">
        <v>85</v>
      </c>
      <c r="H15" s="30" t="s">
        <v>87</v>
      </c>
      <c r="I15" s="30" t="s">
        <v>109</v>
      </c>
      <c r="J15" s="30" t="s">
        <v>109</v>
      </c>
      <c r="K15" s="30" t="s">
        <v>102</v>
      </c>
      <c r="L15" s="30" t="s">
        <v>104</v>
      </c>
    </row>
    <row r="16" spans="1:12" ht="17.25" thickBot="1">
      <c r="A16" s="32" t="s">
        <v>2</v>
      </c>
      <c r="B16" s="32" t="s">
        <v>4</v>
      </c>
      <c r="C16" s="32" t="s">
        <v>79</v>
      </c>
      <c r="D16" s="32" t="s">
        <v>84</v>
      </c>
      <c r="E16" s="32" t="s">
        <v>83</v>
      </c>
      <c r="F16" s="32" t="s">
        <v>19</v>
      </c>
      <c r="G16" s="32" t="s">
        <v>86</v>
      </c>
      <c r="H16" s="32" t="s">
        <v>88</v>
      </c>
      <c r="I16" s="32" t="s">
        <v>0</v>
      </c>
      <c r="J16" s="32" t="s">
        <v>0</v>
      </c>
      <c r="K16" s="32" t="s">
        <v>103</v>
      </c>
      <c r="L16" s="32" t="s">
        <v>85</v>
      </c>
    </row>
    <row r="17" spans="1:12">
      <c r="A17" s="38" t="s">
        <v>7</v>
      </c>
      <c r="B17" s="38" t="s">
        <v>7</v>
      </c>
      <c r="C17" s="38" t="s">
        <v>80</v>
      </c>
      <c r="D17" s="38" t="s">
        <v>245</v>
      </c>
      <c r="E17" s="38" t="s">
        <v>245</v>
      </c>
      <c r="F17" s="38" t="s">
        <v>107</v>
      </c>
      <c r="G17" s="38" t="s">
        <v>244</v>
      </c>
      <c r="H17" s="38" t="s">
        <v>99</v>
      </c>
      <c r="I17" s="38" t="s">
        <v>100</v>
      </c>
      <c r="J17" s="38" t="s">
        <v>101</v>
      </c>
      <c r="K17" s="38" t="s">
        <v>108</v>
      </c>
      <c r="L17" s="38" t="s">
        <v>105</v>
      </c>
    </row>
    <row r="18" spans="1:12" ht="16.5">
      <c r="A18" s="30"/>
      <c r="B18" s="30"/>
      <c r="C18" s="30"/>
      <c r="D18" s="30"/>
      <c r="E18" s="30"/>
      <c r="F18" s="30"/>
      <c r="G18" s="30"/>
      <c r="H18" s="30"/>
      <c r="I18" s="30"/>
      <c r="J18" s="30"/>
      <c r="K18" s="30"/>
      <c r="L18" s="30"/>
    </row>
    <row r="19" spans="1:12" ht="16.5">
      <c r="A19" s="8"/>
      <c r="B19" s="8"/>
      <c r="C19" s="8"/>
      <c r="D19" s="8"/>
      <c r="E19" s="8"/>
      <c r="F19" s="8"/>
      <c r="G19" s="8"/>
      <c r="H19" s="8"/>
      <c r="I19" s="8"/>
      <c r="J19" s="8"/>
      <c r="K19" s="8"/>
      <c r="L19" s="8"/>
    </row>
    <row r="20" spans="1:12" ht="22.5" customHeight="1">
      <c r="A20" s="58" t="str">
        <f>+'S&amp;D'!A22</f>
        <v>Canadian National</v>
      </c>
      <c r="B20" s="85" t="str">
        <f>+'S&amp;D'!B22</f>
        <v>CNI</v>
      </c>
      <c r="C20" s="61">
        <f>+'Growth &amp; Inflation Rates'!D93</f>
        <v>2.2200000000000001E-2</v>
      </c>
      <c r="D20" s="294">
        <f>62011000000*0.7561</f>
        <v>46886517100</v>
      </c>
      <c r="E20" s="127">
        <f>60063000000*0.7561</f>
        <v>45413634300</v>
      </c>
      <c r="F20" s="127">
        <f>(D20+E20)/2</f>
        <v>46150075700</v>
      </c>
      <c r="G20" s="127">
        <f>1817000000*0.7561</f>
        <v>1373833700</v>
      </c>
      <c r="H20" s="14">
        <f>+F20/G20</f>
        <v>33.592184920198129</v>
      </c>
      <c r="I20" s="40">
        <f>+C20*H20</f>
        <v>0.74574650522839847</v>
      </c>
      <c r="J20" s="41">
        <f>1/(1+C20)^H20</f>
        <v>0.47826551690473884</v>
      </c>
      <c r="K20" s="128">
        <f>(G20*I20)/(1-J20)</f>
        <v>1963703212.5264668</v>
      </c>
      <c r="L20" s="129">
        <f>+K20/G20</f>
        <v>1.429360200238549</v>
      </c>
    </row>
    <row r="21" spans="1:12" ht="22.5" customHeight="1">
      <c r="A21" s="58" t="str">
        <f>+'S&amp;D'!A23</f>
        <v>Canadian Pacific Kansas City Limited  CPKC</v>
      </c>
      <c r="B21" s="85" t="str">
        <f>+'S&amp;D'!B23</f>
        <v>CP</v>
      </c>
      <c r="C21" s="61">
        <f>+'Growth &amp; Inflation Rates'!D93</f>
        <v>2.2200000000000001E-2</v>
      </c>
      <c r="D21" s="294">
        <f>61785000000*0.7561</f>
        <v>46715638500</v>
      </c>
      <c r="E21" s="127">
        <f>31680000000*0.7561</f>
        <v>23953248000</v>
      </c>
      <c r="F21" s="127">
        <f t="shared" ref="F21:F24" si="0">(D21+E21)/2</f>
        <v>35334443250</v>
      </c>
      <c r="G21" s="127">
        <f>1543000000*0.7561</f>
        <v>1166662300</v>
      </c>
      <c r="H21" s="14">
        <f t="shared" ref="H21:H24" si="1">+F21/G21</f>
        <v>30.286779001944264</v>
      </c>
      <c r="I21" s="40">
        <f t="shared" ref="I21:I24" si="2">+C21*H21</f>
        <v>0.67236649384316272</v>
      </c>
      <c r="J21" s="41">
        <f t="shared" ref="J21:J24" si="3">1/(1+C21)^H21</f>
        <v>0.51426742069332076</v>
      </c>
      <c r="K21" s="128">
        <f t="shared" ref="K21:K24" si="4">(G21*I21)/(1-J21)</f>
        <v>1614931082.5921237</v>
      </c>
      <c r="L21" s="129">
        <f t="shared" ref="L21:L24" si="5">+K21/G21</f>
        <v>1.3842318232037871</v>
      </c>
    </row>
    <row r="22" spans="1:12" ht="22.5" customHeight="1">
      <c r="A22" s="58" t="str">
        <f>+'S&amp;D'!A24</f>
        <v>CSX Corp</v>
      </c>
      <c r="B22" s="85" t="str">
        <f>+'S&amp;D'!B24</f>
        <v>CSX</v>
      </c>
      <c r="C22" s="61">
        <f>+'Growth &amp; Inflation Rates'!D93</f>
        <v>2.2200000000000001E-2</v>
      </c>
      <c r="D22" s="294">
        <v>50320000000</v>
      </c>
      <c r="E22" s="127">
        <v>48105000000</v>
      </c>
      <c r="F22" s="127">
        <f t="shared" si="0"/>
        <v>49212500000</v>
      </c>
      <c r="G22" s="127">
        <v>1611000000</v>
      </c>
      <c r="H22" s="14">
        <f t="shared" si="1"/>
        <v>30.547796399751707</v>
      </c>
      <c r="I22" s="40">
        <f t="shared" si="2"/>
        <v>0.67816108007448794</v>
      </c>
      <c r="J22" s="41">
        <f t="shared" si="3"/>
        <v>0.51132847974845463</v>
      </c>
      <c r="K22" s="128">
        <f t="shared" si="4"/>
        <v>2235688913.1529965</v>
      </c>
      <c r="L22" s="129">
        <f t="shared" si="5"/>
        <v>1.3877646884872727</v>
      </c>
    </row>
    <row r="23" spans="1:12" ht="22.5" customHeight="1">
      <c r="A23" s="58" t="str">
        <f>+'S&amp;D'!A25</f>
        <v>Norfolk Southern</v>
      </c>
      <c r="B23" s="85" t="str">
        <f>+'S&amp;D'!B25</f>
        <v>NSC</v>
      </c>
      <c r="C23" s="61">
        <f>+'Growth &amp; Inflation Rates'!D93</f>
        <v>2.2200000000000001E-2</v>
      </c>
      <c r="D23" s="294">
        <v>46591000000</v>
      </c>
      <c r="E23" s="294">
        <v>44748000000</v>
      </c>
      <c r="F23" s="127">
        <f t="shared" si="0"/>
        <v>45669500000</v>
      </c>
      <c r="G23" s="127">
        <v>1298000000</v>
      </c>
      <c r="H23" s="14">
        <f t="shared" si="1"/>
        <v>35.184514637904471</v>
      </c>
      <c r="I23" s="40">
        <f t="shared" si="2"/>
        <v>0.78109622496147924</v>
      </c>
      <c r="J23" s="41">
        <f t="shared" si="3"/>
        <v>0.46183283789836643</v>
      </c>
      <c r="K23" s="128">
        <f t="shared" si="4"/>
        <v>1883918178.955205</v>
      </c>
      <c r="L23" s="129">
        <f t="shared" si="5"/>
        <v>1.4514007542027774</v>
      </c>
    </row>
    <row r="24" spans="1:12" ht="22.5" customHeight="1">
      <c r="A24" s="58" t="str">
        <f>+'S&amp;D'!A26</f>
        <v>Union Pacific Railroad</v>
      </c>
      <c r="B24" s="85" t="str">
        <f>+'S&amp;D'!B26</f>
        <v>UNP</v>
      </c>
      <c r="C24" s="61">
        <f>+'Growth &amp; Inflation Rates'!D93</f>
        <v>2.2200000000000001E-2</v>
      </c>
      <c r="D24" s="294">
        <v>81733000000</v>
      </c>
      <c r="E24" s="294">
        <v>79255000000</v>
      </c>
      <c r="F24" s="127">
        <f t="shared" si="0"/>
        <v>80494000000</v>
      </c>
      <c r="G24" s="127">
        <v>2318000000</v>
      </c>
      <c r="H24" s="14">
        <f t="shared" si="1"/>
        <v>34.725625539257983</v>
      </c>
      <c r="I24" s="40">
        <f t="shared" si="2"/>
        <v>0.77090888697152726</v>
      </c>
      <c r="J24" s="41">
        <f t="shared" si="3"/>
        <v>0.46650974403883005</v>
      </c>
      <c r="K24" s="128">
        <f t="shared" si="4"/>
        <v>3349577204.143096</v>
      </c>
      <c r="L24" s="129">
        <f t="shared" si="5"/>
        <v>1.4450289922964177</v>
      </c>
    </row>
    <row r="25" spans="1:12" ht="22.5" customHeight="1" thickBot="1">
      <c r="A25" s="65"/>
      <c r="B25" s="65"/>
      <c r="C25" s="42"/>
      <c r="D25" s="42"/>
      <c r="E25" s="42"/>
      <c r="F25" s="42"/>
      <c r="G25" s="42" t="s">
        <v>0</v>
      </c>
      <c r="H25" s="42"/>
      <c r="I25" s="42" t="s">
        <v>45</v>
      </c>
      <c r="J25" s="42"/>
      <c r="K25" s="42"/>
      <c r="L25" s="42"/>
    </row>
    <row r="26" spans="1:12" ht="22.5" customHeight="1" thickTop="1">
      <c r="A26" s="8"/>
      <c r="B26" s="8"/>
      <c r="C26" s="43" t="s">
        <v>0</v>
      </c>
      <c r="D26" s="43" t="s">
        <v>0</v>
      </c>
      <c r="E26" s="30" t="s">
        <v>0</v>
      </c>
      <c r="F26" s="30"/>
      <c r="G26" s="43" t="s">
        <v>0</v>
      </c>
      <c r="H26" s="30"/>
      <c r="I26" s="43" t="s">
        <v>0</v>
      </c>
      <c r="J26" s="43" t="s">
        <v>0</v>
      </c>
      <c r="K26" s="10" t="s">
        <v>46</v>
      </c>
      <c r="L26" s="48">
        <f>MAX(L20:L24)</f>
        <v>1.4514007542027774</v>
      </c>
    </row>
    <row r="27" spans="1:12" ht="22.5" customHeight="1">
      <c r="B27" s="8"/>
      <c r="C27" s="43"/>
      <c r="D27" s="43"/>
      <c r="E27" s="30"/>
      <c r="F27" s="30"/>
      <c r="G27" s="43"/>
      <c r="H27" s="30"/>
      <c r="I27" s="43"/>
      <c r="J27" s="43"/>
      <c r="K27" s="324" t="s">
        <v>47</v>
      </c>
      <c r="L27" s="325">
        <f>MIN(L20:L24)</f>
        <v>1.3842318232037871</v>
      </c>
    </row>
    <row r="28" spans="1:12" ht="22.5" customHeight="1">
      <c r="B28" s="8"/>
      <c r="C28" s="8"/>
      <c r="D28" s="8"/>
      <c r="E28" s="8"/>
      <c r="F28" s="8"/>
      <c r="G28" s="8"/>
      <c r="H28" s="8"/>
      <c r="I28" s="8"/>
      <c r="J28" s="8"/>
      <c r="K28" s="10" t="s">
        <v>18</v>
      </c>
      <c r="L28" s="50">
        <f>MEDIAN(L20:L24)</f>
        <v>1.429360200238549</v>
      </c>
    </row>
    <row r="29" spans="1:12" ht="22.5" customHeight="1">
      <c r="A29" s="8" t="s">
        <v>0</v>
      </c>
      <c r="B29" s="8"/>
      <c r="C29" s="8"/>
      <c r="D29" s="8"/>
      <c r="E29" s="8"/>
      <c r="F29" s="8"/>
      <c r="G29" s="8"/>
      <c r="H29" s="8"/>
      <c r="I29" s="8"/>
      <c r="J29" s="8"/>
      <c r="K29" s="10" t="s">
        <v>411</v>
      </c>
      <c r="L29" s="50">
        <f>AVERAGE(L20:L24)</f>
        <v>1.4195572916857606</v>
      </c>
    </row>
    <row r="30" spans="1:12" ht="22.5" customHeight="1" thickBot="1">
      <c r="A30" s="8"/>
      <c r="B30" s="8"/>
      <c r="C30" s="8"/>
      <c r="D30" s="8"/>
      <c r="E30" s="8"/>
      <c r="F30" s="8"/>
      <c r="G30" s="8" t="s">
        <v>0</v>
      </c>
      <c r="H30" s="8"/>
      <c r="I30" s="8"/>
      <c r="J30" s="8"/>
      <c r="K30" s="8"/>
      <c r="L30" s="8"/>
    </row>
    <row r="31" spans="1:12" ht="22.5" customHeight="1" thickBot="1">
      <c r="A31" s="8"/>
      <c r="B31" s="8"/>
      <c r="C31" s="8"/>
      <c r="D31" s="8"/>
      <c r="E31" s="8"/>
      <c r="F31" s="8"/>
      <c r="G31" s="8"/>
      <c r="H31" s="8"/>
      <c r="I31" s="8"/>
      <c r="J31" s="8"/>
      <c r="K31" s="195" t="s">
        <v>211</v>
      </c>
      <c r="L31" s="399">
        <v>1.4196</v>
      </c>
    </row>
    <row r="32" spans="1:12" ht="16.5">
      <c r="A32" s="8"/>
      <c r="B32" s="8"/>
      <c r="C32" s="8"/>
      <c r="D32" s="8"/>
      <c r="E32" s="8"/>
      <c r="F32" s="8"/>
      <c r="G32" s="8"/>
      <c r="H32" s="8"/>
      <c r="I32" s="8"/>
      <c r="J32" s="8"/>
      <c r="K32" s="8"/>
      <c r="L32" s="8"/>
    </row>
    <row r="33" spans="1:12" ht="16.5">
      <c r="A33" s="8"/>
      <c r="B33" s="8"/>
      <c r="C33" s="8"/>
      <c r="D33" s="8"/>
      <c r="E33" s="8"/>
      <c r="F33" s="8"/>
      <c r="G33" s="8"/>
      <c r="H33" s="8"/>
      <c r="I33" s="8"/>
      <c r="J33" s="8"/>
      <c r="K33" s="8"/>
      <c r="L33" s="8"/>
    </row>
    <row r="34" spans="1:12" ht="16.5">
      <c r="A34" s="8" t="s">
        <v>72</v>
      </c>
      <c r="B34" s="8"/>
      <c r="C34" s="8"/>
      <c r="D34" s="8"/>
      <c r="E34" s="8"/>
      <c r="F34" s="8"/>
      <c r="G34" s="8"/>
      <c r="H34" s="8"/>
      <c r="I34" s="8"/>
      <c r="J34" s="8"/>
      <c r="K34" s="8"/>
      <c r="L34" s="8"/>
    </row>
    <row r="35" spans="1:12" ht="16.5">
      <c r="A35" s="8" t="s">
        <v>266</v>
      </c>
    </row>
    <row r="36" spans="1:12" ht="16.5">
      <c r="A36" s="8"/>
    </row>
    <row r="37" spans="1:12" ht="16.5">
      <c r="A37" s="8" t="s">
        <v>375</v>
      </c>
    </row>
    <row r="38" spans="1:12" ht="20.25">
      <c r="A38" s="230"/>
      <c r="B38" s="230"/>
      <c r="C38" s="230"/>
      <c r="D38" s="230"/>
      <c r="E38" s="230"/>
      <c r="F38" s="230"/>
      <c r="G38" s="230"/>
      <c r="H38" s="230"/>
      <c r="I38" s="230"/>
      <c r="J38" s="230"/>
      <c r="K38" s="230"/>
      <c r="L38" s="230"/>
    </row>
    <row r="39" spans="1:12" ht="26.25">
      <c r="A39" s="19" t="s">
        <v>1</v>
      </c>
      <c r="B39" s="8"/>
      <c r="C39" s="8"/>
      <c r="D39" s="8"/>
      <c r="E39" s="8"/>
      <c r="F39" s="8"/>
      <c r="G39" s="8"/>
      <c r="H39" s="8"/>
      <c r="I39" s="8"/>
      <c r="J39" s="8"/>
      <c r="K39" s="230"/>
      <c r="L39" s="230"/>
    </row>
    <row r="40" spans="1:12" ht="20.25">
      <c r="A40" s="20" t="s">
        <v>9</v>
      </c>
      <c r="B40" s="8"/>
      <c r="C40" s="8"/>
      <c r="D40" s="8"/>
      <c r="E40" s="8"/>
      <c r="F40" s="8"/>
      <c r="G40" s="8"/>
      <c r="H40" s="8"/>
      <c r="I40" s="8"/>
      <c r="J40" s="8"/>
      <c r="K40" s="230"/>
      <c r="L40" s="230"/>
    </row>
    <row r="41" spans="1:12" ht="20.25">
      <c r="A41" s="21" t="s">
        <v>453</v>
      </c>
      <c r="B41" s="8"/>
      <c r="C41" s="8"/>
      <c r="D41" s="8"/>
      <c r="E41" s="8"/>
      <c r="F41" s="8"/>
      <c r="G41" s="8"/>
      <c r="H41" s="8"/>
      <c r="I41" s="8"/>
      <c r="J41" s="8"/>
      <c r="K41" s="230"/>
      <c r="L41" s="230"/>
    </row>
    <row r="42" spans="1:12" ht="20.25">
      <c r="A42" s="21"/>
      <c r="B42" s="8"/>
      <c r="C42" s="8"/>
      <c r="D42" s="8"/>
      <c r="E42" s="8"/>
      <c r="F42" s="8"/>
      <c r="G42" s="8"/>
      <c r="H42" s="8"/>
      <c r="I42" s="8"/>
      <c r="J42" s="8"/>
      <c r="K42" s="230"/>
      <c r="L42" s="230"/>
    </row>
    <row r="43" spans="1:12" ht="20.25">
      <c r="A43" s="21"/>
      <c r="B43" s="8"/>
      <c r="C43" s="8"/>
      <c r="D43" s="8"/>
      <c r="E43" s="8"/>
      <c r="F43" s="8"/>
      <c r="G43" s="8"/>
      <c r="H43" s="8"/>
      <c r="I43" s="8"/>
      <c r="J43" s="8"/>
      <c r="K43" s="230"/>
      <c r="L43" s="230"/>
    </row>
    <row r="44" spans="1:12" ht="20.25">
      <c r="A44" s="21"/>
      <c r="B44" s="8"/>
      <c r="C44" s="8"/>
      <c r="D44" s="8"/>
      <c r="E44" s="8"/>
      <c r="F44" s="8"/>
      <c r="G44" s="8"/>
      <c r="H44" s="8"/>
      <c r="I44" s="8"/>
      <c r="J44" s="8"/>
      <c r="K44" s="230"/>
      <c r="L44" s="230"/>
    </row>
    <row r="45" spans="1:12" ht="21" thickBot="1">
      <c r="A45" s="8"/>
      <c r="B45" s="8"/>
      <c r="C45" s="8"/>
      <c r="D45" s="8"/>
      <c r="E45" s="8"/>
      <c r="F45" s="24"/>
      <c r="G45" s="24"/>
      <c r="H45" s="25" t="s">
        <v>0</v>
      </c>
      <c r="I45" s="8"/>
      <c r="J45" s="8"/>
      <c r="K45" s="230"/>
      <c r="L45" s="230"/>
    </row>
    <row r="46" spans="1:12" ht="27" thickBot="1">
      <c r="A46" s="23" t="s">
        <v>43</v>
      </c>
      <c r="B46" s="8"/>
      <c r="C46" s="8"/>
      <c r="D46" s="8"/>
      <c r="E46" s="8"/>
      <c r="F46" s="8"/>
      <c r="G46" s="27" t="s">
        <v>291</v>
      </c>
      <c r="H46" s="8"/>
      <c r="I46" s="8"/>
      <c r="J46" s="8"/>
      <c r="K46" s="230"/>
      <c r="L46" s="230"/>
    </row>
    <row r="47" spans="1:12" ht="21" thickBot="1">
      <c r="A47" s="36" t="s">
        <v>0</v>
      </c>
      <c r="B47" s="36" t="s">
        <v>0</v>
      </c>
      <c r="C47" s="36" t="s">
        <v>0</v>
      </c>
      <c r="D47" s="8"/>
      <c r="E47" s="8"/>
      <c r="F47" s="29" t="s">
        <v>0</v>
      </c>
      <c r="G47" s="32" t="s">
        <v>454</v>
      </c>
      <c r="H47" s="29" t="s">
        <v>0</v>
      </c>
      <c r="I47" s="36" t="s">
        <v>0</v>
      </c>
      <c r="J47" s="8"/>
      <c r="K47" s="230"/>
      <c r="L47" s="230"/>
    </row>
    <row r="48" spans="1:12" ht="20.25">
      <c r="A48" s="230"/>
      <c r="B48" s="230"/>
      <c r="C48" s="230"/>
      <c r="D48" s="230"/>
      <c r="E48" s="230"/>
      <c r="F48" s="230"/>
      <c r="G48" s="230"/>
      <c r="H48" s="230"/>
      <c r="I48" s="230"/>
      <c r="J48" s="230"/>
      <c r="K48" s="230"/>
      <c r="L48" s="230"/>
    </row>
    <row r="49" spans="1:12" ht="20.25">
      <c r="A49" s="230"/>
      <c r="B49" s="230"/>
      <c r="C49" s="230"/>
      <c r="D49" s="230"/>
      <c r="E49" s="230"/>
      <c r="F49" s="230"/>
      <c r="G49" s="230"/>
      <c r="H49" s="230"/>
      <c r="I49" s="230"/>
      <c r="J49" s="230"/>
      <c r="K49" s="230"/>
      <c r="L49" s="230"/>
    </row>
    <row r="50" spans="1:12" ht="20.25">
      <c r="A50" s="230"/>
      <c r="B50" s="230"/>
      <c r="C50" s="230"/>
      <c r="D50" s="230"/>
      <c r="E50" s="230"/>
      <c r="F50" s="230"/>
      <c r="G50" s="230"/>
      <c r="H50" s="230"/>
      <c r="I50" s="230"/>
      <c r="J50" s="230"/>
      <c r="K50" s="230"/>
      <c r="L50" s="230"/>
    </row>
    <row r="51" spans="1:12" ht="16.5">
      <c r="A51" s="36"/>
      <c r="B51" s="36"/>
      <c r="C51" s="36"/>
      <c r="D51" s="8"/>
      <c r="E51" s="8"/>
      <c r="J51" s="8"/>
      <c r="K51" s="8"/>
      <c r="L51" s="8"/>
    </row>
    <row r="52" spans="1:12" ht="31.5">
      <c r="A52" s="224" t="s">
        <v>280</v>
      </c>
      <c r="B52" s="36"/>
      <c r="C52" s="226" t="s">
        <v>285</v>
      </c>
      <c r="D52" s="8"/>
      <c r="E52" s="8"/>
      <c r="J52" s="8"/>
      <c r="K52" s="8"/>
      <c r="L52" s="8"/>
    </row>
    <row r="53" spans="1:12" ht="31.5">
      <c r="A53" s="224" t="s">
        <v>284</v>
      </c>
      <c r="B53" s="36"/>
      <c r="C53" s="226" t="s">
        <v>290</v>
      </c>
      <c r="D53" s="8"/>
      <c r="E53" s="8"/>
      <c r="J53" s="8"/>
      <c r="K53" s="8"/>
      <c r="L53" s="8"/>
    </row>
    <row r="54" spans="1:12" ht="17.25">
      <c r="A54" s="225" t="s">
        <v>281</v>
      </c>
      <c r="B54" s="36"/>
      <c r="C54" s="36"/>
      <c r="D54" s="8"/>
      <c r="E54" s="8"/>
      <c r="J54" s="8"/>
      <c r="K54" s="8"/>
      <c r="L54" s="8"/>
    </row>
    <row r="55" spans="1:12" ht="17.25">
      <c r="A55" s="225" t="s">
        <v>282</v>
      </c>
      <c r="B55" s="36"/>
      <c r="C55" s="36"/>
      <c r="D55" s="8"/>
      <c r="E55" s="8"/>
      <c r="J55" s="8"/>
      <c r="K55" s="8"/>
      <c r="L55" s="8"/>
    </row>
    <row r="56" spans="1:12" ht="17.25">
      <c r="A56" s="225" t="s">
        <v>283</v>
      </c>
      <c r="B56" s="36"/>
      <c r="C56" s="36"/>
      <c r="D56" s="8"/>
      <c r="E56" s="8"/>
      <c r="J56" s="8"/>
      <c r="K56" s="8"/>
      <c r="L56" s="8"/>
    </row>
    <row r="62" spans="1:12" ht="31.5">
      <c r="A62" s="227" t="s">
        <v>289</v>
      </c>
      <c r="B62" s="100"/>
      <c r="C62" s="100"/>
      <c r="D62" s="100"/>
      <c r="E62" s="100"/>
      <c r="F62" s="100"/>
      <c r="G62" s="8"/>
      <c r="H62" s="8"/>
      <c r="I62" s="8"/>
    </row>
    <row r="63" spans="1:12" ht="17.25">
      <c r="A63" s="100"/>
      <c r="B63" s="100"/>
      <c r="C63" s="100"/>
      <c r="D63" s="100"/>
      <c r="E63" s="100"/>
      <c r="F63" s="100"/>
      <c r="G63" s="8"/>
      <c r="H63" s="8"/>
      <c r="I63" s="8"/>
    </row>
    <row r="64" spans="1:12" ht="18" thickBot="1">
      <c r="A64" s="228" t="s">
        <v>286</v>
      </c>
      <c r="B64" s="102"/>
      <c r="C64" s="102"/>
      <c r="D64" s="229" t="s">
        <v>288</v>
      </c>
      <c r="E64" s="102"/>
      <c r="F64" s="100"/>
      <c r="G64" s="8"/>
      <c r="H64" s="8"/>
      <c r="I64" s="8"/>
    </row>
    <row r="65" spans="1:9" ht="17.25">
      <c r="A65" s="100"/>
      <c r="B65" s="100"/>
      <c r="C65" s="100"/>
      <c r="D65" s="100" t="s">
        <v>287</v>
      </c>
      <c r="E65" s="100"/>
      <c r="F65" s="100"/>
      <c r="G65" s="8"/>
      <c r="H65" s="8"/>
      <c r="I65" s="8"/>
    </row>
    <row r="66" spans="1:9" ht="17.25">
      <c r="A66" s="100"/>
      <c r="B66" s="100"/>
      <c r="C66" s="100"/>
      <c r="D66" s="100"/>
      <c r="E66" s="100"/>
      <c r="F66" s="100"/>
      <c r="G66" s="8"/>
      <c r="H66" s="8"/>
      <c r="I66" s="8"/>
    </row>
    <row r="67" spans="1:9" ht="16.5">
      <c r="A67" s="8"/>
      <c r="B67" s="8"/>
      <c r="C67" s="8"/>
      <c r="D67" s="8"/>
      <c r="E67" s="8"/>
      <c r="F67" s="8"/>
      <c r="G67" s="8"/>
      <c r="H67" s="8"/>
      <c r="I67" s="8"/>
    </row>
    <row r="68" spans="1:9" ht="16.5">
      <c r="A68" s="8"/>
      <c r="B68" s="8"/>
      <c r="C68" s="8"/>
      <c r="D68" s="8"/>
      <c r="E68" s="8"/>
      <c r="F68" s="8"/>
      <c r="G68" s="8"/>
      <c r="H68" s="8"/>
      <c r="I68" s="8"/>
    </row>
    <row r="69" spans="1:9" ht="16.5">
      <c r="A69" s="8"/>
      <c r="B69" s="8"/>
      <c r="C69" s="8"/>
      <c r="D69" s="8"/>
      <c r="E69" s="8"/>
      <c r="F69" s="8"/>
      <c r="G69" s="8"/>
      <c r="H69" s="8"/>
      <c r="I69" s="8"/>
    </row>
    <row r="70" spans="1:9" ht="16.5">
      <c r="A70" s="8"/>
      <c r="B70" s="8"/>
      <c r="C70" s="8"/>
      <c r="D70" s="8"/>
      <c r="E70" s="8"/>
      <c r="F70" s="8"/>
      <c r="G70" s="8"/>
      <c r="H70" s="8"/>
      <c r="I70" s="8"/>
    </row>
    <row r="71" spans="1:9" ht="16.5">
      <c r="A71" s="8"/>
      <c r="B71" s="8"/>
      <c r="C71" s="8"/>
      <c r="D71" s="8"/>
      <c r="E71" s="8"/>
      <c r="F71" s="8"/>
      <c r="G71" s="8"/>
      <c r="H71" s="8"/>
      <c r="I71" s="8"/>
    </row>
    <row r="72" spans="1:9" ht="16.5">
      <c r="A72" s="8" t="s">
        <v>0</v>
      </c>
      <c r="B72" s="8"/>
      <c r="C72" s="8"/>
      <c r="D72" s="8"/>
      <c r="E72" s="8"/>
      <c r="F72" s="8"/>
      <c r="G72" s="8"/>
      <c r="H72" s="8"/>
      <c r="I72" s="8"/>
    </row>
    <row r="73" spans="1:9" ht="16.5">
      <c r="A73" s="8"/>
      <c r="B73" s="8"/>
      <c r="C73" s="8"/>
      <c r="D73" s="8"/>
      <c r="E73" s="8"/>
      <c r="F73" s="8"/>
      <c r="G73" s="8"/>
      <c r="H73" s="8"/>
      <c r="I73" s="8"/>
    </row>
  </sheetData>
  <pageMargins left="0.25" right="0.25" top="0.75" bottom="0.75" header="0.3" footer="0.3"/>
  <pageSetup scale="51" orientation="landscape" r:id="rId1"/>
  <rowBreaks count="1" manualBreakCount="1">
    <brk id="37" max="11"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19DCF-8362-451B-93E3-8D44BC877730}">
  <sheetPr>
    <tabColor rgb="FF92D050"/>
  </sheetPr>
  <dimension ref="A1:I33"/>
  <sheetViews>
    <sheetView view="pageBreakPreview" zoomScale="60" zoomScaleNormal="80" workbookViewId="0">
      <selection activeCell="D46" sqref="D46"/>
    </sheetView>
  </sheetViews>
  <sheetFormatPr defaultRowHeight="15"/>
  <cols>
    <col min="1" max="1" width="45.140625" customWidth="1"/>
    <col min="2" max="2" width="17" customWidth="1"/>
    <col min="3" max="3" width="22.7109375" customWidth="1"/>
    <col min="4" max="4" width="20.140625" customWidth="1"/>
    <col min="5" max="5" width="24.5703125" customWidth="1"/>
    <col min="6" max="6" width="23.5703125" customWidth="1"/>
    <col min="7" max="7" width="21.28515625" customWidth="1"/>
    <col min="8" max="8" width="19.7109375" customWidth="1"/>
    <col min="9" max="9" width="28.28515625" customWidth="1"/>
    <col min="10" max="10" width="14.140625" bestFit="1" customWidth="1"/>
    <col min="12" max="12" width="10.5703125" customWidth="1"/>
  </cols>
  <sheetData>
    <row r="1" spans="1:9" ht="26.25">
      <c r="A1" s="19" t="s">
        <v>1</v>
      </c>
      <c r="B1" s="8"/>
      <c r="C1" s="8"/>
      <c r="D1" s="8"/>
      <c r="E1" s="8"/>
      <c r="F1" s="8"/>
      <c r="G1" s="8"/>
      <c r="H1" s="8"/>
      <c r="I1" s="8"/>
    </row>
    <row r="2" spans="1:9" ht="17.25">
      <c r="A2" s="20" t="s">
        <v>9</v>
      </c>
      <c r="B2" s="8"/>
      <c r="C2" s="8"/>
      <c r="D2" s="8"/>
      <c r="E2" s="8"/>
      <c r="F2" s="8"/>
      <c r="G2" s="8"/>
      <c r="H2" s="8"/>
      <c r="I2" s="8"/>
    </row>
    <row r="3" spans="1:9" ht="16.5">
      <c r="A3" s="21" t="s">
        <v>453</v>
      </c>
      <c r="B3" s="8"/>
      <c r="C3" s="8"/>
      <c r="D3" s="8"/>
      <c r="E3" s="8"/>
      <c r="F3" s="8"/>
      <c r="G3" s="8"/>
      <c r="H3" s="8"/>
      <c r="I3" s="8"/>
    </row>
    <row r="4" spans="1:9" ht="16.5">
      <c r="A4" s="21"/>
      <c r="B4" s="8"/>
      <c r="C4" s="8"/>
      <c r="D4" s="8"/>
      <c r="E4" s="8"/>
      <c r="F4" s="8"/>
      <c r="G4" s="8"/>
      <c r="H4" s="8"/>
      <c r="I4" s="8"/>
    </row>
    <row r="5" spans="1:9" ht="16.5">
      <c r="A5" s="21"/>
      <c r="B5" s="8"/>
      <c r="C5" s="8"/>
      <c r="D5" s="8"/>
      <c r="E5" s="8"/>
      <c r="F5" s="8"/>
      <c r="G5" s="8"/>
      <c r="H5" s="8"/>
      <c r="I5" s="8"/>
    </row>
    <row r="6" spans="1:9" ht="16.5">
      <c r="A6" s="21"/>
      <c r="B6" s="8"/>
      <c r="C6" s="8"/>
      <c r="D6" s="8"/>
      <c r="E6" s="8"/>
      <c r="F6" s="8"/>
      <c r="G6" s="8"/>
      <c r="H6" s="8"/>
      <c r="I6" s="8"/>
    </row>
    <row r="7" spans="1:9" ht="17.25" thickBot="1">
      <c r="A7" s="8"/>
      <c r="B7" s="8"/>
      <c r="C7" s="8"/>
      <c r="H7" s="22"/>
      <c r="I7" s="8"/>
    </row>
    <row r="8" spans="1:9" ht="21" thickBot="1">
      <c r="A8" s="260" t="str">
        <f>+'S&amp;D'!A12</f>
        <v>Railroad Carriers</v>
      </c>
      <c r="B8" s="189"/>
      <c r="C8" s="8"/>
      <c r="D8" s="24"/>
      <c r="E8" s="24"/>
      <c r="F8" s="24"/>
      <c r="H8" s="8"/>
      <c r="I8" s="8"/>
    </row>
    <row r="9" spans="1:9" ht="26.25">
      <c r="A9" s="26"/>
      <c r="B9" s="8"/>
      <c r="C9" s="8"/>
      <c r="D9" s="8"/>
      <c r="E9" s="27" t="s">
        <v>123</v>
      </c>
      <c r="F9" s="27"/>
      <c r="H9" s="8"/>
      <c r="I9" s="8"/>
    </row>
    <row r="10" spans="1:9" ht="21" thickBot="1">
      <c r="A10" s="26"/>
      <c r="B10" s="8"/>
      <c r="C10" s="8"/>
      <c r="D10" s="24"/>
      <c r="E10" s="32" t="s">
        <v>454</v>
      </c>
      <c r="F10" s="32"/>
      <c r="H10" s="8"/>
      <c r="I10" s="8"/>
    </row>
    <row r="11" spans="1:9" ht="20.25">
      <c r="A11" s="26"/>
      <c r="B11" s="8"/>
      <c r="I11" s="8"/>
    </row>
    <row r="12" spans="1:9" ht="17.25" thickBot="1">
      <c r="A12" s="29" t="s">
        <v>0</v>
      </c>
      <c r="B12" s="29" t="s">
        <v>0</v>
      </c>
      <c r="C12" s="29" t="s">
        <v>0</v>
      </c>
      <c r="D12" s="29" t="s">
        <v>0</v>
      </c>
      <c r="E12" s="29" t="s">
        <v>0</v>
      </c>
      <c r="F12" s="29"/>
      <c r="G12" s="29"/>
      <c r="H12" s="24"/>
      <c r="I12" s="24"/>
    </row>
    <row r="13" spans="1:9" ht="17.25">
      <c r="A13" s="85" t="s">
        <v>0</v>
      </c>
      <c r="B13" s="85" t="s">
        <v>3</v>
      </c>
      <c r="C13" s="85" t="s">
        <v>5</v>
      </c>
      <c r="D13" s="85" t="s">
        <v>21</v>
      </c>
      <c r="E13" s="173" t="s">
        <v>231</v>
      </c>
      <c r="F13" s="173" t="s">
        <v>336</v>
      </c>
      <c r="G13" s="85" t="s">
        <v>20</v>
      </c>
      <c r="H13" s="85" t="s">
        <v>147</v>
      </c>
      <c r="I13" s="85" t="s">
        <v>147</v>
      </c>
    </row>
    <row r="14" spans="1:9" ht="18" thickBot="1">
      <c r="A14" s="91" t="s">
        <v>2</v>
      </c>
      <c r="B14" s="91" t="s">
        <v>4</v>
      </c>
      <c r="C14" s="91" t="s">
        <v>6</v>
      </c>
      <c r="D14" s="91" t="s">
        <v>23</v>
      </c>
      <c r="E14" s="91" t="s">
        <v>337</v>
      </c>
      <c r="F14" s="91" t="s">
        <v>193</v>
      </c>
      <c r="G14" s="91" t="s">
        <v>22</v>
      </c>
      <c r="H14" s="91" t="s">
        <v>170</v>
      </c>
      <c r="I14" s="91" t="s">
        <v>119</v>
      </c>
    </row>
    <row r="15" spans="1:9">
      <c r="A15" s="34" t="s">
        <v>7</v>
      </c>
      <c r="B15" s="34" t="s">
        <v>7</v>
      </c>
      <c r="C15" s="34" t="s">
        <v>7</v>
      </c>
      <c r="D15" s="34" t="s">
        <v>7</v>
      </c>
      <c r="E15" s="221" t="s">
        <v>456</v>
      </c>
      <c r="F15" s="221" t="s">
        <v>456</v>
      </c>
      <c r="G15" s="34" t="s">
        <v>7</v>
      </c>
      <c r="H15" s="34" t="s">
        <v>7</v>
      </c>
      <c r="I15" s="221" t="s">
        <v>456</v>
      </c>
    </row>
    <row r="16" spans="1:9" ht="17.25" thickBot="1">
      <c r="A16" s="30"/>
      <c r="B16" s="30"/>
      <c r="C16" s="30"/>
      <c r="D16" s="30"/>
      <c r="G16" s="30"/>
      <c r="H16" s="30"/>
      <c r="I16" s="30"/>
    </row>
    <row r="17" spans="1:9" ht="16.5">
      <c r="A17" s="144"/>
      <c r="B17" s="106"/>
      <c r="C17" s="106"/>
      <c r="D17" s="106"/>
      <c r="E17" s="302"/>
      <c r="F17" s="302"/>
      <c r="G17" s="106"/>
      <c r="H17" s="106"/>
      <c r="I17" s="145"/>
    </row>
    <row r="18" spans="1:9" ht="20.25" customHeight="1">
      <c r="A18" s="97" t="str">
        <f>+'S&amp;D'!A22</f>
        <v>Canadian National</v>
      </c>
      <c r="B18" s="85" t="str">
        <f>+'S&amp;D'!B22</f>
        <v>CNI</v>
      </c>
      <c r="C18" s="85" t="str">
        <f>+'S&amp;D'!C22</f>
        <v>Railroad</v>
      </c>
      <c r="D18" s="303">
        <v>0.24</v>
      </c>
      <c r="E18" s="256">
        <v>0.245</v>
      </c>
      <c r="F18" s="256">
        <v>0.14000000000000001</v>
      </c>
      <c r="G18" s="85" t="s">
        <v>24</v>
      </c>
      <c r="H18" s="384">
        <v>0.9</v>
      </c>
      <c r="I18" s="385">
        <v>0.9</v>
      </c>
    </row>
    <row r="19" spans="1:9" ht="20.25" customHeight="1">
      <c r="A19" s="97" t="str">
        <f>+'S&amp;D'!A23</f>
        <v>Canadian Pacific Kansas City Limited  CPKC</v>
      </c>
      <c r="B19" s="85" t="str">
        <f>+'S&amp;D'!B23</f>
        <v>CP</v>
      </c>
      <c r="C19" s="85" t="str">
        <f>+'S&amp;D'!C23</f>
        <v>Railroad</v>
      </c>
      <c r="D19" s="303">
        <v>0.25</v>
      </c>
      <c r="E19" s="256">
        <v>9.5000000000000001E-2</v>
      </c>
      <c r="F19" s="256">
        <v>7.4999999999999997E-2</v>
      </c>
      <c r="G19" s="85" t="s">
        <v>24</v>
      </c>
      <c r="H19" s="384">
        <v>1</v>
      </c>
      <c r="I19" s="385">
        <v>1</v>
      </c>
    </row>
    <row r="20" spans="1:9" ht="20.25" customHeight="1">
      <c r="A20" s="97" t="str">
        <f>+'S&amp;D'!A24</f>
        <v>CSX Corp</v>
      </c>
      <c r="B20" s="85" t="str">
        <f>+'S&amp;D'!B24</f>
        <v>CSX</v>
      </c>
      <c r="C20" s="85" t="str">
        <f>+'S&amp;D'!C24</f>
        <v>Railroad</v>
      </c>
      <c r="D20" s="303">
        <v>0.24</v>
      </c>
      <c r="E20" s="256">
        <v>0.375</v>
      </c>
      <c r="F20" s="256">
        <v>0.28499999999999998</v>
      </c>
      <c r="G20" s="85" t="s">
        <v>458</v>
      </c>
      <c r="H20" s="384">
        <v>1</v>
      </c>
      <c r="I20" s="385">
        <v>1</v>
      </c>
    </row>
    <row r="21" spans="1:9" ht="20.25" customHeight="1">
      <c r="A21" s="97" t="str">
        <f>+'S&amp;D'!A25</f>
        <v>Norfolk Southern</v>
      </c>
      <c r="B21" s="85" t="str">
        <f>+'S&amp;D'!B25</f>
        <v>NSC</v>
      </c>
      <c r="C21" s="85" t="str">
        <f>+'S&amp;D'!C25</f>
        <v>Railroad</v>
      </c>
      <c r="D21" s="303">
        <v>0.24</v>
      </c>
      <c r="E21" s="256">
        <v>0.115</v>
      </c>
      <c r="F21" s="256">
        <v>0.24</v>
      </c>
      <c r="G21" s="85" t="s">
        <v>44</v>
      </c>
      <c r="H21" s="384">
        <v>1.05</v>
      </c>
      <c r="I21" s="385">
        <v>1.05</v>
      </c>
    </row>
    <row r="22" spans="1:9" ht="20.25" customHeight="1" thickBot="1">
      <c r="A22" s="97" t="str">
        <f>+'S&amp;D'!A26</f>
        <v>Union Pacific Railroad</v>
      </c>
      <c r="B22" s="85" t="str">
        <f>+'S&amp;D'!B26</f>
        <v>UNP</v>
      </c>
      <c r="C22" s="85" t="str">
        <f>+'S&amp;D'!C26</f>
        <v>Railroad</v>
      </c>
      <c r="D22" s="303">
        <v>0.24</v>
      </c>
      <c r="E22" s="256">
        <v>0.46</v>
      </c>
      <c r="F22" s="256">
        <v>0.22</v>
      </c>
      <c r="G22" s="85" t="s">
        <v>44</v>
      </c>
      <c r="H22" s="386">
        <v>1.05</v>
      </c>
      <c r="I22" s="387">
        <v>1.05</v>
      </c>
    </row>
    <row r="23" spans="1:9" ht="20.25" customHeight="1" thickTop="1">
      <c r="A23" s="100"/>
      <c r="B23" s="100"/>
      <c r="C23" s="3"/>
      <c r="D23" s="168" t="s">
        <v>0</v>
      </c>
      <c r="E23" s="3"/>
      <c r="F23" s="3"/>
      <c r="G23" s="112" t="s">
        <v>46</v>
      </c>
      <c r="H23" s="169">
        <f>+MAX(H18:H22)</f>
        <v>1.05</v>
      </c>
      <c r="I23" s="169">
        <f>+MAX(I18:I22)</f>
        <v>1.05</v>
      </c>
    </row>
    <row r="24" spans="1:9" ht="20.25" customHeight="1">
      <c r="A24" s="100"/>
      <c r="B24" s="100"/>
      <c r="C24" s="3"/>
      <c r="D24" s="168" t="s">
        <v>0</v>
      </c>
      <c r="E24" s="3"/>
      <c r="F24" s="3"/>
      <c r="G24" s="112" t="s">
        <v>47</v>
      </c>
      <c r="H24" s="323">
        <f>MIN(H18:H22)</f>
        <v>0.9</v>
      </c>
      <c r="I24" s="323">
        <f>MIN(I18:I22)</f>
        <v>0.9</v>
      </c>
    </row>
    <row r="25" spans="1:9" ht="20.25" customHeight="1">
      <c r="A25" s="100"/>
      <c r="B25" s="100"/>
      <c r="C25" s="3"/>
      <c r="D25" s="170" t="s">
        <v>0</v>
      </c>
      <c r="E25" s="3"/>
      <c r="F25" s="3"/>
      <c r="G25" s="112" t="s">
        <v>18</v>
      </c>
      <c r="H25" s="171">
        <f>MEDIAN(H18:H22)</f>
        <v>1</v>
      </c>
      <c r="I25" s="171">
        <f>MEDIAN(I18:I22)</f>
        <v>1</v>
      </c>
    </row>
    <row r="26" spans="1:9" ht="20.25" customHeight="1">
      <c r="A26" s="100"/>
      <c r="B26" s="100"/>
      <c r="C26" s="3"/>
      <c r="D26" s="114" t="s">
        <v>0</v>
      </c>
      <c r="E26" s="3"/>
      <c r="F26" s="3"/>
      <c r="G26" s="112" t="s">
        <v>411</v>
      </c>
      <c r="H26" s="172">
        <f>AVERAGE(H18:H22)</f>
        <v>1</v>
      </c>
      <c r="I26" s="172">
        <f>AVERAGE(I18:I22)</f>
        <v>1</v>
      </c>
    </row>
    <row r="27" spans="1:9" ht="20.25" customHeight="1">
      <c r="A27" s="100"/>
      <c r="B27" s="100"/>
      <c r="C27" s="3"/>
      <c r="D27" s="114"/>
      <c r="E27" s="3"/>
      <c r="F27" s="3"/>
      <c r="G27" s="112" t="s">
        <v>412</v>
      </c>
      <c r="H27" s="172">
        <f>HARMEAN(H18:H22)</f>
        <v>0.99683544303797467</v>
      </c>
      <c r="I27" s="172">
        <f>HARMEAN(I18:I22)</f>
        <v>0.99683544303797467</v>
      </c>
    </row>
    <row r="28" spans="1:9" ht="20.25" customHeight="1" thickBot="1">
      <c r="A28" s="8"/>
      <c r="B28" s="8"/>
      <c r="C28" s="8"/>
      <c r="D28" s="8" t="s">
        <v>0</v>
      </c>
      <c r="G28" s="8"/>
      <c r="H28" s="8"/>
      <c r="I28" s="8"/>
    </row>
    <row r="29" spans="1:9" ht="20.25" customHeight="1" thickBot="1">
      <c r="A29" s="8"/>
      <c r="B29" s="8"/>
      <c r="C29" s="8"/>
      <c r="D29" s="8"/>
      <c r="G29" s="8"/>
      <c r="H29" s="195" t="s">
        <v>74</v>
      </c>
      <c r="I29" s="301">
        <v>1</v>
      </c>
    </row>
    <row r="30" spans="1:9" ht="20.25" customHeight="1">
      <c r="A30" s="8"/>
      <c r="B30" s="8"/>
      <c r="C30" s="8"/>
      <c r="D30" s="8"/>
      <c r="G30" s="8"/>
      <c r="H30" s="64"/>
      <c r="I30" s="279"/>
    </row>
    <row r="31" spans="1:9" ht="20.25" customHeight="1">
      <c r="A31" s="8"/>
      <c r="B31" s="8"/>
      <c r="C31" s="8"/>
      <c r="D31" s="8"/>
      <c r="G31" s="8"/>
      <c r="H31" s="64"/>
      <c r="I31" s="279"/>
    </row>
    <row r="32" spans="1:9" ht="17.25">
      <c r="A32" s="100" t="s">
        <v>339</v>
      </c>
    </row>
    <row r="33" spans="1:1" ht="17.25">
      <c r="A33" s="100" t="s">
        <v>338</v>
      </c>
    </row>
  </sheetData>
  <pageMargins left="0.25" right="0.25" top="0.75" bottom="0.75" header="0.3" footer="0.3"/>
  <pageSetup scale="6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F0854-9225-4685-BC0B-402957CF1047}">
  <sheetPr>
    <tabColor rgb="FF92D050"/>
  </sheetPr>
  <dimension ref="A1:K28"/>
  <sheetViews>
    <sheetView view="pageBreakPreview" zoomScale="60" zoomScaleNormal="80" workbookViewId="0">
      <selection activeCell="I20" sqref="I20"/>
    </sheetView>
  </sheetViews>
  <sheetFormatPr defaultRowHeight="15"/>
  <cols>
    <col min="1" max="1" width="50.42578125" customWidth="1"/>
    <col min="2" max="2" width="10.85546875" bestFit="1" customWidth="1"/>
    <col min="3" max="3" width="19.140625" bestFit="1" customWidth="1"/>
    <col min="4" max="4" width="15.28515625" customWidth="1"/>
    <col min="5" max="5" width="16" customWidth="1"/>
    <col min="6" max="6" width="20" customWidth="1"/>
    <col min="7" max="7" width="16.5703125" customWidth="1"/>
    <col min="8" max="8" width="19.140625" customWidth="1"/>
    <col min="9" max="10" width="20.140625" customWidth="1"/>
    <col min="11" max="11" width="17.7109375" customWidth="1"/>
    <col min="12" max="12" width="23.7109375" customWidth="1"/>
  </cols>
  <sheetData>
    <row r="1" spans="1:11" ht="26.25">
      <c r="A1" s="19" t="s">
        <v>1</v>
      </c>
      <c r="B1" s="8"/>
      <c r="C1" s="8"/>
      <c r="D1" s="8"/>
      <c r="E1" s="8"/>
      <c r="F1" s="8"/>
      <c r="G1" s="8"/>
      <c r="H1" s="8"/>
      <c r="I1" s="8"/>
      <c r="J1" s="8"/>
    </row>
    <row r="2" spans="1:11" ht="17.25">
      <c r="A2" s="20" t="s">
        <v>9</v>
      </c>
      <c r="B2" s="8"/>
      <c r="C2" s="8"/>
      <c r="D2" s="8"/>
      <c r="E2" s="8"/>
      <c r="F2" s="8"/>
      <c r="G2" s="8"/>
      <c r="H2" s="8"/>
      <c r="I2" s="8"/>
      <c r="J2" s="8"/>
    </row>
    <row r="3" spans="1:11" ht="16.5">
      <c r="A3" s="21" t="s">
        <v>453</v>
      </c>
      <c r="B3" s="8"/>
      <c r="C3" s="8"/>
      <c r="D3" s="8"/>
      <c r="E3" s="8"/>
      <c r="F3" s="8"/>
      <c r="G3" s="8"/>
      <c r="H3" s="8"/>
      <c r="I3" s="8"/>
      <c r="J3" s="8"/>
    </row>
    <row r="4" spans="1:11" ht="16.5">
      <c r="A4" s="21"/>
      <c r="B4" s="8"/>
      <c r="C4" s="8"/>
      <c r="D4" s="8"/>
      <c r="E4" s="8"/>
      <c r="F4" s="8"/>
      <c r="G4" s="8"/>
      <c r="H4" s="8"/>
      <c r="I4" s="8"/>
      <c r="J4" s="8"/>
    </row>
    <row r="5" spans="1:11" ht="17.25" thickBot="1">
      <c r="A5" s="8"/>
      <c r="B5" s="8"/>
      <c r="C5" s="8"/>
      <c r="D5" s="8"/>
      <c r="E5" s="8"/>
      <c r="F5" s="8"/>
      <c r="G5" s="22"/>
      <c r="H5" s="8"/>
      <c r="I5" s="8"/>
      <c r="J5" s="8"/>
    </row>
    <row r="6" spans="1:11" ht="21" thickBot="1">
      <c r="A6" s="260" t="str">
        <f>'S&amp;D'!A12</f>
        <v>Railroad Carriers</v>
      </c>
      <c r="B6" s="189"/>
      <c r="C6" s="8"/>
      <c r="D6" s="24"/>
      <c r="E6" s="24"/>
      <c r="F6" s="25" t="s">
        <v>0</v>
      </c>
      <c r="G6" s="8"/>
      <c r="H6" s="8"/>
      <c r="I6" s="8"/>
      <c r="J6" s="8"/>
    </row>
    <row r="7" spans="1:11" ht="26.25">
      <c r="A7" s="26"/>
      <c r="B7" s="8"/>
      <c r="C7" s="8"/>
      <c r="D7" s="8"/>
      <c r="E7" s="27" t="s">
        <v>171</v>
      </c>
      <c r="F7" s="8"/>
      <c r="G7" s="8"/>
      <c r="H7" s="8"/>
      <c r="I7" s="8"/>
      <c r="J7" s="8"/>
    </row>
    <row r="8" spans="1:11" ht="21" thickBot="1">
      <c r="A8" s="26"/>
      <c r="B8" s="8"/>
      <c r="C8" s="8"/>
      <c r="D8" s="24"/>
      <c r="E8" s="28" t="s">
        <v>454</v>
      </c>
      <c r="F8" s="24"/>
      <c r="G8" s="8"/>
      <c r="H8" s="8"/>
      <c r="I8" s="8"/>
      <c r="J8" s="8"/>
    </row>
    <row r="9" spans="1:11" ht="17.25" thickBot="1">
      <c r="A9" s="29" t="s">
        <v>0</v>
      </c>
      <c r="B9" s="29" t="s">
        <v>0</v>
      </c>
      <c r="C9" s="29" t="s">
        <v>0</v>
      </c>
      <c r="D9" s="29" t="s">
        <v>0</v>
      </c>
      <c r="E9" s="29" t="s">
        <v>0</v>
      </c>
      <c r="F9" s="29"/>
      <c r="G9" s="24"/>
      <c r="H9" s="24"/>
      <c r="I9" s="24"/>
      <c r="J9" s="24"/>
      <c r="K9" s="142"/>
    </row>
    <row r="10" spans="1:11" ht="16.5">
      <c r="A10" s="30" t="s">
        <v>0</v>
      </c>
      <c r="B10" s="30" t="s">
        <v>3</v>
      </c>
      <c r="C10" s="30" t="s">
        <v>5</v>
      </c>
      <c r="D10" s="30" t="s">
        <v>166</v>
      </c>
      <c r="E10" s="30" t="s">
        <v>167</v>
      </c>
      <c r="F10" s="30" t="s">
        <v>169</v>
      </c>
      <c r="G10" s="30" t="s">
        <v>167</v>
      </c>
      <c r="H10" s="30" t="s">
        <v>169</v>
      </c>
      <c r="I10" s="30" t="s">
        <v>167</v>
      </c>
      <c r="J10" s="30" t="s">
        <v>169</v>
      </c>
      <c r="K10" s="30" t="s">
        <v>273</v>
      </c>
    </row>
    <row r="11" spans="1:11" ht="16.5">
      <c r="A11" s="30"/>
      <c r="B11" s="30" t="s">
        <v>4</v>
      </c>
      <c r="C11" s="30" t="s">
        <v>6</v>
      </c>
      <c r="D11" s="30" t="s">
        <v>27</v>
      </c>
      <c r="E11" s="30" t="s">
        <v>168</v>
      </c>
      <c r="F11" s="30" t="s">
        <v>120</v>
      </c>
      <c r="G11" s="30" t="s">
        <v>168</v>
      </c>
      <c r="H11" s="30" t="s">
        <v>120</v>
      </c>
      <c r="I11" s="30" t="s">
        <v>168</v>
      </c>
      <c r="J11" s="30" t="s">
        <v>120</v>
      </c>
      <c r="K11" s="30" t="s">
        <v>183</v>
      </c>
    </row>
    <row r="12" spans="1:11" ht="17.25" thickBot="1">
      <c r="A12" s="32" t="s">
        <v>2</v>
      </c>
      <c r="B12" s="32" t="s">
        <v>0</v>
      </c>
      <c r="C12" s="32" t="s">
        <v>0</v>
      </c>
      <c r="D12" s="32" t="s">
        <v>0</v>
      </c>
      <c r="E12" s="32" t="s">
        <v>170</v>
      </c>
      <c r="F12" s="32" t="s">
        <v>170</v>
      </c>
      <c r="G12" s="32" t="s">
        <v>271</v>
      </c>
      <c r="H12" s="32" t="s">
        <v>271</v>
      </c>
      <c r="I12" s="32" t="s">
        <v>272</v>
      </c>
      <c r="J12" s="32" t="s">
        <v>272</v>
      </c>
      <c r="K12" s="222" t="s">
        <v>274</v>
      </c>
    </row>
    <row r="13" spans="1:11">
      <c r="A13" s="34" t="s">
        <v>7</v>
      </c>
      <c r="B13" s="34" t="s">
        <v>7</v>
      </c>
      <c r="C13" s="34" t="s">
        <v>7</v>
      </c>
      <c r="D13" s="35" t="s">
        <v>113</v>
      </c>
      <c r="E13" s="34" t="s">
        <v>7</v>
      </c>
      <c r="F13" s="34" t="s">
        <v>15</v>
      </c>
      <c r="G13" s="34" t="s">
        <v>7</v>
      </c>
      <c r="H13" s="34" t="s">
        <v>15</v>
      </c>
      <c r="I13" s="34" t="s">
        <v>7</v>
      </c>
      <c r="J13" s="34" t="s">
        <v>15</v>
      </c>
      <c r="K13" s="34" t="s">
        <v>15</v>
      </c>
    </row>
    <row r="14" spans="1:11" ht="16.5">
      <c r="A14" s="30"/>
      <c r="B14" s="30"/>
      <c r="C14" s="30"/>
      <c r="D14" s="30"/>
      <c r="E14" s="30"/>
      <c r="F14" s="30"/>
      <c r="G14" s="8"/>
      <c r="H14" s="8"/>
      <c r="I14" s="8"/>
      <c r="J14" s="8"/>
      <c r="K14" s="8"/>
    </row>
    <row r="15" spans="1:11" ht="16.5">
      <c r="A15" s="8"/>
      <c r="B15" s="8"/>
      <c r="C15" s="8"/>
      <c r="D15" s="8"/>
      <c r="E15" s="8"/>
      <c r="F15" s="8"/>
      <c r="G15" s="8"/>
      <c r="H15" s="8"/>
      <c r="I15" s="8"/>
      <c r="J15" s="8"/>
      <c r="K15" s="8"/>
    </row>
    <row r="16" spans="1:11" ht="17.25">
      <c r="A16" s="58" t="str">
        <f>+'S&amp;D'!A22</f>
        <v>Canadian National</v>
      </c>
      <c r="B16" s="85" t="str">
        <f>+'S&amp;D'!B22</f>
        <v>CNI</v>
      </c>
      <c r="C16" s="85" t="str">
        <f>+'S&amp;D'!C22</f>
        <v>Railroad</v>
      </c>
      <c r="D16" s="55">
        <f>+'S&amp;D'!G22</f>
        <v>125.63</v>
      </c>
      <c r="E16" s="377">
        <v>2.6</v>
      </c>
      <c r="F16" s="49">
        <f>+E16/D16</f>
        <v>2.0695693703733187E-2</v>
      </c>
      <c r="G16" s="377">
        <v>2.6</v>
      </c>
      <c r="H16" s="49">
        <f>+G16/D16</f>
        <v>2.0695693703733187E-2</v>
      </c>
      <c r="I16" s="377">
        <v>3.5</v>
      </c>
      <c r="J16" s="49">
        <f>+I16/D16</f>
        <v>2.7859587678102364E-2</v>
      </c>
      <c r="K16" s="388">
        <f>RATE(3,,-G16,I16)</f>
        <v>0.10415886963262838</v>
      </c>
    </row>
    <row r="17" spans="1:11" ht="17.25">
      <c r="A17" s="58" t="str">
        <f>+'S&amp;D'!A23</f>
        <v>Canadian Pacific Kansas City Limited  CPKC</v>
      </c>
      <c r="B17" s="85" t="str">
        <f>+'S&amp;D'!B23</f>
        <v>CP</v>
      </c>
      <c r="C17" s="85" t="str">
        <f>+'S&amp;D'!C23</f>
        <v>Railroad</v>
      </c>
      <c r="D17" s="55">
        <f>+'S&amp;D'!G23</f>
        <v>79.06</v>
      </c>
      <c r="E17" s="377">
        <v>0.56000000000000005</v>
      </c>
      <c r="F17" s="49">
        <f t="shared" ref="F17:F20" si="0">+E17/D17</f>
        <v>7.0832279281558318E-3</v>
      </c>
      <c r="G17" s="377">
        <v>0.64</v>
      </c>
      <c r="H17" s="49">
        <f t="shared" ref="H17:H20" si="1">+G17/D17</f>
        <v>8.0951176321780918E-3</v>
      </c>
      <c r="I17" s="377">
        <v>0.9</v>
      </c>
      <c r="J17" s="49">
        <f t="shared" ref="J17:J20" si="2">+I17/D17</f>
        <v>1.1383759170250442E-2</v>
      </c>
      <c r="K17" s="388">
        <f t="shared" ref="K17:K20" si="3">RATE(3,,-G17,I17)</f>
        <v>0.12035118663930978</v>
      </c>
    </row>
    <row r="18" spans="1:11" ht="17.25">
      <c r="A18" s="58" t="str">
        <f>+'S&amp;D'!A24</f>
        <v>CSX Corp</v>
      </c>
      <c r="B18" s="85" t="str">
        <f>+'S&amp;D'!B24</f>
        <v>CSX</v>
      </c>
      <c r="C18" s="85" t="str">
        <f>+'S&amp;D'!C24</f>
        <v>Railroad</v>
      </c>
      <c r="D18" s="55">
        <f>+'S&amp;D'!G24</f>
        <v>34.67</v>
      </c>
      <c r="E18" s="377">
        <v>0.48</v>
      </c>
      <c r="F18" s="49">
        <f t="shared" si="0"/>
        <v>1.3844822613210267E-2</v>
      </c>
      <c r="G18" s="377">
        <v>0.52</v>
      </c>
      <c r="H18" s="49">
        <f t="shared" si="1"/>
        <v>1.4998557830977791E-2</v>
      </c>
      <c r="I18" s="377">
        <v>0.64</v>
      </c>
      <c r="J18" s="49">
        <f t="shared" si="2"/>
        <v>1.8459763484280356E-2</v>
      </c>
      <c r="K18" s="388">
        <f t="shared" si="3"/>
        <v>7.1664579674512327E-2</v>
      </c>
    </row>
    <row r="19" spans="1:11" ht="17.25">
      <c r="A19" s="58" t="str">
        <f>+'S&amp;D'!A25</f>
        <v>Norfolk Southern</v>
      </c>
      <c r="B19" s="85" t="str">
        <f>+'S&amp;D'!B25</f>
        <v>NSC</v>
      </c>
      <c r="C19" s="85" t="str">
        <f>+'S&amp;D'!C25</f>
        <v>Railroad</v>
      </c>
      <c r="D19" s="55">
        <f>+'S&amp;D'!G25</f>
        <v>236.38</v>
      </c>
      <c r="E19" s="377">
        <v>5.4</v>
      </c>
      <c r="F19" s="49">
        <f t="shared" si="0"/>
        <v>2.2844572298840852E-2</v>
      </c>
      <c r="G19" s="377">
        <v>5.6</v>
      </c>
      <c r="H19" s="49">
        <f t="shared" si="1"/>
        <v>2.3690667569168287E-2</v>
      </c>
      <c r="I19" s="377">
        <v>6.5</v>
      </c>
      <c r="J19" s="49">
        <f t="shared" si="2"/>
        <v>2.7498096285641763E-2</v>
      </c>
      <c r="K19" s="388">
        <f t="shared" si="3"/>
        <v>5.0933194774384669E-2</v>
      </c>
    </row>
    <row r="20" spans="1:11" ht="17.25">
      <c r="A20" s="58" t="str">
        <f>+'S&amp;D'!A26</f>
        <v>Union Pacific Railroad</v>
      </c>
      <c r="B20" s="85" t="str">
        <f>+'S&amp;D'!B26</f>
        <v>UNP</v>
      </c>
      <c r="C20" s="85" t="str">
        <f>+'S&amp;D'!C26</f>
        <v>Railroad</v>
      </c>
      <c r="D20" s="55">
        <f>+'S&amp;D'!G26</f>
        <v>245.62</v>
      </c>
      <c r="E20" s="377">
        <v>5.4</v>
      </c>
      <c r="F20" s="49">
        <f t="shared" si="0"/>
        <v>2.1985180359905546E-2</v>
      </c>
      <c r="G20" s="377">
        <v>6</v>
      </c>
      <c r="H20" s="49">
        <f t="shared" si="1"/>
        <v>2.4427978177672827E-2</v>
      </c>
      <c r="I20" s="377">
        <v>7</v>
      </c>
      <c r="J20" s="49">
        <f t="shared" si="2"/>
        <v>2.8499307873951631E-2</v>
      </c>
      <c r="K20" s="388">
        <f t="shared" si="3"/>
        <v>5.27265996093964E-2</v>
      </c>
    </row>
    <row r="21" spans="1:11" ht="17.25" thickBot="1">
      <c r="A21" s="8"/>
      <c r="B21" s="8"/>
      <c r="C21" s="39"/>
      <c r="D21" s="42"/>
      <c r="E21" s="42"/>
      <c r="F21" s="42"/>
      <c r="G21" s="42"/>
      <c r="H21" s="42"/>
      <c r="I21" s="42"/>
      <c r="J21" s="42"/>
      <c r="K21" s="42"/>
    </row>
    <row r="22" spans="1:11" ht="17.25" thickTop="1">
      <c r="A22" s="8"/>
      <c r="B22" s="8"/>
      <c r="D22" s="10" t="s">
        <v>46</v>
      </c>
      <c r="E22" s="12">
        <f>MAX(E16:E20)</f>
        <v>5.4</v>
      </c>
      <c r="F22" s="308">
        <f t="shared" ref="F22:K22" si="4">MAX(F16:F20)</f>
        <v>2.2844572298840852E-2</v>
      </c>
      <c r="G22" s="12">
        <f t="shared" si="4"/>
        <v>6</v>
      </c>
      <c r="H22" s="308">
        <f t="shared" si="4"/>
        <v>2.4427978177672827E-2</v>
      </c>
      <c r="I22" s="12">
        <f t="shared" si="4"/>
        <v>7</v>
      </c>
      <c r="J22" s="308">
        <f t="shared" si="4"/>
        <v>2.8499307873951631E-2</v>
      </c>
      <c r="K22" s="308">
        <f t="shared" si="4"/>
        <v>0.12035118663930978</v>
      </c>
    </row>
    <row r="23" spans="1:11" ht="16.5">
      <c r="A23" s="8"/>
      <c r="B23" s="8"/>
      <c r="D23" s="10" t="s">
        <v>47</v>
      </c>
      <c r="E23" s="321">
        <f>MIN(E16:E20)</f>
        <v>0.48</v>
      </c>
      <c r="F23" s="322">
        <f t="shared" ref="F23:K23" si="5">MIN(F16:F20)</f>
        <v>7.0832279281558318E-3</v>
      </c>
      <c r="G23" s="321">
        <f t="shared" si="5"/>
        <v>0.52</v>
      </c>
      <c r="H23" s="322">
        <f t="shared" si="5"/>
        <v>8.0951176321780918E-3</v>
      </c>
      <c r="I23" s="321">
        <f t="shared" si="5"/>
        <v>0.64</v>
      </c>
      <c r="J23" s="322">
        <f t="shared" si="5"/>
        <v>1.1383759170250442E-2</v>
      </c>
      <c r="K23" s="322">
        <f t="shared" si="5"/>
        <v>5.0933194774384669E-2</v>
      </c>
    </row>
    <row r="24" spans="1:11" ht="16.5">
      <c r="A24" s="8"/>
      <c r="B24" s="8"/>
      <c r="D24" s="10" t="s">
        <v>18</v>
      </c>
      <c r="E24" s="13">
        <f t="shared" ref="E24:K24" si="6">MEDIAN(E16:E20)</f>
        <v>2.6</v>
      </c>
      <c r="F24" s="50">
        <f t="shared" si="6"/>
        <v>2.0695693703733187E-2</v>
      </c>
      <c r="G24" s="13">
        <f t="shared" si="6"/>
        <v>2.6</v>
      </c>
      <c r="H24" s="50">
        <f t="shared" si="6"/>
        <v>2.0695693703733187E-2</v>
      </c>
      <c r="I24" s="13">
        <f t="shared" si="6"/>
        <v>3.5</v>
      </c>
      <c r="J24" s="50">
        <f t="shared" si="6"/>
        <v>2.7498096285641763E-2</v>
      </c>
      <c r="K24" s="50">
        <f t="shared" si="6"/>
        <v>7.1664579674512327E-2</v>
      </c>
    </row>
    <row r="25" spans="1:11" ht="16.5">
      <c r="A25" s="8"/>
      <c r="B25" s="8"/>
      <c r="D25" s="10" t="s">
        <v>411</v>
      </c>
      <c r="E25" s="17">
        <f t="shared" ref="E25:K25" si="7">AVERAGE(E16:E20)</f>
        <v>2.8880000000000003</v>
      </c>
      <c r="F25" s="52">
        <f t="shared" si="7"/>
        <v>1.7290699380769138E-2</v>
      </c>
      <c r="G25" s="17">
        <f t="shared" si="7"/>
        <v>3.0720000000000001</v>
      </c>
      <c r="H25" s="52">
        <f t="shared" si="7"/>
        <v>1.8381602982746034E-2</v>
      </c>
      <c r="I25" s="17">
        <f t="shared" si="7"/>
        <v>3.7079999999999997</v>
      </c>
      <c r="J25" s="52">
        <f t="shared" si="7"/>
        <v>2.2740102898445309E-2</v>
      </c>
      <c r="K25" s="52">
        <f t="shared" si="7"/>
        <v>7.9966886066046322E-2</v>
      </c>
    </row>
    <row r="26" spans="1:11" ht="16.5">
      <c r="A26" s="8"/>
      <c r="B26" s="8"/>
      <c r="C26" s="8"/>
      <c r="D26" s="8"/>
      <c r="E26" s="8"/>
      <c r="F26" s="8"/>
      <c r="G26" s="8"/>
      <c r="H26" s="8"/>
      <c r="I26" s="8"/>
      <c r="J26" s="8"/>
      <c r="K26" s="8"/>
    </row>
    <row r="27" spans="1:11" ht="26.25">
      <c r="A27" s="8"/>
      <c r="B27" s="8"/>
      <c r="C27" s="8"/>
      <c r="D27" s="8"/>
      <c r="E27" s="8"/>
      <c r="F27" s="45" t="s">
        <v>0</v>
      </c>
      <c r="G27" s="59" t="s">
        <v>0</v>
      </c>
      <c r="H27" s="8"/>
      <c r="I27" s="8"/>
      <c r="J27" s="8"/>
      <c r="K27" s="8"/>
    </row>
    <row r="28" spans="1:11" ht="18.75">
      <c r="A28" s="223" t="s">
        <v>275</v>
      </c>
    </row>
  </sheetData>
  <pageMargins left="0.25" right="0.25" top="0.75" bottom="0.75" header="0.3" footer="0.3"/>
  <pageSetup scale="5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5596C7-3CA4-4A86-9548-2C135C060B79}">
  <sheetPr>
    <tabColor rgb="FF92D050"/>
  </sheetPr>
  <dimension ref="A1:K28"/>
  <sheetViews>
    <sheetView view="pageBreakPreview" zoomScale="60" zoomScaleNormal="80" workbookViewId="0">
      <selection activeCell="L20" sqref="L20"/>
    </sheetView>
  </sheetViews>
  <sheetFormatPr defaultRowHeight="15"/>
  <cols>
    <col min="1" max="1" width="51.5703125" customWidth="1"/>
    <col min="2" max="2" width="10.85546875" bestFit="1" customWidth="1"/>
    <col min="3" max="3" width="19.140625" bestFit="1" customWidth="1"/>
    <col min="4" max="4" width="15.28515625" customWidth="1"/>
    <col min="5" max="5" width="16" customWidth="1"/>
    <col min="6" max="6" width="20" customWidth="1"/>
    <col min="7" max="7" width="16.5703125" customWidth="1"/>
    <col min="8" max="8" width="19.140625" customWidth="1"/>
    <col min="9" max="10" width="20.140625" customWidth="1"/>
    <col min="11" max="11" width="17.7109375" customWidth="1"/>
    <col min="12" max="12" width="23.7109375" customWidth="1"/>
  </cols>
  <sheetData>
    <row r="1" spans="1:11" ht="26.25">
      <c r="A1" s="19" t="s">
        <v>1</v>
      </c>
      <c r="B1" s="8"/>
      <c r="C1" s="8"/>
      <c r="D1" s="8"/>
      <c r="E1" s="8"/>
      <c r="F1" s="8"/>
      <c r="G1" s="8"/>
      <c r="H1" s="8"/>
      <c r="I1" s="8"/>
      <c r="J1" s="8"/>
    </row>
    <row r="2" spans="1:11" ht="17.25">
      <c r="A2" s="20" t="s">
        <v>9</v>
      </c>
      <c r="B2" s="8"/>
      <c r="C2" s="8"/>
      <c r="D2" s="8"/>
      <c r="E2" s="8"/>
      <c r="F2" s="8"/>
      <c r="G2" s="8"/>
      <c r="H2" s="8"/>
      <c r="I2" s="8"/>
      <c r="J2" s="8"/>
    </row>
    <row r="3" spans="1:11" ht="16.5">
      <c r="A3" s="21" t="s">
        <v>453</v>
      </c>
      <c r="B3" s="8"/>
      <c r="C3" s="8"/>
      <c r="D3" s="8"/>
      <c r="E3" s="8"/>
      <c r="F3" s="8"/>
      <c r="G3" s="8"/>
      <c r="H3" s="8"/>
      <c r="I3" s="8"/>
      <c r="J3" s="8"/>
    </row>
    <row r="4" spans="1:11" ht="16.5">
      <c r="A4" s="21"/>
      <c r="B4" s="8"/>
      <c r="C4" s="8"/>
      <c r="D4" s="8"/>
      <c r="E4" s="8"/>
      <c r="F4" s="8"/>
      <c r="G4" s="8"/>
      <c r="H4" s="8"/>
      <c r="I4" s="8"/>
      <c r="J4" s="8"/>
    </row>
    <row r="5" spans="1:11" ht="17.25" thickBot="1">
      <c r="A5" s="8"/>
      <c r="B5" s="8"/>
      <c r="C5" s="8"/>
      <c r="D5" s="8"/>
      <c r="E5" s="8"/>
      <c r="F5" s="8"/>
      <c r="G5" s="22"/>
      <c r="H5" s="8"/>
      <c r="I5" s="8"/>
      <c r="J5" s="8"/>
    </row>
    <row r="6" spans="1:11" ht="21" thickBot="1">
      <c r="A6" s="260" t="str">
        <f>+'S&amp;D'!A12</f>
        <v>Railroad Carriers</v>
      </c>
      <c r="B6" s="189"/>
      <c r="C6" s="8"/>
      <c r="D6" s="24"/>
      <c r="E6" s="24"/>
      <c r="F6" s="25" t="s">
        <v>0</v>
      </c>
      <c r="G6" s="8"/>
      <c r="H6" s="8"/>
      <c r="I6" s="8"/>
      <c r="J6" s="8"/>
    </row>
    <row r="7" spans="1:11" ht="26.25">
      <c r="A7" s="26"/>
      <c r="B7" s="8"/>
      <c r="C7" s="8"/>
      <c r="D7" s="8"/>
      <c r="E7" s="27" t="s">
        <v>276</v>
      </c>
      <c r="F7" s="8"/>
      <c r="G7" s="8"/>
      <c r="H7" s="8"/>
      <c r="I7" s="8"/>
      <c r="J7" s="8"/>
    </row>
    <row r="8" spans="1:11" ht="21" thickBot="1">
      <c r="A8" s="26"/>
      <c r="B8" s="8"/>
      <c r="C8" s="8"/>
      <c r="D8" s="24"/>
      <c r="E8" s="28" t="s">
        <v>454</v>
      </c>
      <c r="F8" s="24"/>
      <c r="G8" s="8"/>
      <c r="H8" s="8"/>
      <c r="I8" s="8"/>
      <c r="J8" s="8"/>
    </row>
    <row r="9" spans="1:11" ht="17.25" thickBot="1">
      <c r="A9" s="29" t="s">
        <v>0</v>
      </c>
      <c r="B9" s="29" t="s">
        <v>0</v>
      </c>
      <c r="C9" s="29" t="s">
        <v>0</v>
      </c>
      <c r="D9" s="29" t="s">
        <v>0</v>
      </c>
      <c r="E9" s="29" t="s">
        <v>0</v>
      </c>
      <c r="F9" s="29"/>
      <c r="G9" s="24"/>
      <c r="H9" s="24"/>
      <c r="I9" s="24"/>
      <c r="J9" s="24"/>
      <c r="K9" s="142"/>
    </row>
    <row r="10" spans="1:11" ht="16.5">
      <c r="A10" s="30" t="s">
        <v>0</v>
      </c>
      <c r="B10" s="30" t="s">
        <v>3</v>
      </c>
      <c r="C10" s="30" t="s">
        <v>5</v>
      </c>
      <c r="D10" s="30" t="s">
        <v>166</v>
      </c>
      <c r="E10" s="30" t="s">
        <v>172</v>
      </c>
      <c r="F10" s="30" t="s">
        <v>172</v>
      </c>
      <c r="G10" s="30" t="s">
        <v>172</v>
      </c>
      <c r="H10" s="30" t="s">
        <v>172</v>
      </c>
      <c r="I10" s="30" t="s">
        <v>172</v>
      </c>
      <c r="J10" s="30" t="s">
        <v>172</v>
      </c>
      <c r="K10" s="30" t="s">
        <v>273</v>
      </c>
    </row>
    <row r="11" spans="1:11" ht="16.5">
      <c r="A11" s="30"/>
      <c r="B11" s="30" t="s">
        <v>4</v>
      </c>
      <c r="C11" s="30" t="s">
        <v>6</v>
      </c>
      <c r="D11" s="30" t="s">
        <v>27</v>
      </c>
      <c r="E11" s="30" t="s">
        <v>168</v>
      </c>
      <c r="F11" s="30" t="s">
        <v>120</v>
      </c>
      <c r="G11" s="30" t="s">
        <v>168</v>
      </c>
      <c r="H11" s="30" t="s">
        <v>120</v>
      </c>
      <c r="I11" s="30" t="s">
        <v>168</v>
      </c>
      <c r="J11" s="30" t="s">
        <v>120</v>
      </c>
      <c r="K11" s="30" t="s">
        <v>183</v>
      </c>
    </row>
    <row r="12" spans="1:11" ht="17.25" thickBot="1">
      <c r="A12" s="32" t="s">
        <v>2</v>
      </c>
      <c r="B12" s="32" t="s">
        <v>0</v>
      </c>
      <c r="C12" s="32" t="s">
        <v>0</v>
      </c>
      <c r="D12" s="32" t="s">
        <v>0</v>
      </c>
      <c r="E12" s="32" t="s">
        <v>170</v>
      </c>
      <c r="F12" s="32" t="s">
        <v>170</v>
      </c>
      <c r="G12" s="32" t="s">
        <v>271</v>
      </c>
      <c r="H12" s="32" t="s">
        <v>271</v>
      </c>
      <c r="I12" s="32" t="s">
        <v>272</v>
      </c>
      <c r="J12" s="32" t="s">
        <v>272</v>
      </c>
      <c r="K12" s="222" t="s">
        <v>274</v>
      </c>
    </row>
    <row r="13" spans="1:11">
      <c r="A13" s="34" t="s">
        <v>7</v>
      </c>
      <c r="B13" s="34" t="s">
        <v>7</v>
      </c>
      <c r="C13" s="34" t="s">
        <v>7</v>
      </c>
      <c r="D13" s="35" t="s">
        <v>113</v>
      </c>
      <c r="E13" s="34" t="s">
        <v>7</v>
      </c>
      <c r="F13" s="34" t="s">
        <v>15</v>
      </c>
      <c r="G13" s="34" t="s">
        <v>7</v>
      </c>
      <c r="H13" s="34" t="s">
        <v>15</v>
      </c>
      <c r="I13" s="34" t="s">
        <v>7</v>
      </c>
      <c r="J13" s="34" t="s">
        <v>15</v>
      </c>
      <c r="K13" s="34" t="s">
        <v>15</v>
      </c>
    </row>
    <row r="14" spans="1:11" ht="16.5">
      <c r="A14" s="30"/>
      <c r="B14" s="30"/>
      <c r="C14" s="30"/>
      <c r="D14" s="30"/>
      <c r="E14" s="30"/>
      <c r="F14" s="30"/>
      <c r="G14" s="8"/>
      <c r="H14" s="8"/>
      <c r="I14" s="8"/>
      <c r="J14" s="8"/>
      <c r="K14" s="8"/>
    </row>
    <row r="15" spans="1:11" ht="16.5">
      <c r="A15" s="8"/>
      <c r="B15" s="8"/>
      <c r="C15" s="8"/>
      <c r="D15" s="8"/>
      <c r="E15" s="8"/>
      <c r="F15" s="8"/>
      <c r="G15" s="8"/>
      <c r="H15" s="8"/>
      <c r="I15" s="8"/>
      <c r="J15" s="8"/>
      <c r="K15" s="8"/>
    </row>
    <row r="16" spans="1:11" ht="17.25">
      <c r="A16" s="39" t="str">
        <f>+'S&amp;D'!A22</f>
        <v>Canadian National</v>
      </c>
      <c r="B16" s="30" t="str">
        <f>+'S&amp;D'!B22</f>
        <v>CNI</v>
      </c>
      <c r="C16" s="30" t="str">
        <f>+'S&amp;D'!C22</f>
        <v>Railroad</v>
      </c>
      <c r="D16" s="55">
        <f>+'S&amp;D'!G22</f>
        <v>125.63</v>
      </c>
      <c r="E16" s="377">
        <v>5.9</v>
      </c>
      <c r="F16" s="49">
        <f>+E16/D16</f>
        <v>4.6963304943086849E-2</v>
      </c>
      <c r="G16" s="377">
        <v>6.6</v>
      </c>
      <c r="H16" s="49">
        <f>+G16/D16</f>
        <v>5.2535222478707316E-2</v>
      </c>
      <c r="I16" s="377">
        <v>9</v>
      </c>
      <c r="J16" s="49">
        <f>+I16/D16</f>
        <v>7.1638939743691801E-2</v>
      </c>
      <c r="K16" s="388">
        <f t="shared" ref="K16" si="0">RATE(3,,-G16,I16)</f>
        <v>0.1089182339303883</v>
      </c>
    </row>
    <row r="17" spans="1:11" ht="17.25">
      <c r="A17" s="39" t="str">
        <f>+'S&amp;D'!A23</f>
        <v>Canadian Pacific Kansas City Limited  CPKC</v>
      </c>
      <c r="B17" s="30" t="str">
        <f>+'S&amp;D'!B23</f>
        <v>CP</v>
      </c>
      <c r="C17" s="30" t="str">
        <f>+'S&amp;D'!C23</f>
        <v>Railroad</v>
      </c>
      <c r="D17" s="55">
        <f>+'S&amp;D'!G23</f>
        <v>79.06</v>
      </c>
      <c r="E17" s="377">
        <v>3.3</v>
      </c>
      <c r="F17" s="49">
        <f t="shared" ref="F17:F20" si="1">+E17/D17</f>
        <v>4.1740450290918288E-2</v>
      </c>
      <c r="G17" s="377">
        <v>3.6</v>
      </c>
      <c r="H17" s="49">
        <f t="shared" ref="H17:H20" si="2">+G17/D17</f>
        <v>4.553503668100177E-2</v>
      </c>
      <c r="I17" s="377">
        <v>4.5</v>
      </c>
      <c r="J17" s="49">
        <f t="shared" ref="J17:J20" si="3">+I17/D17</f>
        <v>5.6918795851252209E-2</v>
      </c>
      <c r="K17" s="388">
        <f t="shared" ref="K17:K20" si="4">RATE(3,,-G17,I17)</f>
        <v>7.721734501598955E-2</v>
      </c>
    </row>
    <row r="18" spans="1:11" ht="17.25">
      <c r="A18" s="39" t="str">
        <f>+'S&amp;D'!A24</f>
        <v>CSX Corp</v>
      </c>
      <c r="B18" s="30" t="str">
        <f>+'S&amp;D'!B24</f>
        <v>CSX</v>
      </c>
      <c r="C18" s="30" t="str">
        <f>+'S&amp;D'!C24</f>
        <v>Railroad</v>
      </c>
      <c r="D18" s="55">
        <f>+'S&amp;D'!G24</f>
        <v>34.67</v>
      </c>
      <c r="E18" s="377">
        <v>2</v>
      </c>
      <c r="F18" s="49">
        <f t="shared" si="1"/>
        <v>5.7686760888376112E-2</v>
      </c>
      <c r="G18" s="377">
        <v>2.2000000000000002</v>
      </c>
      <c r="H18" s="49">
        <f t="shared" si="2"/>
        <v>6.3455436977213731E-2</v>
      </c>
      <c r="I18" s="377">
        <v>2.5</v>
      </c>
      <c r="J18" s="49">
        <f t="shared" si="3"/>
        <v>7.2108451110470137E-2</v>
      </c>
      <c r="K18" s="388">
        <f t="shared" si="4"/>
        <v>4.3532011211616005E-2</v>
      </c>
    </row>
    <row r="19" spans="1:11" ht="17.25">
      <c r="A19" s="39" t="str">
        <f>+'S&amp;D'!A25</f>
        <v>Norfolk Southern</v>
      </c>
      <c r="B19" s="30" t="str">
        <f>+'S&amp;D'!B25</f>
        <v>NSC</v>
      </c>
      <c r="C19" s="30" t="str">
        <f>+'S&amp;D'!C25</f>
        <v>Railroad</v>
      </c>
      <c r="D19" s="55">
        <f>+'S&amp;D'!G25</f>
        <v>236.38</v>
      </c>
      <c r="E19" s="377">
        <v>13.45</v>
      </c>
      <c r="F19" s="49">
        <f t="shared" si="1"/>
        <v>5.6899906929520259E-2</v>
      </c>
      <c r="G19" s="377">
        <v>14.5</v>
      </c>
      <c r="H19" s="49">
        <f t="shared" si="2"/>
        <v>6.1341907098739316E-2</v>
      </c>
      <c r="I19" s="377">
        <v>19.5</v>
      </c>
      <c r="J19" s="49">
        <f t="shared" si="3"/>
        <v>8.2494288856925294E-2</v>
      </c>
      <c r="K19" s="388">
        <f t="shared" si="4"/>
        <v>0.10379613673267463</v>
      </c>
    </row>
    <row r="20" spans="1:11" ht="17.25">
      <c r="A20" s="39" t="str">
        <f>+'S&amp;D'!A26</f>
        <v>Union Pacific Railroad</v>
      </c>
      <c r="B20" s="30" t="str">
        <f>+'S&amp;D'!B26</f>
        <v>UNP</v>
      </c>
      <c r="C20" s="30" t="str">
        <f>+'S&amp;D'!C26</f>
        <v>Railroad</v>
      </c>
      <c r="D20" s="55">
        <f>+'S&amp;D'!G26</f>
        <v>245.62</v>
      </c>
      <c r="E20" s="377">
        <v>11</v>
      </c>
      <c r="F20" s="49">
        <f t="shared" si="1"/>
        <v>4.4784626659066851E-2</v>
      </c>
      <c r="G20" s="377">
        <v>11.5</v>
      </c>
      <c r="H20" s="49">
        <f t="shared" si="2"/>
        <v>4.6820291507206256E-2</v>
      </c>
      <c r="I20" s="377">
        <v>15</v>
      </c>
      <c r="J20" s="49">
        <f t="shared" si="3"/>
        <v>6.1069945444182067E-2</v>
      </c>
      <c r="K20" s="388">
        <f t="shared" si="4"/>
        <v>9.2608243623279296E-2</v>
      </c>
    </row>
    <row r="21" spans="1:11" ht="17.25" thickBot="1">
      <c r="A21" s="8"/>
      <c r="B21" s="8"/>
      <c r="C21" s="39"/>
      <c r="D21" s="42"/>
      <c r="E21" s="42"/>
      <c r="F21" s="42"/>
      <c r="G21" s="42"/>
      <c r="H21" s="42"/>
      <c r="I21" s="42"/>
      <c r="J21" s="42"/>
      <c r="K21" s="42"/>
    </row>
    <row r="22" spans="1:11" ht="17.25" thickTop="1">
      <c r="A22" s="8"/>
      <c r="B22" s="8"/>
      <c r="D22" s="10" t="s">
        <v>46</v>
      </c>
      <c r="E22" s="12">
        <f>MAX(E16:E20)</f>
        <v>13.45</v>
      </c>
      <c r="F22" s="308">
        <f t="shared" ref="F22:K22" si="5">MAX(F16:F20)</f>
        <v>5.7686760888376112E-2</v>
      </c>
      <c r="G22" s="12">
        <f t="shared" si="5"/>
        <v>14.5</v>
      </c>
      <c r="H22" s="308">
        <f t="shared" si="5"/>
        <v>6.3455436977213731E-2</v>
      </c>
      <c r="I22" s="12">
        <f t="shared" si="5"/>
        <v>19.5</v>
      </c>
      <c r="J22" s="308">
        <f t="shared" si="5"/>
        <v>8.2494288856925294E-2</v>
      </c>
      <c r="K22" s="308">
        <f t="shared" si="5"/>
        <v>0.1089182339303883</v>
      </c>
    </row>
    <row r="23" spans="1:11" ht="16.5">
      <c r="A23" s="8"/>
      <c r="B23" s="8"/>
      <c r="D23" s="324" t="s">
        <v>47</v>
      </c>
      <c r="E23" s="321">
        <f>MIN(E16:E20)</f>
        <v>2</v>
      </c>
      <c r="F23" s="322">
        <f t="shared" ref="F23:K23" si="6">MIN(F16:F20)</f>
        <v>4.1740450290918288E-2</v>
      </c>
      <c r="G23" s="321">
        <f t="shared" si="6"/>
        <v>2.2000000000000002</v>
      </c>
      <c r="H23" s="322">
        <f t="shared" si="6"/>
        <v>4.553503668100177E-2</v>
      </c>
      <c r="I23" s="321">
        <f t="shared" si="6"/>
        <v>2.5</v>
      </c>
      <c r="J23" s="322">
        <f t="shared" si="6"/>
        <v>5.6918795851252209E-2</v>
      </c>
      <c r="K23" s="322">
        <f t="shared" si="6"/>
        <v>4.3532011211616005E-2</v>
      </c>
    </row>
    <row r="24" spans="1:11" ht="16.5">
      <c r="A24" s="8"/>
      <c r="B24" s="8"/>
      <c r="D24" s="10" t="s">
        <v>18</v>
      </c>
      <c r="E24" s="13">
        <f t="shared" ref="E24:K24" si="7">MEDIAN(E16:E20)</f>
        <v>5.9</v>
      </c>
      <c r="F24" s="50">
        <f t="shared" si="7"/>
        <v>4.6963304943086849E-2</v>
      </c>
      <c r="G24" s="13">
        <f t="shared" si="7"/>
        <v>6.6</v>
      </c>
      <c r="H24" s="50">
        <f t="shared" si="7"/>
        <v>5.2535222478707316E-2</v>
      </c>
      <c r="I24" s="13">
        <f t="shared" si="7"/>
        <v>9</v>
      </c>
      <c r="J24" s="50">
        <f t="shared" si="7"/>
        <v>7.1638939743691801E-2</v>
      </c>
      <c r="K24" s="50">
        <f t="shared" si="7"/>
        <v>9.2608243623279296E-2</v>
      </c>
    </row>
    <row r="25" spans="1:11" ht="16.5">
      <c r="A25" s="8"/>
      <c r="B25" s="8"/>
      <c r="D25" s="10" t="s">
        <v>411</v>
      </c>
      <c r="E25" s="17">
        <f t="shared" ref="E25:K25" si="8">AVERAGE(E16:E20)</f>
        <v>7.13</v>
      </c>
      <c r="F25" s="52">
        <f t="shared" si="8"/>
        <v>4.9615009942193672E-2</v>
      </c>
      <c r="G25" s="17">
        <f t="shared" si="8"/>
        <v>7.68</v>
      </c>
      <c r="H25" s="52">
        <f t="shared" si="8"/>
        <v>5.3937578948573671E-2</v>
      </c>
      <c r="I25" s="17">
        <f t="shared" si="8"/>
        <v>10.1</v>
      </c>
      <c r="J25" s="52">
        <f t="shared" si="8"/>
        <v>6.8846084201304295E-2</v>
      </c>
      <c r="K25" s="52">
        <f t="shared" si="8"/>
        <v>8.5214394102789554E-2</v>
      </c>
    </row>
    <row r="26" spans="1:11" ht="16.5">
      <c r="A26" s="8"/>
      <c r="B26" s="8"/>
      <c r="C26" s="8"/>
      <c r="D26" s="8"/>
      <c r="E26" s="8"/>
      <c r="F26" s="8"/>
      <c r="G26" s="8"/>
      <c r="H26" s="8"/>
      <c r="I26" s="8"/>
      <c r="J26" s="8"/>
      <c r="K26" s="8"/>
    </row>
    <row r="27" spans="1:11" ht="26.25">
      <c r="A27" s="8"/>
      <c r="B27" s="8"/>
      <c r="C27" s="8"/>
      <c r="D27" s="8"/>
      <c r="E27" s="8"/>
      <c r="F27" s="45" t="s">
        <v>0</v>
      </c>
      <c r="G27" s="59" t="s">
        <v>0</v>
      </c>
      <c r="H27" s="8"/>
      <c r="I27" s="8"/>
      <c r="J27" s="8"/>
      <c r="K27" s="8"/>
    </row>
    <row r="28" spans="1:11" ht="18.75">
      <c r="A28" s="223" t="s">
        <v>275</v>
      </c>
    </row>
  </sheetData>
  <pageMargins left="0.25" right="0.25" top="0.75" bottom="0.75" header="0.3" footer="0.3"/>
  <pageSetup scale="5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mage" ma:contentTypeID="0x0101009148F5A04DDD49CBA7127AADA5FB792B00AADE34325A8B49CDA8BB4DB53328F21400CD99C54C01C8BC45B805DF7256220975" ma:contentTypeVersion="1" ma:contentTypeDescription="Upload an image." ma:contentTypeScope="" ma:versionID="f51725491132dd0a64f9fd5ab78ea23f">
  <xsd:schema xmlns:xsd="http://www.w3.org/2001/XMLSchema" xmlns:xs="http://www.w3.org/2001/XMLSchema" xmlns:p="http://schemas.microsoft.com/office/2006/metadata/properties" xmlns:ns1="http://schemas.microsoft.com/sharepoint/v3" xmlns:ns2="6E03B4ED-B723-45B9-840F-361B28E24C99" xmlns:ns3="http://schemas.microsoft.com/sharepoint/v3/fields" targetNamespace="http://schemas.microsoft.com/office/2006/metadata/properties" ma:root="true" ma:fieldsID="97c48875acb44c11a63d22310fa806dc" ns1:_="" ns2:_="" ns3:_="">
    <xsd:import namespace="http://schemas.microsoft.com/sharepoint/v3"/>
    <xsd:import namespace="6E03B4ED-B723-45B9-840F-361B28E24C99"/>
    <xsd:import namespace="http://schemas.microsoft.com/sharepoint/v3/fields"/>
    <xsd:element name="properties">
      <xsd:complexType>
        <xsd:sequence>
          <xsd:element name="documentManagement">
            <xsd:complexType>
              <xsd:all>
                <xsd:element ref="ns1:FileRef" minOccurs="0"/>
                <xsd:element ref="ns1:File_x0020_Type" minOccurs="0"/>
                <xsd:element ref="ns1:HTML_x0020_File_x0020_Type" minOccurs="0"/>
                <xsd:element ref="ns1:FSObjType" minOccurs="0"/>
                <xsd:element ref="ns2:ThumbnailExists" minOccurs="0"/>
                <xsd:element ref="ns2:PreviewExists" minOccurs="0"/>
                <xsd:element ref="ns2:ImageWidth" minOccurs="0"/>
                <xsd:element ref="ns2:ImageHeight" minOccurs="0"/>
                <xsd:element ref="ns2:ImageCreateDate" minOccurs="0"/>
                <xsd:element ref="ns3:wic_System_Copyright"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FileRef" ma:index="8" nillable="true" ma:displayName="URL Path" ma:hidden="true" ma:list="Docs" ma:internalName="FileRef" ma:readOnly="true" ma:showField="FullUrl">
      <xsd:simpleType>
        <xsd:restriction base="dms:Lookup"/>
      </xsd:simpleType>
    </xsd:element>
    <xsd:element name="File_x0020_Type" ma:index="9" nillable="true" ma:displayName="File Type" ma:hidden="true" ma:internalName="File_x0020_Type" ma:readOnly="true">
      <xsd:simpleType>
        <xsd:restriction base="dms:Text"/>
      </xsd:simpleType>
    </xsd:element>
    <xsd:element name="HTML_x0020_File_x0020_Type" ma:index="10" nillable="true" ma:displayName="HTML File Type" ma:hidden="true" ma:internalName="HTML_x0020_File_x0020_Type" ma:readOnly="true">
      <xsd:simpleType>
        <xsd:restriction base="dms:Text"/>
      </xsd:simpleType>
    </xsd:element>
    <xsd:element name="FSObjType" ma:index="11" nillable="true" ma:displayName="Item Type" ma:hidden="true" ma:list="Docs" ma:internalName="FSObjType" ma:readOnly="true" ma:showField="FSType">
      <xsd:simpleType>
        <xsd:restriction base="dms:Lookup"/>
      </xsd:simpleType>
    </xsd:element>
    <xsd:element name="PublishingStartDate" ma:index="27" nillable="true" ma:displayName="Scheduling Start Date" ma:description="" ma:hidden="true" ma:internalName="PublishingStartDate">
      <xsd:simpleType>
        <xsd:restriction base="dms:Unknown"/>
      </xsd:simpleType>
    </xsd:element>
    <xsd:element name="PublishingExpirationDate" ma:index="28"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E03B4ED-B723-45B9-840F-361B28E24C99" elementFormDefault="qualified">
    <xsd:import namespace="http://schemas.microsoft.com/office/2006/documentManagement/types"/>
    <xsd:import namespace="http://schemas.microsoft.com/office/infopath/2007/PartnerControls"/>
    <xsd:element name="ThumbnailExists" ma:index="18" nillable="true" ma:displayName="Thumbnail Exists" ma:default="FALSE" ma:hidden="true" ma:internalName="ThumbnailExists" ma:readOnly="true">
      <xsd:simpleType>
        <xsd:restriction base="dms:Boolean"/>
      </xsd:simpleType>
    </xsd:element>
    <xsd:element name="PreviewExists" ma:index="19" nillable="true" ma:displayName="Preview Exists" ma:default="FALSE" ma:hidden="true" ma:internalName="PreviewExists" ma:readOnly="true">
      <xsd:simpleType>
        <xsd:restriction base="dms:Boolean"/>
      </xsd:simpleType>
    </xsd:element>
    <xsd:element name="ImageWidth" ma:index="20" nillable="true" ma:displayName="Width" ma:internalName="ImageWidth" ma:readOnly="true">
      <xsd:simpleType>
        <xsd:restriction base="dms:Unknown"/>
      </xsd:simpleType>
    </xsd:element>
    <xsd:element name="ImageHeight" ma:index="22" nillable="true" ma:displayName="Height" ma:internalName="ImageHeight" ma:readOnly="true">
      <xsd:simpleType>
        <xsd:restriction base="dms:Unknown"/>
      </xsd:simpleType>
    </xsd:element>
    <xsd:element name="ImageCreateDate" ma:index="25" nillable="true" ma:displayName="Date Picture Taken" ma:format="DateTime" ma:hidden="true" ma:internalName="ImageCreate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26"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4"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3" ma:displayName="Comments"/>
        <xsd:element name="keywords" minOccurs="0" maxOccurs="1" type="xsd:string" ma:index="14"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mageCreateDate xmlns="6E03B4ED-B723-45B9-840F-361B28E24C99" xsi:nil="true"/>
    <PublishingExpirationDate xmlns="http://schemas.microsoft.com/sharepoint/v3" xsi:nil="true"/>
    <PublishingStartDate xmlns="http://schemas.microsoft.com/sharepoint/v3" xsi:nil="true"/>
    <wic_System_Copyright xmlns="http://schemas.microsoft.com/sharepoint/v3/fields" xsi:nil="true"/>
  </documentManagement>
</p:properties>
</file>

<file path=customXml/itemProps1.xml><?xml version="1.0" encoding="utf-8"?>
<ds:datastoreItem xmlns:ds="http://schemas.openxmlformats.org/officeDocument/2006/customXml" ds:itemID="{CA747CAC-0D22-4B04-B780-E1B1F70BCA7A}"/>
</file>

<file path=customXml/itemProps2.xml><?xml version="1.0" encoding="utf-8"?>
<ds:datastoreItem xmlns:ds="http://schemas.openxmlformats.org/officeDocument/2006/customXml" ds:itemID="{E2F75641-E5C6-4CED-92CF-A70F759562F4}"/>
</file>

<file path=customXml/itemProps3.xml><?xml version="1.0" encoding="utf-8"?>
<ds:datastoreItem xmlns:ds="http://schemas.openxmlformats.org/officeDocument/2006/customXml" ds:itemID="{5C198D58-FAFC-4693-9499-DC90B8013EF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19</vt:i4>
      </vt:variant>
    </vt:vector>
  </HeadingPairs>
  <TitlesOfParts>
    <vt:vector size="39" baseType="lpstr">
      <vt:lpstr>Cover Sheet</vt:lpstr>
      <vt:lpstr>Yield CapRate</vt:lpstr>
      <vt:lpstr>Direct CapRates</vt:lpstr>
      <vt:lpstr>S&amp;D</vt:lpstr>
      <vt:lpstr>Market to Book Ratios</vt:lpstr>
      <vt:lpstr>Maintenance CapEx</vt:lpstr>
      <vt:lpstr>Beta for CAPM</vt:lpstr>
      <vt:lpstr>Dividends </vt:lpstr>
      <vt:lpstr>Earnings</vt:lpstr>
      <vt:lpstr>Direct Debt</vt:lpstr>
      <vt:lpstr>Yield Debt</vt:lpstr>
      <vt:lpstr>Direct GCF</vt:lpstr>
      <vt:lpstr>Direct NOPAT</vt:lpstr>
      <vt:lpstr>Growth &amp; Inflation Rates</vt:lpstr>
      <vt:lpstr>Indicated Yield Equity Rate </vt:lpstr>
      <vt:lpstr>CAPM</vt:lpstr>
      <vt:lpstr>Single Stage Div Growth Model</vt:lpstr>
      <vt:lpstr>Two-Stage Div Growth Model</vt:lpstr>
      <vt:lpstr>Multiples</vt:lpstr>
      <vt:lpstr>Info</vt:lpstr>
      <vt:lpstr>'Beta for CAPM'!Print_Area</vt:lpstr>
      <vt:lpstr>CAPM!Print_Area</vt:lpstr>
      <vt:lpstr>'Cover Sheet'!Print_Area</vt:lpstr>
      <vt:lpstr>'Direct CapRates'!Print_Area</vt:lpstr>
      <vt:lpstr>'Direct Debt'!Print_Area</vt:lpstr>
      <vt:lpstr>'Direct GCF'!Print_Area</vt:lpstr>
      <vt:lpstr>'Direct NOPAT'!Print_Area</vt:lpstr>
      <vt:lpstr>'Dividends '!Print_Area</vt:lpstr>
      <vt:lpstr>Earnings!Print_Area</vt:lpstr>
      <vt:lpstr>'Growth &amp; Inflation Rates'!Print_Area</vt:lpstr>
      <vt:lpstr>'Indicated Yield Equity Rate '!Print_Area</vt:lpstr>
      <vt:lpstr>'Maintenance CapEx'!Print_Area</vt:lpstr>
      <vt:lpstr>'Market to Book Ratios'!Print_Area</vt:lpstr>
      <vt:lpstr>Multiples!Print_Area</vt:lpstr>
      <vt:lpstr>'S&amp;D'!Print_Area</vt:lpstr>
      <vt:lpstr>'Single Stage Div Growth Model'!Print_Area</vt:lpstr>
      <vt:lpstr>'Two-Stage Div Growth Model'!Print_Area</vt:lpstr>
      <vt:lpstr>'Yield CapRate'!Print_Area</vt:lpstr>
      <vt:lpstr>'Yield Debt'!Print_Area</vt:lpstr>
    </vt:vector>
  </TitlesOfParts>
  <Company>Commonwealth of Kentucky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 Cap Rate Study - Railroads</dc:title>
  <dc:creator>%USERNAME%</dc:creator>
  <cp:keywords/>
  <dc:description/>
  <cp:lastModifiedBy>Carbin, Robert A (DOR)</cp:lastModifiedBy>
  <cp:lastPrinted>2023-06-02T15:09:06Z</cp:lastPrinted>
  <dcterms:created xsi:type="dcterms:W3CDTF">2016-02-12T19:29:24Z</dcterms:created>
  <dcterms:modified xsi:type="dcterms:W3CDTF">2024-08-12T12:25:11Z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0x0101009148F5A04DDD49CBA7127AADA5FB792B00AADE34325A8B49CDA8BB4DB53328F21400CD99C54C01C8BC45B805DF7256220975</vt:lpwstr>
  </property>
</Properties>
</file>