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Y:\CLERK INFORMATION\TAX SALE RESULTS REPORTS\"/>
    </mc:Choice>
  </mc:AlternateContent>
  <xr:revisionPtr revIDLastSave="0" documentId="13_ncr:1_{329FC4FA-60C6-4EBA-9DDB-8D794FFD89F1}" xr6:coauthVersionLast="47" xr6:coauthVersionMax="47" xr10:uidLastSave="{00000000-0000-0000-0000-000000000000}"/>
  <workbookProtection workbookAlgorithmName="SHA-512" workbookHashValue="CbuUzrNHs/FSQJIvVtJK1zpKXKqDG5jDWJlhK2AgpIj/ezFANoBCvYkEqZtereKjAAiiA/LpzPmV3T5GpwEJXQ==" workbookSaltValue="sf96M6H/Z0p4HL2/HrNcyg==" workbookSpinCount="100000" lockStructure="1"/>
  <bookViews>
    <workbookView xWindow="23880" yWindow="-120" windowWidth="24240" windowHeight="13140" firstSheet="1" activeTab="4" xr2:uid="{00000000-000D-0000-FFFF-FFFF00000000}"/>
  </bookViews>
  <sheets>
    <sheet name="2017 Tax Sales Results " sheetId="14" r:id="rId1"/>
    <sheet name="2018 Tax Sales Results " sheetId="2" r:id="rId2"/>
    <sheet name="2019 Tax Sales Results " sheetId="4" r:id="rId3"/>
    <sheet name="2020 Tax sale Results" sheetId="13" r:id="rId4"/>
    <sheet name="2021 Tax Sale Results" sheetId="12" r:id="rId5"/>
    <sheet name="Sheet1" sheetId="11"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8" i="12" l="1"/>
  <c r="C127" i="13"/>
  <c r="C135" i="4"/>
  <c r="C125" i="2"/>
  <c r="J123" i="14"/>
  <c r="B123" i="14"/>
  <c r="Q122" i="14"/>
  <c r="M122" i="14"/>
  <c r="M121" i="14"/>
  <c r="Q121" i="14" s="1"/>
  <c r="Q120" i="14"/>
  <c r="M120" i="14"/>
  <c r="P119" i="14"/>
  <c r="O119" i="14"/>
  <c r="N119" i="14"/>
  <c r="M119" i="14"/>
  <c r="Q119" i="14" s="1"/>
  <c r="P118" i="14"/>
  <c r="M118" i="14"/>
  <c r="Q118" i="14" s="1"/>
  <c r="P117" i="14"/>
  <c r="M117" i="14"/>
  <c r="Q117" i="14" s="1"/>
  <c r="K117" i="14"/>
  <c r="P116" i="14"/>
  <c r="M116" i="14"/>
  <c r="Q116" i="14" s="1"/>
  <c r="K116" i="14"/>
  <c r="P115" i="14"/>
  <c r="M115" i="14"/>
  <c r="Q115" i="14" s="1"/>
  <c r="Q114" i="14"/>
  <c r="M114" i="14"/>
  <c r="M113" i="14"/>
  <c r="Q113" i="14" s="1"/>
  <c r="Q112" i="14"/>
  <c r="M112" i="14"/>
  <c r="Q111" i="14"/>
  <c r="O111" i="14"/>
  <c r="M111" i="14"/>
  <c r="P110" i="14"/>
  <c r="M110" i="14"/>
  <c r="Q110" i="14" s="1"/>
  <c r="P109" i="14"/>
  <c r="M109" i="14"/>
  <c r="Q109" i="14" s="1"/>
  <c r="P108" i="14"/>
  <c r="L108" i="14"/>
  <c r="M108" i="14" s="1"/>
  <c r="Q108" i="14" s="1"/>
  <c r="Q107" i="14"/>
  <c r="P107" i="14"/>
  <c r="M107" i="14"/>
  <c r="Q106" i="14"/>
  <c r="M106" i="14"/>
  <c r="O105" i="14"/>
  <c r="M105" i="14"/>
  <c r="Q105" i="14" s="1"/>
  <c r="Q104" i="14"/>
  <c r="M104" i="14"/>
  <c r="M103" i="14"/>
  <c r="Q103" i="14" s="1"/>
  <c r="Q102" i="14"/>
  <c r="M102" i="14"/>
  <c r="E102" i="14"/>
  <c r="P101" i="14"/>
  <c r="O101" i="14"/>
  <c r="N101" i="14"/>
  <c r="M101" i="14"/>
  <c r="Q101" i="14" s="1"/>
  <c r="P100" i="14"/>
  <c r="O100" i="14"/>
  <c r="N100" i="14"/>
  <c r="M100" i="14"/>
  <c r="Q100" i="14" s="1"/>
  <c r="P99" i="14"/>
  <c r="M99" i="14"/>
  <c r="Q99" i="14" s="1"/>
  <c r="P98" i="14"/>
  <c r="O98" i="14"/>
  <c r="N98" i="14"/>
  <c r="K98" i="14"/>
  <c r="G98" i="14"/>
  <c r="E98" i="14"/>
  <c r="M98" i="14" s="1"/>
  <c r="Q98" i="14" s="1"/>
  <c r="Q97" i="14"/>
  <c r="P97" i="14"/>
  <c r="M97" i="14"/>
  <c r="M96" i="14"/>
  <c r="Q96" i="14" s="1"/>
  <c r="O95" i="14"/>
  <c r="M95" i="14"/>
  <c r="Q95" i="14" s="1"/>
  <c r="L95" i="14"/>
  <c r="P94" i="14"/>
  <c r="M94" i="14"/>
  <c r="Q94" i="14" s="1"/>
  <c r="Q93" i="14"/>
  <c r="P93" i="14"/>
  <c r="M93" i="14"/>
  <c r="P92" i="14"/>
  <c r="O92" i="14"/>
  <c r="N92" i="14"/>
  <c r="K92" i="14"/>
  <c r="M92" i="14" s="1"/>
  <c r="Q92" i="14" s="1"/>
  <c r="D92" i="14"/>
  <c r="P91" i="14"/>
  <c r="M91" i="14"/>
  <c r="Q91" i="14" s="1"/>
  <c r="L91" i="14"/>
  <c r="P90" i="14"/>
  <c r="N90" i="14"/>
  <c r="M90" i="14"/>
  <c r="Q90" i="14" s="1"/>
  <c r="P89" i="14"/>
  <c r="M89" i="14"/>
  <c r="Q89" i="14" s="1"/>
  <c r="P88" i="14"/>
  <c r="M88" i="14"/>
  <c r="Q88" i="14" s="1"/>
  <c r="P87" i="14"/>
  <c r="K87" i="14"/>
  <c r="M87" i="14" s="1"/>
  <c r="Q87" i="14" s="1"/>
  <c r="Q86" i="14"/>
  <c r="P86" i="14"/>
  <c r="M86" i="14"/>
  <c r="M85" i="14"/>
  <c r="Q85" i="14" s="1"/>
  <c r="P84" i="14"/>
  <c r="M84" i="14"/>
  <c r="Q84" i="14" s="1"/>
  <c r="K84" i="14"/>
  <c r="P83" i="14"/>
  <c r="M83" i="14"/>
  <c r="Q83" i="14" s="1"/>
  <c r="Q82" i="14"/>
  <c r="M82" i="14"/>
  <c r="M81" i="14"/>
  <c r="Q81" i="14" s="1"/>
  <c r="P80" i="14"/>
  <c r="O80" i="14"/>
  <c r="N80" i="14"/>
  <c r="M80" i="14"/>
  <c r="Q80" i="14" s="1"/>
  <c r="P79" i="14"/>
  <c r="O79" i="14"/>
  <c r="N79" i="14"/>
  <c r="M79" i="14"/>
  <c r="Q79" i="14" s="1"/>
  <c r="D79" i="14"/>
  <c r="P78" i="14"/>
  <c r="Q78" i="14" s="1"/>
  <c r="M78" i="14"/>
  <c r="P77" i="14"/>
  <c r="M77" i="14"/>
  <c r="Q77" i="14" s="1"/>
  <c r="P76" i="14"/>
  <c r="K76" i="14"/>
  <c r="M76" i="14" s="1"/>
  <c r="Q76" i="14" s="1"/>
  <c r="K75" i="14"/>
  <c r="G75" i="14"/>
  <c r="M75" i="14" s="1"/>
  <c r="Q75" i="14" s="1"/>
  <c r="N74" i="14"/>
  <c r="K74" i="14"/>
  <c r="M74" i="14" s="1"/>
  <c r="Q74" i="14" s="1"/>
  <c r="D74" i="14"/>
  <c r="O73" i="14"/>
  <c r="M73" i="14"/>
  <c r="Q73" i="14" s="1"/>
  <c r="K73" i="14"/>
  <c r="M72" i="14"/>
  <c r="Q72" i="14" s="1"/>
  <c r="P71" i="14"/>
  <c r="O71" i="14"/>
  <c r="N71" i="14"/>
  <c r="M71" i="14"/>
  <c r="Q71" i="14" s="1"/>
  <c r="K71" i="14"/>
  <c r="P70" i="14"/>
  <c r="O70" i="14"/>
  <c r="N70" i="14"/>
  <c r="K70" i="14"/>
  <c r="M70" i="14" s="1"/>
  <c r="Q70" i="14" s="1"/>
  <c r="Q69" i="14"/>
  <c r="O69" i="14"/>
  <c r="M69" i="14"/>
  <c r="M68" i="14"/>
  <c r="Q68" i="14" s="1"/>
  <c r="P67" i="14"/>
  <c r="M67" i="14"/>
  <c r="Q67" i="14" s="1"/>
  <c r="P66" i="14"/>
  <c r="K66" i="14"/>
  <c r="M66" i="14" s="1"/>
  <c r="Q66" i="14" s="1"/>
  <c r="K65" i="14"/>
  <c r="E65" i="14"/>
  <c r="M65" i="14" s="1"/>
  <c r="Q65" i="14" s="1"/>
  <c r="Q64" i="14"/>
  <c r="M64" i="14"/>
  <c r="P63" i="14"/>
  <c r="M63" i="14"/>
  <c r="Q63" i="14" s="1"/>
  <c r="L63" i="14"/>
  <c r="K63" i="14"/>
  <c r="M62" i="14"/>
  <c r="Q61" i="14"/>
  <c r="M61" i="14"/>
  <c r="D61" i="14"/>
  <c r="Q60" i="14"/>
  <c r="P60" i="14"/>
  <c r="M60" i="14"/>
  <c r="K60" i="14"/>
  <c r="P59" i="14"/>
  <c r="Q59" i="14" s="1"/>
  <c r="M59" i="14"/>
  <c r="K59" i="14"/>
  <c r="P58" i="14"/>
  <c r="P62" i="14" s="1"/>
  <c r="O58" i="14"/>
  <c r="O62" i="14" s="1"/>
  <c r="N58" i="14"/>
  <c r="N62" i="14" s="1"/>
  <c r="Q62" i="14" s="1"/>
  <c r="K58" i="14"/>
  <c r="M58" i="14" s="1"/>
  <c r="Q58" i="14" s="1"/>
  <c r="D58" i="14"/>
  <c r="M57" i="14"/>
  <c r="Q57" i="14" s="1"/>
  <c r="M56" i="14"/>
  <c r="Q56" i="14" s="1"/>
  <c r="Q55" i="14"/>
  <c r="P55" i="14"/>
  <c r="M55" i="14"/>
  <c r="P54" i="14"/>
  <c r="M54" i="14"/>
  <c r="Q54" i="14" s="1"/>
  <c r="L54" i="14"/>
  <c r="K54" i="14"/>
  <c r="Q53" i="14"/>
  <c r="M53" i="14"/>
  <c r="P52" i="14"/>
  <c r="K52" i="14"/>
  <c r="M52" i="14" s="1"/>
  <c r="Q52" i="14" s="1"/>
  <c r="Q51" i="14"/>
  <c r="M51" i="14"/>
  <c r="L50" i="14"/>
  <c r="M50" i="14" s="1"/>
  <c r="Q50" i="14" s="1"/>
  <c r="N49" i="14"/>
  <c r="M49" i="14"/>
  <c r="Q49" i="14" s="1"/>
  <c r="L49" i="14"/>
  <c r="K49" i="14"/>
  <c r="E49" i="14"/>
  <c r="O48" i="14"/>
  <c r="Q48" i="14" s="1"/>
  <c r="M48" i="14"/>
  <c r="N47" i="14"/>
  <c r="M47" i="14"/>
  <c r="Q47" i="14" s="1"/>
  <c r="K47" i="14"/>
  <c r="Q46" i="14"/>
  <c r="P46" i="14"/>
  <c r="M46" i="14"/>
  <c r="P45" i="14"/>
  <c r="O45" i="14"/>
  <c r="N45" i="14"/>
  <c r="M45" i="14"/>
  <c r="Q45" i="14" s="1"/>
  <c r="K45" i="14"/>
  <c r="G45" i="14"/>
  <c r="D45" i="14"/>
  <c r="P44" i="14"/>
  <c r="M44" i="14"/>
  <c r="Q44" i="14" s="1"/>
  <c r="L44" i="14"/>
  <c r="K44" i="14"/>
  <c r="Q43" i="14"/>
  <c r="P43" i="14"/>
  <c r="M43" i="14"/>
  <c r="K43" i="14"/>
  <c r="M42" i="14"/>
  <c r="Q42" i="14" s="1"/>
  <c r="M41" i="14"/>
  <c r="Q41" i="14" s="1"/>
  <c r="L40" i="14"/>
  <c r="M40" i="14" s="1"/>
  <c r="Q40" i="14" s="1"/>
  <c r="E40" i="14"/>
  <c r="P39" i="14"/>
  <c r="M39" i="14"/>
  <c r="Q39" i="14" s="1"/>
  <c r="P38" i="14"/>
  <c r="O38" i="14"/>
  <c r="N38" i="14"/>
  <c r="K38" i="14"/>
  <c r="D38" i="14"/>
  <c r="M38" i="14" s="1"/>
  <c r="Q38" i="14" s="1"/>
  <c r="M37" i="14"/>
  <c r="Q37" i="14" s="1"/>
  <c r="Q36" i="14"/>
  <c r="M36" i="14"/>
  <c r="Q35" i="14"/>
  <c r="P35" i="14"/>
  <c r="M35" i="14"/>
  <c r="Q34" i="14"/>
  <c r="M34" i="14"/>
  <c r="P33" i="14"/>
  <c r="O33" i="14"/>
  <c r="N33" i="14"/>
  <c r="K33" i="14"/>
  <c r="M33" i="14" s="1"/>
  <c r="Q33" i="14" s="1"/>
  <c r="Q32" i="14"/>
  <c r="P32" i="14"/>
  <c r="M32" i="14"/>
  <c r="Q31" i="14"/>
  <c r="N31" i="14"/>
  <c r="M31" i="14"/>
  <c r="M30" i="14"/>
  <c r="Q30" i="14" s="1"/>
  <c r="Q29" i="14"/>
  <c r="P29" i="14"/>
  <c r="O29" i="14"/>
  <c r="N29" i="14"/>
  <c r="M29" i="14"/>
  <c r="Q28" i="14"/>
  <c r="M28" i="14"/>
  <c r="P27" i="14"/>
  <c r="M27" i="14"/>
  <c r="Q27" i="14" s="1"/>
  <c r="P26" i="14"/>
  <c r="O26" i="14"/>
  <c r="N26" i="14"/>
  <c r="L26" i="14"/>
  <c r="K26" i="14"/>
  <c r="M26" i="14" s="1"/>
  <c r="Q26" i="14" s="1"/>
  <c r="Q25" i="14"/>
  <c r="P25" i="14"/>
  <c r="O25" i="14"/>
  <c r="N25" i="14"/>
  <c r="M25" i="14"/>
  <c r="P24" i="14"/>
  <c r="O24" i="14"/>
  <c r="N24" i="14"/>
  <c r="M24" i="14"/>
  <c r="Q24" i="14" s="1"/>
  <c r="Q23" i="14"/>
  <c r="P23" i="14"/>
  <c r="M23" i="14"/>
  <c r="K23" i="14"/>
  <c r="P22" i="14"/>
  <c r="M22" i="14"/>
  <c r="Q22" i="14" s="1"/>
  <c r="Q21" i="14"/>
  <c r="P21" i="14"/>
  <c r="M21" i="14"/>
  <c r="P20" i="14"/>
  <c r="O20" i="14"/>
  <c r="N20" i="14"/>
  <c r="M20" i="14"/>
  <c r="Q20" i="14" s="1"/>
  <c r="K20" i="14"/>
  <c r="D20" i="14"/>
  <c r="P19" i="14"/>
  <c r="N19" i="14"/>
  <c r="D19" i="14"/>
  <c r="M19" i="14" s="1"/>
  <c r="Q19" i="14" s="1"/>
  <c r="Q18" i="14"/>
  <c r="P18" i="14"/>
  <c r="O18" i="14"/>
  <c r="N18" i="14"/>
  <c r="M18" i="14"/>
  <c r="L18" i="14"/>
  <c r="K18" i="14"/>
  <c r="Q17" i="14"/>
  <c r="P17" i="14"/>
  <c r="M17" i="14"/>
  <c r="K17" i="14"/>
  <c r="M16" i="14"/>
  <c r="Q16" i="14" s="1"/>
  <c r="K16" i="14"/>
  <c r="E16" i="14"/>
  <c r="Q15" i="14"/>
  <c r="M15" i="14"/>
  <c r="Q14" i="14"/>
  <c r="M14" i="14"/>
  <c r="P13" i="14"/>
  <c r="L13" i="14"/>
  <c r="M13" i="14" s="1"/>
  <c r="Q13" i="14" s="1"/>
  <c r="Q12" i="14"/>
  <c r="P12" i="14"/>
  <c r="M12" i="14"/>
  <c r="K12" i="14"/>
  <c r="P11" i="14"/>
  <c r="O11" i="14"/>
  <c r="N11" i="14"/>
  <c r="M11" i="14"/>
  <c r="Q11" i="14" s="1"/>
  <c r="Q10" i="14"/>
  <c r="P10" i="14"/>
  <c r="O10" i="14"/>
  <c r="N10" i="14"/>
  <c r="M10" i="14"/>
  <c r="E10" i="14"/>
  <c r="P9" i="14"/>
  <c r="M9" i="14"/>
  <c r="Q9" i="14" s="1"/>
  <c r="Q8" i="14"/>
  <c r="M8" i="14"/>
  <c r="M7" i="14"/>
  <c r="Q7" i="14" s="1"/>
  <c r="K7" i="14"/>
  <c r="P6" i="14"/>
  <c r="O6" i="14"/>
  <c r="N6" i="14"/>
  <c r="M6" i="14"/>
  <c r="Q6" i="14" s="1"/>
  <c r="M5" i="14"/>
  <c r="Q5" i="14" s="1"/>
  <c r="P4" i="14"/>
  <c r="M4" i="14"/>
  <c r="Q4" i="14" s="1"/>
  <c r="K4" i="14"/>
  <c r="P3" i="14"/>
  <c r="P123" i="14" s="1"/>
  <c r="O3" i="14"/>
  <c r="O123" i="14" s="1"/>
  <c r="N3" i="14"/>
  <c r="N123" i="14" s="1"/>
  <c r="L3" i="14"/>
  <c r="L123" i="14" s="1"/>
  <c r="K3" i="14"/>
  <c r="K123" i="14" s="1"/>
  <c r="J3" i="14"/>
  <c r="I3" i="14"/>
  <c r="I123" i="14" s="1"/>
  <c r="H3" i="14"/>
  <c r="H123" i="14" s="1"/>
  <c r="G3" i="14"/>
  <c r="G123" i="14" s="1"/>
  <c r="F3" i="14"/>
  <c r="F123" i="14" s="1"/>
  <c r="E3" i="14"/>
  <c r="E123" i="14" s="1"/>
  <c r="D3" i="14"/>
  <c r="D123" i="14" s="1"/>
  <c r="C3" i="14"/>
  <c r="M3" i="14" s="1"/>
  <c r="Q3" i="14" l="1"/>
  <c r="Q123" i="14" s="1"/>
  <c r="M123" i="14"/>
  <c r="C123" i="14"/>
  <c r="D128" i="12" l="1"/>
  <c r="T128" i="12" s="1"/>
  <c r="E128" i="12"/>
  <c r="F128" i="12"/>
  <c r="G128" i="12"/>
  <c r="H128" i="12"/>
  <c r="I128" i="12"/>
  <c r="J128" i="12"/>
  <c r="K128" i="12"/>
  <c r="L128" i="12"/>
  <c r="M128" i="12"/>
  <c r="N128" i="12"/>
  <c r="O128" i="12"/>
  <c r="P128" i="12"/>
  <c r="Q128" i="12"/>
  <c r="R128" i="12"/>
  <c r="S128" i="12"/>
  <c r="T127" i="13"/>
  <c r="P127" i="13"/>
  <c r="Q127" i="13"/>
  <c r="R127" i="13"/>
  <c r="S127" i="13"/>
  <c r="F135" i="4"/>
  <c r="G135" i="4"/>
  <c r="H135" i="4"/>
  <c r="I135" i="4"/>
  <c r="J135" i="4"/>
  <c r="K135" i="4"/>
  <c r="L135" i="4"/>
  <c r="M135" i="4"/>
  <c r="N135" i="4"/>
  <c r="O135" i="4"/>
  <c r="P135" i="4"/>
  <c r="Q135" i="4"/>
  <c r="R135" i="4"/>
  <c r="S135" i="4"/>
  <c r="K125" i="2"/>
  <c r="L125" i="2"/>
  <c r="M125" i="2"/>
  <c r="N125" i="2"/>
  <c r="O125" i="2"/>
  <c r="P125" i="2"/>
  <c r="Q125" i="2"/>
  <c r="R125" i="2"/>
  <c r="S125" i="2"/>
  <c r="D125" i="2"/>
  <c r="E125" i="2"/>
  <c r="F125" i="2"/>
  <c r="G125" i="2"/>
  <c r="H125" i="2"/>
  <c r="I125" i="2"/>
  <c r="J125" i="2"/>
  <c r="T71" i="12"/>
  <c r="T92" i="12"/>
  <c r="T10" i="12"/>
  <c r="T83" i="12" l="1"/>
  <c r="T4" i="12"/>
  <c r="T75" i="12"/>
  <c r="T97" i="12"/>
  <c r="T91" i="12"/>
  <c r="T77" i="12"/>
  <c r="T66" i="12"/>
  <c r="T101" i="12"/>
  <c r="T85" i="12"/>
  <c r="T120" i="12"/>
  <c r="T36" i="12"/>
  <c r="T126" i="12"/>
  <c r="T22" i="12"/>
  <c r="T125" i="12"/>
  <c r="T24" i="12"/>
  <c r="T42" i="12" l="1"/>
  <c r="T67" i="12"/>
  <c r="T19" i="12" l="1"/>
  <c r="T78" i="12" l="1"/>
  <c r="T58" i="12"/>
  <c r="T87" i="12"/>
  <c r="T6" i="12"/>
  <c r="T70" i="12"/>
  <c r="T64" i="12"/>
  <c r="T114" i="12"/>
  <c r="T28" i="12"/>
  <c r="T21" i="12"/>
  <c r="T11" i="12"/>
  <c r="T31" i="12"/>
  <c r="T69" i="12" l="1"/>
  <c r="T119" i="12"/>
  <c r="T43" i="12"/>
  <c r="T74" i="12"/>
  <c r="T17" i="12" l="1"/>
  <c r="T48" i="12"/>
  <c r="T37" i="12"/>
  <c r="T115" i="12" l="1"/>
  <c r="T108" i="12"/>
  <c r="T2" i="12"/>
  <c r="T90" i="12"/>
  <c r="T65" i="12"/>
  <c r="T52" i="12"/>
  <c r="T51" i="12"/>
  <c r="T47" i="12"/>
  <c r="T26" i="12"/>
  <c r="T106" i="12"/>
  <c r="T8" i="12"/>
  <c r="T121" i="12"/>
  <c r="T112" i="12"/>
  <c r="T113" i="12"/>
  <c r="T34" i="12"/>
  <c r="T27" i="12"/>
  <c r="T111" i="12"/>
  <c r="T99" i="12"/>
  <c r="T81" i="12"/>
  <c r="T25" i="12"/>
  <c r="T54" i="12"/>
  <c r="T53" i="12"/>
  <c r="T76" i="12"/>
  <c r="T61" i="12"/>
  <c r="T46" i="12"/>
  <c r="T107" i="12"/>
  <c r="T29" i="12"/>
  <c r="T105" i="12"/>
  <c r="T80" i="12"/>
  <c r="T59" i="12"/>
  <c r="T3" i="12"/>
  <c r="T110" i="12"/>
  <c r="T123" i="12"/>
  <c r="T124" i="12"/>
  <c r="T117" i="12"/>
  <c r="T16" i="12"/>
  <c r="T20" i="12" l="1"/>
  <c r="T5" i="12" l="1"/>
  <c r="T35" i="12"/>
  <c r="T82" i="12"/>
  <c r="T9" i="12"/>
  <c r="T96" i="12"/>
  <c r="T73" i="12"/>
  <c r="T38" i="12"/>
  <c r="T55" i="12"/>
  <c r="T49" i="12"/>
  <c r="T116" i="12"/>
  <c r="T89" i="12"/>
  <c r="T30" i="12"/>
  <c r="T44" i="12"/>
  <c r="T15" i="12"/>
  <c r="T7" i="12"/>
  <c r="T86" i="12"/>
  <c r="T40" i="12"/>
  <c r="N127" i="13"/>
  <c r="O127" i="13"/>
  <c r="K127" i="13"/>
  <c r="L127" i="13"/>
  <c r="M127" i="13"/>
  <c r="J127" i="13"/>
  <c r="H127" i="13"/>
  <c r="I127" i="13"/>
  <c r="G127" i="13"/>
  <c r="F127" i="13"/>
  <c r="E127" i="13"/>
  <c r="D127" i="13"/>
  <c r="T23" i="13"/>
  <c r="T69" i="13"/>
  <c r="T60" i="13"/>
  <c r="T33" i="13"/>
  <c r="T13" i="13"/>
  <c r="T124" i="13"/>
  <c r="T77" i="13"/>
  <c r="T71" i="13"/>
  <c r="T30" i="13" l="1"/>
  <c r="T27" i="13"/>
  <c r="T67" i="13"/>
  <c r="T65" i="13"/>
  <c r="T87" i="13"/>
  <c r="T109" i="13" l="1"/>
  <c r="T101" i="13"/>
  <c r="T102" i="13"/>
  <c r="T62" i="13"/>
  <c r="T61" i="13"/>
  <c r="T66" i="13"/>
  <c r="T56" i="13"/>
  <c r="T93" i="13"/>
  <c r="T122" i="13"/>
  <c r="T123" i="13"/>
  <c r="T80" i="13"/>
  <c r="T73" i="13"/>
  <c r="T11" i="13"/>
  <c r="T82" i="13"/>
  <c r="T84" i="13"/>
  <c r="T90" i="13" l="1"/>
  <c r="T68" i="13"/>
  <c r="T96" i="13"/>
  <c r="T103" i="13"/>
  <c r="T9" i="13"/>
  <c r="T37" i="13"/>
  <c r="T28" i="13"/>
  <c r="T113" i="13" l="1"/>
  <c r="T117" i="13"/>
  <c r="T74" i="13"/>
  <c r="T70" i="13"/>
  <c r="T6" i="13"/>
  <c r="T32" i="13"/>
  <c r="T91" i="13"/>
  <c r="T107" i="13"/>
  <c r="T119" i="13"/>
  <c r="T81" i="13"/>
  <c r="T2" i="13"/>
  <c r="T18" i="13"/>
  <c r="T89" i="13"/>
  <c r="T47" i="13"/>
  <c r="T57" i="13"/>
  <c r="T41" i="13"/>
  <c r="T120" i="13"/>
  <c r="T42" i="13"/>
  <c r="T36" i="13"/>
  <c r="T4" i="13"/>
  <c r="T17" i="13"/>
  <c r="T14" i="13"/>
  <c r="T39" i="13"/>
  <c r="T64" i="13"/>
  <c r="T125" i="13"/>
  <c r="T26" i="13"/>
  <c r="T24" i="13" l="1"/>
  <c r="T106" i="13"/>
  <c r="T19" i="13"/>
  <c r="T25" i="13" l="1"/>
  <c r="T34" i="13"/>
  <c r="T121" i="13" l="1"/>
  <c r="T44" i="13"/>
  <c r="T12" i="13"/>
  <c r="T76" i="13"/>
  <c r="T112" i="13"/>
  <c r="T78" i="13"/>
  <c r="T48" i="13"/>
  <c r="T52" i="13"/>
  <c r="T53" i="13"/>
  <c r="T118" i="13"/>
  <c r="T29" i="13"/>
  <c r="T46" i="13"/>
  <c r="T79" i="13"/>
  <c r="T75" i="13"/>
  <c r="T3" i="13"/>
  <c r="T111" i="13" l="1"/>
  <c r="T86" i="13"/>
  <c r="T104" i="13"/>
  <c r="T31" i="13"/>
  <c r="T105" i="13" l="1"/>
  <c r="T22" i="13"/>
  <c r="T51" i="13"/>
  <c r="T43" i="13"/>
  <c r="T8" i="13"/>
  <c r="T5" i="13"/>
  <c r="T10" i="13"/>
  <c r="T114" i="13"/>
  <c r="T20" i="13"/>
  <c r="T97" i="13" l="1"/>
  <c r="T35" i="13"/>
  <c r="T58" i="13" l="1"/>
  <c r="T94" i="13" l="1"/>
  <c r="T85" i="13"/>
  <c r="T63" i="13" l="1"/>
  <c r="T54" i="13" l="1"/>
  <c r="T83" i="13" l="1"/>
  <c r="T88" i="13" l="1"/>
  <c r="T49" i="13"/>
  <c r="T98" i="13" l="1"/>
  <c r="T15" i="13"/>
  <c r="T108" i="13" l="1"/>
  <c r="T116" i="13" l="1"/>
  <c r="T115" i="13"/>
  <c r="T7" i="13" l="1"/>
  <c r="T72" i="13" l="1"/>
  <c r="T16" i="13"/>
  <c r="T100" i="13" l="1"/>
  <c r="T38" i="13"/>
  <c r="T110" i="13"/>
  <c r="T40" i="13" l="1"/>
  <c r="T95" i="13" l="1"/>
  <c r="T67" i="2" l="1"/>
  <c r="T33" i="4" l="1"/>
  <c r="T107" i="4" l="1"/>
  <c r="T14" i="4" l="1"/>
  <c r="T21" i="4" l="1"/>
  <c r="T110" i="4" l="1"/>
  <c r="T117" i="4" l="1"/>
  <c r="T33" i="2" l="1"/>
  <c r="T39" i="4"/>
  <c r="T51" i="4" l="1"/>
  <c r="T72" i="4"/>
  <c r="T128" i="4"/>
  <c r="T43" i="4" l="1"/>
  <c r="T132" i="4" l="1"/>
  <c r="T29" i="4" l="1"/>
  <c r="T20" i="4" l="1"/>
  <c r="T73" i="4" l="1"/>
  <c r="T48" i="4" l="1"/>
  <c r="T36" i="4" l="1"/>
  <c r="T94" i="4" l="1"/>
  <c r="T80" i="4" l="1"/>
  <c r="T127" i="4" l="1"/>
  <c r="T60" i="4" l="1"/>
  <c r="T65" i="4" l="1"/>
  <c r="T115" i="4" l="1"/>
  <c r="T58" i="4" l="1"/>
  <c r="T121" i="4" l="1"/>
  <c r="T88" i="4" l="1"/>
  <c r="T53" i="4" l="1"/>
  <c r="T67" i="4" l="1"/>
  <c r="T90" i="4" l="1"/>
  <c r="T125" i="4" l="1"/>
  <c r="T61" i="4" l="1"/>
  <c r="T100" i="4" l="1"/>
  <c r="T106" i="4" l="1"/>
  <c r="T34" i="4" l="1"/>
  <c r="T41" i="4" l="1"/>
  <c r="T71" i="4" l="1"/>
  <c r="T74" i="4" l="1"/>
  <c r="T26" i="4" l="1"/>
  <c r="T25" i="4"/>
  <c r="T17" i="4" l="1"/>
  <c r="T16" i="4" l="1"/>
  <c r="T4" i="4" l="1"/>
  <c r="T84" i="4" l="1"/>
  <c r="T86" i="4" l="1"/>
  <c r="T103" i="4" l="1"/>
  <c r="T56" i="4" l="1"/>
  <c r="T75" i="4" l="1"/>
  <c r="T38" i="4" l="1"/>
  <c r="T31" i="4" l="1"/>
  <c r="T116" i="4" l="1"/>
  <c r="T7" i="4"/>
  <c r="T19" i="4" l="1"/>
  <c r="T111" i="4" l="1"/>
  <c r="T99" i="4" l="1"/>
  <c r="T40" i="4" l="1"/>
  <c r="T101" i="4" l="1"/>
  <c r="T122" i="4"/>
  <c r="T30" i="4" l="1"/>
  <c r="T87" i="4" l="1"/>
  <c r="T78" i="4" l="1"/>
  <c r="T97" i="4" l="1"/>
  <c r="T96" i="4"/>
  <c r="T47" i="4"/>
  <c r="T120" i="4"/>
  <c r="T108" i="4" l="1"/>
  <c r="T57" i="4" l="1"/>
  <c r="T82" i="4" l="1"/>
  <c r="T77" i="4"/>
  <c r="T27" i="4" l="1"/>
  <c r="T10" i="4" l="1"/>
  <c r="T76" i="4" l="1"/>
  <c r="T66" i="4" l="1"/>
  <c r="T133" i="4" l="1"/>
  <c r="T3" i="4" l="1"/>
  <c r="T49" i="4" l="1"/>
  <c r="T6" i="4"/>
  <c r="T119" i="4" l="1"/>
  <c r="T9" i="4" l="1"/>
  <c r="T8" i="4" l="1"/>
  <c r="T37" i="4" l="1"/>
  <c r="T62" i="4" l="1"/>
  <c r="T32" i="4" l="1"/>
  <c r="T70" i="4" l="1"/>
  <c r="T35" i="4" l="1"/>
  <c r="T114" i="4" l="1"/>
  <c r="T89" i="4" l="1"/>
  <c r="T15" i="4" l="1"/>
  <c r="T5" i="4" l="1"/>
  <c r="T13" i="4" l="1"/>
  <c r="T12" i="4" l="1"/>
  <c r="T11" i="4"/>
  <c r="T79" i="4" l="1"/>
  <c r="T105" i="4"/>
  <c r="T68" i="4" l="1"/>
  <c r="T81" i="4" l="1"/>
  <c r="T69" i="4" l="1"/>
  <c r="T50" i="4" l="1"/>
  <c r="T129" i="4" l="1"/>
  <c r="T54" i="4"/>
  <c r="T118" i="4" l="1"/>
  <c r="T95" i="4" l="1"/>
  <c r="T104" i="4" l="1"/>
  <c r="T42" i="4" l="1"/>
  <c r="T46" i="4" l="1"/>
  <c r="T83" i="4" l="1"/>
  <c r="T126" i="4" l="1"/>
  <c r="T59" i="4" l="1"/>
  <c r="T98" i="4" l="1"/>
  <c r="T18" i="4" l="1"/>
  <c r="T123" i="4" l="1"/>
  <c r="T24" i="4" l="1"/>
  <c r="T23" i="4"/>
  <c r="T44" i="4" l="1"/>
  <c r="T112" i="4" l="1"/>
  <c r="T22" i="4" l="1"/>
  <c r="T52" i="4" l="1"/>
  <c r="T64" i="4" l="1"/>
  <c r="T131" i="4" l="1"/>
  <c r="T130" i="4"/>
  <c r="T93" i="4"/>
  <c r="T92" i="4" l="1"/>
  <c r="T45" i="4"/>
  <c r="T124" i="4" l="1"/>
  <c r="T91" i="4" l="1"/>
  <c r="T102" i="4"/>
  <c r="T55" i="4" l="1"/>
  <c r="D135" i="4" l="1"/>
  <c r="E135" i="4"/>
  <c r="T2" i="4"/>
  <c r="T135" i="4" l="1"/>
  <c r="T37" i="2"/>
  <c r="T62" i="2" l="1"/>
  <c r="T85" i="2"/>
  <c r="T18" i="2" l="1"/>
  <c r="T80" i="2" l="1"/>
  <c r="T13" i="2" l="1"/>
  <c r="T97" i="2" l="1"/>
  <c r="T100" i="2" l="1"/>
  <c r="T45" i="2" l="1"/>
  <c r="T122" i="2" l="1"/>
  <c r="T101" i="2" l="1"/>
  <c r="T72" i="2" l="1"/>
  <c r="T68" i="2" l="1"/>
  <c r="T14" i="2" l="1"/>
  <c r="T19" i="2" l="1"/>
  <c r="T66" i="2" l="1"/>
  <c r="T60" i="2" l="1"/>
  <c r="T89" i="2" l="1"/>
  <c r="T28" i="2" l="1"/>
  <c r="T4" i="2" l="1"/>
  <c r="T9" i="2" l="1"/>
  <c r="T63" i="2" l="1"/>
  <c r="T94" i="2" l="1"/>
  <c r="T43" i="2" l="1"/>
  <c r="T41" i="2" l="1"/>
  <c r="T104" i="2" l="1"/>
  <c r="T119" i="2" l="1"/>
  <c r="T27" i="2" l="1"/>
  <c r="T12" i="2" l="1"/>
  <c r="T88" i="2" l="1"/>
  <c r="T6" i="2" l="1"/>
  <c r="T32" i="2" l="1"/>
  <c r="T23" i="2" l="1"/>
  <c r="T56" i="2" l="1"/>
  <c r="T87" i="2" l="1"/>
  <c r="T47" i="2" l="1"/>
  <c r="T99" i="2" l="1"/>
  <c r="T79" i="2" l="1"/>
  <c r="T29" i="2"/>
  <c r="T59" i="2" l="1"/>
  <c r="T25" i="2" l="1"/>
  <c r="T50" i="2" l="1"/>
  <c r="T31" i="2" l="1"/>
  <c r="T53" i="2"/>
  <c r="T52" i="2" l="1"/>
  <c r="T111" i="2" l="1"/>
  <c r="T34" i="2" l="1"/>
  <c r="T74" i="2" l="1"/>
  <c r="T118" i="2" l="1"/>
  <c r="T115" i="2" l="1"/>
  <c r="T77" i="2" l="1"/>
  <c r="T91" i="2" l="1"/>
  <c r="T2" i="2" l="1"/>
  <c r="T11" i="2" l="1"/>
  <c r="T116" i="2" l="1"/>
  <c r="T75" i="2" l="1"/>
  <c r="T78" i="2" l="1"/>
  <c r="T22" i="2" l="1"/>
  <c r="T121" i="2" l="1"/>
  <c r="T120" i="2" l="1"/>
  <c r="T105" i="2" l="1"/>
  <c r="T16" i="2"/>
  <c r="T17" i="2" l="1"/>
  <c r="T107" i="2" l="1"/>
  <c r="T112" i="2" l="1"/>
  <c r="T64" i="2" l="1"/>
  <c r="T76" i="2" l="1"/>
  <c r="T109" i="2" l="1"/>
  <c r="T69" i="2" l="1"/>
  <c r="T15" i="2" l="1"/>
  <c r="T24" i="2" l="1"/>
  <c r="T36" i="2" l="1"/>
  <c r="T84" i="2" l="1"/>
  <c r="T123" i="2" l="1"/>
  <c r="T102" i="2" l="1"/>
  <c r="T71" i="2" l="1"/>
  <c r="T51" i="2" l="1"/>
  <c r="T117" i="2" l="1"/>
  <c r="T5" i="2" l="1"/>
  <c r="T30" i="2" l="1"/>
  <c r="T48" i="2" l="1"/>
  <c r="T26" i="2" l="1"/>
  <c r="T44" i="2" l="1"/>
  <c r="T110" i="2" l="1"/>
  <c r="T20" i="2" l="1"/>
  <c r="T8" i="2" l="1"/>
  <c r="T46" i="2" l="1"/>
  <c r="T90" i="2" l="1"/>
  <c r="T3" i="2" l="1"/>
  <c r="T42" i="2" l="1"/>
  <c r="T57" i="2" l="1"/>
  <c r="T35" i="2" l="1"/>
  <c r="T81" i="2" l="1"/>
  <c r="T92" i="2" l="1"/>
  <c r="T55" i="2" l="1"/>
  <c r="T95" i="2" l="1"/>
  <c r="T49" i="2" l="1"/>
  <c r="T10" i="2" l="1"/>
  <c r="T113" i="2" l="1"/>
  <c r="T96" i="2" l="1"/>
  <c r="T73" i="2" l="1"/>
  <c r="T7" i="2" l="1"/>
  <c r="T98" i="2" l="1"/>
  <c r="T93" i="2" l="1"/>
  <c r="T54" i="2" l="1"/>
  <c r="T70" i="2" l="1"/>
  <c r="T65" i="2" l="1"/>
  <c r="T40" i="2" l="1"/>
  <c r="T58" i="2" l="1"/>
  <c r="T61" i="2" l="1"/>
  <c r="T106" i="2" l="1"/>
  <c r="T108" i="2" l="1"/>
  <c r="T114" i="2" l="1"/>
  <c r="T83" i="2" l="1"/>
  <c r="T86" i="2" l="1"/>
  <c r="T38" i="2" l="1"/>
  <c r="T12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REV4711</author>
  </authors>
  <commentList>
    <comment ref="T113" authorId="0" shapeId="0" xr:uid="{00000000-0006-0000-0100-000001000000}">
      <text>
        <r>
          <rPr>
            <b/>
            <sz val="9"/>
            <color indexed="81"/>
            <rFont val="Tahoma"/>
            <family val="2"/>
          </rPr>
          <t>REV4711:</t>
        </r>
        <r>
          <rPr>
            <sz val="9"/>
            <color indexed="81"/>
            <rFont val="Tahoma"/>
            <family val="2"/>
          </rPr>
          <t xml:space="preserve">
Off $21.05 shoud be $51070.35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REV4711</author>
  </authors>
  <commentList>
    <comment ref="L83" authorId="0" shapeId="0" xr:uid="{00000000-0006-0000-0300-000001000000}">
      <text>
        <r>
          <rPr>
            <b/>
            <sz val="9"/>
            <color indexed="81"/>
            <rFont val="Tahoma"/>
            <family val="2"/>
          </rPr>
          <t>REV4711:</t>
        </r>
        <r>
          <rPr>
            <sz val="9"/>
            <color indexed="81"/>
            <rFont val="Tahoma"/>
            <family val="2"/>
          </rPr>
          <t xml:space="preserve">
junior college</t>
        </r>
      </text>
    </comment>
    <comment ref="J92" authorId="0" shapeId="0" xr:uid="{00000000-0006-0000-0300-000002000000}">
      <text>
        <r>
          <rPr>
            <b/>
            <sz val="9"/>
            <color indexed="81"/>
            <rFont val="Tahoma"/>
            <family val="2"/>
          </rPr>
          <t>REV4711:</t>
        </r>
        <r>
          <rPr>
            <sz val="9"/>
            <color indexed="81"/>
            <rFont val="Tahoma"/>
            <family val="2"/>
          </rPr>
          <t xml:space="preserve">
CITY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REV4711</author>
  </authors>
  <commentList>
    <comment ref="J86" authorId="0" shapeId="0" xr:uid="{00000000-0006-0000-0400-000002000000}">
      <text>
        <r>
          <rPr>
            <b/>
            <sz val="9"/>
            <color indexed="81"/>
            <rFont val="Tahoma"/>
            <family val="2"/>
          </rPr>
          <t>REV4711:</t>
        </r>
        <r>
          <rPr>
            <sz val="9"/>
            <color indexed="81"/>
            <rFont val="Tahoma"/>
            <family val="2"/>
          </rPr>
          <t xml:space="preserve">
CITY</t>
        </r>
      </text>
    </comment>
    <comment ref="U104" authorId="0" shapeId="0" xr:uid="{65DFAE7B-8E40-4421-BA37-B8007C039350}">
      <text>
        <r>
          <rPr>
            <b/>
            <sz val="9"/>
            <color indexed="81"/>
            <rFont val="Tahoma"/>
            <family val="2"/>
          </rPr>
          <t>REV4711:</t>
        </r>
        <r>
          <rPr>
            <sz val="9"/>
            <color indexed="81"/>
            <rFont val="Tahoma"/>
            <family val="2"/>
          </rPr>
          <t xml:space="preserve">
167.00 DIFFERENCE 
</t>
        </r>
      </text>
    </comment>
    <comment ref="U105" authorId="0" shapeId="0" xr:uid="{BEA2527A-F176-4CFE-BFC0-AE405701E7BC}">
      <text>
        <r>
          <rPr>
            <b/>
            <sz val="9"/>
            <color indexed="81"/>
            <rFont val="Tahoma"/>
            <family val="2"/>
          </rPr>
          <t>REV4711:</t>
        </r>
        <r>
          <rPr>
            <sz val="9"/>
            <color indexed="81"/>
            <rFont val="Tahoma"/>
            <family val="2"/>
          </rPr>
          <t xml:space="preserve">
One bill pas paid prior to the sale actually $ 4004.43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REV4711</author>
  </authors>
  <commentList>
    <comment ref="J87" authorId="0" shapeId="0" xr:uid="{B3F97C8D-848F-48B0-BBDD-495EA8D459B5}">
      <text>
        <r>
          <rPr>
            <b/>
            <sz val="9"/>
            <color indexed="81"/>
            <rFont val="Tahoma"/>
            <family val="2"/>
          </rPr>
          <t>REV4711:</t>
        </r>
        <r>
          <rPr>
            <sz val="9"/>
            <color indexed="81"/>
            <rFont val="Tahoma"/>
            <family val="2"/>
          </rPr>
          <t xml:space="preserve">
CITY</t>
        </r>
      </text>
    </comment>
  </commentList>
</comments>
</file>

<file path=xl/sharedStrings.xml><?xml version="1.0" encoding="utf-8"?>
<sst xmlns="http://schemas.openxmlformats.org/spreadsheetml/2006/main" count="756" uniqueCount="322">
  <si>
    <t xml:space="preserve">County Name </t>
  </si>
  <si>
    <t>State Tax</t>
  </si>
  <si>
    <t>County Tax</t>
  </si>
  <si>
    <t xml:space="preserve">School Tax </t>
  </si>
  <si>
    <t>Sheriff Fees</t>
  </si>
  <si>
    <t>Atty Fees</t>
  </si>
  <si>
    <t>ADAIR</t>
  </si>
  <si>
    <t>ALLEN</t>
  </si>
  <si>
    <t>ANDERSON</t>
  </si>
  <si>
    <t>BALLARD</t>
  </si>
  <si>
    <t>BARREN</t>
  </si>
  <si>
    <t>BATH</t>
  </si>
  <si>
    <t>BELL</t>
  </si>
  <si>
    <t>BOONE</t>
  </si>
  <si>
    <t>BOURBON</t>
  </si>
  <si>
    <t>BOYD</t>
  </si>
  <si>
    <t>BOYLE</t>
  </si>
  <si>
    <t>BRACKEN</t>
  </si>
  <si>
    <t>BREATHITT</t>
  </si>
  <si>
    <t>BRECKINRIDGE</t>
  </si>
  <si>
    <t>BULLITT</t>
  </si>
  <si>
    <t>BUTLER</t>
  </si>
  <si>
    <t>CALDWELL</t>
  </si>
  <si>
    <t>CALLOWAY</t>
  </si>
  <si>
    <t>CAMPBELL</t>
  </si>
  <si>
    <t>CARLISLE</t>
  </si>
  <si>
    <t>CARROLL</t>
  </si>
  <si>
    <t>CARTER</t>
  </si>
  <si>
    <t>CASEY</t>
  </si>
  <si>
    <t xml:space="preserve">CHRISTIAN </t>
  </si>
  <si>
    <t>CLARK</t>
  </si>
  <si>
    <t>CLAY</t>
  </si>
  <si>
    <t>CLINTON</t>
  </si>
  <si>
    <t>CRITTENDEN</t>
  </si>
  <si>
    <t>CUMBERLAND</t>
  </si>
  <si>
    <t>DAVIESS</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</si>
  <si>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</si>
  <si>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</si>
  <si>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</si>
  <si>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</si>
  <si>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</si>
  <si>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</si>
  <si>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</si>
  <si>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</si>
  <si>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</si>
  <si>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</si>
  <si>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</si>
  <si>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</si>
  <si>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</si>
  <si>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</si>
  <si>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</si>
  <si>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</si>
  <si>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</si>
  <si>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</si>
  <si>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</si>
  <si>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</si>
  <si>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</si>
  <si>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</si>
  <si>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</si>
  <si>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</si>
  <si>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</si>
  <si>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JEFFRESON</t>
  </si>
  <si>
    <t>JESSAMINE</t>
  </si>
  <si>
    <t>JOHNSON</t>
  </si>
  <si>
    <t>KENTON</t>
  </si>
  <si>
    <t>KNOTT</t>
  </si>
  <si>
    <t>KNOX</t>
  </si>
  <si>
    <t>LARUE</t>
  </si>
  <si>
    <t>LAUREL</t>
  </si>
  <si>
    <t>LAWRENCE</t>
  </si>
  <si>
    <t>LEE</t>
  </si>
  <si>
    <t>LESLIE</t>
  </si>
  <si>
    <t>LETCHER</t>
  </si>
  <si>
    <t>LEWIS</t>
  </si>
  <si>
    <t>LINCOLN</t>
  </si>
  <si>
    <t>LIVINGSTON</t>
  </si>
  <si>
    <t>LOGAN</t>
  </si>
  <si>
    <t>LYON</t>
  </si>
  <si>
    <t>MCCRACKEN</t>
  </si>
  <si>
    <t xml:space="preserve">MCCREARY </t>
  </si>
  <si>
    <t>MCLEAN</t>
  </si>
  <si>
    <t>MADISON</t>
  </si>
  <si>
    <t>MAGOFFIN</t>
  </si>
  <si>
    <t>MARION</t>
  </si>
  <si>
    <t>MARSHALL</t>
  </si>
  <si>
    <t>MARTIN</t>
  </si>
  <si>
    <t>MASON</t>
  </si>
  <si>
    <t>MEADE</t>
  </si>
  <si>
    <t>MENIFFE</t>
  </si>
  <si>
    <t>MERCER</t>
  </si>
  <si>
    <t>METCALFE</t>
  </si>
  <si>
    <t>MONROE</t>
  </si>
  <si>
    <t>MONTGOMERY</t>
  </si>
  <si>
    <t>MORGAN</t>
  </si>
  <si>
    <t>MUHLENBERG</t>
  </si>
  <si>
    <t>NELSON</t>
  </si>
  <si>
    <t>NICHOLAS</t>
  </si>
  <si>
    <t>OHIO</t>
  </si>
  <si>
    <t>OLDHAM</t>
  </si>
  <si>
    <t>OWEN</t>
  </si>
  <si>
    <t>OWSLEY</t>
  </si>
  <si>
    <t>PENDLETON</t>
  </si>
  <si>
    <t xml:space="preserve">PERRRY </t>
  </si>
  <si>
    <t>PIKE</t>
  </si>
  <si>
    <t>POWELL</t>
  </si>
  <si>
    <t>PULASKI</t>
  </si>
  <si>
    <t>ROBERTSON</t>
  </si>
  <si>
    <t>ROCKCASTLE</t>
  </si>
  <si>
    <t>ROWAN</t>
  </si>
  <si>
    <t>RUSSELL</t>
  </si>
  <si>
    <t>SCOTT</t>
  </si>
  <si>
    <t xml:space="preserve">SHELBY </t>
  </si>
  <si>
    <t>SIMPSON</t>
  </si>
  <si>
    <t>SPENCER</t>
  </si>
  <si>
    <t>TAYLOR</t>
  </si>
  <si>
    <t>TODD</t>
  </si>
  <si>
    <t>TRIGG</t>
  </si>
  <si>
    <t>TRIMBLE</t>
  </si>
  <si>
    <t>UNION</t>
  </si>
  <si>
    <t>WARREN</t>
  </si>
  <si>
    <t>WASHINGTON</t>
  </si>
  <si>
    <t>WAYNE</t>
  </si>
  <si>
    <t>WEBSTER</t>
  </si>
  <si>
    <t>WOLFE</t>
  </si>
  <si>
    <t xml:space="preserve">WOODFORD </t>
  </si>
  <si>
    <t>Fiscal Cost</t>
  </si>
  <si>
    <t>Clerk Fees</t>
  </si>
  <si>
    <t>Total-Pen/Int</t>
  </si>
  <si>
    <t>Library</t>
  </si>
  <si>
    <t>Health</t>
  </si>
  <si>
    <t>Extension</t>
  </si>
  <si>
    <t>Ambulance</t>
  </si>
  <si>
    <t xml:space="preserve">Fire </t>
  </si>
  <si>
    <t>Miscellaneous</t>
  </si>
  <si>
    <t>Soil conserv.</t>
  </si>
  <si>
    <t>Grand Total Collected</t>
  </si>
  <si>
    <t>Total Bills Sold</t>
  </si>
  <si>
    <t>Hospital</t>
  </si>
  <si>
    <t>Total all counties</t>
  </si>
  <si>
    <t>Date of sale</t>
  </si>
  <si>
    <t>Color Key</t>
  </si>
  <si>
    <r>
      <t>WHITLEY(</t>
    </r>
    <r>
      <rPr>
        <sz val="9"/>
        <color theme="1"/>
        <rFont val="Garamond"/>
        <family val="1"/>
      </rPr>
      <t>priority )</t>
    </r>
  </si>
  <si>
    <t>WHITLEY(tax sale)</t>
  </si>
  <si>
    <t xml:space="preserve">PERRY </t>
  </si>
  <si>
    <r>
      <t>HENDERSON(</t>
    </r>
    <r>
      <rPr>
        <sz val="8"/>
        <color theme="1"/>
        <rFont val="Garamond"/>
        <family val="1"/>
      </rPr>
      <t>priority</t>
    </r>
  </si>
  <si>
    <r>
      <t>HENDERSON</t>
    </r>
    <r>
      <rPr>
        <sz val="8"/>
        <color theme="1"/>
        <rFont val="Garamond"/>
        <family val="1"/>
      </rPr>
      <t>(tax sale)</t>
    </r>
  </si>
  <si>
    <t>13..56</t>
  </si>
  <si>
    <r>
      <t>MEADE(</t>
    </r>
    <r>
      <rPr>
        <b/>
        <sz val="9"/>
        <color theme="1"/>
        <rFont val="Garamond"/>
        <family val="1"/>
      </rPr>
      <t>PRIOR</t>
    </r>
    <r>
      <rPr>
        <sz val="11"/>
        <color theme="1"/>
        <rFont val="Garamond"/>
        <family val="1"/>
      </rPr>
      <t>)</t>
    </r>
  </si>
  <si>
    <r>
      <t>WHITLEY</t>
    </r>
    <r>
      <rPr>
        <b/>
        <sz val="11"/>
        <color theme="1"/>
        <rFont val="Garamond"/>
        <family val="1"/>
      </rPr>
      <t>(</t>
    </r>
    <r>
      <rPr>
        <b/>
        <sz val="9"/>
        <color theme="1"/>
        <rFont val="Garamond"/>
        <family val="1"/>
      </rPr>
      <t xml:space="preserve">priority </t>
    </r>
    <r>
      <rPr>
        <sz val="9"/>
        <color theme="1"/>
        <rFont val="Garamond"/>
        <family val="1"/>
      </rPr>
      <t>)</t>
    </r>
  </si>
  <si>
    <t>CALLOWAY(priorty)</t>
  </si>
  <si>
    <t>CALLOWAY(lottery)</t>
  </si>
  <si>
    <r>
      <t>KENTON(</t>
    </r>
    <r>
      <rPr>
        <sz val="9"/>
        <color theme="1"/>
        <rFont val="Garamond"/>
        <family val="1"/>
      </rPr>
      <t>PRIORITY</t>
    </r>
    <r>
      <rPr>
        <sz val="11"/>
        <color theme="1"/>
        <rFont val="Garamond"/>
        <family val="1"/>
      </rPr>
      <t>)</t>
    </r>
  </si>
  <si>
    <t>BOURBON(LOT.)</t>
  </si>
  <si>
    <t>BOURBON(PRIOR)</t>
  </si>
  <si>
    <t>?</t>
  </si>
  <si>
    <r>
      <t>BELL</t>
    </r>
    <r>
      <rPr>
        <sz val="9"/>
        <color theme="1"/>
        <rFont val="Garamond"/>
        <family val="1"/>
      </rPr>
      <t>(</t>
    </r>
    <r>
      <rPr>
        <sz val="8"/>
        <color theme="1"/>
        <rFont val="Garamond"/>
        <family val="1"/>
      </rPr>
      <t>ASSIGN. BILL</t>
    </r>
    <r>
      <rPr>
        <sz val="9"/>
        <color theme="1"/>
        <rFont val="Garamond"/>
        <family val="1"/>
      </rPr>
      <t>S)</t>
    </r>
  </si>
  <si>
    <t>CAMPBELL(prior)</t>
  </si>
  <si>
    <t>`</t>
  </si>
  <si>
    <t>JEFFERSON</t>
  </si>
  <si>
    <t>43543,72</t>
  </si>
  <si>
    <t>-</t>
  </si>
  <si>
    <t>156.03 dif</t>
  </si>
  <si>
    <t>HENDERSON-priority</t>
  </si>
  <si>
    <t>HENDERSON-lottery</t>
  </si>
  <si>
    <t>]</t>
  </si>
  <si>
    <t>27  Co. left to get reports</t>
  </si>
  <si>
    <t>WHITLEY (priorites)</t>
  </si>
  <si>
    <t>JOHNSON(priorties)</t>
  </si>
  <si>
    <t>+</t>
  </si>
  <si>
    <t>8/24/222</t>
  </si>
  <si>
    <t>0 Co. left to get reports</t>
  </si>
  <si>
    <t xml:space="preserve">261, 6688.34 </t>
  </si>
  <si>
    <t>not right figures in the report.</t>
  </si>
  <si>
    <t xml:space="preserve">  </t>
  </si>
  <si>
    <t>HART (PRIORITY)</t>
  </si>
  <si>
    <t xml:space="preserve"> </t>
  </si>
  <si>
    <t>need report</t>
  </si>
  <si>
    <t>Receipts From Third Party Purchasers - Tax Sales of 2016 Certificates of Delinquency</t>
  </si>
  <si>
    <t>County</t>
  </si>
  <si>
    <t>Number of Bills Purchased</t>
  </si>
  <si>
    <t>State</t>
  </si>
  <si>
    <t xml:space="preserve">County </t>
  </si>
  <si>
    <t xml:space="preserve">School </t>
  </si>
  <si>
    <t xml:space="preserve">Library </t>
  </si>
  <si>
    <t>Soil  Conserv</t>
  </si>
  <si>
    <t>Fire</t>
  </si>
  <si>
    <t>Total Tax Penalty &amp; Interest</t>
  </si>
  <si>
    <t>Co Atty Fees</t>
  </si>
  <si>
    <t>Co Clerk Fees</t>
  </si>
  <si>
    <t>Grand Total Received</t>
  </si>
  <si>
    <t>Adair</t>
  </si>
  <si>
    <t>Allen</t>
  </si>
  <si>
    <t>Anderson</t>
  </si>
  <si>
    <t>Ballard</t>
  </si>
  <si>
    <t>Barren</t>
  </si>
  <si>
    <t>Bath</t>
  </si>
  <si>
    <t>Bell</t>
  </si>
  <si>
    <t>Boone</t>
  </si>
  <si>
    <t>Bourbon</t>
  </si>
  <si>
    <t>Boyd</t>
  </si>
  <si>
    <t>Boyle</t>
  </si>
  <si>
    <t>Bracken</t>
  </si>
  <si>
    <t>Breathitt</t>
  </si>
  <si>
    <t>Breckinridge</t>
  </si>
  <si>
    <t>Bullitt</t>
  </si>
  <si>
    <t>Butler</t>
  </si>
  <si>
    <t>Caldwell</t>
  </si>
  <si>
    <t>Calloway</t>
  </si>
  <si>
    <t>Campbell</t>
  </si>
  <si>
    <t>Carlisle</t>
  </si>
  <si>
    <t>Carroll</t>
  </si>
  <si>
    <t>Carter</t>
  </si>
  <si>
    <t>Casey</t>
  </si>
  <si>
    <t>Christian</t>
  </si>
  <si>
    <t>Clark</t>
  </si>
  <si>
    <t>Clay</t>
  </si>
  <si>
    <t>Clinton</t>
  </si>
  <si>
    <t>Crittenden</t>
  </si>
  <si>
    <t>Cumberland</t>
  </si>
  <si>
    <t xml:space="preserve">Daviess </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</si>
  <si>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</si>
  <si>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</si>
  <si>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</si>
  <si>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</si>
  <si>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</si>
  <si>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</si>
  <si>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</si>
  <si>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</si>
  <si>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</si>
  <si>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</si>
  <si>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</si>
  <si>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</si>
  <si>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</si>
  <si>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</si>
  <si>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</si>
  <si>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</si>
  <si>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</si>
  <si>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</si>
  <si>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</si>
  <si>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</si>
  <si>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</si>
  <si>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</si>
  <si>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</si>
  <si>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</si>
  <si>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</si>
  <si>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 xml:space="preserve">Jefferson </t>
  </si>
  <si>
    <t>Jessamine</t>
  </si>
  <si>
    <t>Johnson</t>
  </si>
  <si>
    <t>Kenton</t>
  </si>
  <si>
    <t>Knott</t>
  </si>
  <si>
    <t>Knox</t>
  </si>
  <si>
    <t>Larue</t>
  </si>
  <si>
    <t>Laurel</t>
  </si>
  <si>
    <t>Lawrence</t>
  </si>
  <si>
    <t>Lee</t>
  </si>
  <si>
    <t>Leslie</t>
  </si>
  <si>
    <t>Letcher</t>
  </si>
  <si>
    <t>Lewis</t>
  </si>
  <si>
    <t>Lincoln</t>
  </si>
  <si>
    <t>Livingston</t>
  </si>
  <si>
    <t>Logan</t>
  </si>
  <si>
    <t>Lyon</t>
  </si>
  <si>
    <t>McCracken</t>
  </si>
  <si>
    <t>McCreary</t>
  </si>
  <si>
    <t>McLean</t>
  </si>
  <si>
    <t>Madison</t>
  </si>
  <si>
    <t>Magoffin</t>
  </si>
  <si>
    <t>Marion</t>
  </si>
  <si>
    <t>Marshall</t>
  </si>
  <si>
    <t>Martin</t>
  </si>
  <si>
    <t>Mason</t>
  </si>
  <si>
    <t>Meade</t>
  </si>
  <si>
    <t>Menifee</t>
  </si>
  <si>
    <t>Mercer</t>
  </si>
  <si>
    <t>Metcalfe</t>
  </si>
  <si>
    <t>Monroe</t>
  </si>
  <si>
    <t>Montgomery</t>
  </si>
  <si>
    <t>Morgan</t>
  </si>
  <si>
    <t>Muhlenberg</t>
  </si>
  <si>
    <t>Nelson</t>
  </si>
  <si>
    <t>Nicholas</t>
  </si>
  <si>
    <t>Ohio</t>
  </si>
  <si>
    <t>Oldham</t>
  </si>
  <si>
    <t>Owen</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</si>
  <si>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</si>
  <si>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</si>
  <si>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</si>
  <si>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</si>
  <si>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</si>
  <si>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</si>
  <si>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</si>
  <si>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</si>
  <si>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</si>
  <si>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</si>
  <si>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</si>
  <si>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</si>
  <si>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</si>
  <si>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</si>
  <si>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</si>
  <si>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</si>
  <si>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</si>
  <si>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</si>
  <si>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</si>
  <si>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</si>
  <si>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</si>
  <si>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</si>
  <si>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</si>
  <si>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</si>
  <si>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</si>
  <si>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 xml:space="preserve">Woodford </t>
  </si>
  <si>
    <t>Grand Totals</t>
  </si>
  <si>
    <t>Blank</t>
  </si>
  <si>
    <t>Oct. Sale Dates</t>
  </si>
  <si>
    <t>NOTE: County Totals will be updated as information is received from County Clerks.</t>
  </si>
  <si>
    <t>1st Request</t>
  </si>
  <si>
    <t>2nd Request</t>
  </si>
  <si>
    <t>The amounts shown as being distributed to each taxing district include the pro rata share of penalty and interest.</t>
  </si>
  <si>
    <t>3rd Request</t>
  </si>
  <si>
    <t xml:space="preserve">Please note that the totals shown in this spreadsheet represent a reasonable approximation of the total amount paid by third party purchasers at the tax sales held by the county clerks for the 2011 certificates of </t>
  </si>
  <si>
    <t xml:space="preserve">delinquency.  The county clerk collection report for the month in which the tax sale occurred was reviewed and every effort was made to identify which certifictes were actually acquired by third party purchasers.  </t>
  </si>
  <si>
    <t xml:space="preserve">However, in some circumstances, the amounts had to be estimated due to the format of the report  received.  Additionally, any certificate of delinquency acquired by a  third party purchaser in the months </t>
  </si>
  <si>
    <t xml:space="preserve">after the tax sale  occurred are not reflected in this spreadsheet.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</si>
</sst>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_([$$-409]* #,##0.00_);_([$$-409]* \(#,##0.00\);_([$$-409]* &quot;-&quot;??_);_(@_)"/>
    <numFmt numFmtId="165" formatCode="[$$-409]#,##0.00_);\([$$-409]#,##0.00\)"/>
    <numFmt numFmtId="166" formatCode="_([$$-409]* #,##0.0_);_([$$-409]* \(#,##0.0\);_([$$-409]* &quot;-&quot;??_);_(@_)"/>
    <numFmt numFmtId="167" formatCode="&quot;$&quot;#,##0.00"/>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Garamond"/>
      <family val="1"/>
    </font>
    <font>
      <b/>
      <sz val="11"/>
      <color rgb="FFFF0000"/>
      <name val="Garamond"/>
      <family val="1"/>
    </font>
    <font>
      <sz val="11"/>
      <color theme="1"/>
      <name val="Garamond"/>
      <family val="1"/>
    </font>
    <font>
      <sz val="11"/>
      <color rgb="FFFF0000"/>
      <name val="Garamond"/>
      <family val="1"/>
    </font>
    <font>
      <b/>
      <sz val="10"/>
      <color rgb="FFFF0000"/>
      <name val="Garamond"/>
      <family val="1"/>
    </font>
    <font>
      <b/>
      <sz val="10"/>
      <color theme="1"/>
      <name val="Garamond"/>
      <family val="1"/>
    </font>
    <font>
      <sz val="10"/>
      <color theme="1"/>
      <name val="Garamond"/>
      <family val="1"/>
    </font>
    <font>
      <sz val="11"/>
      <name val="Garamond"/>
      <family val="1"/>
    </font>
    <font>
      <b/>
      <sz val="12"/>
      <color theme="1"/>
      <name val="Garamond"/>
      <family val="1"/>
    </font>
    <font>
      <sz val="12"/>
      <color theme="1"/>
      <name val="Garamond"/>
      <family val="1"/>
    </font>
    <font>
      <sz val="9"/>
      <color theme="1"/>
      <name val="Garamond"/>
      <family val="1"/>
    </font>
    <font>
      <sz val="9"/>
      <color indexed="81"/>
      <name val="Tahoma"/>
      <family val="2"/>
    </font>
    <font>
      <b/>
      <sz val="9"/>
      <color indexed="81"/>
      <name val="Tahoma"/>
      <family val="2"/>
    </font>
    <font>
      <sz val="8"/>
      <color theme="1"/>
      <name val="Garamond"/>
      <family val="1"/>
    </font>
    <font>
      <sz val="12"/>
      <name val="Garamond"/>
      <family val="1"/>
    </font>
    <font>
      <b/>
      <sz val="9"/>
      <color theme="1"/>
      <name val="Garamond"/>
      <family val="1"/>
    </font>
    <font>
      <b/>
      <sz val="11"/>
      <color rgb="FF00B050"/>
      <name val="Garamond"/>
      <family val="1"/>
    </font>
    <font>
      <b/>
      <sz val="12"/>
      <color rgb="FFFF0000"/>
      <name val="Garamond"/>
      <family val="1"/>
    </font>
    <font>
      <b/>
      <u/>
      <sz val="12"/>
      <color theme="1"/>
      <name val="Garamond"/>
      <family val="1"/>
    </font>
    <font>
      <b/>
      <u/>
      <sz val="12"/>
      <color rgb="FF002060"/>
      <name val="Garamond"/>
      <family val="1"/>
    </font>
    <font>
      <b/>
      <u/>
      <sz val="12"/>
      <color theme="5" tint="-0.249977111117893"/>
      <name val="Garamond"/>
      <family val="1"/>
    </font>
    <font>
      <b/>
      <u/>
      <sz val="12"/>
      <color rgb="FFFF0000"/>
      <name val="Garamond"/>
      <family val="1"/>
    </font>
    <font>
      <sz val="12"/>
      <color theme="5" tint="-0.249977111117893"/>
      <name val="Garamond"/>
      <family val="1"/>
    </font>
    <font>
      <b/>
      <sz val="12"/>
      <color rgb="FF00B050"/>
      <name val="Garamond"/>
      <family val="1"/>
    </font>
    <font>
      <sz val="12"/>
      <color rgb="FFFF0000"/>
      <name val="Garamond"/>
      <family val="1"/>
    </font>
    <font>
      <b/>
      <sz val="18"/>
      <color theme="1"/>
      <name val="Arial"/>
      <family val="2"/>
    </font>
    <font>
      <b/>
      <sz val="10"/>
      <color theme="1"/>
      <name val="Arial"/>
      <family val="2"/>
    </font>
    <font>
      <b/>
      <sz val="10"/>
      <name val="Arial"/>
      <family val="2"/>
    </font>
    <font>
      <sz val="11"/>
      <color theme="1"/>
      <name val="Calibri"/>
      <family val="2"/>
    </font>
    <font>
      <sz val="11"/>
      <name val="Calibri"/>
      <family val="2"/>
      <scheme val="minor"/>
    </font>
    <font>
      <b/>
      <sz val="11"/>
      <color theme="1"/>
      <name val="Arial"/>
      <family val="2"/>
    </font>
    <font>
      <sz val="11"/>
      <color theme="1"/>
      <name val="Arial"/>
      <family val="2"/>
    </font>
  </fonts>
  <fills count="13">
    <fill>
      <patternFill patternType="none"/>
    </fill>
    <fill>
      <patternFill patternType="gray125"/>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8"/>
        <bgColor indexed="64"/>
      </patternFill>
    </fill>
    <fill>
      <patternFill patternType="solid">
        <fgColor theme="4" tint="-0.249977111117893"/>
        <bgColor indexed="64"/>
      </patternFill>
    </fill>
    <fill>
      <patternFill patternType="solid">
        <fgColor rgb="FF92D050"/>
        <bgColor indexed="64"/>
      </patternFill>
    </fill>
    <fill>
      <patternFill patternType="solid">
        <fgColor rgb="FF7030A0"/>
        <bgColor indexed="64"/>
      </patternFill>
    </fill>
    <fill>
      <patternFill patternType="solid">
        <fgColor rgb="FF874983"/>
        <bgColor indexed="64"/>
      </patternFill>
    </fill>
    <fill>
      <patternFill patternType="solid">
        <fgColor theme="5" tint="0.39997558519241921"/>
        <bgColor indexed="64"/>
      </patternFill>
    </fill>
    <fill>
      <patternFill patternType="solid">
        <fgColor rgb="FFC7A1E3"/>
        <bgColor indexed="64"/>
      </patternFill>
    </fill>
    <fill>
      <patternFill patternType="solid">
        <fgColor rgb="FF00B0F0"/>
        <bgColor indexed="64"/>
      </patternFill>
    </fill>
  </fills>
  <borders count="4">
    <border>
      <left/>
      <right/>
      <top/>
      <bottom/>
      <diagonal/>
    </border>
    <border>
      <left/>
      <right style="thin">
        <color auto="1"/>
      </right>
      <top/>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50">
    <xf numFmtId="0" fontId="0" fillId="0" borderId="0" xfId="0"/>
    <xf numFmtId="0" fontId="2" fillId="0" borderId="0" xfId="0" applyFont="1"/>
    <xf numFmtId="0" fontId="5" fillId="0" borderId="0" xfId="0" applyFont="1"/>
    <xf numFmtId="0" fontId="4" fillId="0" borderId="0" xfId="0" applyFont="1" applyAlignment="1"/>
    <xf numFmtId="0" fontId="5" fillId="0" borderId="0" xfId="0" applyFont="1" applyAlignment="1"/>
    <xf numFmtId="7" fontId="4" fillId="0" borderId="0" xfId="0" applyNumberFormat="1" applyFont="1" applyAlignment="1"/>
    <xf numFmtId="0" fontId="4" fillId="0" borderId="0" xfId="0" applyFont="1" applyAlignment="1">
      <alignment horizontal="center"/>
    </xf>
    <xf numFmtId="0" fontId="5" fillId="0" borderId="0" xfId="0" applyFont="1" applyAlignment="1">
      <alignment horizontal="center"/>
    </xf>
    <xf numFmtId="164" fontId="5" fillId="0" borderId="0" xfId="1" applyNumberFormat="1" applyFont="1" applyAlignment="1">
      <alignment horizontal="center"/>
    </xf>
    <xf numFmtId="164" fontId="5" fillId="0" borderId="0" xfId="0" applyNumberFormat="1" applyFont="1" applyAlignment="1">
      <alignment horizontal="center"/>
    </xf>
    <xf numFmtId="164" fontId="4" fillId="0" borderId="0" xfId="0" applyNumberFormat="1" applyFont="1" applyAlignment="1">
      <alignment horizontal="center"/>
    </xf>
    <xf numFmtId="0" fontId="6" fillId="0" borderId="0" xfId="0" applyFont="1"/>
    <xf numFmtId="0" fontId="5" fillId="0" borderId="1" xfId="0" applyFont="1" applyBorder="1" applyAlignment="1">
      <alignment horizontal="center"/>
    </xf>
    <xf numFmtId="0" fontId="5" fillId="0" borderId="1" xfId="0" applyFont="1" applyBorder="1" applyAlignment="1"/>
    <xf numFmtId="0" fontId="5" fillId="0" borderId="0" xfId="0" applyFont="1" applyBorder="1" applyAlignment="1"/>
    <xf numFmtId="0" fontId="7" fillId="0" borderId="0" xfId="0" applyFont="1" applyAlignment="1">
      <alignment horizontal="center"/>
    </xf>
    <xf numFmtId="0" fontId="8" fillId="0" borderId="1" xfId="0" applyFont="1" applyBorder="1" applyAlignment="1">
      <alignment horizontal="center"/>
    </xf>
    <xf numFmtId="0" fontId="8" fillId="0" borderId="0" xfId="0" applyFont="1" applyBorder="1" applyAlignment="1">
      <alignment horizontal="center"/>
    </xf>
    <xf numFmtId="0" fontId="8" fillId="0" borderId="0" xfId="0" applyFont="1" applyFill="1" applyBorder="1" applyAlignment="1">
      <alignment horizontal="center"/>
    </xf>
    <xf numFmtId="0" fontId="9" fillId="0" borderId="0" xfId="0" applyFont="1" applyAlignment="1">
      <alignment horizontal="center"/>
    </xf>
    <xf numFmtId="14" fontId="5" fillId="0" borderId="0" xfId="0" applyNumberFormat="1" applyFont="1" applyBorder="1" applyAlignment="1">
      <alignment horizontal="center"/>
    </xf>
    <xf numFmtId="0" fontId="5" fillId="0" borderId="1" xfId="0" applyFont="1" applyFill="1" applyBorder="1" applyAlignment="1">
      <alignment horizontal="center"/>
    </xf>
    <xf numFmtId="14" fontId="5" fillId="0" borderId="0" xfId="0" applyNumberFormat="1" applyFont="1" applyFill="1" applyBorder="1" applyAlignment="1">
      <alignment horizontal="center"/>
    </xf>
    <xf numFmtId="39" fontId="5" fillId="0" borderId="0" xfId="1" applyNumberFormat="1" applyFont="1" applyFill="1" applyAlignment="1">
      <alignment horizontal="center"/>
    </xf>
    <xf numFmtId="164" fontId="5" fillId="0" borderId="0" xfId="1" applyNumberFormat="1" applyFont="1" applyFill="1" applyAlignment="1">
      <alignment horizontal="center"/>
    </xf>
    <xf numFmtId="165" fontId="5" fillId="0" borderId="0" xfId="1" applyNumberFormat="1" applyFont="1" applyFill="1" applyAlignment="1">
      <alignment horizontal="center"/>
    </xf>
    <xf numFmtId="164" fontId="5" fillId="0" borderId="0" xfId="0" applyNumberFormat="1" applyFont="1" applyFill="1" applyAlignment="1">
      <alignment horizontal="center"/>
    </xf>
    <xf numFmtId="164" fontId="4" fillId="0" borderId="0" xfId="0" applyNumberFormat="1" applyFont="1" applyFill="1" applyAlignment="1">
      <alignment horizontal="center"/>
    </xf>
    <xf numFmtId="0" fontId="5" fillId="0" borderId="0" xfId="0" applyFont="1" applyFill="1" applyAlignment="1">
      <alignment horizontal="center"/>
    </xf>
    <xf numFmtId="0" fontId="4" fillId="0" borderId="0" xfId="0" applyFont="1" applyFill="1" applyAlignment="1">
      <alignment horizontal="center"/>
    </xf>
    <xf numFmtId="0" fontId="3" fillId="0" borderId="1" xfId="0" applyFont="1" applyBorder="1" applyAlignment="1"/>
    <xf numFmtId="0" fontId="4" fillId="0" borderId="1" xfId="0" applyFont="1" applyBorder="1" applyAlignment="1"/>
    <xf numFmtId="0" fontId="10" fillId="0" borderId="1" xfId="0" applyFont="1" applyFill="1" applyBorder="1" applyAlignment="1">
      <alignment horizontal="center"/>
    </xf>
    <xf numFmtId="14" fontId="10" fillId="0" borderId="0" xfId="0" applyNumberFormat="1" applyFont="1" applyFill="1" applyBorder="1" applyAlignment="1">
      <alignment horizontal="center"/>
    </xf>
    <xf numFmtId="164" fontId="10" fillId="0" borderId="0" xfId="1" applyNumberFormat="1" applyFont="1" applyFill="1" applyAlignment="1">
      <alignment horizontal="center"/>
    </xf>
    <xf numFmtId="164" fontId="10" fillId="0" borderId="0" xfId="0" applyNumberFormat="1" applyFont="1" applyFill="1" applyAlignment="1">
      <alignment horizontal="center"/>
    </xf>
    <xf numFmtId="0" fontId="10" fillId="0" borderId="0" xfId="0" applyFont="1" applyFill="1" applyAlignment="1">
      <alignment horizontal="center"/>
    </xf>
    <xf numFmtId="0" fontId="12" fillId="0" borderId="0" xfId="0" applyFont="1" applyAlignment="1">
      <alignment horizontal="center"/>
    </xf>
    <xf numFmtId="0" fontId="5" fillId="5" borderId="0" xfId="0" applyFont="1" applyFill="1" applyAlignment="1">
      <alignment horizontal="center"/>
    </xf>
    <xf numFmtId="0" fontId="5" fillId="6" borderId="0" xfId="0" applyFont="1" applyFill="1" applyAlignment="1">
      <alignment horizontal="center"/>
    </xf>
    <xf numFmtId="0" fontId="5" fillId="0" borderId="1" xfId="0" applyFont="1" applyFill="1" applyBorder="1" applyAlignment="1"/>
    <xf numFmtId="0" fontId="12" fillId="0" borderId="1" xfId="0" applyFont="1" applyFill="1" applyBorder="1" applyAlignment="1">
      <alignment horizontal="center"/>
    </xf>
    <xf numFmtId="0" fontId="4" fillId="0" borderId="0" xfId="0" applyFont="1" applyFill="1" applyAlignment="1">
      <alignment horizontal="right"/>
    </xf>
    <xf numFmtId="164" fontId="5" fillId="0" borderId="0" xfId="0" applyNumberFormat="1" applyFont="1" applyAlignment="1"/>
    <xf numFmtId="164" fontId="4" fillId="0" borderId="0" xfId="0" applyNumberFormat="1" applyFont="1" applyAlignment="1"/>
    <xf numFmtId="0" fontId="5" fillId="3" borderId="0" xfId="0" applyFont="1" applyFill="1" applyAlignment="1">
      <alignment horizontal="center"/>
    </xf>
    <xf numFmtId="166" fontId="5" fillId="0" borderId="0" xfId="1" applyNumberFormat="1" applyFont="1" applyFill="1" applyAlignment="1">
      <alignment horizontal="center"/>
    </xf>
    <xf numFmtId="164" fontId="4" fillId="0" borderId="0" xfId="0" applyNumberFormat="1" applyFont="1" applyFill="1" applyAlignment="1">
      <alignment horizontal="right"/>
    </xf>
    <xf numFmtId="0" fontId="5" fillId="2" borderId="1" xfId="0" applyFont="1" applyFill="1" applyBorder="1" applyAlignment="1">
      <alignment horizontal="center"/>
    </xf>
    <xf numFmtId="0" fontId="12" fillId="2" borderId="1" xfId="0" applyFont="1" applyFill="1" applyBorder="1" applyAlignment="1">
      <alignment horizontal="center"/>
    </xf>
    <xf numFmtId="0" fontId="5" fillId="7" borderId="0" xfId="0" applyFont="1" applyFill="1" applyAlignment="1">
      <alignment horizontal="center"/>
    </xf>
    <xf numFmtId="14" fontId="5" fillId="2" borderId="0" xfId="0" applyNumberFormat="1" applyFont="1" applyFill="1" applyBorder="1" applyAlignment="1">
      <alignment horizontal="center"/>
    </xf>
    <xf numFmtId="0" fontId="4" fillId="2" borderId="0" xfId="0" applyFont="1" applyFill="1" applyAlignment="1">
      <alignment horizontal="center"/>
    </xf>
    <xf numFmtId="164" fontId="5" fillId="2" borderId="0" xfId="1" applyNumberFormat="1" applyFont="1" applyFill="1" applyAlignment="1">
      <alignment horizontal="center"/>
    </xf>
    <xf numFmtId="164" fontId="5" fillId="2" borderId="0" xfId="0" applyNumberFormat="1" applyFont="1" applyFill="1" applyAlignment="1">
      <alignment horizontal="center"/>
    </xf>
    <xf numFmtId="164" fontId="4" fillId="2" borderId="0" xfId="0" applyNumberFormat="1" applyFont="1" applyFill="1" applyAlignment="1">
      <alignment horizontal="center"/>
    </xf>
    <xf numFmtId="0" fontId="5" fillId="2" borderId="0" xfId="0" applyFont="1" applyFill="1" applyAlignment="1">
      <alignment horizontal="center"/>
    </xf>
    <xf numFmtId="0" fontId="6" fillId="0" borderId="0" xfId="0" applyFont="1" applyFill="1" applyAlignment="1">
      <alignment horizontal="center"/>
    </xf>
    <xf numFmtId="0" fontId="5" fillId="0" borderId="0" xfId="0" applyFont="1" applyFill="1" applyBorder="1" applyAlignment="1"/>
    <xf numFmtId="0" fontId="5" fillId="9" borderId="0" xfId="0" applyFont="1" applyFill="1" applyAlignment="1">
      <alignment horizontal="center"/>
    </xf>
    <xf numFmtId="0" fontId="10" fillId="9" borderId="0" xfId="0" applyFont="1" applyFill="1" applyAlignment="1">
      <alignment horizontal="center"/>
    </xf>
    <xf numFmtId="0" fontId="7" fillId="9" borderId="0" xfId="0" applyFont="1" applyFill="1" applyAlignment="1">
      <alignment horizontal="center"/>
    </xf>
    <xf numFmtId="0" fontId="6" fillId="9" borderId="0" xfId="0" applyFont="1" applyFill="1"/>
    <xf numFmtId="0" fontId="5" fillId="10" borderId="0" xfId="0" applyFont="1" applyFill="1" applyAlignment="1">
      <alignment horizontal="center"/>
    </xf>
    <xf numFmtId="0" fontId="19" fillId="0" borderId="0" xfId="0" applyFont="1" applyFill="1" applyAlignment="1">
      <alignment horizontal="center"/>
    </xf>
    <xf numFmtId="44" fontId="5" fillId="0" borderId="0" xfId="1" applyFont="1" applyFill="1" applyAlignment="1">
      <alignment horizontal="center"/>
    </xf>
    <xf numFmtId="44" fontId="4" fillId="0" borderId="0" xfId="1" applyFont="1" applyFill="1" applyAlignment="1">
      <alignment horizontal="center"/>
    </xf>
    <xf numFmtId="44" fontId="10" fillId="0" borderId="0" xfId="1" applyFont="1" applyFill="1" applyAlignment="1">
      <alignment horizontal="center"/>
    </xf>
    <xf numFmtId="44" fontId="4" fillId="0" borderId="0" xfId="0" applyNumberFormat="1" applyFont="1" applyFill="1" applyAlignment="1">
      <alignment horizontal="center"/>
    </xf>
    <xf numFmtId="0" fontId="21" fillId="0" borderId="1" xfId="0" applyFont="1" applyBorder="1" applyAlignment="1">
      <alignment horizontal="center"/>
    </xf>
    <xf numFmtId="0" fontId="21" fillId="0" borderId="0" xfId="0" applyFont="1" applyBorder="1" applyAlignment="1">
      <alignment horizontal="center"/>
    </xf>
    <xf numFmtId="0" fontId="22" fillId="4" borderId="0" xfId="0" applyFont="1" applyFill="1" applyAlignment="1">
      <alignment horizontal="center"/>
    </xf>
    <xf numFmtId="0" fontId="23" fillId="0" borderId="0" xfId="0" applyFont="1" applyBorder="1" applyAlignment="1">
      <alignment horizontal="center"/>
    </xf>
    <xf numFmtId="0" fontId="23" fillId="0" borderId="0" xfId="0" applyFont="1" applyFill="1" applyBorder="1" applyAlignment="1">
      <alignment horizontal="center"/>
    </xf>
    <xf numFmtId="0" fontId="24" fillId="0" borderId="0" xfId="0" applyFont="1" applyAlignment="1">
      <alignment horizontal="center"/>
    </xf>
    <xf numFmtId="0" fontId="12" fillId="0" borderId="0" xfId="0" applyFont="1" applyFill="1" applyAlignment="1">
      <alignment horizontal="center"/>
    </xf>
    <xf numFmtId="0" fontId="12" fillId="9" borderId="0" xfId="0" applyFont="1" applyFill="1" applyAlignment="1">
      <alignment horizontal="center"/>
    </xf>
    <xf numFmtId="14" fontId="12" fillId="0" borderId="0" xfId="0" applyNumberFormat="1" applyFont="1" applyFill="1" applyBorder="1" applyAlignment="1">
      <alignment horizontal="center"/>
    </xf>
    <xf numFmtId="0" fontId="20" fillId="0" borderId="0" xfId="0" applyFont="1" applyFill="1" applyAlignment="1">
      <alignment horizontal="center"/>
    </xf>
    <xf numFmtId="164" fontId="12" fillId="0" borderId="0" xfId="1" applyNumberFormat="1" applyFont="1" applyFill="1" applyAlignment="1">
      <alignment horizontal="center"/>
    </xf>
    <xf numFmtId="164" fontId="12" fillId="0" borderId="0" xfId="0" applyNumberFormat="1" applyFont="1" applyFill="1" applyAlignment="1">
      <alignment horizontal="center"/>
    </xf>
    <xf numFmtId="164" fontId="20" fillId="0" borderId="0" xfId="0" applyNumberFormat="1" applyFont="1" applyFill="1" applyAlignment="1">
      <alignment horizontal="center"/>
    </xf>
    <xf numFmtId="0" fontId="26" fillId="0" borderId="0" xfId="0" applyFont="1" applyFill="1" applyAlignment="1">
      <alignment horizontal="center"/>
    </xf>
    <xf numFmtId="0" fontId="17" fillId="0" borderId="0" xfId="0" applyFont="1" applyFill="1" applyAlignment="1">
      <alignment horizontal="center"/>
    </xf>
    <xf numFmtId="0" fontId="17" fillId="9" borderId="0" xfId="0" applyFont="1" applyFill="1" applyAlignment="1">
      <alignment horizontal="center"/>
    </xf>
    <xf numFmtId="0" fontId="12" fillId="11" borderId="0" xfId="0" applyFont="1" applyFill="1" applyAlignment="1">
      <alignment horizontal="center"/>
    </xf>
    <xf numFmtId="0" fontId="12" fillId="10" borderId="0" xfId="0" applyFont="1" applyFill="1" applyAlignment="1">
      <alignment horizontal="center"/>
    </xf>
    <xf numFmtId="0" fontId="12" fillId="3" borderId="0" xfId="0" applyFont="1" applyFill="1" applyAlignment="1">
      <alignment horizontal="center"/>
    </xf>
    <xf numFmtId="39" fontId="12" fillId="0" borderId="0" xfId="1" applyNumberFormat="1" applyFont="1" applyFill="1" applyAlignment="1">
      <alignment horizontal="center"/>
    </xf>
    <xf numFmtId="165" fontId="12" fillId="0" borderId="0" xfId="1" applyNumberFormat="1" applyFont="1" applyFill="1" applyAlignment="1">
      <alignment horizontal="center"/>
    </xf>
    <xf numFmtId="44" fontId="12" fillId="0" borderId="0" xfId="1" applyFont="1" applyFill="1" applyAlignment="1">
      <alignment horizontal="center"/>
    </xf>
    <xf numFmtId="44" fontId="20" fillId="0" borderId="0" xfId="1" applyFont="1" applyFill="1" applyAlignment="1">
      <alignment horizontal="center"/>
    </xf>
    <xf numFmtId="44" fontId="17" fillId="0" borderId="0" xfId="1" applyFont="1" applyFill="1" applyAlignment="1">
      <alignment horizontal="center"/>
    </xf>
    <xf numFmtId="0" fontId="11" fillId="0" borderId="1" xfId="0" applyFont="1" applyBorder="1" applyAlignment="1">
      <alignment horizontal="center"/>
    </xf>
    <xf numFmtId="0" fontId="12" fillId="0" borderId="0" xfId="0" applyFont="1" applyFill="1" applyBorder="1" applyAlignment="1">
      <alignment horizontal="center"/>
    </xf>
    <xf numFmtId="0" fontId="27" fillId="0" borderId="0" xfId="0" applyFont="1" applyFill="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12" fillId="0" borderId="0" xfId="0" applyFont="1" applyBorder="1" applyAlignment="1">
      <alignment horizontal="center"/>
    </xf>
    <xf numFmtId="164" fontId="12" fillId="0" borderId="0" xfId="0" applyNumberFormat="1" applyFont="1" applyAlignment="1">
      <alignment horizontal="center"/>
    </xf>
    <xf numFmtId="164" fontId="20" fillId="0" borderId="0" xfId="0" applyNumberFormat="1" applyFont="1" applyAlignment="1">
      <alignment horizontal="center"/>
    </xf>
    <xf numFmtId="0" fontId="12" fillId="0" borderId="1" xfId="0" applyFont="1" applyBorder="1" applyAlignment="1">
      <alignment horizontal="center"/>
    </xf>
    <xf numFmtId="0" fontId="27" fillId="9" borderId="0" xfId="0" applyFont="1" applyFill="1" applyAlignment="1">
      <alignment horizontal="center"/>
    </xf>
    <xf numFmtId="0" fontId="17" fillId="0" borderId="1" xfId="0" applyFont="1" applyFill="1" applyBorder="1" applyAlignment="1">
      <alignment horizontal="center"/>
    </xf>
    <xf numFmtId="0" fontId="6" fillId="0" borderId="0" xfId="0" applyFont="1" applyFill="1"/>
    <xf numFmtId="0" fontId="5" fillId="0" borderId="0" xfId="0" applyFont="1" applyFill="1" applyAlignment="1"/>
    <xf numFmtId="164" fontId="25" fillId="0" borderId="0" xfId="1" applyNumberFormat="1" applyFont="1" applyFill="1" applyAlignment="1">
      <alignment horizontal="center"/>
    </xf>
    <xf numFmtId="166" fontId="12" fillId="0" borderId="0" xfId="1" applyNumberFormat="1" applyFont="1" applyFill="1" applyAlignment="1">
      <alignment horizontal="center"/>
    </xf>
    <xf numFmtId="14" fontId="17" fillId="0" borderId="0" xfId="0" applyNumberFormat="1" applyFont="1" applyFill="1" applyBorder="1" applyAlignment="1">
      <alignment horizontal="center"/>
    </xf>
    <xf numFmtId="164" fontId="17" fillId="0" borderId="0" xfId="1" applyNumberFormat="1" applyFont="1" applyFill="1" applyAlignment="1">
      <alignment horizontal="center"/>
    </xf>
    <xf numFmtId="164" fontId="17" fillId="0" borderId="0" xfId="0" applyNumberFormat="1" applyFont="1" applyFill="1" applyAlignment="1">
      <alignment horizontal="center"/>
    </xf>
    <xf numFmtId="44" fontId="20" fillId="0" borderId="0" xfId="0" applyNumberFormat="1" applyFont="1" applyFill="1" applyAlignment="1">
      <alignment horizontal="center"/>
    </xf>
    <xf numFmtId="0" fontId="3" fillId="0" borderId="1" xfId="0" applyFont="1" applyFill="1" applyBorder="1" applyAlignment="1"/>
    <xf numFmtId="0" fontId="11" fillId="0" borderId="1" xfId="0" applyFont="1" applyFill="1" applyBorder="1" applyAlignment="1">
      <alignment horizontal="center"/>
    </xf>
    <xf numFmtId="0" fontId="29" fillId="0" borderId="2" xfId="0" applyFont="1" applyBorder="1"/>
    <xf numFmtId="0" fontId="29" fillId="0" borderId="2" xfId="0" applyFont="1" applyBorder="1" applyAlignment="1">
      <alignment horizontal="center" wrapText="1"/>
    </xf>
    <xf numFmtId="44" fontId="29" fillId="0" borderId="2" xfId="0" applyNumberFormat="1" applyFont="1" applyBorder="1" applyAlignment="1">
      <alignment horizontal="center"/>
    </xf>
    <xf numFmtId="0" fontId="29" fillId="0" borderId="2" xfId="0" applyFont="1" applyBorder="1" applyAlignment="1">
      <alignment horizontal="center"/>
    </xf>
    <xf numFmtId="44" fontId="29" fillId="0" borderId="2" xfId="0" applyNumberFormat="1" applyFont="1" applyBorder="1" applyAlignment="1">
      <alignment horizontal="center" wrapText="1"/>
    </xf>
    <xf numFmtId="0" fontId="29" fillId="0" borderId="0" xfId="0" applyFont="1"/>
    <xf numFmtId="0" fontId="0" fillId="0" borderId="0" xfId="0" applyAlignment="1">
      <alignment horizontal="center"/>
    </xf>
    <xf numFmtId="167" fontId="0" fillId="0" borderId="0" xfId="0" applyNumberFormat="1"/>
    <xf numFmtId="0" fontId="30" fillId="0" borderId="0" xfId="0" applyFont="1"/>
    <xf numFmtId="0" fontId="29" fillId="0" borderId="0" xfId="0" applyFont="1" applyAlignment="1">
      <alignment wrapText="1"/>
    </xf>
    <xf numFmtId="43" fontId="31" fillId="0" borderId="0" xfId="2" applyFont="1" applyFill="1" applyBorder="1" applyAlignment="1" applyProtection="1"/>
    <xf numFmtId="2" fontId="31" fillId="0" borderId="0" xfId="0" applyNumberFormat="1" applyFont="1"/>
    <xf numFmtId="167" fontId="32" fillId="0" borderId="0" xfId="0" applyNumberFormat="1" applyFont="1"/>
    <xf numFmtId="167" fontId="0" fillId="0" borderId="0" xfId="2" applyNumberFormat="1" applyFont="1"/>
    <xf numFmtId="2" fontId="0" fillId="0" borderId="0" xfId="0" applyNumberFormat="1"/>
    <xf numFmtId="43" fontId="0" fillId="0" borderId="0" xfId="2" applyFont="1"/>
    <xf numFmtId="0" fontId="29" fillId="3" borderId="0" xfId="0" applyFont="1" applyFill="1"/>
    <xf numFmtId="0" fontId="0" fillId="3" borderId="0" xfId="0" applyFill="1" applyAlignment="1">
      <alignment horizontal="center"/>
    </xf>
    <xf numFmtId="167" fontId="0" fillId="3" borderId="0" xfId="0" applyNumberFormat="1" applyFill="1"/>
    <xf numFmtId="0" fontId="0" fillId="0" borderId="2" xfId="0" applyBorder="1" applyAlignment="1">
      <alignment horizontal="center"/>
    </xf>
    <xf numFmtId="167" fontId="0" fillId="0" borderId="2" xfId="0" applyNumberFormat="1" applyBorder="1"/>
    <xf numFmtId="0" fontId="29" fillId="0" borderId="3" xfId="0" applyFont="1" applyBorder="1"/>
    <xf numFmtId="3" fontId="29" fillId="0" borderId="3" xfId="2" applyNumberFormat="1" applyFont="1" applyBorder="1" applyAlignment="1">
      <alignment horizontal="center" vertical="center"/>
    </xf>
    <xf numFmtId="44" fontId="29" fillId="0" borderId="3" xfId="1" applyFont="1" applyBorder="1"/>
    <xf numFmtId="0" fontId="33" fillId="0" borderId="0" xfId="0" applyFont="1"/>
    <xf numFmtId="0" fontId="33" fillId="0" borderId="0" xfId="0" applyFont="1" applyAlignment="1">
      <alignment horizontal="left"/>
    </xf>
    <xf numFmtId="0" fontId="33" fillId="8" borderId="0" xfId="0" applyFont="1" applyFill="1"/>
    <xf numFmtId="0" fontId="34" fillId="0" borderId="0" xfId="0" applyFont="1" applyAlignment="1">
      <alignment horizontal="center"/>
    </xf>
    <xf numFmtId="0" fontId="34" fillId="0" borderId="0" xfId="0" applyFont="1"/>
    <xf numFmtId="0" fontId="34" fillId="12" borderId="0" xfId="0" applyFont="1" applyFill="1"/>
    <xf numFmtId="0" fontId="34" fillId="4" borderId="0" xfId="0" applyFont="1" applyFill="1"/>
    <xf numFmtId="0" fontId="33" fillId="0" borderId="0" xfId="0" applyFont="1" applyAlignment="1">
      <alignment horizontal="center"/>
    </xf>
    <xf numFmtId="0" fontId="34" fillId="0" borderId="0" xfId="0" applyFont="1" applyAlignment="1">
      <alignment horizontal="left"/>
    </xf>
    <xf numFmtId="0" fontId="34" fillId="0" borderId="0" xfId="0" applyFont="1" applyAlignment="1">
      <alignment wrapText="1"/>
    </xf>
    <xf numFmtId="14" fontId="2" fillId="0" borderId="0" xfId="0" applyNumberFormat="1" applyFont="1" applyAlignment="1">
      <alignment horizontal="left"/>
    </xf>
    <xf numFmtId="0" fontId="28" fillId="0" borderId="0" xfId="0" applyFont="1" applyAlignment="1">
      <alignment horizontal="center"/>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C7A1E3"/>
      <color rgb="FF1AB66F"/>
      <color rgb="FFC50BA2"/>
      <color rgb="FFC10F86"/>
      <color rgb="FF8749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1D268-5A7B-457D-B0F7-41D5236ED18A}">
  <dimension ref="A1:T138"/>
  <sheetViews>
    <sheetView topLeftCell="A2" workbookViewId="0">
      <selection activeCell="G26" sqref="G26"/>
    </sheetView>
  </sheetViews>
  <sheetFormatPr defaultColWidth="9.140625" defaultRowHeight="15" x14ac:dyDescent="0.25"/>
  <cols>
    <col min="1" max="1" width="13.7109375" customWidth="1"/>
    <col min="2" max="2" width="12.5703125" style="120" customWidth="1"/>
    <col min="3" max="3" width="14.28515625" customWidth="1"/>
    <col min="4" max="4" width="13.5703125" customWidth="1"/>
    <col min="5" max="5" width="13.7109375" customWidth="1"/>
    <col min="6" max="6" width="12.28515625" bestFit="1" customWidth="1"/>
    <col min="7" max="7" width="12" customWidth="1"/>
    <col min="8" max="8" width="12.42578125" customWidth="1"/>
    <col min="9" max="9" width="14" customWidth="1"/>
    <col min="10" max="10" width="14.7109375" customWidth="1"/>
    <col min="11" max="11" width="12.140625" customWidth="1"/>
    <col min="12" max="12" width="17.5703125" customWidth="1"/>
    <col min="13" max="13" width="14.85546875" customWidth="1"/>
    <col min="14" max="14" width="14.28515625" customWidth="1"/>
    <col min="15" max="15" width="14.42578125" customWidth="1"/>
    <col min="16" max="16" width="14.85546875" customWidth="1"/>
    <col min="17" max="17" width="15.42578125" customWidth="1"/>
    <col min="18" max="18" width="10.140625" bestFit="1" customWidth="1"/>
  </cols>
  <sheetData>
    <row r="1" spans="1:20" ht="23.25" hidden="1" x14ac:dyDescent="0.35">
      <c r="A1" s="149" t="s">
        <v>177</v>
      </c>
      <c r="B1" s="149"/>
      <c r="C1" s="149"/>
      <c r="D1" s="149"/>
      <c r="E1" s="149"/>
      <c r="F1" s="149"/>
      <c r="G1" s="149"/>
      <c r="H1" s="149"/>
      <c r="I1" s="149"/>
      <c r="J1" s="149"/>
      <c r="K1" s="149"/>
      <c r="L1" s="149"/>
      <c r="M1" s="149"/>
      <c r="N1" s="149"/>
      <c r="O1" s="149"/>
      <c r="P1" s="149"/>
      <c r="Q1" s="149"/>
    </row>
    <row r="2" spans="1:20" ht="39" x14ac:dyDescent="0.25">
      <c r="A2" s="114" t="s">
        <v>178</v>
      </c>
      <c r="B2" s="115" t="s">
        <v>179</v>
      </c>
      <c r="C2" s="116" t="s">
        <v>180</v>
      </c>
      <c r="D2" s="116" t="s">
        <v>181</v>
      </c>
      <c r="E2" s="116" t="s">
        <v>182</v>
      </c>
      <c r="F2" s="116" t="s">
        <v>183</v>
      </c>
      <c r="G2" s="116" t="s">
        <v>129</v>
      </c>
      <c r="H2" s="116" t="s">
        <v>130</v>
      </c>
      <c r="I2" s="115" t="s">
        <v>184</v>
      </c>
      <c r="J2" s="116" t="s">
        <v>131</v>
      </c>
      <c r="K2" s="116" t="s">
        <v>185</v>
      </c>
      <c r="L2" s="117" t="s">
        <v>133</v>
      </c>
      <c r="M2" s="118" t="s">
        <v>186</v>
      </c>
      <c r="N2" s="118" t="s">
        <v>4</v>
      </c>
      <c r="O2" s="118" t="s">
        <v>187</v>
      </c>
      <c r="P2" s="118" t="s">
        <v>188</v>
      </c>
      <c r="Q2" s="118" t="s">
        <v>189</v>
      </c>
    </row>
    <row r="3" spans="1:20" ht="18.75" customHeight="1" x14ac:dyDescent="0.25">
      <c r="A3" s="119" t="s">
        <v>190</v>
      </c>
      <c r="B3" s="120">
        <v>34</v>
      </c>
      <c r="C3" s="121">
        <f>SUM(1622.72+501.04)</f>
        <v>2123.7600000000002</v>
      </c>
      <c r="D3" s="121">
        <f>SUM(579.07+1875.43)</f>
        <v>2454.5</v>
      </c>
      <c r="E3" s="121">
        <f>SUM(7182.49+2217.72)</f>
        <v>9400.2099999999991</v>
      </c>
      <c r="F3" s="121">
        <f>SUM(217.67+704.96)</f>
        <v>922.63</v>
      </c>
      <c r="G3" s="121">
        <f>SUM(399.03+123.21)</f>
        <v>522.24</v>
      </c>
      <c r="H3" s="121">
        <f>SUM(713.18+220.23)</f>
        <v>933.41</v>
      </c>
      <c r="I3" s="121">
        <f>SUM(73.93+239.4)</f>
        <v>313.33000000000004</v>
      </c>
      <c r="J3" s="121">
        <f>SUM(984.28+303.91)</f>
        <v>1288.19</v>
      </c>
      <c r="K3" s="121">
        <f>SUM(8.49+0.6)</f>
        <v>9.09</v>
      </c>
      <c r="L3" s="121">
        <f>SUM(410.69+1330.09)</f>
        <v>1740.78</v>
      </c>
      <c r="M3" s="121">
        <f t="shared" ref="M3:M9" si="0">SUM(C3:L3)</f>
        <v>19708.139999999996</v>
      </c>
      <c r="N3" s="121">
        <f>SUM(2011.26+620.74)</f>
        <v>2632</v>
      </c>
      <c r="O3" s="121">
        <f>SUM(3012.01+56+929.61+12)</f>
        <v>4009.6200000000003</v>
      </c>
      <c r="P3" s="121">
        <f>SUM(1786.032+524.8)</f>
        <v>2310.8319999999999</v>
      </c>
      <c r="Q3" s="121">
        <f t="shared" ref="Q3:Q5" si="1">SUM(M3:P3)</f>
        <v>28660.591999999993</v>
      </c>
      <c r="R3" s="121"/>
      <c r="S3" s="121"/>
      <c r="T3" s="121"/>
    </row>
    <row r="4" spans="1:20" x14ac:dyDescent="0.25">
      <c r="A4" s="119" t="s">
        <v>191</v>
      </c>
      <c r="B4" s="120">
        <v>33</v>
      </c>
      <c r="C4" s="121">
        <v>1884.52</v>
      </c>
      <c r="D4" s="121">
        <v>1729.32</v>
      </c>
      <c r="E4" s="121">
        <v>9067.2000000000007</v>
      </c>
      <c r="F4" s="121">
        <v>1343.85</v>
      </c>
      <c r="G4" s="121">
        <v>849.56</v>
      </c>
      <c r="H4" s="121">
        <v>569.51</v>
      </c>
      <c r="I4" s="121">
        <v>308.93</v>
      </c>
      <c r="J4" s="121">
        <v>1482.87</v>
      </c>
      <c r="K4" s="121">
        <f>SUM(5.73+523.64)</f>
        <v>529.37</v>
      </c>
      <c r="L4" s="121">
        <v>0</v>
      </c>
      <c r="M4" s="121">
        <f t="shared" si="0"/>
        <v>17765.13</v>
      </c>
      <c r="N4" s="121">
        <v>2293.33</v>
      </c>
      <c r="O4" s="121">
        <v>3568.84</v>
      </c>
      <c r="P4" s="121">
        <f>SUM(495+1784.45)</f>
        <v>2279.4499999999998</v>
      </c>
      <c r="Q4" s="121">
        <f t="shared" si="1"/>
        <v>25906.75</v>
      </c>
      <c r="R4" s="121"/>
      <c r="S4" s="121"/>
      <c r="T4" s="121"/>
    </row>
    <row r="5" spans="1:20" x14ac:dyDescent="0.25">
      <c r="A5" s="122" t="s">
        <v>192</v>
      </c>
      <c r="B5" s="120">
        <v>37</v>
      </c>
      <c r="C5" s="121">
        <v>3855.96</v>
      </c>
      <c r="D5" s="121">
        <v>4507.28</v>
      </c>
      <c r="E5" s="121">
        <v>19749.259999999998</v>
      </c>
      <c r="F5" s="121">
        <v>2614.31</v>
      </c>
      <c r="G5" s="121">
        <v>944.94</v>
      </c>
      <c r="H5" s="121">
        <v>434.06</v>
      </c>
      <c r="I5" s="121">
        <v>0</v>
      </c>
      <c r="J5" s="121">
        <v>0</v>
      </c>
      <c r="K5" s="121">
        <v>1449.07</v>
      </c>
      <c r="L5" s="121">
        <v>0</v>
      </c>
      <c r="M5" s="121">
        <f t="shared" si="0"/>
        <v>33554.880000000005</v>
      </c>
      <c r="N5" s="121">
        <v>4187.0200000000004</v>
      </c>
      <c r="O5" s="121">
        <v>6696.15</v>
      </c>
      <c r="P5" s="121">
        <v>3866.09</v>
      </c>
      <c r="Q5" s="121">
        <f t="shared" si="1"/>
        <v>48304.140000000014</v>
      </c>
      <c r="R5" s="121"/>
      <c r="S5" s="121"/>
      <c r="T5" s="121"/>
    </row>
    <row r="6" spans="1:20" x14ac:dyDescent="0.25">
      <c r="A6" s="119" t="s">
        <v>193</v>
      </c>
      <c r="B6" s="120">
        <v>26</v>
      </c>
      <c r="C6" s="121">
        <v>2604.7399999999998</v>
      </c>
      <c r="D6" s="121">
        <v>4803.82</v>
      </c>
      <c r="E6" s="121">
        <v>11849.4</v>
      </c>
      <c r="F6" s="121">
        <v>0</v>
      </c>
      <c r="G6" s="121">
        <v>640.51</v>
      </c>
      <c r="H6" s="121">
        <v>659.75</v>
      </c>
      <c r="I6" s="121">
        <v>341.61</v>
      </c>
      <c r="J6" s="121">
        <v>1494.53</v>
      </c>
      <c r="K6" s="121">
        <v>1.1599999999999999</v>
      </c>
      <c r="L6" s="121">
        <v>0</v>
      </c>
      <c r="M6" s="121">
        <f t="shared" si="0"/>
        <v>22395.519999999997</v>
      </c>
      <c r="N6" s="121">
        <f>SUM(2118.83+837.45)</f>
        <v>2956.2799999999997</v>
      </c>
      <c r="O6" s="121">
        <f>SUM(52+4479.09)</f>
        <v>4531.09</v>
      </c>
      <c r="P6" s="121">
        <f>SUM(2239.56+260)</f>
        <v>2499.56</v>
      </c>
      <c r="Q6" s="121">
        <f>SUM(M6:P6)</f>
        <v>32382.449999999997</v>
      </c>
      <c r="R6" s="121"/>
      <c r="S6" s="121"/>
      <c r="T6" s="121"/>
    </row>
    <row r="7" spans="1:20" x14ac:dyDescent="0.25">
      <c r="A7" s="122" t="s">
        <v>194</v>
      </c>
      <c r="B7" s="120">
        <v>55</v>
      </c>
      <c r="C7" s="121">
        <v>7775.75</v>
      </c>
      <c r="D7" s="121">
        <v>274.41000000000003</v>
      </c>
      <c r="E7" s="121">
        <v>48300.21</v>
      </c>
      <c r="F7" s="121">
        <v>1848.37</v>
      </c>
      <c r="G7" s="121">
        <v>0</v>
      </c>
      <c r="H7" s="121">
        <v>1070.71</v>
      </c>
      <c r="I7" s="121">
        <v>0</v>
      </c>
      <c r="J7" s="121">
        <v>1527.99</v>
      </c>
      <c r="K7" s="121">
        <f>SUM(164.48+863.5+205.6+164.48+246.71+123.36+205.59+41.12+328.95)</f>
        <v>2343.7899999999995</v>
      </c>
      <c r="L7" s="121">
        <v>1032.3399999999999</v>
      </c>
      <c r="M7" s="121">
        <f t="shared" si="0"/>
        <v>64173.569999999992</v>
      </c>
      <c r="N7" s="121">
        <v>8983.5499999999993</v>
      </c>
      <c r="O7" s="121">
        <v>14925.51</v>
      </c>
      <c r="P7" s="121">
        <v>8709.14</v>
      </c>
      <c r="Q7" s="121">
        <f t="shared" ref="Q7:Q50" si="2">SUM(M7:P7)</f>
        <v>96791.76999999999</v>
      </c>
      <c r="R7" s="121"/>
      <c r="S7" s="121"/>
      <c r="T7" s="121"/>
    </row>
    <row r="8" spans="1:20" x14ac:dyDescent="0.25">
      <c r="A8" s="119" t="s">
        <v>195</v>
      </c>
      <c r="B8" s="120">
        <v>34</v>
      </c>
      <c r="C8" s="121">
        <v>1351.76</v>
      </c>
      <c r="D8" s="121">
        <v>1196.6400000000001</v>
      </c>
      <c r="E8" s="121">
        <v>5229.7700000000004</v>
      </c>
      <c r="F8" s="121">
        <v>1074.78</v>
      </c>
      <c r="G8" s="121">
        <v>997.2</v>
      </c>
      <c r="H8" s="121">
        <v>801.85</v>
      </c>
      <c r="I8" s="121">
        <v>218.29</v>
      </c>
      <c r="J8" s="121">
        <v>1375.4</v>
      </c>
      <c r="K8" s="121">
        <v>864.26</v>
      </c>
      <c r="L8" s="121">
        <v>25.47</v>
      </c>
      <c r="M8" s="121">
        <f t="shared" si="0"/>
        <v>13135.420000000002</v>
      </c>
      <c r="N8" s="121">
        <v>1615.02</v>
      </c>
      <c r="O8" s="121">
        <v>2633.6</v>
      </c>
      <c r="P8" s="121">
        <v>1736.81</v>
      </c>
      <c r="Q8" s="121">
        <f t="shared" si="2"/>
        <v>19120.850000000002</v>
      </c>
      <c r="R8" s="121"/>
      <c r="S8" s="121"/>
      <c r="T8" s="121"/>
    </row>
    <row r="9" spans="1:20" x14ac:dyDescent="0.25">
      <c r="A9" s="119" t="s">
        <v>196</v>
      </c>
      <c r="B9" s="120">
        <v>65</v>
      </c>
      <c r="C9" s="121">
        <v>8058.9</v>
      </c>
      <c r="D9" s="121">
        <v>8701.08</v>
      </c>
      <c r="E9" s="121">
        <v>35430.269999999997</v>
      </c>
      <c r="F9" s="121">
        <v>5945.08</v>
      </c>
      <c r="G9" s="121">
        <v>3633.1</v>
      </c>
      <c r="H9" s="121">
        <v>3302.82</v>
      </c>
      <c r="I9" s="121">
        <v>0</v>
      </c>
      <c r="J9" s="121">
        <v>0</v>
      </c>
      <c r="K9" s="121">
        <v>0</v>
      </c>
      <c r="L9" s="121">
        <v>2509.6</v>
      </c>
      <c r="M9" s="121">
        <f t="shared" si="0"/>
        <v>67580.850000000006</v>
      </c>
      <c r="N9" s="121">
        <v>8439.25</v>
      </c>
      <c r="O9" s="121">
        <v>13569.58</v>
      </c>
      <c r="P9" s="121">
        <f>SUM(6720.29+945)</f>
        <v>7665.29</v>
      </c>
      <c r="Q9" s="121">
        <f>SUM(M9:P9)</f>
        <v>97254.97</v>
      </c>
      <c r="R9" s="121"/>
      <c r="S9" s="121"/>
      <c r="T9" s="121"/>
    </row>
    <row r="10" spans="1:20" x14ac:dyDescent="0.25">
      <c r="A10" s="119" t="s">
        <v>197</v>
      </c>
      <c r="B10" s="120">
        <v>102</v>
      </c>
      <c r="C10" s="121">
        <v>20575.009999999998</v>
      </c>
      <c r="D10" s="121">
        <v>17539.349999999999</v>
      </c>
      <c r="E10" s="121">
        <f>SUM(98973.45+1357.82+17000.4)</f>
        <v>117331.67000000001</v>
      </c>
      <c r="F10" s="121">
        <v>8769.68</v>
      </c>
      <c r="G10" s="121">
        <v>3204.37</v>
      </c>
      <c r="H10" s="121">
        <v>3035.64</v>
      </c>
      <c r="I10" s="121">
        <v>0</v>
      </c>
      <c r="J10" s="121">
        <v>0</v>
      </c>
      <c r="K10" s="121">
        <v>18838.77</v>
      </c>
      <c r="L10" s="121">
        <v>0</v>
      </c>
      <c r="M10" s="121">
        <f t="shared" ref="M10:M64" si="3">SUM(C10:L10)</f>
        <v>189294.49000000002</v>
      </c>
      <c r="N10" s="121">
        <f>SUM(17711.08+4486.33)</f>
        <v>22197.410000000003</v>
      </c>
      <c r="O10" s="121">
        <f>SUM(37858.86+198.49)</f>
        <v>38057.35</v>
      </c>
      <c r="P10" s="121">
        <f>SUM(18929.48+595.47+992.47)</f>
        <v>20517.420000000002</v>
      </c>
      <c r="Q10" s="121">
        <f t="shared" si="2"/>
        <v>270066.67000000004</v>
      </c>
      <c r="R10" s="121"/>
      <c r="S10" s="121"/>
      <c r="T10" s="121"/>
    </row>
    <row r="11" spans="1:20" x14ac:dyDescent="0.25">
      <c r="A11" s="119" t="s">
        <v>198</v>
      </c>
      <c r="B11" s="120">
        <v>29</v>
      </c>
      <c r="C11" s="121">
        <v>3217.96</v>
      </c>
      <c r="D11" s="121">
        <v>3937.73</v>
      </c>
      <c r="E11" s="121">
        <v>11983.48</v>
      </c>
      <c r="F11" s="121">
        <v>2584.9</v>
      </c>
      <c r="G11" s="121">
        <v>1213.3</v>
      </c>
      <c r="H11" s="121">
        <v>776.25</v>
      </c>
      <c r="I11" s="121">
        <v>184.66</v>
      </c>
      <c r="J11" s="121">
        <v>0</v>
      </c>
      <c r="K11" s="121">
        <v>0</v>
      </c>
      <c r="L11" s="121">
        <v>0</v>
      </c>
      <c r="M11" s="121">
        <f t="shared" si="3"/>
        <v>23898.28</v>
      </c>
      <c r="N11" s="121">
        <f>SUM(2222.63+686.63)</f>
        <v>2909.26</v>
      </c>
      <c r="O11" s="121">
        <f>SUM(4646.28+58)</f>
        <v>4704.28</v>
      </c>
      <c r="P11" s="121">
        <f>SUM(2323.12+435)</f>
        <v>2758.12</v>
      </c>
      <c r="Q11" s="121">
        <f t="shared" si="2"/>
        <v>34269.94</v>
      </c>
      <c r="R11" s="121"/>
      <c r="S11" s="121"/>
      <c r="T11" s="121"/>
    </row>
    <row r="12" spans="1:20" x14ac:dyDescent="0.25">
      <c r="A12" s="119" t="s">
        <v>199</v>
      </c>
      <c r="B12" s="120">
        <v>221</v>
      </c>
      <c r="C12" s="121">
        <v>33681.629999999997</v>
      </c>
      <c r="D12" s="121">
        <v>52923.8</v>
      </c>
      <c r="E12" s="121">
        <v>120140.63</v>
      </c>
      <c r="F12" s="121">
        <v>34181.01</v>
      </c>
      <c r="G12" s="121">
        <v>16539.169999999998</v>
      </c>
      <c r="H12" s="121">
        <v>10573.13</v>
      </c>
      <c r="I12" s="121">
        <v>1238.8800000000001</v>
      </c>
      <c r="J12" s="121">
        <v>24531.13</v>
      </c>
      <c r="K12" s="121">
        <f>SUM(17172.89+9.53)</f>
        <v>17182.419999999998</v>
      </c>
      <c r="L12" s="121">
        <v>3135</v>
      </c>
      <c r="M12" s="121">
        <f>SUM(C12:L12)</f>
        <v>314126.8</v>
      </c>
      <c r="N12" s="121">
        <v>39586.33</v>
      </c>
      <c r="O12" s="121">
        <v>61538.77</v>
      </c>
      <c r="P12" s="121">
        <f>SUM(30768.38+3315)</f>
        <v>34083.380000000005</v>
      </c>
      <c r="Q12" s="121">
        <f t="shared" si="2"/>
        <v>449335.28</v>
      </c>
      <c r="R12" s="121"/>
      <c r="S12" s="121"/>
      <c r="T12" s="121"/>
    </row>
    <row r="13" spans="1:20" x14ac:dyDescent="0.25">
      <c r="A13" s="119" t="s">
        <v>200</v>
      </c>
      <c r="B13" s="120">
        <v>24</v>
      </c>
      <c r="C13" s="121">
        <v>2840.45</v>
      </c>
      <c r="D13" s="121">
        <v>1825.35</v>
      </c>
      <c r="E13" s="121">
        <v>9523.4699999999993</v>
      </c>
      <c r="F13" s="121">
        <v>1722.91</v>
      </c>
      <c r="G13" s="121">
        <v>628.63</v>
      </c>
      <c r="H13" s="121">
        <v>0</v>
      </c>
      <c r="I13" s="121">
        <v>232.82</v>
      </c>
      <c r="J13" s="121">
        <v>0</v>
      </c>
      <c r="K13" s="121">
        <v>361.5</v>
      </c>
      <c r="L13" s="121">
        <f>SUM(984.88+1814.76)</f>
        <v>2799.64</v>
      </c>
      <c r="M13" s="121">
        <f t="shared" si="3"/>
        <v>19934.769999999997</v>
      </c>
      <c r="N13" s="121">
        <v>2488.09</v>
      </c>
      <c r="O13" s="121">
        <v>3972.56</v>
      </c>
      <c r="P13" s="121">
        <f>SUM(1962.29+360)</f>
        <v>2322.29</v>
      </c>
      <c r="Q13" s="121">
        <f t="shared" si="2"/>
        <v>28717.71</v>
      </c>
      <c r="R13" s="121"/>
      <c r="S13" s="121"/>
      <c r="T13" s="121"/>
    </row>
    <row r="14" spans="1:20" ht="17.25" customHeight="1" x14ac:dyDescent="0.25">
      <c r="A14" s="119" t="s">
        <v>201</v>
      </c>
      <c r="B14" s="120">
        <v>14</v>
      </c>
      <c r="C14" s="121">
        <v>1273.08</v>
      </c>
      <c r="D14" s="121">
        <v>4263.5600000000004</v>
      </c>
      <c r="E14" s="121">
        <v>3250.98</v>
      </c>
      <c r="F14" s="121">
        <v>960.03</v>
      </c>
      <c r="G14" s="121">
        <v>605.23</v>
      </c>
      <c r="H14" s="121">
        <v>655.33000000000004</v>
      </c>
      <c r="I14" s="121">
        <v>208.7</v>
      </c>
      <c r="J14" s="121">
        <v>960.03</v>
      </c>
      <c r="K14" s="121">
        <v>0</v>
      </c>
      <c r="L14" s="121">
        <v>0</v>
      </c>
      <c r="M14" s="121">
        <f>SUM(C14:L14)</f>
        <v>12176.940000000002</v>
      </c>
      <c r="N14" s="121">
        <v>1750.22</v>
      </c>
      <c r="O14" s="121">
        <v>2684.58</v>
      </c>
      <c r="P14" s="121">
        <v>1552.3</v>
      </c>
      <c r="Q14" s="121">
        <f t="shared" si="2"/>
        <v>18164.04</v>
      </c>
      <c r="R14" s="121"/>
      <c r="S14" s="121"/>
      <c r="T14" s="121"/>
    </row>
    <row r="15" spans="1:20" x14ac:dyDescent="0.25">
      <c r="A15" s="119" t="s">
        <v>202</v>
      </c>
      <c r="B15" s="120">
        <v>66</v>
      </c>
      <c r="C15" s="121">
        <v>1201.8499999999999</v>
      </c>
      <c r="D15" s="121">
        <v>1772.96</v>
      </c>
      <c r="E15" s="121">
        <v>6176.76</v>
      </c>
      <c r="F15" s="121">
        <v>1507.19</v>
      </c>
      <c r="G15" s="121">
        <v>788.1</v>
      </c>
      <c r="H15" s="121">
        <v>1487.54</v>
      </c>
      <c r="I15" s="121">
        <v>246.29</v>
      </c>
      <c r="J15" s="121">
        <v>0</v>
      </c>
      <c r="K15" s="121">
        <v>66.790000000000006</v>
      </c>
      <c r="L15" s="121">
        <v>0</v>
      </c>
      <c r="M15" s="121">
        <f>SUM(C15:L15)</f>
        <v>13247.480000000003</v>
      </c>
      <c r="N15" s="121">
        <v>1635.61</v>
      </c>
      <c r="O15" s="121">
        <v>2586.5100000000002</v>
      </c>
      <c r="P15" s="121">
        <v>2238.2399999999998</v>
      </c>
      <c r="Q15" s="121">
        <f t="shared" si="2"/>
        <v>19707.840000000004</v>
      </c>
      <c r="R15" s="121"/>
      <c r="S15" s="121"/>
      <c r="T15" s="121"/>
    </row>
    <row r="16" spans="1:20" x14ac:dyDescent="0.25">
      <c r="A16" s="123" t="s">
        <v>203</v>
      </c>
      <c r="B16" s="120">
        <v>45</v>
      </c>
      <c r="C16" s="121">
        <v>2677.19</v>
      </c>
      <c r="D16" s="121">
        <v>2713.94</v>
      </c>
      <c r="E16" s="121">
        <f>SUM(10529.86+1445.41)</f>
        <v>11975.27</v>
      </c>
      <c r="F16" s="121">
        <v>1909.13</v>
      </c>
      <c r="G16" s="121">
        <v>680.28</v>
      </c>
      <c r="H16" s="121">
        <v>921.69</v>
      </c>
      <c r="I16" s="121">
        <v>219.49</v>
      </c>
      <c r="J16" s="121">
        <v>0</v>
      </c>
      <c r="K16" s="121">
        <f>SUM(230.05+138.03+506.1+184.04+46.01+506.09+92.02)</f>
        <v>1702.34</v>
      </c>
      <c r="L16" s="121">
        <v>516.54</v>
      </c>
      <c r="M16" s="121">
        <f>SUM(C16:L16)</f>
        <v>23315.870000000003</v>
      </c>
      <c r="N16" s="121">
        <v>3118.34</v>
      </c>
      <c r="O16" s="121">
        <v>4708.18</v>
      </c>
      <c r="P16" s="121">
        <v>3344.08</v>
      </c>
      <c r="Q16" s="121">
        <f t="shared" si="2"/>
        <v>34486.47</v>
      </c>
      <c r="R16" s="121"/>
      <c r="S16" s="121"/>
      <c r="T16" s="121"/>
    </row>
    <row r="17" spans="1:20" x14ac:dyDescent="0.25">
      <c r="A17" s="119" t="s">
        <v>204</v>
      </c>
      <c r="B17" s="120">
        <v>120</v>
      </c>
      <c r="C17" s="121">
        <v>17906.97</v>
      </c>
      <c r="D17" s="121">
        <v>15650.71</v>
      </c>
      <c r="E17" s="121">
        <v>104799.7</v>
      </c>
      <c r="F17" s="121">
        <v>10127.74</v>
      </c>
      <c r="G17" s="121">
        <v>3522.72</v>
      </c>
      <c r="H17" s="121">
        <v>1451.58</v>
      </c>
      <c r="I17" s="121">
        <v>0</v>
      </c>
      <c r="J17" s="121">
        <v>0</v>
      </c>
      <c r="K17" s="121">
        <f>SUM(965.85+1650+2538.32+6759.9+1.49)</f>
        <v>11915.56</v>
      </c>
      <c r="L17" s="121">
        <v>2528.48</v>
      </c>
      <c r="M17" s="121">
        <f t="shared" si="3"/>
        <v>167903.46</v>
      </c>
      <c r="N17" s="121">
        <v>20129.75</v>
      </c>
      <c r="O17" s="121">
        <v>33658.160000000003</v>
      </c>
      <c r="P17" s="121">
        <f>SUM(1800+16709.15)</f>
        <v>18509.150000000001</v>
      </c>
      <c r="Q17" s="121">
        <f t="shared" si="2"/>
        <v>240200.52</v>
      </c>
      <c r="R17" s="121"/>
      <c r="S17" s="121"/>
      <c r="T17" s="121"/>
    </row>
    <row r="18" spans="1:20" x14ac:dyDescent="0.25">
      <c r="A18" s="119" t="s">
        <v>205</v>
      </c>
      <c r="B18" s="120">
        <v>31</v>
      </c>
      <c r="C18">
        <v>1241.99</v>
      </c>
      <c r="D18" s="121">
        <v>834.79</v>
      </c>
      <c r="E18" s="121">
        <v>4265.49</v>
      </c>
      <c r="F18" s="121">
        <v>682.13</v>
      </c>
      <c r="G18" s="121">
        <v>229.08</v>
      </c>
      <c r="H18" s="121">
        <v>716.46</v>
      </c>
      <c r="I18" s="121">
        <v>0</v>
      </c>
      <c r="J18" s="121">
        <v>906.08</v>
      </c>
      <c r="K18" s="121">
        <f>SUM(10.19+116.28+174.42+203.48+145.35+29.07+145.35)</f>
        <v>824.1400000000001</v>
      </c>
      <c r="L18" s="121">
        <f>SUM(148.37+1.81+1.36+1.37+83.6)</f>
        <v>236.51000000000002</v>
      </c>
      <c r="M18" s="121">
        <f t="shared" si="3"/>
        <v>9936.67</v>
      </c>
      <c r="N18" s="121">
        <f>SUM(387.4+940.05)</f>
        <v>1327.4499999999998</v>
      </c>
      <c r="O18" s="121">
        <f>SUM(62+1987.34)</f>
        <v>2049.34</v>
      </c>
      <c r="P18" s="121">
        <f>SUM(993.64+310)</f>
        <v>1303.6399999999999</v>
      </c>
      <c r="Q18" s="121">
        <f t="shared" si="2"/>
        <v>14617.099999999999</v>
      </c>
      <c r="R18" s="121"/>
      <c r="S18" s="121"/>
      <c r="T18" s="121"/>
    </row>
    <row r="19" spans="1:20" x14ac:dyDescent="0.25">
      <c r="A19" s="119" t="s">
        <v>206</v>
      </c>
      <c r="B19" s="120">
        <v>18</v>
      </c>
      <c r="C19" s="121">
        <v>1596.16</v>
      </c>
      <c r="D19" s="121">
        <f>SUM(1334.5+126)</f>
        <v>1460.5</v>
      </c>
      <c r="E19" s="121">
        <v>5835.12</v>
      </c>
      <c r="F19" s="121">
        <v>719.58</v>
      </c>
      <c r="G19" s="121">
        <v>654.17999999999995</v>
      </c>
      <c r="H19" s="121">
        <v>568.05999999999995</v>
      </c>
      <c r="I19" s="121">
        <v>0</v>
      </c>
      <c r="J19" s="121">
        <v>0</v>
      </c>
      <c r="K19" s="121">
        <v>8.3699999999999992</v>
      </c>
      <c r="L19" s="121">
        <v>0</v>
      </c>
      <c r="M19" s="121">
        <f t="shared" si="3"/>
        <v>10841.97</v>
      </c>
      <c r="N19" s="121">
        <f>SUM(1013.99+361.94)</f>
        <v>1375.93</v>
      </c>
      <c r="O19" s="121">
        <v>2143.1799999999998</v>
      </c>
      <c r="P19" s="121">
        <f>SUM(180+1071.6)</f>
        <v>1251.5999999999999</v>
      </c>
      <c r="Q19" s="121">
        <f t="shared" si="2"/>
        <v>15612.68</v>
      </c>
      <c r="R19" s="121"/>
      <c r="S19" s="121"/>
      <c r="T19" s="121"/>
    </row>
    <row r="20" spans="1:20" x14ac:dyDescent="0.25">
      <c r="A20" s="119" t="s">
        <v>207</v>
      </c>
      <c r="B20" s="120">
        <v>110</v>
      </c>
      <c r="C20" s="121">
        <v>8853.25</v>
      </c>
      <c r="D20" s="121">
        <f>SUM(33967.3)</f>
        <v>33967.300000000003</v>
      </c>
      <c r="E20" s="121">
        <v>21967.89</v>
      </c>
      <c r="F20" s="121">
        <v>4208.8599999999997</v>
      </c>
      <c r="G20" s="121">
        <v>2031.84</v>
      </c>
      <c r="H20" s="121">
        <v>1161.02</v>
      </c>
      <c r="I20" s="121">
        <v>362.93</v>
      </c>
      <c r="J20" s="121">
        <v>0</v>
      </c>
      <c r="K20" s="121">
        <f>SUM(1969.63+4.3)</f>
        <v>1973.93</v>
      </c>
      <c r="L20" s="121">
        <v>0</v>
      </c>
      <c r="M20" s="121">
        <f>SUM(C20:L20)</f>
        <v>74527.01999999999</v>
      </c>
      <c r="N20" s="121">
        <f>SUM(7127.13+2705.12)</f>
        <v>9832.25</v>
      </c>
      <c r="O20" s="121">
        <f>SUM(218+14905.39)</f>
        <v>15123.39</v>
      </c>
      <c r="P20" s="121">
        <f>SUM(7452.72+1099.3+1090)</f>
        <v>9642.02</v>
      </c>
      <c r="Q20" s="121">
        <f t="shared" si="2"/>
        <v>109124.68</v>
      </c>
      <c r="R20" s="121"/>
      <c r="S20" s="121"/>
      <c r="T20" s="121"/>
    </row>
    <row r="21" spans="1:20" x14ac:dyDescent="0.25">
      <c r="A21" s="119" t="s">
        <v>208</v>
      </c>
      <c r="B21" s="120">
        <v>161</v>
      </c>
      <c r="C21" s="121">
        <v>23606</v>
      </c>
      <c r="D21" s="121">
        <v>37917.07</v>
      </c>
      <c r="E21" s="121">
        <v>100765.51</v>
      </c>
      <c r="F21" s="121">
        <v>14898.84</v>
      </c>
      <c r="G21" s="121">
        <v>4643.82</v>
      </c>
      <c r="H21" s="121">
        <v>5417.75</v>
      </c>
      <c r="I21" s="121">
        <v>541.82000000000005</v>
      </c>
      <c r="J21" s="121">
        <v>0</v>
      </c>
      <c r="K21" s="121">
        <v>10946.95</v>
      </c>
      <c r="L21" s="121">
        <v>0</v>
      </c>
      <c r="M21" s="121">
        <f>SUM(C21:L21)</f>
        <v>198737.76</v>
      </c>
      <c r="N21" s="121">
        <v>23198.51</v>
      </c>
      <c r="O21" s="121">
        <v>39103.480000000003</v>
      </c>
      <c r="P21" s="121">
        <f>SUM(2415+19390.84)</f>
        <v>21805.84</v>
      </c>
      <c r="Q21" s="121">
        <f t="shared" si="2"/>
        <v>282845.59000000003</v>
      </c>
      <c r="R21" s="121"/>
      <c r="S21" s="121"/>
      <c r="T21" s="121"/>
    </row>
    <row r="22" spans="1:20" x14ac:dyDescent="0.25">
      <c r="A22" s="119" t="s">
        <v>209</v>
      </c>
      <c r="B22" s="120">
        <v>2</v>
      </c>
      <c r="C22" s="121">
        <v>86.52</v>
      </c>
      <c r="D22" s="121">
        <v>190.99</v>
      </c>
      <c r="E22" s="121">
        <v>383.65</v>
      </c>
      <c r="F22" s="121">
        <v>0</v>
      </c>
      <c r="G22" s="121">
        <v>22.69</v>
      </c>
      <c r="H22" s="121">
        <v>55.75</v>
      </c>
      <c r="I22" s="121">
        <v>14.18</v>
      </c>
      <c r="J22" s="121">
        <v>59.57</v>
      </c>
      <c r="K22" s="121">
        <v>58.13</v>
      </c>
      <c r="L22" s="121">
        <v>27.95</v>
      </c>
      <c r="M22" s="121">
        <f t="shared" si="3"/>
        <v>899.43000000000006</v>
      </c>
      <c r="N22" s="121">
        <v>110.87</v>
      </c>
      <c r="O22" s="121">
        <v>173.49</v>
      </c>
      <c r="P22" s="121">
        <f>SUM(30+84.75)</f>
        <v>114.75</v>
      </c>
      <c r="Q22" s="121">
        <f t="shared" si="2"/>
        <v>1298.54</v>
      </c>
      <c r="R22" s="121"/>
      <c r="S22" s="121"/>
      <c r="T22" s="121"/>
    </row>
    <row r="23" spans="1:20" x14ac:dyDescent="0.25">
      <c r="A23" s="119" t="s">
        <v>210</v>
      </c>
      <c r="B23" s="120">
        <v>33</v>
      </c>
      <c r="C23" s="121">
        <v>2425.8200000000002</v>
      </c>
      <c r="D23" s="121">
        <v>1098.29</v>
      </c>
      <c r="E23" s="121">
        <v>11592.2</v>
      </c>
      <c r="F23" s="121">
        <v>2147.4299999999998</v>
      </c>
      <c r="G23" s="121">
        <v>1073.74</v>
      </c>
      <c r="H23" s="121">
        <v>994.19</v>
      </c>
      <c r="I23" s="121">
        <v>0</v>
      </c>
      <c r="J23" s="121">
        <v>0</v>
      </c>
      <c r="K23" s="121">
        <f>SUM(554.81+1.6)</f>
        <v>556.41</v>
      </c>
      <c r="L23" s="121">
        <v>450.42</v>
      </c>
      <c r="M23" s="121">
        <f t="shared" si="3"/>
        <v>20338.5</v>
      </c>
      <c r="N23" s="121">
        <v>2526.15</v>
      </c>
      <c r="O23" s="121">
        <v>3975.3</v>
      </c>
      <c r="P23" s="121">
        <f>SUM(1987.65+495)</f>
        <v>2482.65</v>
      </c>
      <c r="Q23" s="121">
        <f>SUM(M23:P23)</f>
        <v>29322.600000000002</v>
      </c>
      <c r="R23" s="121"/>
      <c r="S23" s="121"/>
      <c r="T23" s="121"/>
    </row>
    <row r="24" spans="1:20" x14ac:dyDescent="0.25">
      <c r="A24" s="119" t="s">
        <v>211</v>
      </c>
      <c r="B24" s="120">
        <v>72</v>
      </c>
      <c r="C24" s="121">
        <v>5313.14</v>
      </c>
      <c r="D24" s="121">
        <v>3179.19</v>
      </c>
      <c r="E24" s="121">
        <v>20250.95</v>
      </c>
      <c r="F24" s="121">
        <v>0</v>
      </c>
      <c r="G24" s="121">
        <v>1742.01</v>
      </c>
      <c r="H24" s="121">
        <v>1988.88</v>
      </c>
      <c r="I24" s="121">
        <v>0</v>
      </c>
      <c r="J24" s="121">
        <v>4180.8</v>
      </c>
      <c r="K24" s="121">
        <v>48.72</v>
      </c>
      <c r="L24" s="121">
        <v>0</v>
      </c>
      <c r="M24" s="121">
        <f t="shared" si="3"/>
        <v>36703.69</v>
      </c>
      <c r="N24" s="121">
        <f>SUM(3399.34+1373.21)</f>
        <v>4772.55</v>
      </c>
      <c r="O24" s="121">
        <f>SUM(7340.72+142)</f>
        <v>7482.72</v>
      </c>
      <c r="P24" s="121">
        <f>SUM(3670.37+360+720)</f>
        <v>4750.37</v>
      </c>
      <c r="Q24" s="121">
        <f t="shared" si="2"/>
        <v>53709.330000000009</v>
      </c>
      <c r="R24" s="121"/>
      <c r="S24" s="121"/>
      <c r="T24" s="121"/>
    </row>
    <row r="25" spans="1:20" x14ac:dyDescent="0.25">
      <c r="A25" s="119" t="s">
        <v>212</v>
      </c>
      <c r="B25" s="120">
        <v>25</v>
      </c>
      <c r="C25" s="121">
        <v>1588.38</v>
      </c>
      <c r="D25" s="121">
        <v>1147.3499999999999</v>
      </c>
      <c r="E25" s="121">
        <v>6158.24</v>
      </c>
      <c r="F25" s="121">
        <v>1132.74</v>
      </c>
      <c r="G25" s="121">
        <v>559.87</v>
      </c>
      <c r="H25" s="121">
        <v>249.19</v>
      </c>
      <c r="I25" s="121">
        <v>182.27</v>
      </c>
      <c r="J25" s="121">
        <v>781.17</v>
      </c>
      <c r="K25" s="121">
        <v>8.83</v>
      </c>
      <c r="L25" s="121">
        <v>807.21</v>
      </c>
      <c r="M25" s="121">
        <f t="shared" si="3"/>
        <v>12615.25</v>
      </c>
      <c r="N25" s="121">
        <f>SUM(1167.44+479.34)</f>
        <v>1646.78</v>
      </c>
      <c r="O25" s="121">
        <f>SUM(50+2468.04)</f>
        <v>2518.04</v>
      </c>
      <c r="P25" s="121">
        <f>SUM(1234.06+375)</f>
        <v>1609.06</v>
      </c>
      <c r="Q25" s="121">
        <f>SUM(M25:P25)</f>
        <v>18389.13</v>
      </c>
      <c r="R25" s="121"/>
      <c r="S25" s="121"/>
      <c r="T25" s="121"/>
    </row>
    <row r="26" spans="1:20" x14ac:dyDescent="0.25">
      <c r="A26" s="119" t="s">
        <v>213</v>
      </c>
      <c r="B26" s="120">
        <v>99</v>
      </c>
      <c r="C26" s="121">
        <v>9681.2000000000007</v>
      </c>
      <c r="D26" s="121">
        <v>14839.13</v>
      </c>
      <c r="E26" s="121">
        <v>33011.160000000003</v>
      </c>
      <c r="F26" s="121">
        <v>0</v>
      </c>
      <c r="G26" s="121">
        <v>2539.33</v>
      </c>
      <c r="H26" s="121">
        <v>1904.53</v>
      </c>
      <c r="I26" s="121">
        <v>0</v>
      </c>
      <c r="J26" s="121">
        <v>0</v>
      </c>
      <c r="K26" s="121">
        <f>SUM(317.44+1.39+2696.87)</f>
        <v>3015.7</v>
      </c>
      <c r="L26" s="121">
        <f>SUM(247.97+87.63+517.79)</f>
        <v>853.39</v>
      </c>
      <c r="M26" s="121">
        <f t="shared" si="3"/>
        <v>65844.44</v>
      </c>
      <c r="N26" s="121">
        <f>SUM(6230.72+2200.02)</f>
        <v>8430.74</v>
      </c>
      <c r="O26" s="121">
        <f>SUM(182+13168.96)</f>
        <v>13350.96</v>
      </c>
      <c r="P26" s="121">
        <f>SUM(990+990+6584.44)</f>
        <v>8564.4399999999987</v>
      </c>
      <c r="Q26" s="121">
        <f t="shared" si="2"/>
        <v>96190.580000000016</v>
      </c>
      <c r="R26" s="121"/>
      <c r="S26" s="121"/>
      <c r="T26" s="121"/>
    </row>
    <row r="27" spans="1:20" x14ac:dyDescent="0.25">
      <c r="A27" s="119" t="s">
        <v>214</v>
      </c>
      <c r="B27" s="120">
        <v>66</v>
      </c>
      <c r="C27" s="121">
        <v>10850.91</v>
      </c>
      <c r="D27" s="121">
        <v>8931.6200000000008</v>
      </c>
      <c r="E27" s="121">
        <v>55321.93</v>
      </c>
      <c r="F27" s="121">
        <v>5959.1</v>
      </c>
      <c r="G27" s="121">
        <v>4091.34</v>
      </c>
      <c r="H27" s="121">
        <v>2783.88</v>
      </c>
      <c r="I27" s="121">
        <v>0</v>
      </c>
      <c r="J27" s="121">
        <v>0</v>
      </c>
      <c r="K27" s="121">
        <v>0</v>
      </c>
      <c r="L27" s="121">
        <v>0</v>
      </c>
      <c r="M27" s="121">
        <f t="shared" si="3"/>
        <v>87938.78</v>
      </c>
      <c r="N27" s="121">
        <v>10724.92</v>
      </c>
      <c r="O27" s="121">
        <v>17587.75</v>
      </c>
      <c r="P27" s="121">
        <f>SUM(8727.87+990)</f>
        <v>9717.8700000000008</v>
      </c>
      <c r="Q27" s="121">
        <f t="shared" si="2"/>
        <v>125969.31999999999</v>
      </c>
      <c r="R27" s="121"/>
      <c r="S27" s="121"/>
      <c r="T27" s="121"/>
    </row>
    <row r="28" spans="1:20" x14ac:dyDescent="0.25">
      <c r="A28" s="119" t="s">
        <v>215</v>
      </c>
      <c r="B28" s="120">
        <v>96</v>
      </c>
      <c r="C28" s="121">
        <v>5031.46</v>
      </c>
      <c r="D28" s="121">
        <v>5648.18</v>
      </c>
      <c r="E28" s="121">
        <v>27036.43</v>
      </c>
      <c r="F28" s="121">
        <v>4286.53</v>
      </c>
      <c r="G28" s="121">
        <v>2886.89</v>
      </c>
      <c r="H28" s="121">
        <v>3002.32</v>
      </c>
      <c r="I28" s="121">
        <v>577.36</v>
      </c>
      <c r="J28" s="121">
        <v>0</v>
      </c>
      <c r="K28" s="121">
        <v>77.5</v>
      </c>
      <c r="L28" s="121">
        <v>0</v>
      </c>
      <c r="M28" s="121">
        <f t="shared" si="3"/>
        <v>48546.67</v>
      </c>
      <c r="N28" s="121">
        <v>6162.92</v>
      </c>
      <c r="O28" s="121">
        <v>9538.24</v>
      </c>
      <c r="P28" s="121">
        <v>6020.53</v>
      </c>
      <c r="Q28" s="121">
        <f t="shared" si="2"/>
        <v>70268.36</v>
      </c>
      <c r="R28" s="121"/>
      <c r="S28" s="121"/>
      <c r="T28" s="121"/>
    </row>
    <row r="29" spans="1:20" x14ac:dyDescent="0.25">
      <c r="A29" s="119" t="s">
        <v>216</v>
      </c>
      <c r="B29" s="120">
        <v>37</v>
      </c>
      <c r="C29" s="121">
        <v>4793.8100000000004</v>
      </c>
      <c r="D29" s="121">
        <v>2554.1</v>
      </c>
      <c r="E29" s="121">
        <v>16739.04</v>
      </c>
      <c r="F29" s="121">
        <v>1689.64</v>
      </c>
      <c r="G29" s="121">
        <v>1375.3</v>
      </c>
      <c r="H29" s="121">
        <v>2903</v>
      </c>
      <c r="I29" s="121">
        <v>715.12</v>
      </c>
      <c r="J29" s="121">
        <v>0</v>
      </c>
      <c r="K29" s="121">
        <v>6.02</v>
      </c>
      <c r="L29" s="121">
        <v>0</v>
      </c>
      <c r="M29" s="121">
        <f t="shared" si="3"/>
        <v>30776.03</v>
      </c>
      <c r="N29" s="121">
        <f>SUM(2880.18+1221.38)</f>
        <v>4101.5599999999995</v>
      </c>
      <c r="O29" s="121">
        <f>SUM(74+6155.18)</f>
        <v>6229.18</v>
      </c>
      <c r="P29" s="121">
        <f>SUM(370+3077.63)</f>
        <v>3447.63</v>
      </c>
      <c r="Q29" s="121">
        <f t="shared" si="2"/>
        <v>44554.399999999994</v>
      </c>
      <c r="R29" s="121"/>
      <c r="S29" s="121"/>
      <c r="T29" s="121"/>
    </row>
    <row r="30" spans="1:20" x14ac:dyDescent="0.25">
      <c r="A30" s="119" t="s">
        <v>217</v>
      </c>
      <c r="B30" s="120">
        <v>3</v>
      </c>
      <c r="C30" s="121">
        <v>112.64</v>
      </c>
      <c r="D30" s="121">
        <v>107.09</v>
      </c>
      <c r="E30" s="121">
        <v>514.78</v>
      </c>
      <c r="F30" s="121">
        <v>46.16</v>
      </c>
      <c r="G30" s="121">
        <v>27.7</v>
      </c>
      <c r="H30" s="121">
        <v>33.229999999999997</v>
      </c>
      <c r="I30" s="121">
        <v>0</v>
      </c>
      <c r="J30" s="121">
        <v>0</v>
      </c>
      <c r="K30" s="121">
        <v>0</v>
      </c>
      <c r="L30" s="121">
        <v>0</v>
      </c>
      <c r="M30" s="121">
        <f t="shared" si="3"/>
        <v>841.6</v>
      </c>
      <c r="N30" s="121">
        <v>112.64</v>
      </c>
      <c r="O30" s="121">
        <v>174.32</v>
      </c>
      <c r="P30" s="121">
        <v>114.16</v>
      </c>
      <c r="Q30" s="121">
        <f t="shared" si="2"/>
        <v>1242.72</v>
      </c>
      <c r="R30" s="121"/>
      <c r="S30" s="121"/>
      <c r="T30" s="121"/>
    </row>
    <row r="31" spans="1:20" x14ac:dyDescent="0.25">
      <c r="A31" s="119" t="s">
        <v>218</v>
      </c>
      <c r="B31" s="120">
        <v>32</v>
      </c>
      <c r="C31" s="121">
        <v>1559.13</v>
      </c>
      <c r="D31" s="121">
        <v>831.09</v>
      </c>
      <c r="E31" s="121">
        <v>5303.58</v>
      </c>
      <c r="F31" s="121">
        <v>1009.59</v>
      </c>
      <c r="G31" s="121">
        <v>447.29</v>
      </c>
      <c r="H31" s="121">
        <v>797.84</v>
      </c>
      <c r="I31" s="121">
        <v>332.27</v>
      </c>
      <c r="J31" s="121">
        <v>792.35</v>
      </c>
      <c r="K31" s="121">
        <v>16.71</v>
      </c>
      <c r="L31" s="121">
        <v>0</v>
      </c>
      <c r="M31" s="121">
        <f t="shared" si="3"/>
        <v>11089.85</v>
      </c>
      <c r="N31" s="121">
        <f>SUM(480+1083.36)</f>
        <v>1563.36</v>
      </c>
      <c r="O31" s="121">
        <v>2230.7600000000002</v>
      </c>
      <c r="P31" s="121">
        <v>1430.64</v>
      </c>
      <c r="Q31" s="121">
        <f t="shared" si="2"/>
        <v>16314.61</v>
      </c>
      <c r="R31" s="121"/>
      <c r="S31" s="121"/>
      <c r="T31" s="121"/>
    </row>
    <row r="32" spans="1:20" x14ac:dyDescent="0.25">
      <c r="A32" s="123" t="s">
        <v>219</v>
      </c>
      <c r="B32" s="120">
        <v>105</v>
      </c>
      <c r="C32" s="121">
        <v>11463.72</v>
      </c>
      <c r="D32" s="121">
        <v>12895.65</v>
      </c>
      <c r="E32" s="121">
        <v>44777.37</v>
      </c>
      <c r="F32" s="121">
        <v>6013.8</v>
      </c>
      <c r="G32" s="121">
        <v>3758.63</v>
      </c>
      <c r="H32" s="121">
        <v>807.18</v>
      </c>
      <c r="I32" s="121">
        <v>0</v>
      </c>
      <c r="J32" s="121">
        <v>0</v>
      </c>
      <c r="K32" s="121">
        <v>1318.12</v>
      </c>
      <c r="L32" s="121">
        <v>205.55</v>
      </c>
      <c r="M32" s="121">
        <f t="shared" si="3"/>
        <v>81240.02</v>
      </c>
      <c r="N32" s="121">
        <v>9680.8700000000008</v>
      </c>
      <c r="O32" s="121">
        <v>16206.02</v>
      </c>
      <c r="P32" s="121">
        <f>SUM(2100+9153.02)</f>
        <v>11253.02</v>
      </c>
      <c r="Q32" s="121">
        <f t="shared" si="2"/>
        <v>118379.93000000001</v>
      </c>
      <c r="R32" s="121"/>
      <c r="S32" s="121"/>
      <c r="T32" s="121"/>
    </row>
    <row r="33" spans="1:20" x14ac:dyDescent="0.25">
      <c r="A33" s="119" t="s">
        <v>220</v>
      </c>
      <c r="B33" s="120">
        <v>27</v>
      </c>
      <c r="C33" s="121">
        <v>2087.14</v>
      </c>
      <c r="D33" s="121">
        <v>2377.98</v>
      </c>
      <c r="E33" s="121">
        <v>7595.8</v>
      </c>
      <c r="F33" s="121">
        <v>1253.53</v>
      </c>
      <c r="G33" s="121">
        <v>342.15</v>
      </c>
      <c r="H33" s="121">
        <v>299.47000000000003</v>
      </c>
      <c r="I33" s="121">
        <v>0</v>
      </c>
      <c r="J33" s="121">
        <v>1351.52</v>
      </c>
      <c r="K33" s="121">
        <f>SUM(205.65+29.38+205.65+29.38+235.03+29.38)</f>
        <v>734.47</v>
      </c>
      <c r="L33" s="121">
        <v>0</v>
      </c>
      <c r="M33" s="121">
        <f t="shared" si="3"/>
        <v>16042.06</v>
      </c>
      <c r="N33" s="121">
        <f>SUM(1501.59+584.52)</f>
        <v>2086.1099999999997</v>
      </c>
      <c r="O33" s="121">
        <f>SUM(3208.42+27)</f>
        <v>3235.42</v>
      </c>
      <c r="P33" s="121">
        <f>SUM(1604.21+270)</f>
        <v>1874.21</v>
      </c>
      <c r="Q33" s="121">
        <f t="shared" si="2"/>
        <v>23237.799999999996</v>
      </c>
      <c r="R33" s="121"/>
      <c r="S33" s="121"/>
      <c r="T33" s="121"/>
    </row>
    <row r="34" spans="1:20" x14ac:dyDescent="0.25">
      <c r="A34" s="122" t="s">
        <v>221</v>
      </c>
      <c r="B34" s="120">
        <v>8</v>
      </c>
      <c r="C34" s="121">
        <v>220.39</v>
      </c>
      <c r="D34" s="121">
        <v>250.2</v>
      </c>
      <c r="E34" s="121">
        <v>771.15</v>
      </c>
      <c r="F34" s="121">
        <v>0</v>
      </c>
      <c r="G34" s="121">
        <v>124.38</v>
      </c>
      <c r="H34" s="121">
        <v>128.96</v>
      </c>
      <c r="I34" s="121">
        <v>105.25</v>
      </c>
      <c r="J34" s="121">
        <v>179.46</v>
      </c>
      <c r="K34" s="121">
        <v>8.32</v>
      </c>
      <c r="L34" s="121">
        <v>0</v>
      </c>
      <c r="M34" s="121">
        <f t="shared" si="3"/>
        <v>1788.11</v>
      </c>
      <c r="N34" s="121">
        <v>194.93</v>
      </c>
      <c r="O34" s="121">
        <v>285.94</v>
      </c>
      <c r="P34" s="121">
        <v>364.98</v>
      </c>
      <c r="Q34" s="121">
        <f t="shared" si="2"/>
        <v>2633.96</v>
      </c>
      <c r="R34" s="121"/>
      <c r="S34" s="121"/>
      <c r="T34" s="121"/>
    </row>
    <row r="35" spans="1:20" x14ac:dyDescent="0.25">
      <c r="A35" s="119" t="s">
        <v>222</v>
      </c>
      <c r="B35" s="120">
        <v>35</v>
      </c>
      <c r="C35" s="121">
        <v>2265.77</v>
      </c>
      <c r="D35" s="121">
        <v>1827.89</v>
      </c>
      <c r="E35" s="121">
        <v>9583</v>
      </c>
      <c r="F35" s="121">
        <v>2377.16</v>
      </c>
      <c r="G35" s="121">
        <v>1485.74</v>
      </c>
      <c r="H35" s="121">
        <v>1262.8499999999999</v>
      </c>
      <c r="I35" s="121">
        <v>278.56</v>
      </c>
      <c r="J35" s="121">
        <v>1857.18</v>
      </c>
      <c r="K35" s="121">
        <v>18.87</v>
      </c>
      <c r="L35" s="121">
        <v>73.239999999999995</v>
      </c>
      <c r="M35" s="121">
        <f t="shared" si="3"/>
        <v>21030.260000000002</v>
      </c>
      <c r="N35" s="121">
        <v>2761.89</v>
      </c>
      <c r="O35" s="121">
        <v>4241.0600000000004</v>
      </c>
      <c r="P35" s="121">
        <f>SUM(2085.53+525)</f>
        <v>2610.5300000000002</v>
      </c>
      <c r="Q35" s="121">
        <f t="shared" si="2"/>
        <v>30643.74</v>
      </c>
      <c r="R35" s="121"/>
      <c r="S35" s="121"/>
      <c r="T35" s="121"/>
    </row>
    <row r="36" spans="1:20" x14ac:dyDescent="0.25">
      <c r="A36" s="119" t="s">
        <v>223</v>
      </c>
      <c r="B36" s="120">
        <v>241</v>
      </c>
      <c r="C36" s="124">
        <v>46032.04</v>
      </c>
      <c r="D36" s="124">
        <v>40789.58</v>
      </c>
      <c r="E36" s="124">
        <v>282983.3</v>
      </c>
      <c r="F36" s="121">
        <v>0</v>
      </c>
      <c r="G36" s="124">
        <v>10564.63</v>
      </c>
      <c r="H36" s="124">
        <v>1320.88</v>
      </c>
      <c r="I36" s="125">
        <v>226.37</v>
      </c>
      <c r="J36" s="121">
        <v>0</v>
      </c>
      <c r="K36" s="121">
        <v>0</v>
      </c>
      <c r="L36" s="124">
        <v>79560.509999999995</v>
      </c>
      <c r="M36" s="121">
        <f t="shared" si="3"/>
        <v>461477.31</v>
      </c>
      <c r="N36" s="121">
        <v>51804.59</v>
      </c>
      <c r="O36" s="121">
        <v>90753.03</v>
      </c>
      <c r="P36" s="121">
        <v>48750.75</v>
      </c>
      <c r="Q36" s="121">
        <f t="shared" si="2"/>
        <v>652785.68000000005</v>
      </c>
      <c r="R36" s="121"/>
      <c r="S36" s="121"/>
      <c r="T36" s="121"/>
    </row>
    <row r="37" spans="1:20" x14ac:dyDescent="0.25">
      <c r="A37" s="119" t="s">
        <v>224</v>
      </c>
      <c r="B37" s="120">
        <v>19</v>
      </c>
      <c r="C37" s="121">
        <v>1427.87</v>
      </c>
      <c r="D37" s="121">
        <v>2062.63</v>
      </c>
      <c r="E37" s="121">
        <v>5173.1000000000004</v>
      </c>
      <c r="F37" s="121">
        <v>1029.93</v>
      </c>
      <c r="G37" s="121">
        <v>585.19000000000005</v>
      </c>
      <c r="H37" s="121">
        <v>531.92999999999995</v>
      </c>
      <c r="I37" s="121">
        <v>175.54</v>
      </c>
      <c r="J37" s="121">
        <v>526.69000000000005</v>
      </c>
      <c r="K37" s="121">
        <v>3.66</v>
      </c>
      <c r="L37" s="121">
        <v>30.06</v>
      </c>
      <c r="M37" s="121">
        <f t="shared" si="3"/>
        <v>11546.600000000002</v>
      </c>
      <c r="N37" s="121">
        <v>1483.44</v>
      </c>
      <c r="O37" s="121">
        <v>2309.31</v>
      </c>
      <c r="P37" s="121">
        <v>1420.68</v>
      </c>
      <c r="Q37" s="121">
        <f t="shared" si="2"/>
        <v>16760.030000000002</v>
      </c>
      <c r="R37" s="121"/>
      <c r="S37" s="121"/>
      <c r="T37" s="121"/>
    </row>
    <row r="38" spans="1:20" x14ac:dyDescent="0.25">
      <c r="A38" s="119" t="s">
        <v>225</v>
      </c>
      <c r="B38" s="120">
        <v>51</v>
      </c>
      <c r="C38" s="121">
        <v>7822.84</v>
      </c>
      <c r="D38" s="121">
        <f>SUM(7758.64+510)</f>
        <v>8268.64</v>
      </c>
      <c r="E38" s="121">
        <v>44372.03</v>
      </c>
      <c r="F38" s="121">
        <v>3975.55</v>
      </c>
      <c r="G38" s="121">
        <v>3847.28</v>
      </c>
      <c r="H38" s="121">
        <v>2120.5500000000002</v>
      </c>
      <c r="I38" s="121">
        <v>1090.08</v>
      </c>
      <c r="J38" s="121">
        <v>0</v>
      </c>
      <c r="K38" s="121">
        <f>SUM(12.94+3785.71)</f>
        <v>3798.65</v>
      </c>
      <c r="L38" s="121">
        <v>0</v>
      </c>
      <c r="M38" s="121">
        <f t="shared" si="3"/>
        <v>75295.62</v>
      </c>
      <c r="N38" s="121">
        <f>SUM(6931.5+1906.55)</f>
        <v>8838.0499999999993</v>
      </c>
      <c r="O38" s="121">
        <f>SUM(14957.11+102)</f>
        <v>15059.11</v>
      </c>
      <c r="P38" s="121">
        <f>SUM(7478.56+255+1428+510)</f>
        <v>9671.5600000000013</v>
      </c>
      <c r="Q38" s="121">
        <f t="shared" si="2"/>
        <v>108864.34</v>
      </c>
      <c r="R38" s="121"/>
      <c r="S38" s="121"/>
      <c r="T38" s="121"/>
    </row>
    <row r="39" spans="1:20" x14ac:dyDescent="0.25">
      <c r="A39" s="119" t="s">
        <v>226</v>
      </c>
      <c r="B39" s="120">
        <v>93</v>
      </c>
      <c r="C39" s="121">
        <v>16103.13</v>
      </c>
      <c r="D39" s="121">
        <v>24487.68</v>
      </c>
      <c r="E39" s="121">
        <v>83341.679999999993</v>
      </c>
      <c r="F39" s="121">
        <v>11087.42</v>
      </c>
      <c r="G39" s="121">
        <v>7589.53</v>
      </c>
      <c r="H39" s="121">
        <v>0</v>
      </c>
      <c r="I39" s="121">
        <v>1187.96</v>
      </c>
      <c r="J39" s="121">
        <v>0</v>
      </c>
      <c r="K39" s="121">
        <v>0</v>
      </c>
      <c r="L39" s="121">
        <v>1861.14</v>
      </c>
      <c r="M39" s="121">
        <f t="shared" si="3"/>
        <v>145658.54</v>
      </c>
      <c r="N39" s="121">
        <v>18001.72</v>
      </c>
      <c r="O39" s="121">
        <v>29224.7</v>
      </c>
      <c r="P39" s="121">
        <f>SUM(1395+14519.36)</f>
        <v>15914.36</v>
      </c>
      <c r="Q39" s="121">
        <f t="shared" si="2"/>
        <v>208799.32</v>
      </c>
      <c r="R39" s="121"/>
      <c r="S39" s="121"/>
      <c r="T39" s="121"/>
    </row>
    <row r="40" spans="1:20" x14ac:dyDescent="0.25">
      <c r="A40" s="119" t="s">
        <v>227</v>
      </c>
      <c r="B40" s="120">
        <v>38</v>
      </c>
      <c r="C40" s="121">
        <v>1449.67</v>
      </c>
      <c r="D40" s="121">
        <v>1830.12</v>
      </c>
      <c r="E40" s="121">
        <f>SUM(3006.61+4254.4)</f>
        <v>7261.01</v>
      </c>
      <c r="F40" s="121">
        <v>998.03</v>
      </c>
      <c r="G40" s="121">
        <v>475.3</v>
      </c>
      <c r="H40" s="121">
        <v>702.57</v>
      </c>
      <c r="I40" s="121">
        <v>320.81</v>
      </c>
      <c r="J40" s="121">
        <v>0</v>
      </c>
      <c r="K40" s="121">
        <v>0</v>
      </c>
      <c r="L40" s="121">
        <f>SUM(225.81+32.04)</f>
        <v>257.85000000000002</v>
      </c>
      <c r="M40" s="121">
        <f t="shared" si="3"/>
        <v>13295.359999999999</v>
      </c>
      <c r="N40" s="121">
        <v>1688.41</v>
      </c>
      <c r="O40" s="121">
        <v>2704.87</v>
      </c>
      <c r="P40" s="121">
        <v>1771.45</v>
      </c>
      <c r="Q40" s="121">
        <f t="shared" si="2"/>
        <v>19460.09</v>
      </c>
      <c r="R40" s="121"/>
      <c r="S40" s="121"/>
      <c r="T40" s="121"/>
    </row>
    <row r="41" spans="1:20" x14ac:dyDescent="0.25">
      <c r="A41" s="119" t="s">
        <v>228</v>
      </c>
      <c r="B41" s="120">
        <v>122</v>
      </c>
      <c r="C41" s="121">
        <v>3293.7</v>
      </c>
      <c r="D41" s="121">
        <v>2530.79</v>
      </c>
      <c r="E41" s="121">
        <v>18034.400000000001</v>
      </c>
      <c r="F41" s="121">
        <v>3212.72</v>
      </c>
      <c r="G41" s="121">
        <v>1484.9</v>
      </c>
      <c r="H41" s="121">
        <v>1553.16</v>
      </c>
      <c r="I41" s="121">
        <v>242.98</v>
      </c>
      <c r="J41" s="121">
        <v>0</v>
      </c>
      <c r="K41" s="121">
        <v>1.21</v>
      </c>
      <c r="L41" s="121">
        <v>1596.71</v>
      </c>
      <c r="M41" s="121">
        <f t="shared" si="3"/>
        <v>31950.57</v>
      </c>
      <c r="N41" s="121">
        <v>4290.63</v>
      </c>
      <c r="O41" s="121">
        <v>6396.53</v>
      </c>
      <c r="P41" s="121">
        <v>3342.34</v>
      </c>
      <c r="Q41" s="121">
        <f t="shared" si="2"/>
        <v>45980.069999999992</v>
      </c>
      <c r="R41" s="121"/>
      <c r="S41" s="121"/>
      <c r="T41" s="121"/>
    </row>
    <row r="42" spans="1:20" x14ac:dyDescent="0.25">
      <c r="A42" s="119" t="s">
        <v>229</v>
      </c>
      <c r="B42" s="120">
        <v>34</v>
      </c>
      <c r="C42" s="121">
        <v>3937.3</v>
      </c>
      <c r="D42" s="121">
        <v>3068.61</v>
      </c>
      <c r="E42" s="121">
        <v>21784.22</v>
      </c>
      <c r="F42" s="121">
        <v>2162.3000000000002</v>
      </c>
      <c r="G42" s="121">
        <v>1290.9100000000001</v>
      </c>
      <c r="H42" s="121">
        <v>1323.15</v>
      </c>
      <c r="I42" s="121">
        <v>209.08</v>
      </c>
      <c r="J42" s="121">
        <v>0</v>
      </c>
      <c r="K42" s="121">
        <v>1652.64</v>
      </c>
      <c r="L42" s="121">
        <v>1933.25</v>
      </c>
      <c r="M42" s="121">
        <f t="shared" si="3"/>
        <v>37361.46</v>
      </c>
      <c r="N42" s="121">
        <v>4480.58</v>
      </c>
      <c r="O42" s="121">
        <v>7590.41</v>
      </c>
      <c r="P42" s="121">
        <v>4315.2299999999996</v>
      </c>
      <c r="Q42" s="121">
        <f t="shared" si="2"/>
        <v>53747.679999999993</v>
      </c>
      <c r="R42" s="121"/>
      <c r="S42" s="121"/>
      <c r="T42" s="121"/>
    </row>
    <row r="43" spans="1:20" x14ac:dyDescent="0.25">
      <c r="A43" s="119" t="s">
        <v>230</v>
      </c>
      <c r="B43" s="120">
        <v>63</v>
      </c>
      <c r="C43" s="121">
        <v>5870.61</v>
      </c>
      <c r="D43" s="121">
        <v>7211</v>
      </c>
      <c r="E43" s="121">
        <v>29818.81</v>
      </c>
      <c r="F43" s="121">
        <v>4715.74</v>
      </c>
      <c r="G43" s="121">
        <v>1347.35</v>
      </c>
      <c r="H43" s="121">
        <v>3023.91</v>
      </c>
      <c r="I43" s="121">
        <v>481.2</v>
      </c>
      <c r="J43" s="121">
        <v>0</v>
      </c>
      <c r="K43" s="121">
        <f>SUM(9.55+1569.12)</f>
        <v>1578.6699999999998</v>
      </c>
      <c r="L43" s="121">
        <v>769.88</v>
      </c>
      <c r="M43" s="121">
        <f t="shared" si="3"/>
        <v>54817.169999999991</v>
      </c>
      <c r="N43" s="121">
        <v>6848.04</v>
      </c>
      <c r="O43" s="121">
        <v>11013.82</v>
      </c>
      <c r="P43" s="121">
        <f>SUM(5443.92+945)</f>
        <v>6388.92</v>
      </c>
      <c r="Q43" s="121">
        <f t="shared" si="2"/>
        <v>79067.95</v>
      </c>
      <c r="R43" s="121"/>
      <c r="S43" s="121"/>
      <c r="T43" s="121"/>
    </row>
    <row r="44" spans="1:20" x14ac:dyDescent="0.25">
      <c r="A44" s="119" t="s">
        <v>231</v>
      </c>
      <c r="B44" s="120">
        <v>97</v>
      </c>
      <c r="C44" s="121">
        <v>9065.7000000000007</v>
      </c>
      <c r="D44" s="121">
        <v>7715.63</v>
      </c>
      <c r="E44" s="121">
        <v>22235.200000000001</v>
      </c>
      <c r="F44" s="121">
        <v>4087.01</v>
      </c>
      <c r="G44" s="121">
        <v>2600.83</v>
      </c>
      <c r="H44" s="121">
        <v>2972.35</v>
      </c>
      <c r="I44" s="121">
        <v>0</v>
      </c>
      <c r="J44" s="121">
        <v>0</v>
      </c>
      <c r="K44" s="121">
        <f>SUM(705.99+6.46+2070.03)</f>
        <v>2782.4800000000005</v>
      </c>
      <c r="L44" s="121">
        <f>SUM(1560.46+46.23+186.43+206.57)</f>
        <v>1999.69</v>
      </c>
      <c r="M44" s="121">
        <f t="shared" si="3"/>
        <v>53458.890000000007</v>
      </c>
      <c r="N44" s="121">
        <v>6914.52</v>
      </c>
      <c r="O44" s="121">
        <v>10769.38</v>
      </c>
      <c r="P44" s="121">
        <f>SUM(5287.7+1455)</f>
        <v>6742.7</v>
      </c>
      <c r="Q44" s="121">
        <f>SUM(M44:P44)</f>
        <v>77885.490000000005</v>
      </c>
      <c r="R44" s="121"/>
      <c r="S44" s="121"/>
      <c r="T44" s="121"/>
    </row>
    <row r="45" spans="1:20" x14ac:dyDescent="0.25">
      <c r="A45" s="119" t="s">
        <v>232</v>
      </c>
      <c r="B45" s="120">
        <v>74</v>
      </c>
      <c r="C45" s="121">
        <v>5269.53</v>
      </c>
      <c r="D45" s="121">
        <f>SUM(2980.37+222)</f>
        <v>3202.37</v>
      </c>
      <c r="E45" s="121">
        <v>22071.5</v>
      </c>
      <c r="F45" s="121">
        <v>4362.5200000000004</v>
      </c>
      <c r="G45" s="121">
        <f>SUM(1122.98+1943.74)</f>
        <v>3066.7200000000003</v>
      </c>
      <c r="H45" s="121">
        <v>1877.16</v>
      </c>
      <c r="I45" s="121">
        <v>0</v>
      </c>
      <c r="J45" s="121">
        <v>0</v>
      </c>
      <c r="K45" s="121">
        <f>SUM(266.8+279.05+465.09+139.53+651.12+279.05+232.54+697.63)</f>
        <v>3010.8100000000004</v>
      </c>
      <c r="L45" s="121">
        <v>7.49</v>
      </c>
      <c r="M45" s="121">
        <f>SUM(C45:L45)</f>
        <v>42868.1</v>
      </c>
      <c r="N45" s="121">
        <f>SUM(4034.53+1630.05)</f>
        <v>5664.58</v>
      </c>
      <c r="O45" s="121">
        <f>SUM(8529.22+148)</f>
        <v>8677.2199999999993</v>
      </c>
      <c r="P45" s="121">
        <f>SUM(4264.63+370+740)</f>
        <v>5374.63</v>
      </c>
      <c r="Q45" s="121">
        <f>SUM(M45:P45)</f>
        <v>62584.53</v>
      </c>
      <c r="R45" s="121"/>
      <c r="S45" s="121"/>
      <c r="T45" s="121"/>
    </row>
    <row r="46" spans="1:20" x14ac:dyDescent="0.25">
      <c r="A46" s="122" t="s">
        <v>233</v>
      </c>
      <c r="B46" s="120">
        <v>24</v>
      </c>
      <c r="C46" s="121">
        <v>925.39</v>
      </c>
      <c r="D46" s="121">
        <v>909.88</v>
      </c>
      <c r="E46" s="121">
        <v>3939.59</v>
      </c>
      <c r="F46" s="121">
        <v>629.58000000000004</v>
      </c>
      <c r="G46" s="121">
        <v>257.92</v>
      </c>
      <c r="H46" s="121">
        <v>401.3</v>
      </c>
      <c r="I46" s="121">
        <v>0</v>
      </c>
      <c r="J46" s="121">
        <v>751.29</v>
      </c>
      <c r="K46" s="121">
        <v>4.13</v>
      </c>
      <c r="L46" s="121">
        <v>0</v>
      </c>
      <c r="M46" s="121">
        <f t="shared" si="3"/>
        <v>7819.0800000000008</v>
      </c>
      <c r="N46" s="121">
        <v>1015.34</v>
      </c>
      <c r="O46" s="121">
        <v>1587.8</v>
      </c>
      <c r="P46" s="121">
        <f>SUM(429+769.92)</f>
        <v>1198.92</v>
      </c>
      <c r="Q46" s="121">
        <f t="shared" si="2"/>
        <v>11621.14</v>
      </c>
      <c r="R46" s="121"/>
      <c r="S46" s="121"/>
      <c r="T46" s="121"/>
    </row>
    <row r="47" spans="1:20" x14ac:dyDescent="0.25">
      <c r="A47" s="119" t="s">
        <v>234</v>
      </c>
      <c r="B47" s="120">
        <v>171</v>
      </c>
      <c r="C47" s="121">
        <v>16857.310000000001</v>
      </c>
      <c r="D47" s="121">
        <v>46063.92</v>
      </c>
      <c r="E47" s="121">
        <v>117167.26</v>
      </c>
      <c r="F47" s="121">
        <v>12297.57</v>
      </c>
      <c r="G47" s="121">
        <v>8290.5</v>
      </c>
      <c r="H47" s="121">
        <v>3091.04</v>
      </c>
      <c r="I47" s="121">
        <v>0</v>
      </c>
      <c r="J47" s="121">
        <v>8169</v>
      </c>
      <c r="K47" s="121">
        <f>SUM(6103.55+25.71)</f>
        <v>6129.26</v>
      </c>
      <c r="L47" s="121">
        <v>3108.67</v>
      </c>
      <c r="M47" s="121">
        <f t="shared" si="3"/>
        <v>221174.53000000003</v>
      </c>
      <c r="N47" s="121">
        <f>SUM(21946.48+2565)</f>
        <v>24511.48</v>
      </c>
      <c r="O47" s="121">
        <v>44235.05</v>
      </c>
      <c r="P47" s="121">
        <v>27412.28</v>
      </c>
      <c r="Q47" s="121">
        <f t="shared" si="2"/>
        <v>317333.34000000008</v>
      </c>
      <c r="R47" s="121"/>
      <c r="S47" s="121"/>
      <c r="T47" s="121"/>
    </row>
    <row r="48" spans="1:20" x14ac:dyDescent="0.25">
      <c r="A48" s="119" t="s">
        <v>235</v>
      </c>
      <c r="B48" s="120">
        <v>12</v>
      </c>
      <c r="C48" s="121">
        <v>1331.27</v>
      </c>
      <c r="D48" s="121">
        <v>899.07</v>
      </c>
      <c r="E48" s="121">
        <v>6972.76</v>
      </c>
      <c r="F48" s="121">
        <v>1265.79</v>
      </c>
      <c r="G48" s="121">
        <v>463.76</v>
      </c>
      <c r="H48" s="121">
        <v>0</v>
      </c>
      <c r="I48" s="121">
        <v>0</v>
      </c>
      <c r="J48" s="121">
        <v>0</v>
      </c>
      <c r="K48" s="121">
        <v>1.9</v>
      </c>
      <c r="L48" s="121">
        <v>0</v>
      </c>
      <c r="M48" s="121">
        <f t="shared" si="3"/>
        <v>10934.55</v>
      </c>
      <c r="N48" s="121">
        <v>1241.6099999999999</v>
      </c>
      <c r="O48" s="121">
        <f>SUM(180+1064.65)</f>
        <v>1244.6500000000001</v>
      </c>
      <c r="P48" s="121">
        <v>2129.3200000000002</v>
      </c>
      <c r="Q48" s="121">
        <f t="shared" si="2"/>
        <v>15550.13</v>
      </c>
      <c r="R48" s="121"/>
      <c r="S48" s="121"/>
      <c r="T48" s="121"/>
    </row>
    <row r="49" spans="1:20" x14ac:dyDescent="0.25">
      <c r="A49" s="119" t="s">
        <v>236</v>
      </c>
      <c r="B49" s="120">
        <v>216</v>
      </c>
      <c r="C49" s="121">
        <v>21763.38</v>
      </c>
      <c r="D49" s="121">
        <v>23345.39</v>
      </c>
      <c r="E49" s="121">
        <f>SUM(100070.93+12710.24+3836.09)</f>
        <v>116617.26</v>
      </c>
      <c r="F49" s="121">
        <v>0</v>
      </c>
      <c r="G49" s="121">
        <v>3924.59</v>
      </c>
      <c r="H49" s="121">
        <v>2625.9</v>
      </c>
      <c r="I49" s="121">
        <v>0</v>
      </c>
      <c r="J49" s="121">
        <v>0</v>
      </c>
      <c r="K49" s="121">
        <f>SUM(1025+445+205+105+175+260+115+325+320+230+55)</f>
        <v>3260</v>
      </c>
      <c r="L49" s="121">
        <f>SUM(80.24+431.44+1221.13)</f>
        <v>1732.8100000000002</v>
      </c>
      <c r="M49" s="121">
        <f t="shared" si="3"/>
        <v>173269.33</v>
      </c>
      <c r="N49" s="121">
        <f>SUM(15856.38+3705.78)</f>
        <v>19562.16</v>
      </c>
      <c r="O49" s="121">
        <v>34610.639999999999</v>
      </c>
      <c r="P49" s="121">
        <v>20329.37</v>
      </c>
      <c r="Q49" s="121">
        <f t="shared" si="2"/>
        <v>247771.5</v>
      </c>
      <c r="R49" s="121"/>
      <c r="S49" s="121"/>
      <c r="T49" s="121"/>
    </row>
    <row r="50" spans="1:20" x14ac:dyDescent="0.25">
      <c r="A50" s="119" t="s">
        <v>237</v>
      </c>
      <c r="B50" s="120">
        <v>91</v>
      </c>
      <c r="C50" s="121">
        <v>7284.22</v>
      </c>
      <c r="D50" s="121">
        <v>24787.34</v>
      </c>
      <c r="E50" s="121">
        <v>22799.75</v>
      </c>
      <c r="F50" s="121">
        <v>5970.67</v>
      </c>
      <c r="G50" s="121">
        <v>3283.94</v>
      </c>
      <c r="H50" s="121">
        <v>5373.61</v>
      </c>
      <c r="I50" s="121">
        <v>895.66</v>
      </c>
      <c r="J50" s="121">
        <v>0</v>
      </c>
      <c r="K50" s="121">
        <v>9.07</v>
      </c>
      <c r="L50" s="121">
        <f>SUM(2103.76+2402.95)</f>
        <v>4506.71</v>
      </c>
      <c r="M50" s="121">
        <f t="shared" si="3"/>
        <v>74910.970000000016</v>
      </c>
      <c r="N50" s="121">
        <v>10154.1</v>
      </c>
      <c r="O50" s="121">
        <v>15164.15</v>
      </c>
      <c r="P50" s="121">
        <v>9584.14</v>
      </c>
      <c r="Q50" s="121">
        <f t="shared" si="2"/>
        <v>109813.36000000002</v>
      </c>
      <c r="R50" s="121"/>
      <c r="S50" s="121"/>
      <c r="T50" s="121"/>
    </row>
    <row r="51" spans="1:20" x14ac:dyDescent="0.25">
      <c r="A51" s="119" t="s">
        <v>238</v>
      </c>
      <c r="B51" s="120">
        <v>29</v>
      </c>
      <c r="C51" s="121">
        <v>2655.37</v>
      </c>
      <c r="D51" s="121">
        <v>2481.04</v>
      </c>
      <c r="E51" s="121">
        <v>10991.55</v>
      </c>
      <c r="F51" s="121">
        <v>1523.58</v>
      </c>
      <c r="G51" s="121">
        <v>979.44</v>
      </c>
      <c r="H51" s="121">
        <v>1088.3</v>
      </c>
      <c r="I51" s="121">
        <v>239.44</v>
      </c>
      <c r="J51" s="121">
        <v>0</v>
      </c>
      <c r="K51" s="126">
        <v>860.96</v>
      </c>
      <c r="L51" s="121">
        <v>0</v>
      </c>
      <c r="M51" s="121">
        <f t="shared" si="3"/>
        <v>20819.679999999997</v>
      </c>
      <c r="N51" s="121">
        <v>2564.1999999999998</v>
      </c>
      <c r="O51" s="126">
        <v>4169.74</v>
      </c>
      <c r="P51" s="121">
        <v>2490.92</v>
      </c>
      <c r="Q51" s="121">
        <f>SUM(M51:P51)</f>
        <v>30044.539999999994</v>
      </c>
      <c r="R51" s="121"/>
      <c r="S51" s="121"/>
      <c r="T51" s="121"/>
    </row>
    <row r="52" spans="1:20" x14ac:dyDescent="0.25">
      <c r="A52" s="119" t="s">
        <v>239</v>
      </c>
      <c r="B52" s="120">
        <v>42</v>
      </c>
      <c r="C52" s="121">
        <v>5016.13</v>
      </c>
      <c r="D52" s="121">
        <v>4778.3</v>
      </c>
      <c r="E52" s="121">
        <v>27130.959999999999</v>
      </c>
      <c r="F52" s="121">
        <v>3618.23</v>
      </c>
      <c r="G52" s="121">
        <v>0</v>
      </c>
      <c r="H52" s="121">
        <v>0</v>
      </c>
      <c r="I52" s="121">
        <v>0</v>
      </c>
      <c r="J52" s="121">
        <v>3042.58</v>
      </c>
      <c r="K52" s="121">
        <f>SUM(4.09+1098.47)</f>
        <v>1102.56</v>
      </c>
      <c r="L52" s="121">
        <v>0</v>
      </c>
      <c r="M52" s="121">
        <f t="shared" si="3"/>
        <v>44688.76</v>
      </c>
      <c r="N52" s="121">
        <v>5639.36</v>
      </c>
      <c r="O52" s="121">
        <v>8853.76</v>
      </c>
      <c r="P52" s="121">
        <f>SUM(4426.88+630)</f>
        <v>5056.88</v>
      </c>
      <c r="Q52" s="121">
        <f t="shared" ref="Q52:Q115" si="4">SUM(M52:P52)</f>
        <v>64238.76</v>
      </c>
      <c r="R52" s="121"/>
      <c r="S52" s="121"/>
      <c r="T52" s="121"/>
    </row>
    <row r="53" spans="1:20" x14ac:dyDescent="0.25">
      <c r="A53" s="119" t="s">
        <v>240</v>
      </c>
      <c r="B53" s="120">
        <v>83</v>
      </c>
      <c r="C53">
        <v>7484.97</v>
      </c>
      <c r="D53">
        <v>7861.91</v>
      </c>
      <c r="E53">
        <v>37652.36</v>
      </c>
      <c r="F53">
        <v>5978.11</v>
      </c>
      <c r="G53">
        <v>3088.47</v>
      </c>
      <c r="H53">
        <v>2013.17</v>
      </c>
      <c r="I53" s="121">
        <v>0</v>
      </c>
      <c r="J53" s="121">
        <v>0</v>
      </c>
      <c r="K53">
        <v>449.26</v>
      </c>
      <c r="L53" s="121">
        <v>0</v>
      </c>
      <c r="M53" s="121">
        <f t="shared" si="3"/>
        <v>64528.250000000007</v>
      </c>
      <c r="N53" s="121">
        <v>8058.81</v>
      </c>
      <c r="O53" s="121">
        <v>11910.78</v>
      </c>
      <c r="P53" s="121">
        <v>9876.4699999999993</v>
      </c>
      <c r="Q53" s="121">
        <f t="shared" si="4"/>
        <v>94374.310000000012</v>
      </c>
      <c r="R53" s="121"/>
      <c r="S53" s="121"/>
      <c r="T53" s="121"/>
    </row>
    <row r="54" spans="1:20" x14ac:dyDescent="0.25">
      <c r="A54" s="119" t="s">
        <v>241</v>
      </c>
      <c r="B54" s="120">
        <v>40</v>
      </c>
      <c r="C54" s="121">
        <v>3178.74</v>
      </c>
      <c r="D54" s="121">
        <v>3488.48</v>
      </c>
      <c r="E54" s="121">
        <v>19501.37</v>
      </c>
      <c r="F54" s="121">
        <v>2579.4899999999998</v>
      </c>
      <c r="G54" s="121">
        <v>1042.21</v>
      </c>
      <c r="H54" s="121">
        <v>1224.58</v>
      </c>
      <c r="I54" s="121">
        <v>187.57</v>
      </c>
      <c r="J54" s="121">
        <v>0</v>
      </c>
      <c r="K54" s="121">
        <f>SUM(3.22+1046.4)</f>
        <v>1049.6200000000001</v>
      </c>
      <c r="L54" s="121">
        <f>SUM(53.52+50.64)</f>
        <v>104.16</v>
      </c>
      <c r="M54" s="121">
        <f t="shared" si="3"/>
        <v>32356.219999999994</v>
      </c>
      <c r="N54" s="121">
        <v>4085.04</v>
      </c>
      <c r="O54" s="121">
        <v>6463.23</v>
      </c>
      <c r="P54" s="121">
        <f>SUM(3191.64+400)</f>
        <v>3591.64</v>
      </c>
      <c r="Q54" s="121">
        <f t="shared" si="4"/>
        <v>46496.12999999999</v>
      </c>
      <c r="R54" s="121"/>
      <c r="S54" s="121"/>
      <c r="T54" s="121"/>
    </row>
    <row r="55" spans="1:20" x14ac:dyDescent="0.25">
      <c r="A55" s="119" t="s">
        <v>242</v>
      </c>
      <c r="B55" s="120">
        <v>3</v>
      </c>
      <c r="C55" s="121">
        <v>114.33</v>
      </c>
      <c r="D55" s="121">
        <v>174.52</v>
      </c>
      <c r="E55" s="121">
        <v>538.87</v>
      </c>
      <c r="F55" s="121">
        <v>0</v>
      </c>
      <c r="G55" s="121">
        <v>29.99</v>
      </c>
      <c r="H55" s="121">
        <v>52.02</v>
      </c>
      <c r="I55" s="121">
        <v>12.17</v>
      </c>
      <c r="J55" s="121">
        <v>0</v>
      </c>
      <c r="K55" s="121">
        <v>0.63</v>
      </c>
      <c r="L55" s="121">
        <v>0</v>
      </c>
      <c r="M55" s="121">
        <f t="shared" si="3"/>
        <v>922.53</v>
      </c>
      <c r="N55" s="121">
        <v>118.65</v>
      </c>
      <c r="O55" s="121">
        <v>183.9</v>
      </c>
      <c r="P55" s="121">
        <f>SUM(45+88.96)</f>
        <v>133.95999999999998</v>
      </c>
      <c r="Q55" s="121">
        <f t="shared" si="4"/>
        <v>1359.0400000000002</v>
      </c>
      <c r="R55" s="121"/>
      <c r="S55" s="121"/>
      <c r="T55" s="121"/>
    </row>
    <row r="56" spans="1:20" x14ac:dyDescent="0.25">
      <c r="A56" s="119" t="s">
        <v>243</v>
      </c>
      <c r="B56" s="120">
        <v>74</v>
      </c>
      <c r="C56" s="127">
        <v>8267.5499999999993</v>
      </c>
      <c r="D56" s="127">
        <v>9794.36</v>
      </c>
      <c r="E56" s="127">
        <v>46240.84</v>
      </c>
      <c r="F56" s="121">
        <v>0</v>
      </c>
      <c r="G56" s="127">
        <v>2626.99</v>
      </c>
      <c r="H56" s="127">
        <v>1563.44</v>
      </c>
      <c r="I56" s="121">
        <v>0</v>
      </c>
      <c r="J56" s="121">
        <v>0</v>
      </c>
      <c r="K56" s="121">
        <v>1953.4</v>
      </c>
      <c r="L56" s="121">
        <v>11.39</v>
      </c>
      <c r="M56" s="128">
        <f>SUM(C56:L56)</f>
        <v>70457.97</v>
      </c>
      <c r="N56" s="121">
        <v>8245.1299999999992</v>
      </c>
      <c r="O56" s="121">
        <v>14199.66</v>
      </c>
      <c r="P56" s="121">
        <v>9263.14</v>
      </c>
      <c r="Q56" s="129">
        <f>SUM(M56:P56)</f>
        <v>102165.90000000001</v>
      </c>
      <c r="R56" s="121"/>
      <c r="S56" s="121"/>
      <c r="T56" s="121"/>
    </row>
    <row r="57" spans="1:20" x14ac:dyDescent="0.25">
      <c r="A57" s="119" t="s">
        <v>244</v>
      </c>
      <c r="B57" s="120">
        <v>33</v>
      </c>
      <c r="C57" s="121">
        <v>2244.81</v>
      </c>
      <c r="D57" s="121">
        <v>1434.63</v>
      </c>
      <c r="E57" s="121">
        <v>11316.09</v>
      </c>
      <c r="F57" s="121">
        <v>2244.81</v>
      </c>
      <c r="G57" s="121">
        <v>1380.04</v>
      </c>
      <c r="H57" s="121">
        <v>1391.05</v>
      </c>
      <c r="I57" s="121">
        <v>496.78</v>
      </c>
      <c r="J57" s="121">
        <v>1214.4000000000001</v>
      </c>
      <c r="K57" s="121">
        <v>12.49</v>
      </c>
      <c r="L57" s="121">
        <v>0</v>
      </c>
      <c r="M57" s="121">
        <f t="shared" si="3"/>
        <v>21735.100000000002</v>
      </c>
      <c r="N57" s="121">
        <v>2880.92</v>
      </c>
      <c r="O57" s="121">
        <v>4380.01</v>
      </c>
      <c r="P57" s="121">
        <v>3410.99</v>
      </c>
      <c r="Q57" s="121">
        <f t="shared" si="4"/>
        <v>32407.020000000004</v>
      </c>
      <c r="R57" s="121"/>
      <c r="S57" s="121"/>
      <c r="T57" s="121"/>
    </row>
    <row r="58" spans="1:20" x14ac:dyDescent="0.25">
      <c r="A58" s="123" t="s">
        <v>245</v>
      </c>
      <c r="B58" s="120">
        <v>953</v>
      </c>
      <c r="C58" s="121">
        <v>178176.93</v>
      </c>
      <c r="D58" s="121">
        <f>SUM(180367.77+51462)</f>
        <v>231829.77</v>
      </c>
      <c r="E58" s="121">
        <v>1018217.09</v>
      </c>
      <c r="F58" s="121">
        <v>0</v>
      </c>
      <c r="G58" s="121">
        <v>0</v>
      </c>
      <c r="H58" s="121">
        <v>0</v>
      </c>
      <c r="I58" s="121">
        <v>0</v>
      </c>
      <c r="J58" s="121">
        <v>0</v>
      </c>
      <c r="K58" s="121">
        <f>SUM(106071.99+150402.03)</f>
        <v>256474.02000000002</v>
      </c>
      <c r="L58" s="121">
        <v>0</v>
      </c>
      <c r="M58" s="121">
        <f t="shared" si="3"/>
        <v>1684697.81</v>
      </c>
      <c r="N58" s="121">
        <f>SUM(156344.83+36446.67)</f>
        <v>192791.5</v>
      </c>
      <c r="O58">
        <f>SUM(326647.2+1906)</f>
        <v>328553.2</v>
      </c>
      <c r="P58" s="121">
        <f>SUM(163323.6+4765+26684+9530)</f>
        <v>204302.6</v>
      </c>
      <c r="Q58" s="121">
        <f>SUM(M58:P58)</f>
        <v>2410345.1100000003</v>
      </c>
      <c r="R58" s="121"/>
      <c r="S58" s="121"/>
      <c r="T58" s="121"/>
    </row>
    <row r="59" spans="1:20" x14ac:dyDescent="0.25">
      <c r="A59" s="119" t="s">
        <v>246</v>
      </c>
      <c r="B59" s="120">
        <v>60</v>
      </c>
      <c r="C59" s="121">
        <v>8491.73</v>
      </c>
      <c r="D59" s="121">
        <v>5481.87</v>
      </c>
      <c r="E59" s="121">
        <v>48235.68</v>
      </c>
      <c r="F59" s="121">
        <v>7726.04</v>
      </c>
      <c r="G59" s="121">
        <v>2088.13</v>
      </c>
      <c r="H59" s="121">
        <v>1183.29</v>
      </c>
      <c r="I59" s="121">
        <v>0</v>
      </c>
      <c r="J59" s="121">
        <v>0</v>
      </c>
      <c r="K59" s="121">
        <f>SUM(854.8+1924.89)</f>
        <v>2779.69</v>
      </c>
      <c r="L59" s="121">
        <v>0</v>
      </c>
      <c r="M59" s="121">
        <f t="shared" si="3"/>
        <v>75986.429999999993</v>
      </c>
      <c r="N59" s="121">
        <v>8837.6</v>
      </c>
      <c r="O59" s="121">
        <v>15211.97</v>
      </c>
      <c r="P59" s="121">
        <f>SUM(7544.71+900)</f>
        <v>8444.7099999999991</v>
      </c>
      <c r="Q59" s="121">
        <f t="shared" si="4"/>
        <v>108480.70999999999</v>
      </c>
      <c r="R59" s="121"/>
      <c r="S59" s="121"/>
      <c r="T59" s="121"/>
    </row>
    <row r="60" spans="1:20" x14ac:dyDescent="0.25">
      <c r="A60" s="119" t="s">
        <v>247</v>
      </c>
      <c r="B60" s="120">
        <v>85</v>
      </c>
      <c r="C60" s="121">
        <v>6947.01</v>
      </c>
      <c r="D60" s="121">
        <v>5748.69</v>
      </c>
      <c r="E60" s="121">
        <v>18625.55</v>
      </c>
      <c r="F60" s="121">
        <v>4840.07</v>
      </c>
      <c r="G60" s="121">
        <v>3416.51</v>
      </c>
      <c r="H60" s="121">
        <v>0</v>
      </c>
      <c r="I60" s="121">
        <v>414.59</v>
      </c>
      <c r="J60" s="121">
        <v>0</v>
      </c>
      <c r="K60" s="121">
        <f>SUM(28.86+1000.16)</f>
        <v>1029.02</v>
      </c>
      <c r="L60" s="121">
        <v>2046.47</v>
      </c>
      <c r="M60" s="121">
        <f t="shared" si="3"/>
        <v>43067.909999999996</v>
      </c>
      <c r="N60" s="121">
        <v>5602.02</v>
      </c>
      <c r="O60" s="121">
        <v>8511.58</v>
      </c>
      <c r="P60" s="121">
        <f>SUM(4255.8+1275)</f>
        <v>5530.8</v>
      </c>
      <c r="Q60" s="121">
        <f t="shared" si="4"/>
        <v>62712.31</v>
      </c>
      <c r="R60" s="121"/>
      <c r="S60" s="121"/>
      <c r="T60" s="121"/>
    </row>
    <row r="61" spans="1:20" x14ac:dyDescent="0.25">
      <c r="A61" s="119" t="s">
        <v>248</v>
      </c>
      <c r="B61" s="120">
        <v>319</v>
      </c>
      <c r="C61" s="121">
        <v>37556.76</v>
      </c>
      <c r="D61" s="121">
        <f>SUM(45560.48+2974)</f>
        <v>48534.48</v>
      </c>
      <c r="E61" s="121">
        <v>276152.36</v>
      </c>
      <c r="F61" s="121">
        <v>34786.18</v>
      </c>
      <c r="G61" s="121">
        <v>6156.83</v>
      </c>
      <c r="H61" s="121">
        <v>3027.57</v>
      </c>
      <c r="I61" s="121">
        <v>0</v>
      </c>
      <c r="J61" s="121">
        <v>0</v>
      </c>
      <c r="K61" s="121">
        <v>0</v>
      </c>
      <c r="L61" s="121">
        <v>8928.9</v>
      </c>
      <c r="M61" s="121">
        <f t="shared" si="3"/>
        <v>415143.08</v>
      </c>
      <c r="N61" s="121">
        <v>48607.13</v>
      </c>
      <c r="O61" s="121">
        <v>83071.83</v>
      </c>
      <c r="P61" s="121">
        <v>54947.22</v>
      </c>
      <c r="Q61" s="126">
        <f t="shared" si="4"/>
        <v>601769.26</v>
      </c>
      <c r="R61" s="121"/>
      <c r="S61" s="121"/>
      <c r="T61" s="121"/>
    </row>
    <row r="62" spans="1:20" x14ac:dyDescent="0.25">
      <c r="A62" s="122" t="s">
        <v>249</v>
      </c>
      <c r="B62" s="120">
        <v>30</v>
      </c>
      <c r="C62" s="121">
        <v>4523.3500000000004</v>
      </c>
      <c r="D62" s="121">
        <v>6197.3</v>
      </c>
      <c r="E62" s="121">
        <v>18888.400000000001</v>
      </c>
      <c r="F62" s="121">
        <v>0</v>
      </c>
      <c r="G62" s="121">
        <v>1452.96</v>
      </c>
      <c r="H62" s="121">
        <v>2008.51</v>
      </c>
      <c r="I62" s="121">
        <v>427.11</v>
      </c>
      <c r="J62" s="121">
        <v>0</v>
      </c>
      <c r="K62" s="121">
        <v>0</v>
      </c>
      <c r="L62" s="121">
        <v>3.3</v>
      </c>
      <c r="M62" s="121">
        <f t="shared" si="3"/>
        <v>33500.930000000008</v>
      </c>
      <c r="N62">
        <f>N58</f>
        <v>192791.5</v>
      </c>
      <c r="O62">
        <f t="shared" ref="O62:P62" si="5">O58</f>
        <v>328553.2</v>
      </c>
      <c r="P62">
        <f t="shared" si="5"/>
        <v>204302.6</v>
      </c>
      <c r="Q62" s="121">
        <f t="shared" si="4"/>
        <v>759148.23</v>
      </c>
      <c r="R62" s="121"/>
      <c r="S62" s="121"/>
      <c r="T62" s="121"/>
    </row>
    <row r="63" spans="1:20" x14ac:dyDescent="0.25">
      <c r="A63" s="119" t="s">
        <v>250</v>
      </c>
      <c r="B63" s="120">
        <v>116</v>
      </c>
      <c r="C63" s="121">
        <v>8424.9599999999991</v>
      </c>
      <c r="D63" s="121">
        <v>8418.99</v>
      </c>
      <c r="E63" s="121">
        <v>31372.31</v>
      </c>
      <c r="F63" s="121">
        <v>4725.5</v>
      </c>
      <c r="G63" s="121">
        <v>2788.39</v>
      </c>
      <c r="H63" s="121">
        <v>0</v>
      </c>
      <c r="I63" s="121">
        <v>1569.03</v>
      </c>
      <c r="J63" s="121">
        <v>1549.78</v>
      </c>
      <c r="K63" s="121">
        <f>SUM(4320.92+66.31)</f>
        <v>4387.2300000000005</v>
      </c>
      <c r="L63" s="121">
        <f>SUM(2376.28+4879.7)</f>
        <v>7255.98</v>
      </c>
      <c r="M63" s="121">
        <f t="shared" si="3"/>
        <v>70492.17</v>
      </c>
      <c r="N63" s="121">
        <v>9139.68</v>
      </c>
      <c r="O63" s="121">
        <v>13983.43</v>
      </c>
      <c r="P63" s="121">
        <f>SUM(1735+6991.72)</f>
        <v>8726.7200000000012</v>
      </c>
      <c r="Q63" s="121">
        <f t="shared" si="4"/>
        <v>102342</v>
      </c>
      <c r="R63" s="121"/>
      <c r="S63" s="121"/>
      <c r="T63" s="121"/>
    </row>
    <row r="64" spans="1:20" x14ac:dyDescent="0.25">
      <c r="A64" s="119" t="s">
        <v>251</v>
      </c>
      <c r="B64" s="120">
        <v>17</v>
      </c>
      <c r="C64" s="121">
        <v>1382.25</v>
      </c>
      <c r="D64" s="121">
        <v>2560.19</v>
      </c>
      <c r="E64" s="121">
        <v>5561.97</v>
      </c>
      <c r="F64" s="121">
        <v>728.04</v>
      </c>
      <c r="G64" s="121">
        <v>642.35</v>
      </c>
      <c r="H64" s="121">
        <v>535.05999999999995</v>
      </c>
      <c r="I64" s="121">
        <v>0</v>
      </c>
      <c r="J64" s="121">
        <v>0</v>
      </c>
      <c r="K64" s="121">
        <v>526.33000000000004</v>
      </c>
      <c r="L64" s="121">
        <v>0</v>
      </c>
      <c r="M64" s="121">
        <f t="shared" si="3"/>
        <v>11936.19</v>
      </c>
      <c r="N64" s="121">
        <v>1409.92</v>
      </c>
      <c r="O64" s="121">
        <v>2089.1799999999998</v>
      </c>
      <c r="P64" s="121">
        <v>1152.57</v>
      </c>
      <c r="Q64" s="121">
        <f t="shared" si="4"/>
        <v>16587.86</v>
      </c>
      <c r="R64" s="121"/>
      <c r="S64" s="121"/>
      <c r="T64" s="121"/>
    </row>
    <row r="65" spans="1:20" x14ac:dyDescent="0.25">
      <c r="A65" s="119" t="s">
        <v>252</v>
      </c>
      <c r="B65" s="120">
        <v>157</v>
      </c>
      <c r="C65" s="121">
        <v>19616.900000000001</v>
      </c>
      <c r="D65" s="121">
        <v>9808.48</v>
      </c>
      <c r="E65" s="121">
        <f>SUM(78505.22+282.19)</f>
        <v>78787.41</v>
      </c>
      <c r="F65" s="121">
        <v>12863.53</v>
      </c>
      <c r="G65" s="121">
        <v>6431.77</v>
      </c>
      <c r="H65" s="121">
        <v>5566.77</v>
      </c>
      <c r="I65" s="121">
        <v>643.28</v>
      </c>
      <c r="J65" s="121">
        <v>0</v>
      </c>
      <c r="K65" s="121">
        <f>SUM(488.99+13.41)</f>
        <v>502.40000000000003</v>
      </c>
      <c r="L65" s="121">
        <v>0</v>
      </c>
      <c r="M65" s="121">
        <f>SUM(C65:L65)</f>
        <v>134220.54</v>
      </c>
      <c r="N65" s="121">
        <v>16599.990000000002</v>
      </c>
      <c r="O65" s="121">
        <v>27158.17</v>
      </c>
      <c r="P65">
        <v>17661.12</v>
      </c>
      <c r="Q65" s="121">
        <f t="shared" si="4"/>
        <v>195639.82</v>
      </c>
      <c r="R65" s="121"/>
      <c r="S65" s="121"/>
      <c r="T65" s="121"/>
    </row>
    <row r="66" spans="1:20" x14ac:dyDescent="0.25">
      <c r="A66" s="119" t="s">
        <v>253</v>
      </c>
      <c r="B66" s="120">
        <v>88</v>
      </c>
      <c r="C66" s="121">
        <v>6212.69</v>
      </c>
      <c r="D66" s="121">
        <v>9347.17</v>
      </c>
      <c r="E66" s="121">
        <v>28109.89</v>
      </c>
      <c r="F66" s="121">
        <v>7485.79</v>
      </c>
      <c r="G66" s="121">
        <v>2036.95</v>
      </c>
      <c r="H66" s="121">
        <v>3854.98</v>
      </c>
      <c r="I66" s="121">
        <v>1069.4000000000001</v>
      </c>
      <c r="J66" s="121">
        <v>0</v>
      </c>
      <c r="K66" s="121">
        <f>SUM(451.41+75.26+1163.25+17.62)</f>
        <v>1707.54</v>
      </c>
      <c r="L66" s="121">
        <v>0</v>
      </c>
      <c r="M66" s="121">
        <f t="shared" ref="M66:M122" si="6">SUM(C66:L66)</f>
        <v>59824.41</v>
      </c>
      <c r="N66" s="121">
        <v>7532.51</v>
      </c>
      <c r="O66" s="121">
        <v>12125.47</v>
      </c>
      <c r="P66" s="121">
        <f>SUM(5903.24+1320)</f>
        <v>7223.24</v>
      </c>
      <c r="Q66" s="121">
        <f t="shared" si="4"/>
        <v>86705.63</v>
      </c>
      <c r="R66" s="121"/>
      <c r="S66" s="121"/>
      <c r="T66" s="121"/>
    </row>
    <row r="67" spans="1:20" x14ac:dyDescent="0.25">
      <c r="A67" s="122" t="s">
        <v>254</v>
      </c>
      <c r="B67" s="120">
        <v>33</v>
      </c>
      <c r="C67" s="121">
        <v>1758.89</v>
      </c>
      <c r="D67" s="121">
        <v>7398.56</v>
      </c>
      <c r="E67" s="121">
        <v>6341.7</v>
      </c>
      <c r="F67" s="121">
        <v>2381.15</v>
      </c>
      <c r="G67" s="121">
        <v>993.36</v>
      </c>
      <c r="H67" s="121">
        <v>1093.93</v>
      </c>
      <c r="I67" s="121">
        <v>402.95</v>
      </c>
      <c r="J67" s="121">
        <v>0</v>
      </c>
      <c r="K67" s="121">
        <v>15.43</v>
      </c>
      <c r="L67" s="121">
        <v>0</v>
      </c>
      <c r="M67" s="121">
        <f t="shared" si="6"/>
        <v>20385.970000000005</v>
      </c>
      <c r="N67" s="121">
        <v>3102.62</v>
      </c>
      <c r="O67" s="121">
        <v>4077.19</v>
      </c>
      <c r="P67" s="121">
        <f>SUM(495+2005.59)</f>
        <v>2500.59</v>
      </c>
      <c r="Q67" s="121">
        <f t="shared" si="4"/>
        <v>30066.370000000003</v>
      </c>
      <c r="R67" s="121"/>
      <c r="S67" s="121"/>
      <c r="T67" s="121"/>
    </row>
    <row r="68" spans="1:20" x14ac:dyDescent="0.25">
      <c r="A68" s="119" t="s">
        <v>255</v>
      </c>
      <c r="B68" s="120">
        <v>14</v>
      </c>
      <c r="C68" s="121">
        <v>1261.4000000000001</v>
      </c>
      <c r="D68" s="121">
        <v>2087.48</v>
      </c>
      <c r="E68" s="121">
        <v>6834.39</v>
      </c>
      <c r="F68" s="121">
        <v>1726.7</v>
      </c>
      <c r="G68" s="121">
        <v>516.97</v>
      </c>
      <c r="H68" s="121">
        <v>1013.27</v>
      </c>
      <c r="I68" s="121">
        <v>196.41</v>
      </c>
      <c r="J68" s="121">
        <v>0</v>
      </c>
      <c r="K68" s="121">
        <v>3.13</v>
      </c>
      <c r="L68" s="121">
        <v>31.42</v>
      </c>
      <c r="M68" s="121">
        <f t="shared" si="6"/>
        <v>13671.17</v>
      </c>
      <c r="N68" s="121">
        <v>1650.4</v>
      </c>
      <c r="O68" s="121">
        <v>2109.98</v>
      </c>
      <c r="P68" s="121">
        <v>1250.99</v>
      </c>
      <c r="Q68" s="121">
        <f t="shared" si="4"/>
        <v>18682.54</v>
      </c>
      <c r="R68" s="121"/>
      <c r="S68" s="121"/>
      <c r="T68" s="121"/>
    </row>
    <row r="69" spans="1:20" x14ac:dyDescent="0.25">
      <c r="A69" s="119" t="s">
        <v>256</v>
      </c>
      <c r="B69" s="120">
        <v>56</v>
      </c>
      <c r="C69" s="121">
        <v>3580.19</v>
      </c>
      <c r="D69" s="121">
        <v>6215.66</v>
      </c>
      <c r="E69" s="121">
        <v>19554.240000000002</v>
      </c>
      <c r="F69" s="121">
        <v>3228.03</v>
      </c>
      <c r="G69" s="121">
        <v>2347.66</v>
      </c>
      <c r="H69" s="121">
        <v>2846.55</v>
      </c>
      <c r="I69" s="121">
        <v>674.94</v>
      </c>
      <c r="J69" s="121">
        <v>0</v>
      </c>
      <c r="K69" s="121">
        <v>14.19</v>
      </c>
      <c r="L69" s="121">
        <v>0</v>
      </c>
      <c r="M69" s="121">
        <f t="shared" si="6"/>
        <v>38461.460000000006</v>
      </c>
      <c r="N69" s="121">
        <v>4889.67</v>
      </c>
      <c r="O69" s="121">
        <f>SUM(3773.36+840)</f>
        <v>4613.3600000000006</v>
      </c>
      <c r="P69" s="121">
        <v>7658.67</v>
      </c>
      <c r="Q69" s="121">
        <f t="shared" si="4"/>
        <v>55623.16</v>
      </c>
      <c r="R69" s="121"/>
      <c r="S69" s="121"/>
      <c r="T69" s="121"/>
    </row>
    <row r="70" spans="1:20" x14ac:dyDescent="0.25">
      <c r="A70" s="119" t="s">
        <v>257</v>
      </c>
      <c r="B70" s="120">
        <v>81</v>
      </c>
      <c r="C70" s="121">
        <v>3025.1</v>
      </c>
      <c r="D70" s="121">
        <v>3649.37</v>
      </c>
      <c r="E70" s="121">
        <v>11633.38</v>
      </c>
      <c r="F70" s="121">
        <v>2018.48</v>
      </c>
      <c r="G70" s="121">
        <v>1351.86</v>
      </c>
      <c r="H70" s="121">
        <v>1556.14</v>
      </c>
      <c r="I70" s="121">
        <v>0</v>
      </c>
      <c r="J70" s="121">
        <v>0</v>
      </c>
      <c r="K70" s="121">
        <f>SUM(44.81+880.93)</f>
        <v>925.74</v>
      </c>
      <c r="L70" s="121">
        <v>0</v>
      </c>
      <c r="M70" s="121">
        <f t="shared" si="6"/>
        <v>24160.07</v>
      </c>
      <c r="N70" s="121">
        <f>SUM(5+2210.88+929.89)</f>
        <v>3145.77</v>
      </c>
      <c r="O70" s="121">
        <f>SUM(160.41+32.59+4728.54)</f>
        <v>4921.54</v>
      </c>
      <c r="P70" s="121">
        <f>SUM(1190+2364.28)</f>
        <v>3554.28</v>
      </c>
      <c r="Q70" s="121">
        <f t="shared" si="4"/>
        <v>35781.660000000003</v>
      </c>
      <c r="R70" s="121"/>
      <c r="S70" s="121"/>
      <c r="T70" s="121"/>
    </row>
    <row r="71" spans="1:20" x14ac:dyDescent="0.25">
      <c r="A71" s="119" t="s">
        <v>258</v>
      </c>
      <c r="B71" s="120">
        <v>56</v>
      </c>
      <c r="C71" s="121">
        <v>4309.6000000000004</v>
      </c>
      <c r="D71" s="121">
        <v>4369.17</v>
      </c>
      <c r="E71" s="121">
        <v>18898.669999999998</v>
      </c>
      <c r="F71" s="121">
        <v>2755.29</v>
      </c>
      <c r="G71" s="121">
        <v>1412.98</v>
      </c>
      <c r="H71" s="121">
        <v>1614.36</v>
      </c>
      <c r="I71" s="121">
        <v>0</v>
      </c>
      <c r="J71" s="121">
        <v>3461.78</v>
      </c>
      <c r="K71" s="121">
        <f>SUM(5.71+2068.87)</f>
        <v>2074.58</v>
      </c>
      <c r="L71" s="121">
        <v>0</v>
      </c>
      <c r="M71" s="121">
        <f t="shared" si="6"/>
        <v>38896.43</v>
      </c>
      <c r="N71" s="121">
        <f>SUM(3549.3+1224.07)</f>
        <v>4773.37</v>
      </c>
      <c r="O71" s="121">
        <f>SUM(120+7501.29)</f>
        <v>7621.29</v>
      </c>
      <c r="P71" s="121">
        <f>SUM(900+3750.64)</f>
        <v>4650.6399999999994</v>
      </c>
      <c r="Q71" s="121">
        <f t="shared" si="4"/>
        <v>55941.73</v>
      </c>
      <c r="R71" s="121"/>
      <c r="S71" s="121"/>
      <c r="T71" s="121"/>
    </row>
    <row r="72" spans="1:20" x14ac:dyDescent="0.25">
      <c r="A72" s="119" t="s">
        <v>259</v>
      </c>
      <c r="B72" s="120">
        <v>18</v>
      </c>
      <c r="C72" s="121">
        <v>1270.8399999999999</v>
      </c>
      <c r="D72" s="121">
        <v>1391.61</v>
      </c>
      <c r="E72" s="121">
        <v>4625.04</v>
      </c>
      <c r="F72" s="121">
        <v>0</v>
      </c>
      <c r="G72" s="121">
        <v>312.5</v>
      </c>
      <c r="H72" s="121">
        <v>531.28</v>
      </c>
      <c r="I72" s="121">
        <v>162.49</v>
      </c>
      <c r="J72" s="121">
        <v>0</v>
      </c>
      <c r="K72" s="121">
        <v>1031.26</v>
      </c>
      <c r="L72" s="121">
        <v>0</v>
      </c>
      <c r="M72" s="121">
        <f t="shared" si="6"/>
        <v>9325.02</v>
      </c>
      <c r="N72" s="121">
        <v>1195.3699999999999</v>
      </c>
      <c r="O72" s="121">
        <v>1834.61</v>
      </c>
      <c r="P72" s="121">
        <v>1202.29</v>
      </c>
      <c r="Q72" s="121">
        <f t="shared" si="4"/>
        <v>13557.29</v>
      </c>
      <c r="R72" s="121"/>
      <c r="S72" s="121"/>
      <c r="T72" s="121"/>
    </row>
    <row r="73" spans="1:20" x14ac:dyDescent="0.25">
      <c r="A73" s="119" t="s">
        <v>260</v>
      </c>
      <c r="B73" s="120">
        <v>36</v>
      </c>
      <c r="C73" s="121">
        <v>2587.92</v>
      </c>
      <c r="D73" s="121">
        <v>2937.59</v>
      </c>
      <c r="E73" s="121">
        <v>13044.81</v>
      </c>
      <c r="F73" s="121">
        <v>1887.91</v>
      </c>
      <c r="G73" s="121">
        <v>477.26</v>
      </c>
      <c r="H73" s="121">
        <v>1056.17</v>
      </c>
      <c r="I73" s="121">
        <v>318.16000000000003</v>
      </c>
      <c r="J73" s="121">
        <v>0</v>
      </c>
      <c r="K73" s="121">
        <f>SUM(6.69+37.21+178.84)</f>
        <v>222.74</v>
      </c>
      <c r="L73" s="121">
        <v>0</v>
      </c>
      <c r="M73" s="121">
        <f t="shared" si="6"/>
        <v>22532.559999999998</v>
      </c>
      <c r="N73" s="121">
        <v>2797.75</v>
      </c>
      <c r="O73" s="121">
        <f>SUM(540+2235.27+1008)</f>
        <v>3783.27</v>
      </c>
      <c r="P73" s="121">
        <v>4542.5200000000004</v>
      </c>
      <c r="Q73" s="121">
        <f t="shared" si="4"/>
        <v>33656.1</v>
      </c>
      <c r="R73" s="121"/>
      <c r="S73" s="121"/>
      <c r="T73" s="121"/>
    </row>
    <row r="74" spans="1:20" x14ac:dyDescent="0.25">
      <c r="A74" s="119" t="s">
        <v>261</v>
      </c>
      <c r="B74" s="120">
        <v>19</v>
      </c>
      <c r="C74" s="121">
        <v>1522.58</v>
      </c>
      <c r="D74" s="121">
        <f>SUM(1462.44+152)</f>
        <v>1614.44</v>
      </c>
      <c r="E74" s="121">
        <v>5603.6</v>
      </c>
      <c r="F74" s="121">
        <v>586.59</v>
      </c>
      <c r="G74" s="121">
        <v>374.4</v>
      </c>
      <c r="H74" s="121">
        <v>474.25</v>
      </c>
      <c r="I74" s="121">
        <v>0</v>
      </c>
      <c r="J74" s="121">
        <v>911.08</v>
      </c>
      <c r="K74">
        <f>SUM(174.22+167.44)</f>
        <v>341.65999999999997</v>
      </c>
      <c r="L74" s="121">
        <v>0</v>
      </c>
      <c r="M74" s="121">
        <f t="shared" si="6"/>
        <v>11428.6</v>
      </c>
      <c r="N74" s="121">
        <f>SUM(1052.47+421.4)</f>
        <v>1473.87</v>
      </c>
      <c r="O74" s="121">
        <v>2224.92</v>
      </c>
      <c r="P74" s="121">
        <v>1302.48</v>
      </c>
      <c r="Q74" s="121">
        <f>SUM(M74:P74)</f>
        <v>16429.870000000003</v>
      </c>
      <c r="R74" s="121"/>
      <c r="S74" s="121"/>
      <c r="T74" s="121"/>
    </row>
    <row r="75" spans="1:20" x14ac:dyDescent="0.25">
      <c r="A75" s="119" t="s">
        <v>262</v>
      </c>
      <c r="B75" s="120">
        <v>180</v>
      </c>
      <c r="C75" s="121">
        <v>28871.75</v>
      </c>
      <c r="D75" s="121">
        <v>26925.42</v>
      </c>
      <c r="E75" s="121">
        <v>92357.78</v>
      </c>
      <c r="F75" s="121">
        <v>13962.55</v>
      </c>
      <c r="G75" s="121">
        <f>SUM(5679.71+2603.18)</f>
        <v>8282.89</v>
      </c>
      <c r="H75" s="121">
        <v>6872.43</v>
      </c>
      <c r="I75" s="121">
        <v>0</v>
      </c>
      <c r="J75" s="121">
        <v>0</v>
      </c>
      <c r="K75" s="121">
        <f>SUM(2354.8+1469.51+699.42+724.6+787.34+57.31)</f>
        <v>6092.9800000000014</v>
      </c>
      <c r="L75" s="121">
        <v>2000.58</v>
      </c>
      <c r="M75" s="121">
        <f t="shared" si="6"/>
        <v>185366.38</v>
      </c>
      <c r="N75" s="121">
        <v>22646.240000000002</v>
      </c>
      <c r="O75" s="121">
        <v>36497.31</v>
      </c>
      <c r="P75" s="121">
        <v>20768.66</v>
      </c>
      <c r="Q75" s="121">
        <f t="shared" si="4"/>
        <v>265278.58999999997</v>
      </c>
      <c r="R75" s="121"/>
      <c r="S75" s="121"/>
      <c r="T75" s="121"/>
    </row>
    <row r="76" spans="1:20" x14ac:dyDescent="0.25">
      <c r="A76" s="119" t="s">
        <v>263</v>
      </c>
      <c r="B76" s="120">
        <v>44</v>
      </c>
      <c r="C76" s="121">
        <v>5850.68</v>
      </c>
      <c r="D76" s="121">
        <v>4947.8999999999996</v>
      </c>
      <c r="E76" s="121">
        <v>19710.05</v>
      </c>
      <c r="F76" s="121">
        <v>3596.72</v>
      </c>
      <c r="G76" s="121">
        <v>1918.25</v>
      </c>
      <c r="H76" s="121">
        <v>1894.29</v>
      </c>
      <c r="I76" s="121">
        <v>815.27</v>
      </c>
      <c r="J76" s="121">
        <v>0</v>
      </c>
      <c r="K76" s="121">
        <f>SUM(4795.64+3.31)</f>
        <v>4798.9500000000007</v>
      </c>
      <c r="L76" s="121">
        <v>0</v>
      </c>
      <c r="M76" s="121">
        <f t="shared" si="6"/>
        <v>43532.11</v>
      </c>
      <c r="N76" s="121">
        <v>5430.71</v>
      </c>
      <c r="O76" s="121">
        <v>8706.44</v>
      </c>
      <c r="P76" s="121">
        <f>SUM(660+4309.23)</f>
        <v>4969.2299999999996</v>
      </c>
      <c r="Q76" s="121">
        <f t="shared" si="4"/>
        <v>62638.490000000005</v>
      </c>
      <c r="R76" s="121"/>
      <c r="S76" s="121"/>
      <c r="T76" s="121"/>
    </row>
    <row r="77" spans="1:20" x14ac:dyDescent="0.25">
      <c r="A77" s="119" t="s">
        <v>264</v>
      </c>
      <c r="B77" s="120">
        <v>3</v>
      </c>
      <c r="C77" s="121">
        <v>317.42</v>
      </c>
      <c r="D77" s="121">
        <v>467.68</v>
      </c>
      <c r="E77" s="121">
        <v>1477.81</v>
      </c>
      <c r="F77" s="121">
        <v>101.47</v>
      </c>
      <c r="G77" s="121">
        <v>135.30000000000001</v>
      </c>
      <c r="H77" s="121">
        <v>89.45</v>
      </c>
      <c r="I77" s="121">
        <v>33.82</v>
      </c>
      <c r="J77" s="121">
        <v>0</v>
      </c>
      <c r="K77" s="121">
        <v>139.51</v>
      </c>
      <c r="L77" s="121">
        <v>0</v>
      </c>
      <c r="M77" s="121">
        <f t="shared" si="6"/>
        <v>2762.46</v>
      </c>
      <c r="N77" s="121">
        <v>351.73</v>
      </c>
      <c r="O77" s="121">
        <v>547.69000000000005</v>
      </c>
      <c r="P77" s="121">
        <f>SUM(45+270.85)</f>
        <v>315.85000000000002</v>
      </c>
      <c r="Q77" s="121">
        <f t="shared" si="4"/>
        <v>3977.73</v>
      </c>
      <c r="R77" s="121"/>
      <c r="S77" s="121"/>
      <c r="T77" s="121"/>
    </row>
    <row r="78" spans="1:20" x14ac:dyDescent="0.25">
      <c r="A78" s="119" t="s">
        <v>265</v>
      </c>
      <c r="B78" s="120">
        <v>167</v>
      </c>
      <c r="C78" s="121">
        <v>23935.87</v>
      </c>
      <c r="D78" s="121">
        <v>17759.39</v>
      </c>
      <c r="E78" s="121">
        <v>125345.92</v>
      </c>
      <c r="F78" s="121">
        <v>11574.25</v>
      </c>
      <c r="G78" s="121">
        <v>9809.77</v>
      </c>
      <c r="H78" s="121">
        <v>3390.85</v>
      </c>
      <c r="I78" s="121">
        <v>0</v>
      </c>
      <c r="J78" s="121">
        <v>9809.77</v>
      </c>
      <c r="K78" s="121">
        <v>1.19</v>
      </c>
      <c r="L78" s="121">
        <v>291.05</v>
      </c>
      <c r="M78" s="121">
        <f t="shared" si="6"/>
        <v>201918.05999999997</v>
      </c>
      <c r="N78" s="121">
        <v>23725.3</v>
      </c>
      <c r="O78" s="121">
        <v>40383.449999999997</v>
      </c>
      <c r="P78" s="121">
        <f>SUM(20024.78+2505)</f>
        <v>22529.78</v>
      </c>
      <c r="Q78" s="121">
        <f t="shared" si="4"/>
        <v>288556.58999999997</v>
      </c>
      <c r="R78" s="121"/>
      <c r="S78" s="121"/>
      <c r="T78" s="121"/>
    </row>
    <row r="79" spans="1:20" x14ac:dyDescent="0.25">
      <c r="A79" s="119" t="s">
        <v>266</v>
      </c>
      <c r="B79" s="120">
        <v>78</v>
      </c>
      <c r="C79" s="121">
        <v>1863.85</v>
      </c>
      <c r="D79" s="121">
        <f>SUM(7486.15+2260.25)</f>
        <v>9746.4</v>
      </c>
      <c r="E79" s="121">
        <v>9288.99</v>
      </c>
      <c r="F79" s="121">
        <v>1787.59</v>
      </c>
      <c r="G79" s="121">
        <v>1222.24</v>
      </c>
      <c r="H79" s="121">
        <v>1938.8</v>
      </c>
      <c r="I79" s="121">
        <v>244.43</v>
      </c>
      <c r="J79" s="121">
        <v>0</v>
      </c>
      <c r="K79" s="121">
        <v>51.88</v>
      </c>
      <c r="L79" s="121">
        <v>0</v>
      </c>
      <c r="M79" s="121">
        <f t="shared" si="6"/>
        <v>26144.18</v>
      </c>
      <c r="N79" s="121">
        <f>SUM(2259.42+938.26)</f>
        <v>3197.6800000000003</v>
      </c>
      <c r="O79" s="121">
        <f>SUM(155.76+4776.79)</f>
        <v>4932.55</v>
      </c>
      <c r="P79" s="121">
        <f>SUM(2388.45+778.79)</f>
        <v>3167.24</v>
      </c>
      <c r="Q79" s="121">
        <f t="shared" si="4"/>
        <v>37441.65</v>
      </c>
      <c r="R79" s="121"/>
      <c r="S79" s="121"/>
      <c r="T79" s="121"/>
    </row>
    <row r="80" spans="1:20" x14ac:dyDescent="0.25">
      <c r="A80" s="119" t="s">
        <v>267</v>
      </c>
      <c r="B80" s="120">
        <v>32</v>
      </c>
      <c r="C80" s="121">
        <v>2022.28</v>
      </c>
      <c r="D80" s="121">
        <v>1863.52</v>
      </c>
      <c r="E80" s="121">
        <v>9945.61</v>
      </c>
      <c r="F80" s="121">
        <v>927.69</v>
      </c>
      <c r="G80" s="121">
        <v>497.28</v>
      </c>
      <c r="H80" s="121">
        <v>502.39</v>
      </c>
      <c r="I80" s="121">
        <v>0</v>
      </c>
      <c r="J80" s="121">
        <v>0</v>
      </c>
      <c r="K80" s="121">
        <v>5.0599999999999996</v>
      </c>
      <c r="L80" s="121">
        <v>182.31</v>
      </c>
      <c r="M80" s="121">
        <f t="shared" si="6"/>
        <v>15946.14</v>
      </c>
      <c r="N80" s="121">
        <f>SUM(2039.55+1464.22+575.33)</f>
        <v>4079.1</v>
      </c>
      <c r="O80" s="121">
        <f>SUM(3165.65+3101.65+64)</f>
        <v>6331.3</v>
      </c>
      <c r="P80" s="121">
        <f>SUM(1870.82+1550.82+320)</f>
        <v>3741.64</v>
      </c>
      <c r="Q80" s="121">
        <f t="shared" si="4"/>
        <v>30098.179999999997</v>
      </c>
      <c r="R80" s="121"/>
      <c r="S80" s="121"/>
      <c r="T80" s="121"/>
    </row>
    <row r="81" spans="1:20" x14ac:dyDescent="0.25">
      <c r="A81" s="119" t="s">
        <v>268</v>
      </c>
      <c r="B81" s="120">
        <v>91</v>
      </c>
      <c r="C81" s="121">
        <v>8360.6</v>
      </c>
      <c r="D81" s="121">
        <v>6578.78</v>
      </c>
      <c r="E81" s="121">
        <v>32482.91</v>
      </c>
      <c r="F81" s="121">
        <v>6441.79</v>
      </c>
      <c r="G81" s="121">
        <v>4968.53</v>
      </c>
      <c r="H81" s="121">
        <v>1233.51</v>
      </c>
      <c r="I81" s="121">
        <v>342.71</v>
      </c>
      <c r="J81" s="121">
        <v>82.34</v>
      </c>
      <c r="K81" s="121">
        <v>3747.86</v>
      </c>
      <c r="L81" s="121">
        <v>7631.26</v>
      </c>
      <c r="M81" s="121">
        <f t="shared" si="6"/>
        <v>71870.289999999994</v>
      </c>
      <c r="N81" s="121">
        <v>9451.24</v>
      </c>
      <c r="O81" s="121">
        <v>14556.05</v>
      </c>
      <c r="P81" s="121">
        <v>9232.0300000000007</v>
      </c>
      <c r="Q81" s="121">
        <f t="shared" si="4"/>
        <v>105109.61</v>
      </c>
      <c r="R81" s="121"/>
      <c r="S81" s="121"/>
      <c r="T81" s="121"/>
    </row>
    <row r="82" spans="1:20" x14ac:dyDescent="0.25">
      <c r="A82" s="130" t="s">
        <v>269</v>
      </c>
      <c r="B82" s="131">
        <v>5</v>
      </c>
      <c r="C82" s="132"/>
      <c r="D82" s="132"/>
      <c r="E82" s="132"/>
      <c r="F82" s="132"/>
      <c r="G82" s="132"/>
      <c r="H82" s="132"/>
      <c r="I82" s="132"/>
      <c r="J82" s="132"/>
      <c r="K82" s="132"/>
      <c r="L82" s="132"/>
      <c r="M82" s="132">
        <f t="shared" si="6"/>
        <v>0</v>
      </c>
      <c r="N82" s="132"/>
      <c r="O82" s="132"/>
      <c r="P82" s="132"/>
      <c r="Q82" s="132">
        <f t="shared" si="4"/>
        <v>0</v>
      </c>
      <c r="R82" s="121"/>
      <c r="S82" s="121"/>
      <c r="T82" s="121"/>
    </row>
    <row r="83" spans="1:20" x14ac:dyDescent="0.25">
      <c r="A83" s="119" t="s">
        <v>270</v>
      </c>
      <c r="B83" s="120">
        <v>25</v>
      </c>
      <c r="C83" s="121">
        <v>1351.06</v>
      </c>
      <c r="D83" s="121">
        <v>3088.83</v>
      </c>
      <c r="E83" s="121">
        <v>5459.55</v>
      </c>
      <c r="F83" s="121">
        <v>741.97</v>
      </c>
      <c r="G83" s="121">
        <v>830.57</v>
      </c>
      <c r="H83" s="121">
        <v>442.98</v>
      </c>
      <c r="I83" s="121">
        <v>0</v>
      </c>
      <c r="J83" s="121">
        <v>0</v>
      </c>
      <c r="K83" s="121">
        <v>0</v>
      </c>
      <c r="L83" s="121">
        <v>1000.38</v>
      </c>
      <c r="M83" s="121">
        <f t="shared" si="6"/>
        <v>12915.339999999997</v>
      </c>
      <c r="N83" s="121">
        <v>1614.36</v>
      </c>
      <c r="O83" s="121">
        <v>2493.06</v>
      </c>
      <c r="P83" s="121">
        <f>SUM(375+1234.05)</f>
        <v>1609.05</v>
      </c>
      <c r="Q83" s="121">
        <f t="shared" si="4"/>
        <v>18631.809999999998</v>
      </c>
      <c r="R83" s="121"/>
      <c r="S83" s="121"/>
      <c r="T83" s="121"/>
    </row>
    <row r="84" spans="1:20" x14ac:dyDescent="0.25">
      <c r="A84" s="119" t="s">
        <v>271</v>
      </c>
      <c r="B84" s="120">
        <v>62</v>
      </c>
      <c r="C84" s="121">
        <v>5516.53</v>
      </c>
      <c r="D84" s="121">
        <v>10324.94</v>
      </c>
      <c r="E84" s="121">
        <v>23693.9</v>
      </c>
      <c r="F84" s="121">
        <v>4431.28</v>
      </c>
      <c r="G84" s="121">
        <v>1220.8699999999999</v>
      </c>
      <c r="H84" s="121">
        <v>1537.4</v>
      </c>
      <c r="I84" s="121">
        <v>361.72</v>
      </c>
      <c r="J84" s="121">
        <v>959.15</v>
      </c>
      <c r="K84" s="121">
        <f>SUM(3313.95+0.84)</f>
        <v>3314.79</v>
      </c>
      <c r="L84" s="121">
        <v>820.13</v>
      </c>
      <c r="M84" s="121">
        <f t="shared" si="6"/>
        <v>52180.710000000006</v>
      </c>
      <c r="N84" s="121">
        <v>6757.29</v>
      </c>
      <c r="O84" s="121">
        <v>10448.540000000001</v>
      </c>
      <c r="P84" s="121">
        <f>SUM(5162.29+930)</f>
        <v>6092.29</v>
      </c>
      <c r="Q84" s="121">
        <f t="shared" si="4"/>
        <v>75478.83</v>
      </c>
      <c r="R84" s="121"/>
      <c r="S84" s="121"/>
      <c r="T84" s="121"/>
    </row>
    <row r="85" spans="1:20" x14ac:dyDescent="0.25">
      <c r="A85" s="119" t="s">
        <v>272</v>
      </c>
      <c r="B85" s="120">
        <v>26</v>
      </c>
      <c r="C85" s="121">
        <v>967.07</v>
      </c>
      <c r="D85" s="121">
        <v>1059.6600000000001</v>
      </c>
      <c r="E85" s="121">
        <v>4256.68</v>
      </c>
      <c r="F85" s="121">
        <v>729.27</v>
      </c>
      <c r="G85" s="121">
        <v>634.14</v>
      </c>
      <c r="H85" s="121">
        <v>523.16999999999996</v>
      </c>
      <c r="I85" s="121">
        <v>475.61</v>
      </c>
      <c r="J85" s="121">
        <v>705.48</v>
      </c>
      <c r="K85" s="121">
        <v>708.2</v>
      </c>
      <c r="L85" s="121">
        <v>0</v>
      </c>
      <c r="M85" s="121">
        <f t="shared" si="6"/>
        <v>10059.280000000001</v>
      </c>
      <c r="N85" s="121">
        <v>1302.25</v>
      </c>
      <c r="O85" s="121">
        <v>2032.65</v>
      </c>
      <c r="P85" s="121">
        <v>1380.34</v>
      </c>
      <c r="Q85" s="121">
        <f t="shared" si="4"/>
        <v>14774.52</v>
      </c>
      <c r="R85" s="121"/>
      <c r="S85" s="121"/>
      <c r="T85" s="121"/>
    </row>
    <row r="86" spans="1:20" x14ac:dyDescent="0.25">
      <c r="A86" s="119" t="s">
        <v>273</v>
      </c>
      <c r="B86" s="120">
        <v>87</v>
      </c>
      <c r="C86" s="121">
        <v>11503.27</v>
      </c>
      <c r="D86" s="121">
        <v>12083.1</v>
      </c>
      <c r="E86" s="121">
        <v>56179.37</v>
      </c>
      <c r="F86" s="121">
        <v>7731.73</v>
      </c>
      <c r="G86" s="121">
        <v>3771.58</v>
      </c>
      <c r="H86" s="121">
        <v>3865.77</v>
      </c>
      <c r="I86" s="121">
        <v>660.07</v>
      </c>
      <c r="J86" s="121">
        <v>0</v>
      </c>
      <c r="K86" s="121">
        <v>2985.1</v>
      </c>
      <c r="L86" s="121">
        <v>0</v>
      </c>
      <c r="M86" s="121">
        <f t="shared" si="6"/>
        <v>98779.99000000002</v>
      </c>
      <c r="N86" s="121">
        <v>12169.06</v>
      </c>
      <c r="O86" s="121">
        <v>19738.57</v>
      </c>
      <c r="P86" s="121">
        <f>SUM(1305+9782.31)</f>
        <v>11087.31</v>
      </c>
      <c r="Q86" s="121">
        <f t="shared" si="4"/>
        <v>141774.93000000002</v>
      </c>
      <c r="R86" s="121"/>
      <c r="S86" s="121"/>
      <c r="T86" s="121"/>
    </row>
    <row r="87" spans="1:20" x14ac:dyDescent="0.25">
      <c r="A87" s="119" t="s">
        <v>274</v>
      </c>
      <c r="B87" s="120">
        <v>42</v>
      </c>
      <c r="C87" s="121">
        <v>2101.14</v>
      </c>
      <c r="D87" s="121">
        <v>2419.08</v>
      </c>
      <c r="E87" s="121">
        <v>8856.7800000000007</v>
      </c>
      <c r="F87" s="121">
        <v>1885.07</v>
      </c>
      <c r="G87" s="121">
        <v>0</v>
      </c>
      <c r="H87" s="121">
        <v>1764.58</v>
      </c>
      <c r="I87" s="121">
        <v>245.26</v>
      </c>
      <c r="J87" s="121">
        <v>1011.49</v>
      </c>
      <c r="K87" s="121">
        <f>SUM(20.93+1220.89)</f>
        <v>1241.8200000000002</v>
      </c>
      <c r="L87" s="121">
        <v>0</v>
      </c>
      <c r="M87" s="121">
        <f t="shared" si="6"/>
        <v>19525.22</v>
      </c>
      <c r="N87" s="121">
        <v>2481.42</v>
      </c>
      <c r="O87" s="121">
        <v>3720.25</v>
      </c>
      <c r="P87" s="121">
        <f>SUM(630+1860.13)</f>
        <v>2490.13</v>
      </c>
      <c r="Q87" s="121">
        <f t="shared" si="4"/>
        <v>28217.02</v>
      </c>
      <c r="R87" s="121"/>
      <c r="S87" s="121"/>
      <c r="T87" s="121"/>
    </row>
    <row r="88" spans="1:20" x14ac:dyDescent="0.25">
      <c r="A88" s="122" t="s">
        <v>275</v>
      </c>
      <c r="B88" s="120">
        <v>39</v>
      </c>
      <c r="C88" s="121">
        <v>1611.07</v>
      </c>
      <c r="D88" s="121">
        <v>1538.9</v>
      </c>
      <c r="E88" s="121">
        <v>7170.59</v>
      </c>
      <c r="F88" s="121">
        <v>765.9</v>
      </c>
      <c r="G88" s="121">
        <v>528.22</v>
      </c>
      <c r="H88" s="121">
        <v>783.06</v>
      </c>
      <c r="I88" s="121">
        <v>237.68</v>
      </c>
      <c r="J88" s="121">
        <v>935.47</v>
      </c>
      <c r="K88" s="121">
        <v>7.38</v>
      </c>
      <c r="L88" s="121">
        <v>0</v>
      </c>
      <c r="M88" s="121">
        <f t="shared" si="6"/>
        <v>13578.269999999999</v>
      </c>
      <c r="N88" s="121">
        <v>1706.75</v>
      </c>
      <c r="O88" s="121">
        <v>2715.67</v>
      </c>
      <c r="P88" s="121">
        <f>SUM(1318.82+585)</f>
        <v>1903.82</v>
      </c>
      <c r="Q88" s="121">
        <f t="shared" si="4"/>
        <v>19904.509999999998</v>
      </c>
      <c r="R88" s="121"/>
      <c r="S88" s="121"/>
      <c r="T88" s="121"/>
    </row>
    <row r="89" spans="1:20" x14ac:dyDescent="0.25">
      <c r="A89" s="119" t="s">
        <v>276</v>
      </c>
      <c r="B89" s="120">
        <v>57</v>
      </c>
      <c r="C89" s="121">
        <v>6952.3</v>
      </c>
      <c r="D89" s="121">
        <v>4502.01</v>
      </c>
      <c r="E89" s="121">
        <v>29233.67</v>
      </c>
      <c r="F89" s="121">
        <v>4330.8500000000004</v>
      </c>
      <c r="G89" s="121">
        <v>2849.29</v>
      </c>
      <c r="H89" s="121">
        <v>2963.29</v>
      </c>
      <c r="I89" s="121">
        <v>0</v>
      </c>
      <c r="J89" s="121">
        <v>4330.8500000000004</v>
      </c>
      <c r="K89" s="121">
        <v>4372.09</v>
      </c>
      <c r="L89" s="121">
        <v>0</v>
      </c>
      <c r="M89" s="121">
        <f t="shared" si="6"/>
        <v>59534.349999999991</v>
      </c>
      <c r="N89" s="121">
        <v>7499.58</v>
      </c>
      <c r="O89" s="121">
        <v>11963.86</v>
      </c>
      <c r="P89" s="121">
        <f>SUM(5924.94+855)</f>
        <v>6779.94</v>
      </c>
      <c r="Q89" s="121">
        <f t="shared" si="4"/>
        <v>85777.73</v>
      </c>
      <c r="R89" s="121"/>
      <c r="S89" s="121"/>
      <c r="T89" s="121"/>
    </row>
    <row r="90" spans="1:20" x14ac:dyDescent="0.25">
      <c r="A90" s="119" t="s">
        <v>277</v>
      </c>
      <c r="B90" s="120">
        <v>51</v>
      </c>
      <c r="C90" s="121">
        <v>2045.18</v>
      </c>
      <c r="D90" s="121">
        <v>1005.81</v>
      </c>
      <c r="E90" s="121">
        <v>10309.709999999999</v>
      </c>
      <c r="F90" s="121">
        <v>2011.64</v>
      </c>
      <c r="G90" s="121">
        <v>1676.37</v>
      </c>
      <c r="H90" s="121">
        <v>1965.59</v>
      </c>
      <c r="I90" s="121">
        <v>318.57</v>
      </c>
      <c r="J90" s="121">
        <v>1592.59</v>
      </c>
      <c r="K90" s="121">
        <v>30.42</v>
      </c>
      <c r="L90" s="121">
        <v>0</v>
      </c>
      <c r="M90" s="121">
        <f t="shared" si="6"/>
        <v>20955.879999999997</v>
      </c>
      <c r="N90" s="121">
        <f>SUM(1982.45+831.39)</f>
        <v>2813.84</v>
      </c>
      <c r="O90" s="121">
        <v>4191.1499999999996</v>
      </c>
      <c r="P90" s="121">
        <f>SUM(51+510+2095.61)</f>
        <v>2656.61</v>
      </c>
      <c r="Q90" s="121">
        <f t="shared" si="4"/>
        <v>30617.479999999996</v>
      </c>
      <c r="R90" s="121"/>
      <c r="S90" s="121"/>
      <c r="T90" s="121"/>
    </row>
    <row r="91" spans="1:20" x14ac:dyDescent="0.25">
      <c r="A91" s="119" t="s">
        <v>278</v>
      </c>
      <c r="B91" s="120">
        <v>71</v>
      </c>
      <c r="C91" s="121">
        <v>5475.18</v>
      </c>
      <c r="D91" s="121">
        <v>5253.14</v>
      </c>
      <c r="E91" s="121">
        <v>23864.93</v>
      </c>
      <c r="F91" s="121">
        <v>4615.47</v>
      </c>
      <c r="G91" s="121">
        <v>1343.19</v>
      </c>
      <c r="H91" s="121">
        <v>886.54</v>
      </c>
      <c r="I91" s="121">
        <v>233.36</v>
      </c>
      <c r="J91" s="121">
        <v>0</v>
      </c>
      <c r="K91" s="121">
        <v>0</v>
      </c>
      <c r="L91" s="121">
        <f>SUM(403.96+4.18+256.62)</f>
        <v>664.76</v>
      </c>
      <c r="M91" s="121">
        <f t="shared" si="6"/>
        <v>42336.570000000007</v>
      </c>
      <c r="N91" s="121">
        <v>5278.62</v>
      </c>
      <c r="O91" s="121">
        <v>8577.5300000000007</v>
      </c>
      <c r="P91" s="121">
        <f>SUM(4300.13+939.46)</f>
        <v>5239.59</v>
      </c>
      <c r="Q91" s="121">
        <f>SUM(M91:P91)</f>
        <v>61432.310000000012</v>
      </c>
      <c r="R91" s="121"/>
      <c r="S91" s="121"/>
      <c r="T91" s="121"/>
    </row>
    <row r="92" spans="1:20" x14ac:dyDescent="0.25">
      <c r="A92" s="119" t="s">
        <v>279</v>
      </c>
      <c r="B92" s="120">
        <v>92</v>
      </c>
      <c r="C92" s="121">
        <v>22405.919999999998</v>
      </c>
      <c r="D92" s="121">
        <f>SUM(26262.68+1196)</f>
        <v>27458.68</v>
      </c>
      <c r="E92" s="121">
        <v>41060.230000000003</v>
      </c>
      <c r="F92" s="121">
        <v>14508.77</v>
      </c>
      <c r="G92" s="121">
        <v>0</v>
      </c>
      <c r="H92" s="121">
        <v>1891.73</v>
      </c>
      <c r="I92" s="121">
        <v>954.93</v>
      </c>
      <c r="J92" s="121">
        <v>0</v>
      </c>
      <c r="K92" s="121">
        <f>SUM(736+2713.743)</f>
        <v>3449.7429999999999</v>
      </c>
      <c r="L92" s="121">
        <v>0</v>
      </c>
      <c r="M92" s="121">
        <f t="shared" si="6"/>
        <v>111730.003</v>
      </c>
      <c r="N92" s="121">
        <f>SUM(3581.43+10573.8)</f>
        <v>14155.23</v>
      </c>
      <c r="O92" s="121">
        <f>SUM(22106.83+184)</f>
        <v>22290.83</v>
      </c>
      <c r="P92" s="121">
        <f>SUM(11053.41+460+2548+920)</f>
        <v>14981.41</v>
      </c>
      <c r="Q92" s="121">
        <f t="shared" si="4"/>
        <v>163157.473</v>
      </c>
      <c r="R92" s="121"/>
      <c r="S92" s="121"/>
      <c r="T92" s="121"/>
    </row>
    <row r="93" spans="1:20" x14ac:dyDescent="0.25">
      <c r="A93" s="119" t="s">
        <v>280</v>
      </c>
      <c r="B93" s="120">
        <v>11</v>
      </c>
      <c r="C93" s="121">
        <v>700.96</v>
      </c>
      <c r="D93" s="121">
        <v>875.62</v>
      </c>
      <c r="E93" s="121">
        <v>2269.4699999999998</v>
      </c>
      <c r="F93" s="121">
        <v>448.14</v>
      </c>
      <c r="G93" s="121">
        <v>287.27999999999997</v>
      </c>
      <c r="H93" s="121">
        <v>200.35</v>
      </c>
      <c r="I93" s="121">
        <v>86.18</v>
      </c>
      <c r="J93" s="121">
        <v>0</v>
      </c>
      <c r="K93" s="121">
        <v>294.7</v>
      </c>
      <c r="L93" s="121">
        <v>0</v>
      </c>
      <c r="M93" s="121">
        <f t="shared" si="6"/>
        <v>5162.7</v>
      </c>
      <c r="N93" s="121">
        <v>678.55</v>
      </c>
      <c r="O93" s="121">
        <v>1017.14</v>
      </c>
      <c r="P93" s="121">
        <f>SUM(508.59+165)</f>
        <v>673.58999999999992</v>
      </c>
      <c r="Q93" s="121">
        <f t="shared" si="4"/>
        <v>7531.9800000000005</v>
      </c>
      <c r="R93" s="121"/>
      <c r="S93" s="121"/>
      <c r="T93" s="121"/>
    </row>
    <row r="94" spans="1:20" x14ac:dyDescent="0.25">
      <c r="A94" s="119" t="s">
        <v>281</v>
      </c>
      <c r="B94" s="120">
        <v>55</v>
      </c>
      <c r="C94" s="121">
        <v>3768.11</v>
      </c>
      <c r="D94" s="121">
        <v>2534.7399999999998</v>
      </c>
      <c r="E94" s="121">
        <v>16122.63</v>
      </c>
      <c r="F94" s="121">
        <v>2409.14</v>
      </c>
      <c r="G94" s="121">
        <v>1235.45</v>
      </c>
      <c r="H94" s="121">
        <v>929.52</v>
      </c>
      <c r="I94" s="121">
        <v>247.09</v>
      </c>
      <c r="J94" s="121">
        <v>0</v>
      </c>
      <c r="K94" s="121">
        <v>22.06</v>
      </c>
      <c r="L94" s="121">
        <v>6.03</v>
      </c>
      <c r="M94" s="121">
        <f t="shared" si="6"/>
        <v>27274.77</v>
      </c>
      <c r="N94" s="121">
        <v>3265.83</v>
      </c>
      <c r="O94" s="121">
        <v>5398.97</v>
      </c>
      <c r="P94" s="121">
        <f>SUM(2699.46+840)</f>
        <v>3539.46</v>
      </c>
      <c r="Q94" s="121">
        <f t="shared" si="4"/>
        <v>39479.03</v>
      </c>
      <c r="R94" s="121"/>
      <c r="S94" s="121"/>
      <c r="T94" s="121"/>
    </row>
    <row r="95" spans="1:20" x14ac:dyDescent="0.25">
      <c r="A95" s="119" t="s">
        <v>282</v>
      </c>
      <c r="B95" s="120">
        <v>56</v>
      </c>
      <c r="C95" s="121">
        <v>11381.18</v>
      </c>
      <c r="D95" s="121">
        <v>9926.69</v>
      </c>
      <c r="E95" s="121">
        <v>51588.4</v>
      </c>
      <c r="F95" s="121">
        <v>3824.79</v>
      </c>
      <c r="G95" s="121">
        <v>2332.21</v>
      </c>
      <c r="H95" s="121">
        <v>1399.32</v>
      </c>
      <c r="I95" s="121">
        <v>0</v>
      </c>
      <c r="J95" s="121">
        <v>4421.88</v>
      </c>
      <c r="K95" s="121">
        <v>8732.26</v>
      </c>
      <c r="L95" s="121">
        <f>SUM(20896.6+287.35+1750.3)</f>
        <v>22934.249999999996</v>
      </c>
      <c r="M95" s="121">
        <f t="shared" si="6"/>
        <v>116540.98000000001</v>
      </c>
      <c r="N95" s="121">
        <v>13482.09</v>
      </c>
      <c r="O95" s="121">
        <f>SUM(840+11491.69)</f>
        <v>12331.69</v>
      </c>
      <c r="P95" s="121">
        <v>23095.41</v>
      </c>
      <c r="Q95" s="121">
        <f t="shared" si="4"/>
        <v>165450.17000000001</v>
      </c>
      <c r="R95" s="121"/>
      <c r="S95" s="121"/>
      <c r="T95" s="121"/>
    </row>
    <row r="96" spans="1:20" x14ac:dyDescent="0.25">
      <c r="A96" s="119" t="s">
        <v>283</v>
      </c>
      <c r="B96" s="120">
        <v>29</v>
      </c>
      <c r="C96" s="121">
        <v>1481.39</v>
      </c>
      <c r="D96" s="121">
        <v>1481.36</v>
      </c>
      <c r="E96" s="121">
        <v>7758.93</v>
      </c>
      <c r="F96" s="121">
        <v>1335.65</v>
      </c>
      <c r="G96" s="121">
        <v>679.94</v>
      </c>
      <c r="H96" s="121">
        <v>621.69000000000005</v>
      </c>
      <c r="I96" s="121">
        <v>194.26</v>
      </c>
      <c r="J96" s="121">
        <v>0</v>
      </c>
      <c r="K96" s="121">
        <v>1084.95</v>
      </c>
      <c r="L96" s="121">
        <v>0</v>
      </c>
      <c r="M96" s="121">
        <f>SUM(C96:L96)</f>
        <v>14638.170000000002</v>
      </c>
      <c r="N96" s="121">
        <v>1879.7</v>
      </c>
      <c r="O96" s="121">
        <v>2984.95</v>
      </c>
      <c r="P96" s="121">
        <v>2323.79</v>
      </c>
      <c r="Q96" s="121">
        <f>SUM(M96:P96)</f>
        <v>21826.610000000004</v>
      </c>
      <c r="R96" s="121"/>
      <c r="S96" s="121"/>
      <c r="T96" s="121"/>
    </row>
    <row r="97" spans="1:20" x14ac:dyDescent="0.25">
      <c r="A97" s="119" t="s">
        <v>284</v>
      </c>
      <c r="B97" s="120">
        <v>6</v>
      </c>
      <c r="C97" s="121">
        <v>408.95</v>
      </c>
      <c r="D97" s="121">
        <v>573.57000000000005</v>
      </c>
      <c r="E97" s="121">
        <v>1605.65</v>
      </c>
      <c r="F97" s="121">
        <v>596.67999999999995</v>
      </c>
      <c r="G97" s="121">
        <v>234.65</v>
      </c>
      <c r="H97" s="121">
        <v>719.41</v>
      </c>
      <c r="I97" s="121">
        <v>227.95</v>
      </c>
      <c r="J97" s="121">
        <v>0</v>
      </c>
      <c r="K97" s="121">
        <v>3.49</v>
      </c>
      <c r="L97" s="121">
        <v>229.19</v>
      </c>
      <c r="M97" s="121">
        <f t="shared" si="6"/>
        <v>4599.5399999999991</v>
      </c>
      <c r="N97" s="121">
        <v>602.45000000000005</v>
      </c>
      <c r="O97" s="121">
        <v>921.11</v>
      </c>
      <c r="P97" s="121">
        <f>SUM(454.54+90)</f>
        <v>544.54</v>
      </c>
      <c r="Q97" s="121">
        <f t="shared" si="4"/>
        <v>6667.6399999999985</v>
      </c>
      <c r="R97" s="121"/>
      <c r="S97" s="121"/>
      <c r="T97" s="121"/>
    </row>
    <row r="98" spans="1:20" x14ac:dyDescent="0.25">
      <c r="A98" s="119" t="s">
        <v>285</v>
      </c>
      <c r="B98" s="120">
        <v>35</v>
      </c>
      <c r="C98" s="121">
        <v>2051.6799999999998</v>
      </c>
      <c r="D98" s="121">
        <v>3043.92</v>
      </c>
      <c r="E98" s="121">
        <f>SUM(868.73+10314.65)</f>
        <v>11183.38</v>
      </c>
      <c r="F98" s="121">
        <v>1715.34</v>
      </c>
      <c r="G98" s="121">
        <f>SUM(975.39+437.23)</f>
        <v>1412.62</v>
      </c>
      <c r="H98" s="121">
        <v>1639.73</v>
      </c>
      <c r="I98" s="121">
        <v>235.46</v>
      </c>
      <c r="J98" s="121">
        <v>1395.25</v>
      </c>
      <c r="K98" s="121">
        <f>SUM(233.56+339.35)</f>
        <v>572.91000000000008</v>
      </c>
      <c r="L98" s="121">
        <v>0</v>
      </c>
      <c r="M98" s="121">
        <f t="shared" si="6"/>
        <v>23250.289999999997</v>
      </c>
      <c r="N98" s="121">
        <f>SUM(777.69+2188.59)</f>
        <v>2966.28</v>
      </c>
      <c r="O98" s="121">
        <f>SUM(4576.02+74)</f>
        <v>4650.0200000000004</v>
      </c>
      <c r="P98" s="121">
        <f>SUM(555+2288.07)</f>
        <v>2843.07</v>
      </c>
      <c r="Q98" s="121">
        <f t="shared" si="4"/>
        <v>33709.659999999996</v>
      </c>
      <c r="R98" s="121"/>
      <c r="S98" s="121"/>
      <c r="T98" s="121"/>
    </row>
    <row r="99" spans="1:20" x14ac:dyDescent="0.25">
      <c r="A99" s="119" t="s">
        <v>286</v>
      </c>
      <c r="B99" s="120">
        <v>40</v>
      </c>
      <c r="C99" s="121">
        <v>4837.6400000000003</v>
      </c>
      <c r="D99" s="121">
        <v>4325.63</v>
      </c>
      <c r="E99" s="121">
        <v>22010.79</v>
      </c>
      <c r="F99" s="121">
        <v>6344.44</v>
      </c>
      <c r="G99" s="121">
        <v>1784.38</v>
      </c>
      <c r="H99" s="121">
        <v>793.05</v>
      </c>
      <c r="I99" s="121">
        <v>515.49</v>
      </c>
      <c r="J99" s="121">
        <v>0</v>
      </c>
      <c r="K99" s="121">
        <v>6.95</v>
      </c>
      <c r="L99" s="121">
        <v>0</v>
      </c>
      <c r="M99" s="121">
        <f t="shared" si="6"/>
        <v>40618.369999999995</v>
      </c>
      <c r="N99" s="121">
        <v>5262.09</v>
      </c>
      <c r="O99" s="121">
        <v>8123.68</v>
      </c>
      <c r="P99" s="121">
        <f>SUM(4021.81+600)</f>
        <v>4621.8099999999995</v>
      </c>
      <c r="Q99" s="121">
        <f t="shared" si="4"/>
        <v>58625.94999999999</v>
      </c>
      <c r="R99" s="121"/>
      <c r="S99" s="121"/>
      <c r="T99" s="121"/>
    </row>
    <row r="100" spans="1:20" x14ac:dyDescent="0.25">
      <c r="A100" s="119" t="s">
        <v>287</v>
      </c>
      <c r="B100" s="120">
        <v>44</v>
      </c>
      <c r="C100" s="121">
        <v>8904.9500000000007</v>
      </c>
      <c r="D100" s="121">
        <v>13490.48</v>
      </c>
      <c r="E100" s="121">
        <v>48781.24</v>
      </c>
      <c r="F100" s="121">
        <v>9561.91</v>
      </c>
      <c r="G100" s="121">
        <v>4379.4799999999996</v>
      </c>
      <c r="H100" s="121">
        <v>2678.85</v>
      </c>
      <c r="I100" s="121">
        <v>583.91999999999996</v>
      </c>
      <c r="J100" s="121">
        <v>0</v>
      </c>
      <c r="K100" s="121">
        <v>59.4</v>
      </c>
      <c r="L100" s="121">
        <v>6013.59</v>
      </c>
      <c r="M100" s="121">
        <f t="shared" si="6"/>
        <v>94453.819999999992</v>
      </c>
      <c r="N100" s="121">
        <f>SUM(3400.91)</f>
        <v>3400.91</v>
      </c>
      <c r="O100" s="121">
        <f>SUM(88+18820.4)</f>
        <v>18908.400000000001</v>
      </c>
      <c r="P100" s="121">
        <f>SUM(9410.2+660)</f>
        <v>10070.200000000001</v>
      </c>
      <c r="Q100" s="121">
        <f t="shared" si="4"/>
        <v>126833.33</v>
      </c>
      <c r="R100" s="121"/>
      <c r="S100" s="121"/>
      <c r="T100" s="121"/>
    </row>
    <row r="101" spans="1:20" x14ac:dyDescent="0.25">
      <c r="A101" s="119" t="s">
        <v>288</v>
      </c>
      <c r="B101" s="120">
        <v>31</v>
      </c>
      <c r="C101" s="121">
        <v>2644.78</v>
      </c>
      <c r="D101" s="121">
        <v>2189.5300000000002</v>
      </c>
      <c r="E101" s="121">
        <v>8888.14</v>
      </c>
      <c r="F101" s="121">
        <v>1083.93</v>
      </c>
      <c r="G101" s="121">
        <v>1300.7</v>
      </c>
      <c r="H101" s="121">
        <v>783.65</v>
      </c>
      <c r="I101" s="121">
        <v>0</v>
      </c>
      <c r="J101" s="121">
        <v>0</v>
      </c>
      <c r="K101" s="121">
        <v>34.14</v>
      </c>
      <c r="L101" s="121">
        <v>0</v>
      </c>
      <c r="M101" s="121">
        <f t="shared" si="6"/>
        <v>16924.870000000003</v>
      </c>
      <c r="N101" s="121">
        <f>SUM(1601.07+676.85)</f>
        <v>2277.92</v>
      </c>
      <c r="O101" s="121">
        <f>SUM(62+3384.93)</f>
        <v>3446.93</v>
      </c>
      <c r="P101" s="121">
        <f>SUM(465+1692.5)</f>
        <v>2157.5</v>
      </c>
      <c r="Q101" s="121">
        <f t="shared" si="4"/>
        <v>24807.22</v>
      </c>
      <c r="R101" s="121"/>
      <c r="S101" s="121"/>
      <c r="T101" s="121"/>
    </row>
    <row r="102" spans="1:20" x14ac:dyDescent="0.25">
      <c r="A102" s="119" t="s">
        <v>289</v>
      </c>
      <c r="B102" s="120">
        <v>127</v>
      </c>
      <c r="C102" s="121">
        <v>13891.72</v>
      </c>
      <c r="D102" s="121">
        <v>5807.18</v>
      </c>
      <c r="E102" s="121">
        <f>SUM(51290.27+2801.25)</f>
        <v>54091.519999999997</v>
      </c>
      <c r="F102" s="121">
        <v>7518.49</v>
      </c>
      <c r="G102" s="121">
        <v>3415.99</v>
      </c>
      <c r="H102" s="121">
        <v>1708.09</v>
      </c>
      <c r="I102" s="121">
        <v>0</v>
      </c>
      <c r="J102" s="121">
        <v>0</v>
      </c>
      <c r="K102" s="121">
        <v>0</v>
      </c>
      <c r="L102" s="121">
        <v>0</v>
      </c>
      <c r="M102" s="121">
        <f t="shared" si="6"/>
        <v>86432.99</v>
      </c>
      <c r="N102" s="121">
        <v>10886.73</v>
      </c>
      <c r="O102" s="121">
        <v>17540.650000000001</v>
      </c>
      <c r="P102" s="121">
        <v>12580.38</v>
      </c>
      <c r="Q102" s="121">
        <f t="shared" si="4"/>
        <v>127440.75</v>
      </c>
      <c r="R102" s="121"/>
      <c r="S102" s="121"/>
      <c r="T102" s="121"/>
    </row>
    <row r="103" spans="1:20" x14ac:dyDescent="0.25">
      <c r="A103" s="119" t="s">
        <v>290</v>
      </c>
      <c r="B103" s="120">
        <v>0</v>
      </c>
      <c r="C103" s="121">
        <v>0</v>
      </c>
      <c r="D103" s="121">
        <v>0</v>
      </c>
      <c r="E103" s="121">
        <v>0</v>
      </c>
      <c r="F103" s="121">
        <v>0</v>
      </c>
      <c r="G103" s="121">
        <v>0</v>
      </c>
      <c r="H103" s="121">
        <v>0</v>
      </c>
      <c r="I103" s="121">
        <v>0</v>
      </c>
      <c r="J103" s="121">
        <v>0</v>
      </c>
      <c r="K103" s="121">
        <v>0</v>
      </c>
      <c r="L103" s="121">
        <v>0</v>
      </c>
      <c r="M103" s="121">
        <f t="shared" si="6"/>
        <v>0</v>
      </c>
      <c r="N103" s="121">
        <v>0</v>
      </c>
      <c r="O103" s="121">
        <v>0</v>
      </c>
      <c r="P103" s="121">
        <v>0</v>
      </c>
      <c r="Q103" s="121">
        <f t="shared" si="4"/>
        <v>0</v>
      </c>
      <c r="R103" s="121"/>
      <c r="S103" s="121"/>
      <c r="T103" s="121"/>
    </row>
    <row r="104" spans="1:20" x14ac:dyDescent="0.25">
      <c r="A104" s="119" t="s">
        <v>291</v>
      </c>
      <c r="B104" s="120">
        <v>59</v>
      </c>
      <c r="C104" s="121">
        <v>4562.88</v>
      </c>
      <c r="D104" s="121">
        <v>2966.28</v>
      </c>
      <c r="E104" s="121">
        <v>15596.04</v>
      </c>
      <c r="F104" s="121">
        <v>3029.48</v>
      </c>
      <c r="G104" s="121">
        <v>2618.04</v>
      </c>
      <c r="H104" s="121">
        <v>1579.03</v>
      </c>
      <c r="I104" s="121">
        <v>336.66</v>
      </c>
      <c r="J104" s="121">
        <v>0</v>
      </c>
      <c r="K104" s="121">
        <v>24.67</v>
      </c>
      <c r="L104" s="121">
        <v>0</v>
      </c>
      <c r="M104" s="121">
        <f t="shared" si="6"/>
        <v>30713.079999999998</v>
      </c>
      <c r="N104" s="121">
        <v>4071.74</v>
      </c>
      <c r="O104" s="121">
        <v>6213.38</v>
      </c>
      <c r="P104" s="121">
        <v>3932.7</v>
      </c>
      <c r="Q104" s="121">
        <f t="shared" si="4"/>
        <v>44930.899999999994</v>
      </c>
      <c r="R104" s="121"/>
      <c r="S104" s="121"/>
      <c r="T104" s="121"/>
    </row>
    <row r="105" spans="1:20" x14ac:dyDescent="0.25">
      <c r="A105" s="119" t="s">
        <v>292</v>
      </c>
      <c r="B105" s="120">
        <v>42</v>
      </c>
      <c r="C105" s="121">
        <v>3734.88</v>
      </c>
      <c r="D105" s="121">
        <v>2471.12</v>
      </c>
      <c r="E105" s="121">
        <v>17266.12</v>
      </c>
      <c r="F105" s="121">
        <v>3214.42</v>
      </c>
      <c r="G105" s="121">
        <v>1377.58</v>
      </c>
      <c r="H105" s="121">
        <v>0</v>
      </c>
      <c r="I105" s="121">
        <v>0</v>
      </c>
      <c r="J105" s="121">
        <v>0</v>
      </c>
      <c r="K105" s="121">
        <v>3.81</v>
      </c>
      <c r="L105" s="121">
        <v>0</v>
      </c>
      <c r="M105" s="121">
        <f t="shared" si="6"/>
        <v>28067.930000000004</v>
      </c>
      <c r="N105" s="121">
        <v>3686.33</v>
      </c>
      <c r="O105" s="121">
        <f>SUM(2764.84+630)</f>
        <v>3394.84</v>
      </c>
      <c r="P105" s="121">
        <v>5613.57</v>
      </c>
      <c r="Q105" s="121">
        <f t="shared" si="4"/>
        <v>40762.670000000006</v>
      </c>
      <c r="R105" s="121"/>
      <c r="S105" s="121"/>
      <c r="T105" s="121"/>
    </row>
    <row r="106" spans="1:20" x14ac:dyDescent="0.25">
      <c r="A106" s="119" t="s">
        <v>293</v>
      </c>
      <c r="B106" s="120">
        <v>46</v>
      </c>
      <c r="C106" s="121">
        <v>4263.37</v>
      </c>
      <c r="D106" s="121">
        <v>2561.36</v>
      </c>
      <c r="E106" s="121">
        <v>18241.61</v>
      </c>
      <c r="F106" s="121">
        <v>2131.6799999999998</v>
      </c>
      <c r="G106" s="121">
        <v>1572.6</v>
      </c>
      <c r="H106" s="121">
        <v>1210.1600000000001</v>
      </c>
      <c r="I106" s="121">
        <v>314.52</v>
      </c>
      <c r="J106" s="121">
        <v>2096.73</v>
      </c>
      <c r="K106" s="121">
        <v>2.85</v>
      </c>
      <c r="L106" s="121">
        <v>2306.38</v>
      </c>
      <c r="M106" s="121">
        <f t="shared" si="6"/>
        <v>34701.259999999995</v>
      </c>
      <c r="N106" s="121">
        <v>3301.98</v>
      </c>
      <c r="O106" s="121">
        <v>6984.29</v>
      </c>
      <c r="P106" s="121">
        <v>4108.1400000000003</v>
      </c>
      <c r="Q106" s="121">
        <f t="shared" si="4"/>
        <v>49095.67</v>
      </c>
      <c r="R106" s="121"/>
      <c r="S106" s="121"/>
      <c r="T106" s="121"/>
    </row>
    <row r="107" spans="1:20" x14ac:dyDescent="0.25">
      <c r="A107" s="119" t="s">
        <v>294</v>
      </c>
      <c r="B107" s="120">
        <v>66</v>
      </c>
      <c r="C107" s="121">
        <v>15132.6</v>
      </c>
      <c r="D107" s="121">
        <v>9514.4500000000007</v>
      </c>
      <c r="E107" s="121">
        <v>69957.22</v>
      </c>
      <c r="F107" s="121">
        <v>7318.22</v>
      </c>
      <c r="G107" s="121">
        <v>5457.68</v>
      </c>
      <c r="H107" s="121">
        <v>2232.67</v>
      </c>
      <c r="I107" s="121">
        <v>0</v>
      </c>
      <c r="J107" s="121">
        <v>0</v>
      </c>
      <c r="K107" s="121">
        <v>0</v>
      </c>
      <c r="L107" s="121">
        <v>0</v>
      </c>
      <c r="M107" s="121">
        <f t="shared" si="6"/>
        <v>109612.84000000001</v>
      </c>
      <c r="N107" s="121">
        <v>13657.08</v>
      </c>
      <c r="O107" s="121">
        <v>21812.11</v>
      </c>
      <c r="P107" s="121">
        <f>SUM(10840.08+990)</f>
        <v>11830.08</v>
      </c>
      <c r="Q107" s="121">
        <f t="shared" si="4"/>
        <v>156912.11000000002</v>
      </c>
      <c r="R107" s="121"/>
      <c r="S107" s="121"/>
      <c r="T107" s="121"/>
    </row>
    <row r="108" spans="1:20" x14ac:dyDescent="0.25">
      <c r="A108" s="119" t="s">
        <v>295</v>
      </c>
      <c r="B108" s="120">
        <v>52</v>
      </c>
      <c r="C108" s="121">
        <v>13930.92</v>
      </c>
      <c r="D108" s="121">
        <v>12634.13</v>
      </c>
      <c r="E108" s="121">
        <v>83471.240000000005</v>
      </c>
      <c r="F108" s="121">
        <v>3996.57</v>
      </c>
      <c r="G108" s="121">
        <v>4282.03</v>
      </c>
      <c r="H108" s="121">
        <v>2317.4499999999998</v>
      </c>
      <c r="I108" s="121">
        <v>1141.8699999999999</v>
      </c>
      <c r="J108" s="121">
        <v>0</v>
      </c>
      <c r="K108" s="121">
        <v>8833.0300000000007</v>
      </c>
      <c r="L108" s="121">
        <f>SUM(3425.64+8.71)</f>
        <v>3434.35</v>
      </c>
      <c r="M108" s="121">
        <f t="shared" si="6"/>
        <v>134041.59</v>
      </c>
      <c r="N108" s="121">
        <v>15583.97</v>
      </c>
      <c r="O108" s="121">
        <v>26829.08</v>
      </c>
      <c r="P108" s="121">
        <f>SUM(780+13362.62)</f>
        <v>14142.62</v>
      </c>
      <c r="Q108" s="121">
        <f t="shared" si="4"/>
        <v>190597.26</v>
      </c>
      <c r="R108" s="121"/>
      <c r="S108" s="121"/>
      <c r="T108" s="121"/>
    </row>
    <row r="109" spans="1:20" x14ac:dyDescent="0.25">
      <c r="A109" s="119" t="s">
        <v>296</v>
      </c>
      <c r="B109" s="120">
        <v>36</v>
      </c>
      <c r="C109" s="121">
        <v>6306.66</v>
      </c>
      <c r="D109" s="121">
        <v>5787.86</v>
      </c>
      <c r="E109" s="121">
        <v>27035.919999999998</v>
      </c>
      <c r="F109" s="121">
        <v>3153.31</v>
      </c>
      <c r="G109" s="121">
        <v>0</v>
      </c>
      <c r="H109" s="121">
        <v>1025.56</v>
      </c>
      <c r="I109" s="121">
        <v>0</v>
      </c>
      <c r="J109" s="121">
        <v>2016.07</v>
      </c>
      <c r="K109" s="121">
        <v>0</v>
      </c>
      <c r="L109" s="121">
        <v>0</v>
      </c>
      <c r="M109" s="121">
        <f t="shared" si="6"/>
        <v>45325.38</v>
      </c>
      <c r="N109" s="121">
        <v>5738.94</v>
      </c>
      <c r="O109" s="121">
        <v>8993.08</v>
      </c>
      <c r="P109" s="121">
        <f>SUM(540+4496.54)</f>
        <v>5036.54</v>
      </c>
      <c r="Q109" s="121">
        <f t="shared" si="4"/>
        <v>65093.94</v>
      </c>
      <c r="R109" s="121"/>
      <c r="S109" s="121"/>
      <c r="T109" s="121"/>
    </row>
    <row r="110" spans="1:20" x14ac:dyDescent="0.25">
      <c r="A110" s="119" t="s">
        <v>297</v>
      </c>
      <c r="B110" s="120">
        <v>21</v>
      </c>
      <c r="C110" s="121">
        <v>1823.03</v>
      </c>
      <c r="D110" s="121">
        <v>1852.07</v>
      </c>
      <c r="E110" s="121">
        <v>9742.7000000000007</v>
      </c>
      <c r="F110" s="121">
        <v>732.21</v>
      </c>
      <c r="G110" s="121">
        <v>597.71</v>
      </c>
      <c r="H110" s="121">
        <v>512.52</v>
      </c>
      <c r="I110" s="121">
        <v>130.01</v>
      </c>
      <c r="J110" s="121">
        <v>0</v>
      </c>
      <c r="K110" s="121">
        <v>779</v>
      </c>
      <c r="L110" s="121">
        <v>90.73</v>
      </c>
      <c r="M110" s="121">
        <f t="shared" si="6"/>
        <v>16259.980000000001</v>
      </c>
      <c r="N110" s="121">
        <v>1977.14</v>
      </c>
      <c r="O110" s="121">
        <v>3138.6</v>
      </c>
      <c r="P110" s="121">
        <f>SUM(1569.29+315)</f>
        <v>1884.29</v>
      </c>
      <c r="Q110" s="121">
        <f t="shared" si="4"/>
        <v>23260.010000000002</v>
      </c>
      <c r="R110" s="121"/>
      <c r="S110" s="121"/>
      <c r="T110" s="121"/>
    </row>
    <row r="111" spans="1:20" x14ac:dyDescent="0.25">
      <c r="A111" s="119" t="s">
        <v>298</v>
      </c>
      <c r="B111" s="120">
        <v>27</v>
      </c>
      <c r="C111" s="121">
        <v>2669.17</v>
      </c>
      <c r="D111" s="121">
        <v>2183.77</v>
      </c>
      <c r="E111" s="121">
        <v>6523.11</v>
      </c>
      <c r="F111" s="121">
        <v>1561.48</v>
      </c>
      <c r="G111" s="121">
        <v>704.26</v>
      </c>
      <c r="H111" s="121">
        <v>891.94</v>
      </c>
      <c r="I111" s="121">
        <v>0</v>
      </c>
      <c r="J111" s="121">
        <v>0</v>
      </c>
      <c r="K111" s="121">
        <v>0</v>
      </c>
      <c r="L111" s="121">
        <v>1777.52</v>
      </c>
      <c r="M111" s="121">
        <f t="shared" si="6"/>
        <v>16311.25</v>
      </c>
      <c r="N111" s="121">
        <v>634.63</v>
      </c>
      <c r="O111" s="121">
        <f>SUM(3176.92+26.1)</f>
        <v>3203.02</v>
      </c>
      <c r="P111" s="121">
        <v>1974.9</v>
      </c>
      <c r="Q111" s="121">
        <f t="shared" si="4"/>
        <v>22123.800000000003</v>
      </c>
      <c r="R111" s="121"/>
      <c r="S111" s="121"/>
      <c r="T111" s="121"/>
    </row>
    <row r="112" spans="1:20" x14ac:dyDescent="0.25">
      <c r="A112" s="119" t="s">
        <v>299</v>
      </c>
      <c r="B112" s="120">
        <v>5</v>
      </c>
      <c r="C112" s="121">
        <v>242.64</v>
      </c>
      <c r="D112" s="121">
        <v>196.9</v>
      </c>
      <c r="E112" s="121">
        <v>839.32</v>
      </c>
      <c r="F112" s="121">
        <v>117.35</v>
      </c>
      <c r="G112" s="121">
        <v>85.52</v>
      </c>
      <c r="H112" s="121">
        <v>76.900000000000006</v>
      </c>
      <c r="I112" s="121">
        <v>19.89</v>
      </c>
      <c r="J112" s="121">
        <v>0</v>
      </c>
      <c r="K112" s="121">
        <v>0.46</v>
      </c>
      <c r="L112" s="121">
        <v>0</v>
      </c>
      <c r="M112" s="121">
        <f t="shared" si="6"/>
        <v>1578.9800000000002</v>
      </c>
      <c r="N112" s="121">
        <v>202.99</v>
      </c>
      <c r="O112" s="121">
        <v>325.81</v>
      </c>
      <c r="P112" s="121">
        <v>262.89</v>
      </c>
      <c r="Q112" s="121">
        <f t="shared" si="4"/>
        <v>2370.67</v>
      </c>
      <c r="R112" s="121"/>
      <c r="S112" s="121"/>
      <c r="T112" s="121"/>
    </row>
    <row r="113" spans="1:20" x14ac:dyDescent="0.25">
      <c r="A113" s="119" t="s">
        <v>300</v>
      </c>
      <c r="B113" s="120">
        <v>55</v>
      </c>
      <c r="C113" s="121">
        <v>2417.39</v>
      </c>
      <c r="D113" s="121">
        <v>2025.17</v>
      </c>
      <c r="E113" s="121">
        <v>10462.09</v>
      </c>
      <c r="F113" s="121">
        <v>865.62</v>
      </c>
      <c r="G113" s="121">
        <v>1591.38</v>
      </c>
      <c r="H113" s="121">
        <v>0</v>
      </c>
      <c r="I113" s="121">
        <v>0</v>
      </c>
      <c r="J113" s="121">
        <v>0</v>
      </c>
      <c r="K113" s="121">
        <v>1004.04</v>
      </c>
      <c r="L113" s="121">
        <v>0</v>
      </c>
      <c r="M113" s="121">
        <f t="shared" si="6"/>
        <v>18365.690000000002</v>
      </c>
      <c r="N113" s="121">
        <v>2386.9</v>
      </c>
      <c r="O113" s="121">
        <v>3695.15</v>
      </c>
      <c r="P113" s="121">
        <v>4157.53</v>
      </c>
      <c r="Q113" s="121">
        <f t="shared" si="4"/>
        <v>28605.270000000004</v>
      </c>
      <c r="R113" s="121"/>
      <c r="S113" s="121"/>
      <c r="T113" s="121"/>
    </row>
    <row r="114" spans="1:20" x14ac:dyDescent="0.25">
      <c r="A114" s="119" t="s">
        <v>301</v>
      </c>
      <c r="B114" s="120">
        <v>13</v>
      </c>
      <c r="C114" s="121">
        <v>1302.42</v>
      </c>
      <c r="D114" s="121">
        <v>962.64</v>
      </c>
      <c r="E114" s="121">
        <v>7531.2</v>
      </c>
      <c r="F114" s="121">
        <v>1270.4100000000001</v>
      </c>
      <c r="G114" s="121">
        <v>427.02</v>
      </c>
      <c r="H114" s="121">
        <v>448.36</v>
      </c>
      <c r="I114" s="121">
        <v>0</v>
      </c>
      <c r="J114" s="121">
        <v>0</v>
      </c>
      <c r="K114" s="121">
        <v>2.04</v>
      </c>
      <c r="L114" s="121">
        <v>35.1</v>
      </c>
      <c r="M114" s="121">
        <f t="shared" si="6"/>
        <v>11979.190000000002</v>
      </c>
      <c r="N114" s="121">
        <v>1592.95</v>
      </c>
      <c r="O114" s="121">
        <v>2395.8200000000002</v>
      </c>
      <c r="P114" s="121">
        <v>1379.93</v>
      </c>
      <c r="Q114" s="121">
        <f t="shared" si="4"/>
        <v>17347.890000000003</v>
      </c>
      <c r="R114" s="121"/>
      <c r="S114" s="121"/>
      <c r="T114" s="121"/>
    </row>
    <row r="115" spans="1:20" x14ac:dyDescent="0.25">
      <c r="A115" s="119" t="s">
        <v>302</v>
      </c>
      <c r="B115" s="120">
        <v>11</v>
      </c>
      <c r="C115" s="121">
        <v>820.07</v>
      </c>
      <c r="D115" s="121">
        <v>758.36</v>
      </c>
      <c r="E115" s="121">
        <v>4564.1400000000003</v>
      </c>
      <c r="F115" s="121">
        <v>517.59</v>
      </c>
      <c r="G115" s="121">
        <v>285.69</v>
      </c>
      <c r="H115" s="121">
        <v>275.58999999999997</v>
      </c>
      <c r="I115" s="121">
        <v>0</v>
      </c>
      <c r="J115" s="121">
        <v>0</v>
      </c>
      <c r="K115" s="121">
        <v>0</v>
      </c>
      <c r="L115" s="121">
        <v>0</v>
      </c>
      <c r="M115" s="121">
        <f t="shared" si="6"/>
        <v>7221.4400000000005</v>
      </c>
      <c r="N115" s="121">
        <v>837.64</v>
      </c>
      <c r="O115" s="121">
        <v>1453.03</v>
      </c>
      <c r="P115" s="121">
        <f>SUM(880.47+55.01)</f>
        <v>935.48</v>
      </c>
      <c r="Q115" s="121">
        <f t="shared" si="4"/>
        <v>10447.59</v>
      </c>
      <c r="R115" s="121"/>
      <c r="S115" s="121"/>
      <c r="T115" s="121"/>
    </row>
    <row r="116" spans="1:20" x14ac:dyDescent="0.25">
      <c r="A116" s="119" t="s">
        <v>303</v>
      </c>
      <c r="B116" s="120">
        <v>133</v>
      </c>
      <c r="C116" s="121">
        <v>26301.85</v>
      </c>
      <c r="D116" s="121">
        <v>35250.43</v>
      </c>
      <c r="E116" s="121">
        <v>77443.41</v>
      </c>
      <c r="F116" s="121">
        <v>8839.16</v>
      </c>
      <c r="G116" s="121">
        <v>4958.5200000000004</v>
      </c>
      <c r="H116" s="121">
        <v>1332.33</v>
      </c>
      <c r="I116" s="121">
        <v>539.04</v>
      </c>
      <c r="J116" s="121">
        <v>0</v>
      </c>
      <c r="K116" s="121">
        <f>SUM(3.84+3672.48)</f>
        <v>3676.32</v>
      </c>
      <c r="L116" s="121">
        <v>635.14</v>
      </c>
      <c r="M116" s="121">
        <f t="shared" si="6"/>
        <v>158976.20000000001</v>
      </c>
      <c r="N116" s="121">
        <v>19141.740000000002</v>
      </c>
      <c r="O116" s="121">
        <v>31263.26</v>
      </c>
      <c r="P116" s="121">
        <f>SUM(1995+15498.63)</f>
        <v>17493.629999999997</v>
      </c>
      <c r="Q116" s="121">
        <f t="shared" ref="Q116:Q122" si="7">SUM(M116:P116)</f>
        <v>226874.83000000002</v>
      </c>
      <c r="R116" s="121"/>
      <c r="S116" s="121"/>
      <c r="T116" s="121"/>
    </row>
    <row r="117" spans="1:20" x14ac:dyDescent="0.25">
      <c r="A117" s="119" t="s">
        <v>304</v>
      </c>
      <c r="B117" s="120">
        <v>22</v>
      </c>
      <c r="C117" s="121">
        <v>1822.28</v>
      </c>
      <c r="D117" s="121">
        <v>1612.93</v>
      </c>
      <c r="E117" s="121">
        <v>8991.8700000000008</v>
      </c>
      <c r="F117" s="121">
        <v>1299.49</v>
      </c>
      <c r="G117" s="121">
        <v>341.72</v>
      </c>
      <c r="H117" s="121">
        <v>1494.4</v>
      </c>
      <c r="I117" s="121">
        <v>0</v>
      </c>
      <c r="J117" s="121">
        <v>0</v>
      </c>
      <c r="K117" s="121">
        <f>SUM(993.84+2.21)</f>
        <v>996.05000000000007</v>
      </c>
      <c r="L117" s="121">
        <v>164.29</v>
      </c>
      <c r="M117" s="121">
        <f t="shared" si="6"/>
        <v>16723.030000000002</v>
      </c>
      <c r="N117" s="121">
        <v>2071.13</v>
      </c>
      <c r="O117" s="121">
        <v>3305.01</v>
      </c>
      <c r="P117" s="121">
        <f>SUM(1630.5+330)</f>
        <v>1960.5</v>
      </c>
      <c r="Q117" s="121">
        <f t="shared" si="7"/>
        <v>24059.670000000006</v>
      </c>
      <c r="R117" s="121"/>
      <c r="S117" s="121"/>
      <c r="T117" s="121"/>
    </row>
    <row r="118" spans="1:20" x14ac:dyDescent="0.25">
      <c r="A118" s="119" t="s">
        <v>305</v>
      </c>
      <c r="B118" s="120">
        <v>45</v>
      </c>
      <c r="C118" s="121">
        <v>2952.04</v>
      </c>
      <c r="D118" s="121">
        <v>3228.8</v>
      </c>
      <c r="E118" s="121">
        <v>11953.37</v>
      </c>
      <c r="F118" s="121">
        <v>2226.13</v>
      </c>
      <c r="G118" s="121">
        <v>725.93</v>
      </c>
      <c r="H118" s="121">
        <v>2298.6799999999998</v>
      </c>
      <c r="I118" s="121">
        <v>362.92</v>
      </c>
      <c r="J118" s="121">
        <v>68.31</v>
      </c>
      <c r="K118" s="121">
        <v>0</v>
      </c>
      <c r="L118" s="121">
        <v>0</v>
      </c>
      <c r="M118" s="121">
        <f t="shared" si="6"/>
        <v>23816.18</v>
      </c>
      <c r="N118" s="121">
        <v>3126.08</v>
      </c>
      <c r="O118" s="121">
        <v>4817.66</v>
      </c>
      <c r="P118" s="121">
        <f>SUM(2363.82+675)</f>
        <v>3038.82</v>
      </c>
      <c r="Q118" s="121">
        <f t="shared" si="7"/>
        <v>34798.740000000005</v>
      </c>
      <c r="R118" s="121"/>
      <c r="S118" s="121"/>
      <c r="T118" s="121"/>
    </row>
    <row r="119" spans="1:20" x14ac:dyDescent="0.25">
      <c r="A119" s="119" t="s">
        <v>306</v>
      </c>
      <c r="B119" s="120">
        <v>16</v>
      </c>
      <c r="C119" s="121">
        <v>1333.2</v>
      </c>
      <c r="D119" s="121">
        <v>2052.9299999999998</v>
      </c>
      <c r="E119" s="121">
        <v>5909.94</v>
      </c>
      <c r="F119" s="121">
        <v>873.65</v>
      </c>
      <c r="G119" s="121">
        <v>491.14</v>
      </c>
      <c r="H119" s="121">
        <v>681.76</v>
      </c>
      <c r="I119" s="121">
        <v>0</v>
      </c>
      <c r="J119" s="121">
        <v>655.05999999999995</v>
      </c>
      <c r="K119" s="121">
        <v>1.1299999999999999</v>
      </c>
      <c r="L119" s="121">
        <v>0</v>
      </c>
      <c r="M119" s="121">
        <f t="shared" si="6"/>
        <v>11998.809999999998</v>
      </c>
      <c r="N119" s="121">
        <f>SUM(1121.88+361.57)</f>
        <v>1483.45</v>
      </c>
      <c r="O119" s="121">
        <f>SUM(34+2397.78)</f>
        <v>2431.7800000000002</v>
      </c>
      <c r="P119" s="121">
        <f>SUM(170+1198.89)</f>
        <v>1368.89</v>
      </c>
      <c r="Q119" s="121">
        <f t="shared" si="7"/>
        <v>17282.93</v>
      </c>
      <c r="R119" s="121"/>
      <c r="S119" s="121"/>
      <c r="T119" s="121"/>
    </row>
    <row r="120" spans="1:20" x14ac:dyDescent="0.25">
      <c r="A120" s="119" t="s">
        <v>307</v>
      </c>
      <c r="B120" s="120">
        <v>149</v>
      </c>
      <c r="C120" s="121">
        <v>15328.3</v>
      </c>
      <c r="D120" s="121">
        <v>11587.98</v>
      </c>
      <c r="E120" s="121">
        <v>34984.339999999997</v>
      </c>
      <c r="F120" s="121">
        <v>6533.38</v>
      </c>
      <c r="G120" s="121">
        <v>5025.66</v>
      </c>
      <c r="H120" s="121">
        <v>6659.01</v>
      </c>
      <c r="I120" s="121">
        <v>1759.04</v>
      </c>
      <c r="J120" s="121">
        <v>0</v>
      </c>
      <c r="K120" s="121">
        <v>35.17</v>
      </c>
      <c r="L120" s="121">
        <v>0</v>
      </c>
      <c r="M120" s="121">
        <f t="shared" si="6"/>
        <v>81912.87999999999</v>
      </c>
      <c r="N120" s="121">
        <v>10604.09</v>
      </c>
      <c r="O120" s="121">
        <v>15253.24</v>
      </c>
      <c r="P120" s="121">
        <v>11317.27</v>
      </c>
      <c r="Q120" s="121">
        <f t="shared" si="7"/>
        <v>119087.48</v>
      </c>
      <c r="R120" s="121"/>
      <c r="S120" s="121"/>
      <c r="T120" s="121"/>
    </row>
    <row r="121" spans="1:20" x14ac:dyDescent="0.25">
      <c r="A121" s="122" t="s">
        <v>308</v>
      </c>
      <c r="B121" s="120">
        <v>15</v>
      </c>
      <c r="C121" s="121">
        <v>628.95000000000005</v>
      </c>
      <c r="D121" s="121">
        <v>544.77</v>
      </c>
      <c r="E121" s="121">
        <v>1776.18</v>
      </c>
      <c r="F121" s="121">
        <v>629.61</v>
      </c>
      <c r="G121" s="121">
        <v>281.54000000000002</v>
      </c>
      <c r="H121" s="121">
        <v>665.43</v>
      </c>
      <c r="I121" s="121">
        <v>238.05</v>
      </c>
      <c r="J121" s="121">
        <v>0</v>
      </c>
      <c r="K121" s="121">
        <v>10.79</v>
      </c>
      <c r="L121" s="121">
        <v>0</v>
      </c>
      <c r="M121" s="121">
        <f t="shared" si="6"/>
        <v>4775.3200000000006</v>
      </c>
      <c r="N121" s="121">
        <v>612.72</v>
      </c>
      <c r="O121" s="121">
        <v>955.06</v>
      </c>
      <c r="P121" s="121">
        <v>912.56</v>
      </c>
      <c r="Q121" s="121">
        <f t="shared" si="7"/>
        <v>7255.66</v>
      </c>
      <c r="R121" s="121"/>
      <c r="S121" s="121"/>
      <c r="T121" s="121"/>
    </row>
    <row r="122" spans="1:20" x14ac:dyDescent="0.25">
      <c r="A122" s="114" t="s">
        <v>309</v>
      </c>
      <c r="B122" s="133">
        <v>60</v>
      </c>
      <c r="C122" s="134">
        <v>58.16</v>
      </c>
      <c r="D122" s="134">
        <v>38.799999999999997</v>
      </c>
      <c r="E122" s="134">
        <v>198.79</v>
      </c>
      <c r="F122" s="134">
        <v>38.61</v>
      </c>
      <c r="G122" s="134">
        <v>33.369999999999997</v>
      </c>
      <c r="H122" s="134">
        <v>20.13</v>
      </c>
      <c r="I122" s="134">
        <v>4.29</v>
      </c>
      <c r="J122" s="134">
        <v>0</v>
      </c>
      <c r="K122" s="134">
        <v>0</v>
      </c>
      <c r="L122" s="134">
        <v>0</v>
      </c>
      <c r="M122" s="121">
        <f t="shared" si="6"/>
        <v>392.15000000000003</v>
      </c>
      <c r="N122" s="134">
        <v>51.86</v>
      </c>
      <c r="O122" s="134">
        <v>79.63</v>
      </c>
      <c r="P122" s="134">
        <v>53.82</v>
      </c>
      <c r="Q122" s="121">
        <f t="shared" si="7"/>
        <v>577.46000000000015</v>
      </c>
      <c r="R122" s="121"/>
      <c r="S122" s="121"/>
      <c r="T122" s="121"/>
    </row>
    <row r="123" spans="1:20" ht="15.75" thickBot="1" x14ac:dyDescent="0.3">
      <c r="A123" s="135" t="s">
        <v>310</v>
      </c>
      <c r="B123" s="136">
        <f>SUM(B3:B122)</f>
        <v>8112</v>
      </c>
      <c r="C123" s="137">
        <f t="shared" ref="C123:Q123" si="8">SUM(C3:C122)</f>
        <v>958705.26000000024</v>
      </c>
      <c r="D123" s="137">
        <f t="shared" si="8"/>
        <v>1118632.28</v>
      </c>
      <c r="E123" s="137">
        <f t="shared" si="8"/>
        <v>4601995.2100000028</v>
      </c>
      <c r="F123" s="137">
        <f t="shared" si="8"/>
        <v>444745.93999999983</v>
      </c>
      <c r="G123" s="137">
        <f t="shared" si="8"/>
        <v>241435.28</v>
      </c>
      <c r="H123" s="137">
        <f t="shared" si="8"/>
        <v>180101.43999999997</v>
      </c>
      <c r="I123" s="137">
        <f t="shared" si="8"/>
        <v>30126.83</v>
      </c>
      <c r="J123" s="137">
        <f t="shared" si="8"/>
        <v>92475.31</v>
      </c>
      <c r="K123" s="137">
        <f t="shared" si="8"/>
        <v>431708.86300000001</v>
      </c>
      <c r="L123" s="137">
        <f t="shared" si="8"/>
        <v>182905.55000000008</v>
      </c>
      <c r="M123" s="137">
        <f t="shared" si="8"/>
        <v>8282831.9630000005</v>
      </c>
      <c r="N123" s="137">
        <f t="shared" si="8"/>
        <v>1180090.2299999995</v>
      </c>
      <c r="O123" s="137">
        <f t="shared" si="8"/>
        <v>1951433.5999999999</v>
      </c>
      <c r="P123" s="137">
        <f t="shared" si="8"/>
        <v>1212673.612</v>
      </c>
      <c r="Q123" s="137">
        <f t="shared" si="8"/>
        <v>12627029.404999997</v>
      </c>
    </row>
    <row r="124" spans="1:20" ht="15.75" thickTop="1" x14ac:dyDescent="0.25">
      <c r="K124" s="1" t="s">
        <v>311</v>
      </c>
      <c r="L124" s="138" t="s">
        <v>312</v>
      </c>
    </row>
    <row r="125" spans="1:20" x14ac:dyDescent="0.25">
      <c r="A125" s="139" t="s">
        <v>313</v>
      </c>
      <c r="C125" s="138"/>
      <c r="D125" s="138"/>
      <c r="E125" s="138"/>
      <c r="F125" s="138"/>
      <c r="G125" s="138"/>
      <c r="H125" s="138"/>
      <c r="I125" s="138"/>
      <c r="J125" s="138"/>
      <c r="K125" s="140"/>
      <c r="L125" s="138" t="s">
        <v>314</v>
      </c>
      <c r="M125" s="138"/>
      <c r="N125" s="138"/>
      <c r="O125" s="138"/>
      <c r="P125" s="138"/>
      <c r="Q125" s="138"/>
    </row>
    <row r="126" spans="1:20" x14ac:dyDescent="0.25">
      <c r="A126" s="141"/>
      <c r="C126" s="142"/>
      <c r="D126" s="142"/>
      <c r="E126" s="142"/>
      <c r="F126" s="142"/>
      <c r="G126" s="142"/>
      <c r="H126" s="142"/>
      <c r="I126" s="142"/>
      <c r="J126" s="142"/>
      <c r="K126" s="143"/>
      <c r="L126" s="138" t="s">
        <v>315</v>
      </c>
      <c r="M126" s="142"/>
      <c r="N126" s="142"/>
      <c r="O126" s="142"/>
    </row>
    <row r="127" spans="1:20" x14ac:dyDescent="0.25">
      <c r="A127" s="139" t="s">
        <v>316</v>
      </c>
      <c r="C127" s="142"/>
      <c r="D127" s="142"/>
      <c r="E127" s="142"/>
      <c r="F127" s="142"/>
      <c r="G127" s="142"/>
      <c r="H127" s="142"/>
      <c r="I127" s="142"/>
      <c r="J127" s="142"/>
      <c r="K127" s="144"/>
      <c r="L127" s="138" t="s">
        <v>317</v>
      </c>
      <c r="M127" s="142"/>
      <c r="N127" s="142"/>
      <c r="O127" s="142"/>
    </row>
    <row r="128" spans="1:20" x14ac:dyDescent="0.25">
      <c r="A128" s="145"/>
      <c r="C128" s="142"/>
      <c r="D128" s="142"/>
      <c r="E128" s="142"/>
      <c r="F128" s="142"/>
      <c r="G128" s="142"/>
      <c r="H128" s="142"/>
      <c r="I128" s="142"/>
      <c r="J128" s="142"/>
      <c r="K128" s="142"/>
      <c r="L128" s="138"/>
      <c r="M128" s="142"/>
      <c r="N128" s="142"/>
      <c r="O128" s="142"/>
    </row>
    <row r="129" spans="1:15" x14ac:dyDescent="0.25">
      <c r="A129" s="146" t="s">
        <v>318</v>
      </c>
      <c r="C129" s="142"/>
      <c r="D129" s="142"/>
      <c r="E129" s="142"/>
      <c r="F129" s="142"/>
      <c r="G129" s="147"/>
      <c r="H129" s="147"/>
      <c r="I129" s="147"/>
      <c r="J129" s="147"/>
      <c r="K129" s="147"/>
      <c r="L129" s="147"/>
      <c r="M129" s="147"/>
      <c r="N129" s="147"/>
      <c r="O129" s="147"/>
    </row>
    <row r="130" spans="1:15" x14ac:dyDescent="0.25">
      <c r="A130" s="146" t="s">
        <v>319</v>
      </c>
      <c r="C130" s="142"/>
      <c r="D130" s="142"/>
      <c r="E130" s="142"/>
      <c r="F130" s="142"/>
      <c r="G130" s="147"/>
      <c r="H130" s="147"/>
      <c r="I130" s="147"/>
      <c r="J130" s="147"/>
      <c r="K130" s="147"/>
      <c r="L130" s="147"/>
      <c r="M130" s="147"/>
      <c r="N130" s="147"/>
      <c r="O130" s="147"/>
    </row>
    <row r="131" spans="1:15" x14ac:dyDescent="0.25">
      <c r="A131" s="146" t="s">
        <v>320</v>
      </c>
      <c r="C131" s="142"/>
      <c r="D131" s="142"/>
      <c r="E131" s="142"/>
      <c r="F131" s="142"/>
      <c r="G131" s="147"/>
      <c r="H131" s="147"/>
      <c r="I131" s="147"/>
      <c r="J131" s="147"/>
      <c r="K131" s="147"/>
      <c r="L131" s="147"/>
      <c r="M131" s="147"/>
      <c r="N131" s="147"/>
      <c r="O131" s="147"/>
    </row>
    <row r="132" spans="1:15" x14ac:dyDescent="0.25">
      <c r="A132" s="146" t="s">
        <v>321</v>
      </c>
      <c r="C132" s="142"/>
      <c r="D132" s="142"/>
      <c r="E132" s="142"/>
      <c r="F132" s="142"/>
      <c r="G132" s="147"/>
      <c r="H132" s="147"/>
      <c r="I132" s="147"/>
      <c r="J132" s="147"/>
      <c r="K132" s="147"/>
      <c r="L132" s="147"/>
      <c r="M132" s="147"/>
      <c r="N132" s="147"/>
      <c r="O132" s="147"/>
    </row>
    <row r="133" spans="1:15" x14ac:dyDescent="0.25">
      <c r="A133" s="148"/>
    </row>
    <row r="138" spans="1:15" x14ac:dyDescent="0.25">
      <c r="A138" s="119"/>
    </row>
  </sheetData>
  <sheetProtection algorithmName="SHA-512" hashValue="HZL/nKVE7IAtcf5FfmPBnpvZ1EHzGdjDPRXdJdQhr0Ppk77L3RlRHNYkgxUvuZNLDlvBg2BmqhDH+NRKN4wWZw==" saltValue="qr0s3KFk6JuS0n9y2pAl0A==" spinCount="100000" sheet="1" objects="1" scenarios="1"/>
  <mergeCells count="1">
    <mergeCell ref="A1:Q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33"/>
  <sheetViews>
    <sheetView topLeftCell="F1" workbookViewId="0">
      <pane ySplit="1" topLeftCell="A106" activePane="bottomLeft" state="frozen"/>
      <selection pane="bottomLeft" activeCell="Q129" sqref="Q129"/>
    </sheetView>
  </sheetViews>
  <sheetFormatPr defaultColWidth="9.140625" defaultRowHeight="15" x14ac:dyDescent="0.25"/>
  <cols>
    <col min="1" max="1" width="20.140625" style="13" customWidth="1"/>
    <col min="2" max="2" width="12.140625" style="14" customWidth="1"/>
    <col min="3" max="3" width="14.5703125" style="11" customWidth="1"/>
    <col min="4" max="4" width="12.42578125" style="4" customWidth="1"/>
    <col min="5" max="5" width="13.140625" style="4" customWidth="1"/>
    <col min="6" max="6" width="14.5703125" style="4" customWidth="1"/>
    <col min="7" max="7" width="14.28515625" style="4" customWidth="1"/>
    <col min="8" max="8" width="13.42578125" style="4" customWidth="1"/>
    <col min="9" max="10" width="13.140625" style="4" customWidth="1"/>
    <col min="11" max="11" width="13" style="4" customWidth="1"/>
    <col min="12" max="12" width="13.140625" style="4" customWidth="1"/>
    <col min="13" max="13" width="11.5703125" style="4" customWidth="1"/>
    <col min="14" max="14" width="13.140625" style="4" customWidth="1"/>
    <col min="15" max="15" width="12.5703125" style="4" customWidth="1"/>
    <col min="16" max="16" width="13.5703125" style="4" customWidth="1"/>
    <col min="17" max="17" width="14.140625" style="4" customWidth="1"/>
    <col min="18" max="18" width="15.28515625" style="4" customWidth="1"/>
    <col min="19" max="19" width="14" style="4" customWidth="1"/>
    <col min="20" max="20" width="21.140625" style="3" customWidth="1"/>
    <col min="21" max="30" width="9.140625" style="4"/>
    <col min="31" max="16384" width="9.140625" style="2"/>
  </cols>
  <sheetData>
    <row r="1" spans="1:20" s="19" customFormat="1" ht="12.75" x14ac:dyDescent="0.2">
      <c r="A1" s="16" t="s">
        <v>0</v>
      </c>
      <c r="B1" s="17" t="s">
        <v>139</v>
      </c>
      <c r="C1" s="15" t="s">
        <v>136</v>
      </c>
      <c r="D1" s="17" t="s">
        <v>1</v>
      </c>
      <c r="E1" s="17" t="s">
        <v>2</v>
      </c>
      <c r="F1" s="17" t="s">
        <v>3</v>
      </c>
      <c r="G1" s="17" t="s">
        <v>128</v>
      </c>
      <c r="H1" s="17" t="s">
        <v>129</v>
      </c>
      <c r="I1" s="17" t="s">
        <v>130</v>
      </c>
      <c r="J1" s="17" t="s">
        <v>137</v>
      </c>
      <c r="K1" s="17" t="s">
        <v>132</v>
      </c>
      <c r="L1" s="17" t="s">
        <v>133</v>
      </c>
      <c r="M1" s="17" t="s">
        <v>134</v>
      </c>
      <c r="N1" s="17" t="s">
        <v>131</v>
      </c>
      <c r="O1" s="18" t="s">
        <v>4</v>
      </c>
      <c r="P1" s="18" t="s">
        <v>125</v>
      </c>
      <c r="Q1" s="18" t="s">
        <v>127</v>
      </c>
      <c r="R1" s="18" t="s">
        <v>5</v>
      </c>
      <c r="S1" s="18" t="s">
        <v>126</v>
      </c>
      <c r="T1" s="15" t="s">
        <v>135</v>
      </c>
    </row>
    <row r="2" spans="1:20" s="28" customFormat="1" x14ac:dyDescent="0.25">
      <c r="A2" s="21" t="s">
        <v>6</v>
      </c>
      <c r="B2" s="22">
        <v>43707</v>
      </c>
      <c r="C2" s="29">
        <v>34</v>
      </c>
      <c r="D2" s="24">
        <v>1515.04</v>
      </c>
      <c r="E2" s="24">
        <v>989.01</v>
      </c>
      <c r="F2" s="24">
        <v>5788.58</v>
      </c>
      <c r="G2" s="24">
        <v>658.2</v>
      </c>
      <c r="H2" s="24">
        <v>372.55</v>
      </c>
      <c r="I2" s="24">
        <v>701.8</v>
      </c>
      <c r="J2" s="24">
        <v>0</v>
      </c>
      <c r="K2" s="24">
        <v>3.93</v>
      </c>
      <c r="L2" s="24">
        <v>1214.8399999999999</v>
      </c>
      <c r="M2" s="24">
        <v>223.53</v>
      </c>
      <c r="N2" s="24">
        <v>918.97</v>
      </c>
      <c r="O2" s="24">
        <v>1885.4</v>
      </c>
      <c r="P2" s="24">
        <v>238</v>
      </c>
      <c r="Q2" s="24">
        <v>1976.25</v>
      </c>
      <c r="R2" s="24">
        <v>2691.55</v>
      </c>
      <c r="S2" s="26">
        <v>1921.8</v>
      </c>
      <c r="T2" s="27">
        <f>SUM(D2:S2)</f>
        <v>21099.449999999997</v>
      </c>
    </row>
    <row r="3" spans="1:20" s="7" customFormat="1" x14ac:dyDescent="0.25">
      <c r="A3" s="12" t="s">
        <v>7</v>
      </c>
      <c r="B3" s="20">
        <v>43692</v>
      </c>
      <c r="C3" s="6">
        <v>46</v>
      </c>
      <c r="D3" s="8">
        <v>1809.3</v>
      </c>
      <c r="E3" s="8">
        <v>1408.9</v>
      </c>
      <c r="F3" s="8">
        <v>8438.44</v>
      </c>
      <c r="G3" s="8">
        <v>1260.56</v>
      </c>
      <c r="H3" s="8">
        <v>815.69</v>
      </c>
      <c r="I3" s="8">
        <v>546.79</v>
      </c>
      <c r="J3" s="8">
        <v>0</v>
      </c>
      <c r="K3" s="8">
        <v>690</v>
      </c>
      <c r="L3" s="8">
        <v>5.76</v>
      </c>
      <c r="M3" s="8">
        <v>296.60000000000002</v>
      </c>
      <c r="N3" s="8">
        <v>1379.22</v>
      </c>
      <c r="O3" s="8">
        <v>2490.3200000000002</v>
      </c>
      <c r="P3" s="8">
        <v>276</v>
      </c>
      <c r="Q3" s="8">
        <v>2705.47</v>
      </c>
      <c r="R3" s="8">
        <v>3963.31</v>
      </c>
      <c r="S3" s="9">
        <v>2625.71</v>
      </c>
      <c r="T3" s="10">
        <f>SUM(D3:S3)</f>
        <v>28712.070000000003</v>
      </c>
    </row>
    <row r="4" spans="1:20" s="28" customFormat="1" x14ac:dyDescent="0.25">
      <c r="A4" s="21" t="s">
        <v>8</v>
      </c>
      <c r="B4" s="22">
        <v>43699</v>
      </c>
      <c r="C4" s="29">
        <v>42</v>
      </c>
      <c r="D4" s="24">
        <v>4164.8500000000004</v>
      </c>
      <c r="E4" s="24">
        <v>4403.84</v>
      </c>
      <c r="F4" s="24">
        <v>22053.119999999999</v>
      </c>
      <c r="G4" s="24">
        <v>2799.33</v>
      </c>
      <c r="H4" s="24">
        <v>1024.1400000000001</v>
      </c>
      <c r="I4" s="24">
        <v>470.42</v>
      </c>
      <c r="J4" s="24"/>
      <c r="K4" s="24">
        <v>2028.5</v>
      </c>
      <c r="L4" s="24"/>
      <c r="M4" s="24">
        <v>0</v>
      </c>
      <c r="N4" s="24"/>
      <c r="O4" s="24">
        <v>5415.29</v>
      </c>
      <c r="P4" s="24">
        <v>546</v>
      </c>
      <c r="Q4" s="24">
        <v>5997.07</v>
      </c>
      <c r="R4" s="24">
        <v>8672.2999999999993</v>
      </c>
      <c r="S4" s="26">
        <v>4924.12</v>
      </c>
      <c r="T4" s="27">
        <f>SUM(D4:S4)</f>
        <v>62498.98</v>
      </c>
    </row>
    <row r="5" spans="1:20" s="7" customFormat="1" x14ac:dyDescent="0.25">
      <c r="A5" s="12" t="s">
        <v>9</v>
      </c>
      <c r="B5" s="20">
        <v>43684</v>
      </c>
      <c r="C5" s="6">
        <v>12</v>
      </c>
      <c r="D5" s="8">
        <v>1190.8399999999999</v>
      </c>
      <c r="E5" s="8">
        <v>2332.6999999999998</v>
      </c>
      <c r="F5" s="8">
        <v>5368.53</v>
      </c>
      <c r="G5" s="8">
        <v>0</v>
      </c>
      <c r="H5" s="8">
        <v>292.83</v>
      </c>
      <c r="I5" s="8">
        <v>304.08</v>
      </c>
      <c r="J5" s="8"/>
      <c r="K5" s="8"/>
      <c r="L5" s="8"/>
      <c r="M5" s="8">
        <v>156.18</v>
      </c>
      <c r="N5" s="8">
        <v>683.27</v>
      </c>
      <c r="O5" s="8">
        <v>1336.83</v>
      </c>
      <c r="P5" s="8">
        <v>24</v>
      </c>
      <c r="Q5" s="8"/>
      <c r="R5" s="8">
        <v>2034.49</v>
      </c>
      <c r="S5" s="9">
        <v>1197.25</v>
      </c>
      <c r="T5" s="10">
        <f t="shared" ref="T5:T13" si="0">SUM(D5:S5)</f>
        <v>14921</v>
      </c>
    </row>
    <row r="6" spans="1:20" s="28" customFormat="1" x14ac:dyDescent="0.25">
      <c r="A6" s="21" t="s">
        <v>10</v>
      </c>
      <c r="B6" s="22">
        <v>43733</v>
      </c>
      <c r="C6" s="29">
        <v>132</v>
      </c>
      <c r="D6" s="24">
        <v>11200.51</v>
      </c>
      <c r="E6" s="24">
        <v>15028</v>
      </c>
      <c r="F6" s="24">
        <v>51893.14</v>
      </c>
      <c r="G6" s="24">
        <v>2662.43</v>
      </c>
      <c r="H6" s="24"/>
      <c r="I6" s="24">
        <v>1530.15</v>
      </c>
      <c r="J6" s="24"/>
      <c r="K6" s="24">
        <v>2460.9899999999998</v>
      </c>
      <c r="L6" s="24">
        <v>2928.42</v>
      </c>
      <c r="M6" s="24"/>
      <c r="N6" s="24">
        <v>2143.16</v>
      </c>
      <c r="O6" s="24">
        <v>12734.35</v>
      </c>
      <c r="P6" s="24">
        <v>12667.71</v>
      </c>
      <c r="Q6" s="24"/>
      <c r="R6" s="24">
        <v>20991.3</v>
      </c>
      <c r="S6" s="26">
        <v>12667.71</v>
      </c>
      <c r="T6" s="27">
        <f t="shared" si="0"/>
        <v>148907.86999999997</v>
      </c>
    </row>
    <row r="7" spans="1:20" s="7" customFormat="1" x14ac:dyDescent="0.25">
      <c r="A7" s="12" t="s">
        <v>11</v>
      </c>
      <c r="B7" s="20">
        <v>43668</v>
      </c>
      <c r="C7" s="6">
        <v>44</v>
      </c>
      <c r="D7" s="8">
        <v>1691</v>
      </c>
      <c r="E7" s="8">
        <v>1496.97</v>
      </c>
      <c r="F7" s="8">
        <v>7219.69</v>
      </c>
      <c r="G7" s="8">
        <v>1369.96</v>
      </c>
      <c r="H7" s="8">
        <v>1247.47</v>
      </c>
      <c r="I7" s="8">
        <v>1072.8800000000001</v>
      </c>
      <c r="J7" s="8">
        <v>0</v>
      </c>
      <c r="K7" s="8">
        <v>999.21</v>
      </c>
      <c r="L7" s="8"/>
      <c r="M7" s="8">
        <v>289.35000000000002</v>
      </c>
      <c r="N7" s="8">
        <v>1471.46</v>
      </c>
      <c r="O7" s="8">
        <v>2147.17</v>
      </c>
      <c r="P7" s="8">
        <v>0</v>
      </c>
      <c r="Q7" s="8">
        <v>0</v>
      </c>
      <c r="R7" s="8">
        <v>3447.58</v>
      </c>
      <c r="S7" s="9">
        <v>2250.84</v>
      </c>
      <c r="T7" s="10">
        <f t="shared" si="0"/>
        <v>24703.579999999998</v>
      </c>
    </row>
    <row r="8" spans="1:20" s="7" customFormat="1" x14ac:dyDescent="0.25">
      <c r="A8" s="12" t="s">
        <v>12</v>
      </c>
      <c r="B8" s="20">
        <v>43684</v>
      </c>
      <c r="C8" s="6">
        <v>56</v>
      </c>
      <c r="D8" s="8">
        <v>5619.69</v>
      </c>
      <c r="E8" s="8">
        <v>6078.19</v>
      </c>
      <c r="F8" s="8">
        <v>25450.48</v>
      </c>
      <c r="G8" s="8">
        <v>4145.0600000000004</v>
      </c>
      <c r="H8" s="8">
        <v>2532.75</v>
      </c>
      <c r="I8" s="8">
        <v>2299.75</v>
      </c>
      <c r="J8" s="8"/>
      <c r="K8" s="8"/>
      <c r="L8" s="8">
        <v>1750.38</v>
      </c>
      <c r="M8" s="8"/>
      <c r="N8" s="8"/>
      <c r="O8" s="8">
        <v>7181.88</v>
      </c>
      <c r="P8" s="8">
        <v>624.28</v>
      </c>
      <c r="Q8" s="8">
        <v>7936.16</v>
      </c>
      <c r="R8" s="8">
        <v>11474.47</v>
      </c>
      <c r="S8" s="9">
        <v>6521.28</v>
      </c>
      <c r="T8" s="10">
        <f t="shared" si="0"/>
        <v>81614.37</v>
      </c>
    </row>
    <row r="9" spans="1:20" s="28" customFormat="1" x14ac:dyDescent="0.25">
      <c r="A9" s="21" t="s">
        <v>13</v>
      </c>
      <c r="B9" s="22">
        <v>43704</v>
      </c>
      <c r="C9" s="29">
        <v>100</v>
      </c>
      <c r="D9" s="24">
        <v>18872.68</v>
      </c>
      <c r="E9" s="24">
        <v>16088.2</v>
      </c>
      <c r="F9" s="24">
        <v>108506.6</v>
      </c>
      <c r="G9" s="24">
        <v>8044.08</v>
      </c>
      <c r="H9" s="24">
        <v>2939.2</v>
      </c>
      <c r="I9" s="24">
        <v>2784.5</v>
      </c>
      <c r="J9" s="24">
        <v>0</v>
      </c>
      <c r="K9" s="24">
        <v>16364.17</v>
      </c>
      <c r="L9" s="24">
        <v>0</v>
      </c>
      <c r="M9" s="24">
        <v>0</v>
      </c>
      <c r="N9" s="24">
        <v>0</v>
      </c>
      <c r="O9" s="24">
        <v>24440</v>
      </c>
      <c r="P9" s="24"/>
      <c r="Q9" s="24">
        <v>28105</v>
      </c>
      <c r="R9" s="24">
        <v>41146.51</v>
      </c>
      <c r="S9" s="26">
        <v>21667.040000000001</v>
      </c>
      <c r="T9" s="27">
        <f t="shared" si="0"/>
        <v>288957.98</v>
      </c>
    </row>
    <row r="10" spans="1:20" s="28" customFormat="1" x14ac:dyDescent="0.25">
      <c r="A10" s="21" t="s">
        <v>14</v>
      </c>
      <c r="B10" s="22">
        <v>43662</v>
      </c>
      <c r="C10" s="29">
        <v>38</v>
      </c>
      <c r="D10" s="24">
        <v>5140.24</v>
      </c>
      <c r="E10" s="24">
        <v>5976.24</v>
      </c>
      <c r="F10" s="24">
        <v>21605.200000000001</v>
      </c>
      <c r="G10" s="24">
        <v>4129.0200000000004</v>
      </c>
      <c r="H10" s="24">
        <v>1938.1</v>
      </c>
      <c r="I10" s="24">
        <v>1252.6300000000001</v>
      </c>
      <c r="J10" s="24">
        <v>0</v>
      </c>
      <c r="K10" s="24">
        <v>0</v>
      </c>
      <c r="L10" s="24">
        <v>0</v>
      </c>
      <c r="M10" s="24">
        <v>294.95</v>
      </c>
      <c r="N10" s="24">
        <v>0</v>
      </c>
      <c r="O10" s="24">
        <v>4920.26</v>
      </c>
      <c r="P10" s="24">
        <v>0</v>
      </c>
      <c r="Q10" s="24">
        <v>0</v>
      </c>
      <c r="R10" s="24">
        <v>7976.09</v>
      </c>
      <c r="S10" s="26">
        <v>4520.05</v>
      </c>
      <c r="T10" s="27">
        <f t="shared" si="0"/>
        <v>57752.78</v>
      </c>
    </row>
    <row r="11" spans="1:20" s="28" customFormat="1" x14ac:dyDescent="0.25">
      <c r="A11" s="21" t="s">
        <v>15</v>
      </c>
      <c r="B11" s="22">
        <v>43693</v>
      </c>
      <c r="C11" s="29">
        <v>176</v>
      </c>
      <c r="D11" s="24">
        <v>16720.54</v>
      </c>
      <c r="E11" s="24">
        <v>24839.52</v>
      </c>
      <c r="F11" s="24">
        <v>49559.71</v>
      </c>
      <c r="G11" s="24">
        <v>16981.54</v>
      </c>
      <c r="H11" s="24">
        <v>8238.74</v>
      </c>
      <c r="I11" s="24">
        <v>5408.37</v>
      </c>
      <c r="J11" s="24">
        <v>0</v>
      </c>
      <c r="K11" s="24">
        <v>6714.23</v>
      </c>
      <c r="L11" s="24">
        <v>7.58</v>
      </c>
      <c r="M11" s="24">
        <v>530.91</v>
      </c>
      <c r="N11" s="24">
        <v>12358.54</v>
      </c>
      <c r="O11" s="24">
        <v>19585.03</v>
      </c>
      <c r="P11" s="24">
        <v>3822</v>
      </c>
      <c r="Q11" s="24">
        <v>23051.49</v>
      </c>
      <c r="R11" s="24">
        <v>30550.37</v>
      </c>
      <c r="S11" s="26">
        <v>2103.75</v>
      </c>
      <c r="T11" s="27">
        <f t="shared" si="0"/>
        <v>220472.31999999998</v>
      </c>
    </row>
    <row r="12" spans="1:20" s="28" customFormat="1" x14ac:dyDescent="0.25">
      <c r="A12" s="21" t="s">
        <v>16</v>
      </c>
      <c r="B12" s="22">
        <v>43692</v>
      </c>
      <c r="C12" s="29">
        <v>133</v>
      </c>
      <c r="D12" s="24">
        <v>3131.12</v>
      </c>
      <c r="E12" s="24">
        <v>1605.74</v>
      </c>
      <c r="F12" s="24">
        <v>9806.07</v>
      </c>
      <c r="G12" s="24">
        <v>1851.2</v>
      </c>
      <c r="H12" s="24">
        <v>878.39</v>
      </c>
      <c r="I12" s="24">
        <v>1489.71</v>
      </c>
      <c r="J12" s="24">
        <v>0</v>
      </c>
      <c r="K12" s="24">
        <v>795.9</v>
      </c>
      <c r="L12" s="24">
        <v>0.16</v>
      </c>
      <c r="M12" s="24">
        <v>230.17</v>
      </c>
      <c r="N12" s="24">
        <v>1235.56</v>
      </c>
      <c r="O12" s="24">
        <v>3088.28</v>
      </c>
      <c r="P12" s="24">
        <v>1596</v>
      </c>
      <c r="Q12" s="24">
        <v>3413.06</v>
      </c>
      <c r="R12" s="24">
        <v>4887.49</v>
      </c>
      <c r="S12" s="26">
        <v>4438.7700000000004</v>
      </c>
      <c r="T12" s="27">
        <f t="shared" si="0"/>
        <v>38447.619999999995</v>
      </c>
    </row>
    <row r="13" spans="1:20" s="28" customFormat="1" x14ac:dyDescent="0.25">
      <c r="A13" s="21" t="s">
        <v>17</v>
      </c>
      <c r="B13" s="22">
        <v>43712</v>
      </c>
      <c r="C13" s="29">
        <v>17</v>
      </c>
      <c r="D13" s="24">
        <v>886.21</v>
      </c>
      <c r="E13" s="24">
        <v>2832.96</v>
      </c>
      <c r="F13" s="24">
        <v>3214.96</v>
      </c>
      <c r="G13" s="24">
        <v>668.29</v>
      </c>
      <c r="H13" s="24">
        <v>530.29</v>
      </c>
      <c r="I13" s="24">
        <v>453.29</v>
      </c>
      <c r="J13" s="24">
        <v>0</v>
      </c>
      <c r="K13" s="24">
        <v>0</v>
      </c>
      <c r="L13" s="24">
        <v>31.5</v>
      </c>
      <c r="M13" s="24">
        <v>170.72</v>
      </c>
      <c r="N13" s="24">
        <v>690.1</v>
      </c>
      <c r="O13" s="24">
        <v>1406.07</v>
      </c>
      <c r="P13" s="24">
        <v>15</v>
      </c>
      <c r="Q13" s="24">
        <v>1618.74</v>
      </c>
      <c r="R13" s="24">
        <v>2172.84</v>
      </c>
      <c r="S13" s="26">
        <v>1341.43</v>
      </c>
      <c r="T13" s="42">
        <f t="shared" si="0"/>
        <v>16032.4</v>
      </c>
    </row>
    <row r="14" spans="1:20" s="28" customFormat="1" x14ac:dyDescent="0.25">
      <c r="A14" s="21" t="s">
        <v>18</v>
      </c>
      <c r="B14" s="22">
        <v>43748</v>
      </c>
      <c r="C14" s="29">
        <v>10</v>
      </c>
      <c r="D14" s="24">
        <v>92.72</v>
      </c>
      <c r="E14" s="24">
        <v>116.29</v>
      </c>
      <c r="F14" s="24">
        <v>476.51</v>
      </c>
      <c r="G14" s="24">
        <v>116.29</v>
      </c>
      <c r="H14" s="24">
        <v>60.8</v>
      </c>
      <c r="I14" s="24">
        <v>114.75</v>
      </c>
      <c r="J14" s="24">
        <v>0</v>
      </c>
      <c r="K14" s="24">
        <v>0.5</v>
      </c>
      <c r="L14" s="24"/>
      <c r="M14" s="24">
        <v>19.010000000000002</v>
      </c>
      <c r="N14" s="24">
        <v>0</v>
      </c>
      <c r="O14" s="24">
        <v>149.68</v>
      </c>
      <c r="P14" s="24">
        <v>50</v>
      </c>
      <c r="Q14" s="24">
        <v>186.93</v>
      </c>
      <c r="R14" s="24">
        <v>236.76</v>
      </c>
      <c r="S14" s="26">
        <v>268.36</v>
      </c>
      <c r="T14" s="27">
        <f t="shared" ref="T14:T20" si="1">SUM(D14:S14)</f>
        <v>1888.6</v>
      </c>
    </row>
    <row r="15" spans="1:20" s="7" customFormat="1" x14ac:dyDescent="0.25">
      <c r="A15" s="12" t="s">
        <v>19</v>
      </c>
      <c r="B15" s="20">
        <v>43703</v>
      </c>
      <c r="C15" s="6">
        <v>37</v>
      </c>
      <c r="D15" s="8">
        <v>1791.12</v>
      </c>
      <c r="E15" s="8">
        <v>1850.19</v>
      </c>
      <c r="F15" s="8">
        <v>8001.52</v>
      </c>
      <c r="G15" s="8">
        <v>1262.5899999999999</v>
      </c>
      <c r="H15" s="8">
        <v>455.14</v>
      </c>
      <c r="I15" s="8">
        <v>616.61</v>
      </c>
      <c r="J15" s="8"/>
      <c r="K15" s="8">
        <v>1627.85</v>
      </c>
      <c r="L15" s="8"/>
      <c r="M15" s="8">
        <v>146.87</v>
      </c>
      <c r="N15" s="8"/>
      <c r="O15" s="8">
        <v>2079.85</v>
      </c>
      <c r="P15" s="8"/>
      <c r="Q15" s="8"/>
      <c r="R15" s="8">
        <v>3187.4</v>
      </c>
      <c r="S15" s="9">
        <v>2370.6999999999998</v>
      </c>
      <c r="T15" s="10">
        <f t="shared" si="1"/>
        <v>23389.840000000004</v>
      </c>
    </row>
    <row r="16" spans="1:20" s="28" customFormat="1" x14ac:dyDescent="0.25">
      <c r="A16" s="21" t="s">
        <v>20</v>
      </c>
      <c r="B16" s="22">
        <v>43692</v>
      </c>
      <c r="C16" s="29">
        <v>101</v>
      </c>
      <c r="D16" s="24">
        <v>15464.35</v>
      </c>
      <c r="E16" s="24">
        <v>12168.65</v>
      </c>
      <c r="F16" s="24">
        <v>92786.25</v>
      </c>
      <c r="G16" s="24">
        <v>8619.4599999999991</v>
      </c>
      <c r="H16" s="24">
        <v>3042.2</v>
      </c>
      <c r="I16" s="24">
        <v>1254.9000000000001</v>
      </c>
      <c r="J16" s="24"/>
      <c r="K16" s="24">
        <v>12973.09</v>
      </c>
      <c r="L16" s="24"/>
      <c r="M16" s="24"/>
      <c r="N16" s="24"/>
      <c r="O16" s="24">
        <v>20459.47</v>
      </c>
      <c r="P16" s="24">
        <v>1313</v>
      </c>
      <c r="Q16" s="24">
        <v>23700.83</v>
      </c>
      <c r="R16" s="24">
        <v>34203.980000000003</v>
      </c>
      <c r="S16" s="26">
        <v>18515.96</v>
      </c>
      <c r="T16" s="27">
        <f t="shared" si="1"/>
        <v>244502.14</v>
      </c>
    </row>
    <row r="17" spans="1:21" s="28" customFormat="1" x14ac:dyDescent="0.25">
      <c r="A17" s="21" t="s">
        <v>21</v>
      </c>
      <c r="B17" s="22">
        <v>43693</v>
      </c>
      <c r="C17" s="29">
        <v>40</v>
      </c>
      <c r="D17" s="24">
        <v>1887.43</v>
      </c>
      <c r="E17" s="24">
        <v>1237.6500000000001</v>
      </c>
      <c r="F17" s="24">
        <v>6559.53</v>
      </c>
      <c r="G17" s="24">
        <v>1067.52</v>
      </c>
      <c r="H17" s="24">
        <v>348.14</v>
      </c>
      <c r="I17" s="24">
        <v>1104.92</v>
      </c>
      <c r="J17" s="24">
        <v>0</v>
      </c>
      <c r="K17" s="24">
        <v>1133.69</v>
      </c>
      <c r="L17" s="24">
        <v>94.02</v>
      </c>
      <c r="M17" s="24">
        <v>0</v>
      </c>
      <c r="N17" s="24">
        <v>1376.93</v>
      </c>
      <c r="O17" s="24">
        <v>1977.75</v>
      </c>
      <c r="P17" s="24">
        <v>800</v>
      </c>
      <c r="Q17" s="24"/>
      <c r="R17" s="24">
        <v>3041.99</v>
      </c>
      <c r="S17" s="26">
        <v>1881</v>
      </c>
      <c r="T17" s="27">
        <f t="shared" si="1"/>
        <v>22510.57</v>
      </c>
    </row>
    <row r="18" spans="1:21" s="28" customFormat="1" x14ac:dyDescent="0.25">
      <c r="A18" s="21" t="s">
        <v>22</v>
      </c>
      <c r="B18" s="22">
        <v>43720</v>
      </c>
      <c r="C18" s="29">
        <v>25</v>
      </c>
      <c r="D18" s="24">
        <v>2739.99</v>
      </c>
      <c r="E18" s="24">
        <v>2268.37</v>
      </c>
      <c r="F18" s="24">
        <v>10016.68</v>
      </c>
      <c r="G18" s="24">
        <v>1280.1400000000001</v>
      </c>
      <c r="H18" s="24">
        <v>1122.94</v>
      </c>
      <c r="I18" s="24">
        <v>994.71</v>
      </c>
      <c r="J18" s="24">
        <v>0</v>
      </c>
      <c r="K18" s="24">
        <v>0</v>
      </c>
      <c r="L18" s="24">
        <v>69.55</v>
      </c>
      <c r="M18" s="24">
        <v>0</v>
      </c>
      <c r="N18" s="24">
        <v>0</v>
      </c>
      <c r="O18" s="24">
        <v>2760.95</v>
      </c>
      <c r="P18" s="24">
        <v>200</v>
      </c>
      <c r="Q18" s="24">
        <v>3235.38</v>
      </c>
      <c r="R18" s="24">
        <v>4345.54</v>
      </c>
      <c r="S18" s="26">
        <v>2422.7800000000002</v>
      </c>
      <c r="T18" s="27">
        <f t="shared" si="1"/>
        <v>31457.03</v>
      </c>
    </row>
    <row r="19" spans="1:21" s="28" customFormat="1" x14ac:dyDescent="0.25">
      <c r="A19" s="21" t="s">
        <v>23</v>
      </c>
      <c r="B19" s="22">
        <v>43697</v>
      </c>
      <c r="C19" s="29">
        <v>63</v>
      </c>
      <c r="D19" s="24">
        <v>5495.26</v>
      </c>
      <c r="E19" s="24">
        <v>5900.64</v>
      </c>
      <c r="F19" s="24">
        <v>13567.82</v>
      </c>
      <c r="G19" s="24">
        <v>2612.48</v>
      </c>
      <c r="H19" s="24">
        <v>1261.19</v>
      </c>
      <c r="I19" s="24">
        <v>729.68</v>
      </c>
      <c r="J19" s="24">
        <v>0</v>
      </c>
      <c r="K19" s="24">
        <v>1876.12</v>
      </c>
      <c r="L19" s="24">
        <v>0</v>
      </c>
      <c r="M19" s="24">
        <v>225.26</v>
      </c>
      <c r="N19" s="24">
        <v>0</v>
      </c>
      <c r="O19" s="24">
        <v>4710.46</v>
      </c>
      <c r="P19" s="24">
        <v>630</v>
      </c>
      <c r="Q19" s="24">
        <v>5144.1499999999996</v>
      </c>
      <c r="R19" s="24">
        <v>7488.54</v>
      </c>
      <c r="S19" s="26">
        <v>4311.2700000000004</v>
      </c>
      <c r="T19" s="27">
        <f t="shared" si="1"/>
        <v>53952.869999999995</v>
      </c>
    </row>
    <row r="20" spans="1:21" s="7" customFormat="1" x14ac:dyDescent="0.25">
      <c r="A20" s="12" t="s">
        <v>24</v>
      </c>
      <c r="B20" s="20">
        <v>43684</v>
      </c>
      <c r="C20" s="6">
        <v>134</v>
      </c>
      <c r="D20" s="8">
        <v>17177.53</v>
      </c>
      <c r="E20" s="8">
        <v>24076.79</v>
      </c>
      <c r="F20" s="8">
        <v>70352.070000000007</v>
      </c>
      <c r="G20" s="8">
        <v>10560</v>
      </c>
      <c r="H20" s="8">
        <v>3379.26</v>
      </c>
      <c r="I20" s="8">
        <v>3942.44</v>
      </c>
      <c r="J20" s="8"/>
      <c r="K20" s="8">
        <v>11911</v>
      </c>
      <c r="L20" s="8"/>
      <c r="M20" s="8">
        <v>394.25</v>
      </c>
      <c r="N20" s="8"/>
      <c r="O20" s="8">
        <v>19672.2</v>
      </c>
      <c r="P20" s="8">
        <v>4020</v>
      </c>
      <c r="Q20" s="8">
        <v>22961.63</v>
      </c>
      <c r="R20" s="8">
        <v>33218.97</v>
      </c>
      <c r="S20" s="9">
        <v>18485.490000000002</v>
      </c>
      <c r="T20" s="10">
        <f t="shared" si="1"/>
        <v>240151.63000000003</v>
      </c>
    </row>
    <row r="21" spans="1:21" s="7" customFormat="1" x14ac:dyDescent="0.25">
      <c r="A21" s="12" t="s">
        <v>25</v>
      </c>
      <c r="B21" s="20">
        <v>43685</v>
      </c>
      <c r="C21" s="6">
        <v>0</v>
      </c>
      <c r="D21" s="8">
        <v>0</v>
      </c>
      <c r="E21" s="8">
        <v>0</v>
      </c>
      <c r="F21" s="8">
        <v>0</v>
      </c>
      <c r="G21" s="8">
        <v>0</v>
      </c>
      <c r="H21" s="8">
        <v>0</v>
      </c>
      <c r="I21" s="8">
        <v>0</v>
      </c>
      <c r="J21" s="8">
        <v>0</v>
      </c>
      <c r="K21" s="8">
        <v>0</v>
      </c>
      <c r="L21" s="8">
        <v>0</v>
      </c>
      <c r="M21" s="8">
        <v>0</v>
      </c>
      <c r="N21" s="8">
        <v>0</v>
      </c>
      <c r="O21" s="8">
        <v>0</v>
      </c>
      <c r="P21" s="8">
        <v>0</v>
      </c>
      <c r="Q21" s="8">
        <v>0</v>
      </c>
      <c r="R21" s="8">
        <v>0</v>
      </c>
      <c r="S21" s="9">
        <v>0</v>
      </c>
      <c r="T21" s="6">
        <v>0</v>
      </c>
      <c r="U21" s="9"/>
    </row>
    <row r="22" spans="1:21" s="7" customFormat="1" x14ac:dyDescent="0.25">
      <c r="A22" s="12" t="s">
        <v>26</v>
      </c>
      <c r="B22" s="20">
        <v>43661</v>
      </c>
      <c r="C22" s="6">
        <v>18</v>
      </c>
      <c r="D22" s="8">
        <v>4644.91</v>
      </c>
      <c r="E22" s="8">
        <v>1218.3399999999999</v>
      </c>
      <c r="F22" s="8">
        <v>22196.560000000001</v>
      </c>
      <c r="G22" s="8">
        <v>4264.18</v>
      </c>
      <c r="H22" s="8">
        <v>2055.9499999999998</v>
      </c>
      <c r="I22" s="8">
        <v>1894.91</v>
      </c>
      <c r="J22" s="8">
        <v>0</v>
      </c>
      <c r="K22" s="8">
        <v>2193</v>
      </c>
      <c r="L22" s="8">
        <v>2374.56</v>
      </c>
      <c r="M22" s="8">
        <v>0</v>
      </c>
      <c r="N22" s="8">
        <v>0</v>
      </c>
      <c r="O22" s="8">
        <v>6018.42</v>
      </c>
      <c r="P22" s="8">
        <v>270</v>
      </c>
      <c r="Q22" s="8">
        <v>6122.03</v>
      </c>
      <c r="R22" s="8">
        <v>9392.91</v>
      </c>
      <c r="S22" s="9">
        <v>4966.4399999999996</v>
      </c>
      <c r="T22" s="10">
        <f t="shared" ref="T22:T27" si="2">SUM(D22:S22)</f>
        <v>67612.210000000006</v>
      </c>
    </row>
    <row r="23" spans="1:21" s="39" customFormat="1" x14ac:dyDescent="0.25">
      <c r="A23" s="21" t="s">
        <v>27</v>
      </c>
      <c r="B23" s="22">
        <v>43704</v>
      </c>
      <c r="C23" s="29">
        <v>80</v>
      </c>
      <c r="D23" s="24">
        <v>6096.58</v>
      </c>
      <c r="E23" s="24">
        <v>4307.96</v>
      </c>
      <c r="F23" s="24">
        <v>24036.42</v>
      </c>
      <c r="G23" s="24">
        <v>0</v>
      </c>
      <c r="H23" s="24">
        <v>2998.3</v>
      </c>
      <c r="I23" s="24">
        <v>2408.17</v>
      </c>
      <c r="J23" s="24"/>
      <c r="K23" s="24">
        <v>50.84</v>
      </c>
      <c r="L23" s="24"/>
      <c r="M23" s="24"/>
      <c r="N23" s="24">
        <v>4797.24</v>
      </c>
      <c r="O23" s="24">
        <v>5879</v>
      </c>
      <c r="P23" s="24">
        <v>160</v>
      </c>
      <c r="Q23" s="24"/>
      <c r="R23" s="24">
        <v>8827.11</v>
      </c>
      <c r="S23" s="26">
        <v>5613.58</v>
      </c>
      <c r="T23" s="27">
        <f t="shared" si="2"/>
        <v>65175.199999999997</v>
      </c>
    </row>
    <row r="24" spans="1:21" s="28" customFormat="1" x14ac:dyDescent="0.25">
      <c r="A24" s="21" t="s">
        <v>28</v>
      </c>
      <c r="B24" s="22">
        <v>43690</v>
      </c>
      <c r="C24" s="29">
        <v>28</v>
      </c>
      <c r="D24" s="24">
        <v>2323.1999999999998</v>
      </c>
      <c r="E24" s="24">
        <v>1275.8699999999999</v>
      </c>
      <c r="F24" s="24">
        <v>9273.74</v>
      </c>
      <c r="G24" s="24">
        <v>1809.07</v>
      </c>
      <c r="H24" s="24">
        <v>818.83</v>
      </c>
      <c r="I24" s="24">
        <v>364.49</v>
      </c>
      <c r="J24" s="24">
        <v>1015.53</v>
      </c>
      <c r="K24" s="24">
        <v>10</v>
      </c>
      <c r="L24" s="24"/>
      <c r="M24" s="24">
        <v>476.09</v>
      </c>
      <c r="N24" s="24">
        <v>1142.56</v>
      </c>
      <c r="O24" s="24">
        <v>2493.27</v>
      </c>
      <c r="P24" s="24">
        <v>289.11</v>
      </c>
      <c r="Q24" s="24"/>
      <c r="R24" s="24">
        <v>3791.46</v>
      </c>
      <c r="S24" s="26">
        <v>2150.3000000000002</v>
      </c>
      <c r="T24" s="27">
        <f t="shared" si="2"/>
        <v>27233.52</v>
      </c>
    </row>
    <row r="25" spans="1:21" s="28" customFormat="1" x14ac:dyDescent="0.25">
      <c r="A25" s="21" t="s">
        <v>29</v>
      </c>
      <c r="B25" s="22">
        <v>43697</v>
      </c>
      <c r="C25" s="29">
        <v>94</v>
      </c>
      <c r="D25" s="24">
        <v>10439.799999999999</v>
      </c>
      <c r="E25" s="24">
        <v>16001.96</v>
      </c>
      <c r="F25" s="24">
        <v>36624.82</v>
      </c>
      <c r="G25" s="24"/>
      <c r="H25" s="24">
        <v>2738.38</v>
      </c>
      <c r="I25" s="24">
        <v>2053.73</v>
      </c>
      <c r="J25" s="24">
        <v>0</v>
      </c>
      <c r="K25" s="24">
        <v>2307.4499999999998</v>
      </c>
      <c r="L25" s="24">
        <v>480.61</v>
      </c>
      <c r="M25" s="24">
        <v>342.32</v>
      </c>
      <c r="N25" s="24"/>
      <c r="O25" s="24">
        <v>9115.0400000000009</v>
      </c>
      <c r="P25" s="24"/>
      <c r="Q25" s="24"/>
      <c r="R25" s="24">
        <v>14420.74</v>
      </c>
      <c r="S25" s="26">
        <v>8621.2900000000009</v>
      </c>
      <c r="T25" s="27">
        <f t="shared" si="2"/>
        <v>103146.14000000001</v>
      </c>
    </row>
    <row r="26" spans="1:21" s="7" customFormat="1" x14ac:dyDescent="0.25">
      <c r="A26" s="12" t="s">
        <v>30</v>
      </c>
      <c r="B26" s="20">
        <v>43685</v>
      </c>
      <c r="C26" s="6">
        <v>61</v>
      </c>
      <c r="D26" s="8">
        <v>10213.17</v>
      </c>
      <c r="E26" s="8">
        <v>7618.01</v>
      </c>
      <c r="F26" s="8">
        <v>52070.41</v>
      </c>
      <c r="G26" s="8">
        <v>5357.74</v>
      </c>
      <c r="H26" s="8">
        <v>3850.85</v>
      </c>
      <c r="I26" s="8">
        <v>2696.27</v>
      </c>
      <c r="J26" s="8">
        <v>0</v>
      </c>
      <c r="K26" s="8">
        <v>0</v>
      </c>
      <c r="L26" s="8">
        <v>0</v>
      </c>
      <c r="M26" s="8">
        <v>0</v>
      </c>
      <c r="N26" s="8">
        <v>0</v>
      </c>
      <c r="O26" s="8">
        <v>11684.08</v>
      </c>
      <c r="P26" s="8">
        <v>610</v>
      </c>
      <c r="Q26" s="8">
        <v>13265.48</v>
      </c>
      <c r="R26" s="8">
        <v>19146.43</v>
      </c>
      <c r="S26" s="9">
        <v>10427.200000000001</v>
      </c>
      <c r="T26" s="10">
        <f t="shared" si="2"/>
        <v>136939.64000000001</v>
      </c>
    </row>
    <row r="27" spans="1:21" s="28" customFormat="1" x14ac:dyDescent="0.25">
      <c r="A27" s="21" t="s">
        <v>31</v>
      </c>
      <c r="B27" s="22">
        <v>43732</v>
      </c>
      <c r="C27" s="29">
        <v>36</v>
      </c>
      <c r="D27" s="24">
        <v>2304.33</v>
      </c>
      <c r="E27" s="24">
        <v>2450.41</v>
      </c>
      <c r="F27" s="24">
        <v>12390.46</v>
      </c>
      <c r="G27" s="24">
        <v>2077.6799999999998</v>
      </c>
      <c r="H27" s="24">
        <v>1322.16</v>
      </c>
      <c r="I27" s="24">
        <v>1378.81</v>
      </c>
      <c r="J27" s="24">
        <v>0</v>
      </c>
      <c r="K27" s="24">
        <v>21.86</v>
      </c>
      <c r="L27" s="24">
        <v>82</v>
      </c>
      <c r="M27" s="24">
        <v>283.37</v>
      </c>
      <c r="N27" s="24">
        <v>0</v>
      </c>
      <c r="O27" s="24">
        <v>2879.41</v>
      </c>
      <c r="P27" s="24"/>
      <c r="Q27" s="24"/>
      <c r="R27" s="24">
        <v>4314.6400000000003</v>
      </c>
      <c r="S27" s="26">
        <v>2772.33</v>
      </c>
      <c r="T27" s="27">
        <f t="shared" si="2"/>
        <v>32277.46</v>
      </c>
    </row>
    <row r="28" spans="1:21" s="28" customFormat="1" x14ac:dyDescent="0.25">
      <c r="A28" s="21" t="s">
        <v>32</v>
      </c>
      <c r="B28" s="22">
        <v>43718</v>
      </c>
      <c r="C28" s="29">
        <v>18</v>
      </c>
      <c r="D28" s="24">
        <v>1698.84</v>
      </c>
      <c r="E28" s="24">
        <v>905.13</v>
      </c>
      <c r="F28" s="24">
        <v>5321.92</v>
      </c>
      <c r="G28" s="24">
        <v>640.54</v>
      </c>
      <c r="H28" s="24">
        <v>487.39</v>
      </c>
      <c r="I28" s="24">
        <v>1129.45</v>
      </c>
      <c r="J28" s="24"/>
      <c r="K28" s="24"/>
      <c r="L28" s="24">
        <v>3.94</v>
      </c>
      <c r="M28" s="24">
        <v>253.42</v>
      </c>
      <c r="N28" s="24">
        <v>0</v>
      </c>
      <c r="O28" s="24">
        <v>1776.07</v>
      </c>
      <c r="P28" s="24">
        <v>108</v>
      </c>
      <c r="Q28" s="24">
        <v>2005.79</v>
      </c>
      <c r="R28" s="24">
        <v>2689.34</v>
      </c>
      <c r="S28" s="26">
        <v>1650.7</v>
      </c>
      <c r="T28" s="27">
        <f t="shared" ref="T28:T38" si="3">SUM(D28:S28)</f>
        <v>18670.530000000002</v>
      </c>
    </row>
    <row r="29" spans="1:21" s="28" customFormat="1" x14ac:dyDescent="0.25">
      <c r="A29" s="21" t="s">
        <v>33</v>
      </c>
      <c r="B29" s="22">
        <v>43703</v>
      </c>
      <c r="C29" s="29">
        <v>19</v>
      </c>
      <c r="D29" s="24">
        <v>1593.65</v>
      </c>
      <c r="E29" s="24">
        <v>1541.36</v>
      </c>
      <c r="F29" s="24">
        <v>6361.47</v>
      </c>
      <c r="G29" s="24">
        <v>653.13</v>
      </c>
      <c r="H29" s="24">
        <v>391.88</v>
      </c>
      <c r="I29" s="24">
        <v>487.24</v>
      </c>
      <c r="J29" s="24"/>
      <c r="K29" s="24"/>
      <c r="L29" s="24">
        <v>5.16</v>
      </c>
      <c r="M29" s="24">
        <v>360</v>
      </c>
      <c r="N29" s="24"/>
      <c r="O29" s="24">
        <v>1773.14</v>
      </c>
      <c r="P29" s="24">
        <v>114</v>
      </c>
      <c r="Q29" s="24">
        <v>1854.47</v>
      </c>
      <c r="R29" s="24">
        <v>2687.74</v>
      </c>
      <c r="S29" s="26">
        <v>1609.88</v>
      </c>
      <c r="T29" s="27">
        <f t="shared" si="3"/>
        <v>19433.12</v>
      </c>
    </row>
    <row r="30" spans="1:21" s="36" customFormat="1" x14ac:dyDescent="0.25">
      <c r="A30" s="32" t="s">
        <v>34</v>
      </c>
      <c r="B30" s="33">
        <v>43663</v>
      </c>
      <c r="C30" s="29">
        <v>27</v>
      </c>
      <c r="D30" s="34">
        <v>828.99</v>
      </c>
      <c r="E30" s="34">
        <v>305.79000000000002</v>
      </c>
      <c r="F30" s="34">
        <v>2908.26</v>
      </c>
      <c r="G30" s="34">
        <v>536.79</v>
      </c>
      <c r="H30" s="34">
        <v>237.81</v>
      </c>
      <c r="I30" s="34">
        <v>441.27</v>
      </c>
      <c r="J30" s="34"/>
      <c r="K30" s="34">
        <v>13.12</v>
      </c>
      <c r="L30" s="34"/>
      <c r="M30" s="34">
        <v>176.67</v>
      </c>
      <c r="N30" s="34">
        <v>421.29</v>
      </c>
      <c r="O30" s="34">
        <v>910.96</v>
      </c>
      <c r="P30" s="34">
        <v>216</v>
      </c>
      <c r="Q30" s="34">
        <v>881.74</v>
      </c>
      <c r="R30" s="34">
        <v>1404.31</v>
      </c>
      <c r="S30" s="35">
        <v>1080.19</v>
      </c>
      <c r="T30" s="27">
        <f t="shared" si="3"/>
        <v>10363.19</v>
      </c>
    </row>
    <row r="31" spans="1:21" s="28" customFormat="1" x14ac:dyDescent="0.25">
      <c r="A31" s="21" t="s">
        <v>35</v>
      </c>
      <c r="B31" s="22">
        <v>43698</v>
      </c>
      <c r="C31" s="29">
        <v>91</v>
      </c>
      <c r="D31" s="24">
        <v>11166.82</v>
      </c>
      <c r="E31" s="24">
        <v>12356.77</v>
      </c>
      <c r="F31" s="24">
        <v>40314.019999999997</v>
      </c>
      <c r="G31" s="24">
        <v>5858.04</v>
      </c>
      <c r="H31" s="24">
        <v>3661.26</v>
      </c>
      <c r="I31" s="24">
        <v>786.24</v>
      </c>
      <c r="J31" s="24"/>
      <c r="K31" s="24">
        <v>1038.6500000000001</v>
      </c>
      <c r="L31" s="24"/>
      <c r="M31" s="24"/>
      <c r="N31" s="24"/>
      <c r="O31" s="24">
        <v>9086.43</v>
      </c>
      <c r="P31" s="24">
        <v>1920.1</v>
      </c>
      <c r="Q31" s="24"/>
      <c r="R31" s="24">
        <v>15243.3</v>
      </c>
      <c r="S31" s="26">
        <v>10988.69</v>
      </c>
      <c r="T31" s="27">
        <f t="shared" si="3"/>
        <v>112420.31999999999</v>
      </c>
    </row>
    <row r="32" spans="1:21" s="28" customFormat="1" x14ac:dyDescent="0.25">
      <c r="A32" s="21" t="s">
        <v>36</v>
      </c>
      <c r="B32" s="22">
        <v>43718</v>
      </c>
      <c r="C32" s="29">
        <v>67</v>
      </c>
      <c r="D32" s="24">
        <v>3477.25</v>
      </c>
      <c r="E32" s="24">
        <v>3961.81</v>
      </c>
      <c r="F32" s="24">
        <v>13025.4</v>
      </c>
      <c r="G32" s="24">
        <v>2084.17</v>
      </c>
      <c r="H32" s="24">
        <v>641.48</v>
      </c>
      <c r="I32" s="24">
        <v>511.93</v>
      </c>
      <c r="J32" s="24"/>
      <c r="K32" s="24">
        <v>1822.39</v>
      </c>
      <c r="L32" s="24">
        <v>22.96</v>
      </c>
      <c r="M32" s="24"/>
      <c r="N32" s="24">
        <v>2308.69</v>
      </c>
      <c r="O32" s="24">
        <v>3611.75</v>
      </c>
      <c r="P32" s="24"/>
      <c r="Q32" s="24"/>
      <c r="R32" s="24">
        <v>5653.06</v>
      </c>
      <c r="S32" s="26">
        <v>3454.01</v>
      </c>
      <c r="T32" s="27">
        <f t="shared" si="3"/>
        <v>40574.899999999994</v>
      </c>
    </row>
    <row r="33" spans="1:21" s="28" customFormat="1" x14ac:dyDescent="0.25">
      <c r="A33" s="21" t="s">
        <v>37</v>
      </c>
      <c r="B33" s="22">
        <v>43705</v>
      </c>
      <c r="C33" s="29">
        <v>245</v>
      </c>
      <c r="D33" s="24">
        <v>8966.4</v>
      </c>
      <c r="E33" s="24">
        <v>8487.33</v>
      </c>
      <c r="F33" s="24">
        <v>32860.639999999999</v>
      </c>
      <c r="G33" s="24"/>
      <c r="H33" s="24">
        <v>5803.13</v>
      </c>
      <c r="I33" s="24">
        <v>5531</v>
      </c>
      <c r="J33" s="24"/>
      <c r="K33" s="24"/>
      <c r="L33" s="24">
        <v>89.49</v>
      </c>
      <c r="M33" s="24">
        <v>4667.91</v>
      </c>
      <c r="N33" s="24">
        <v>7108.89</v>
      </c>
      <c r="O33" s="24">
        <v>11062.64</v>
      </c>
      <c r="P33" s="24">
        <v>485</v>
      </c>
      <c r="Q33" s="24">
        <v>12142.32</v>
      </c>
      <c r="R33" s="24">
        <v>9732.61</v>
      </c>
      <c r="S33" s="26">
        <v>10707.93</v>
      </c>
      <c r="T33" s="27">
        <f t="shared" si="3"/>
        <v>117645.29000000001</v>
      </c>
    </row>
    <row r="34" spans="1:21" s="28" customFormat="1" x14ac:dyDescent="0.25">
      <c r="A34" s="21" t="s">
        <v>38</v>
      </c>
      <c r="B34" s="22">
        <v>43700</v>
      </c>
      <c r="C34" s="29">
        <v>24</v>
      </c>
      <c r="D34" s="24">
        <v>1369.24</v>
      </c>
      <c r="E34" s="24">
        <v>998.87</v>
      </c>
      <c r="F34" s="24">
        <v>5757.52</v>
      </c>
      <c r="G34" s="24">
        <v>1492.78</v>
      </c>
      <c r="H34" s="24">
        <v>897.94</v>
      </c>
      <c r="I34" s="24">
        <v>763.26</v>
      </c>
      <c r="J34" s="24">
        <v>0</v>
      </c>
      <c r="K34" s="24">
        <v>24.51</v>
      </c>
      <c r="L34" s="24">
        <v>59.24</v>
      </c>
      <c r="M34" s="24">
        <v>168.35</v>
      </c>
      <c r="N34" s="24">
        <v>1122.42</v>
      </c>
      <c r="O34" s="24">
        <v>1948.76</v>
      </c>
      <c r="P34" s="24">
        <v>0</v>
      </c>
      <c r="Q34" s="24">
        <v>2058.79</v>
      </c>
      <c r="R34" s="24">
        <v>2984.51</v>
      </c>
      <c r="S34" s="26">
        <v>1801.26</v>
      </c>
      <c r="T34" s="27">
        <f t="shared" si="3"/>
        <v>21447.45</v>
      </c>
    </row>
    <row r="35" spans="1:21" s="28" customFormat="1" x14ac:dyDescent="0.25">
      <c r="A35" s="21" t="s">
        <v>39</v>
      </c>
      <c r="B35" s="22">
        <v>43672</v>
      </c>
      <c r="C35" s="29">
        <v>275</v>
      </c>
      <c r="D35" s="24">
        <v>54358.46</v>
      </c>
      <c r="E35" s="24">
        <v>111691.28</v>
      </c>
      <c r="F35" s="24">
        <v>360903.88</v>
      </c>
      <c r="G35" s="24">
        <v>0</v>
      </c>
      <c r="H35" s="24">
        <v>12475.6</v>
      </c>
      <c r="I35" s="24">
        <v>1559.72</v>
      </c>
      <c r="J35" s="24">
        <v>0</v>
      </c>
      <c r="K35" s="24">
        <v>0</v>
      </c>
      <c r="L35" s="24">
        <v>27032.43</v>
      </c>
      <c r="M35" s="24">
        <v>267.36</v>
      </c>
      <c r="N35" s="24">
        <v>0</v>
      </c>
      <c r="O35" s="24">
        <v>63855.42</v>
      </c>
      <c r="P35" s="24"/>
      <c r="Q35" s="24"/>
      <c r="R35" s="24">
        <v>111904.12</v>
      </c>
      <c r="S35" s="26">
        <v>59788.28</v>
      </c>
      <c r="T35" s="27">
        <f t="shared" si="3"/>
        <v>803836.55</v>
      </c>
    </row>
    <row r="36" spans="1:21" s="28" customFormat="1" x14ac:dyDescent="0.25">
      <c r="A36" s="21" t="s">
        <v>40</v>
      </c>
      <c r="B36" s="22">
        <v>43686</v>
      </c>
      <c r="C36" s="29">
        <v>27</v>
      </c>
      <c r="D36" s="24">
        <v>2076.3200000000002</v>
      </c>
      <c r="E36" s="24">
        <v>2723.04</v>
      </c>
      <c r="F36" s="24">
        <v>7522.4</v>
      </c>
      <c r="G36" s="24">
        <v>1497.67</v>
      </c>
      <c r="H36" s="24">
        <v>850.95</v>
      </c>
      <c r="I36" s="24">
        <v>788.31</v>
      </c>
      <c r="J36" s="24">
        <v>0</v>
      </c>
      <c r="K36" s="24">
        <v>0</v>
      </c>
      <c r="L36" s="24">
        <v>43.13</v>
      </c>
      <c r="M36" s="24">
        <v>255.3</v>
      </c>
      <c r="N36" s="24">
        <v>782.88</v>
      </c>
      <c r="O36" s="24">
        <v>2511.89</v>
      </c>
      <c r="P36" s="24">
        <v>270</v>
      </c>
      <c r="Q36" s="24">
        <v>2689.31</v>
      </c>
      <c r="R36" s="24">
        <v>3899.89</v>
      </c>
      <c r="S36" s="26">
        <v>2327.9499999999998</v>
      </c>
      <c r="T36" s="27">
        <f t="shared" si="3"/>
        <v>28239.040000000001</v>
      </c>
    </row>
    <row r="37" spans="1:21" s="28" customFormat="1" x14ac:dyDescent="0.25">
      <c r="A37" s="21" t="s">
        <v>41</v>
      </c>
      <c r="B37" s="22">
        <v>43727</v>
      </c>
      <c r="C37" s="29">
        <v>138</v>
      </c>
      <c r="D37" s="24">
        <v>21676.74</v>
      </c>
      <c r="E37" s="24">
        <v>21498.95</v>
      </c>
      <c r="F37" s="24">
        <v>122953.17</v>
      </c>
      <c r="G37" s="24">
        <v>11016.07</v>
      </c>
      <c r="H37" s="24">
        <v>10660.68</v>
      </c>
      <c r="I37" s="24">
        <v>6410.64</v>
      </c>
      <c r="J37" s="24"/>
      <c r="K37" s="24">
        <v>12821.65</v>
      </c>
      <c r="L37" s="24"/>
      <c r="M37" s="24">
        <v>3198.17</v>
      </c>
      <c r="N37" s="24"/>
      <c r="O37" s="24">
        <v>29268.06</v>
      </c>
      <c r="P37" s="24">
        <v>1373.75</v>
      </c>
      <c r="Q37" s="24">
        <v>36434.75</v>
      </c>
      <c r="R37" s="24">
        <v>49343.24</v>
      </c>
      <c r="S37" s="26">
        <v>30441.37</v>
      </c>
      <c r="T37" s="27">
        <f t="shared" si="3"/>
        <v>357097.24</v>
      </c>
    </row>
    <row r="38" spans="1:21" s="7" customFormat="1" x14ac:dyDescent="0.25">
      <c r="A38" s="12" t="s">
        <v>42</v>
      </c>
      <c r="B38" s="20">
        <v>43663</v>
      </c>
      <c r="C38" s="6">
        <v>110</v>
      </c>
      <c r="D38" s="8">
        <v>14814.38</v>
      </c>
      <c r="E38" s="8">
        <v>22707.27</v>
      </c>
      <c r="F38" s="8">
        <v>70853.33</v>
      </c>
      <c r="G38" s="8">
        <v>10442.879999999999</v>
      </c>
      <c r="H38" s="8">
        <v>8803.61</v>
      </c>
      <c r="I38" s="8">
        <v>0</v>
      </c>
      <c r="J38" s="8">
        <v>0</v>
      </c>
      <c r="K38" s="8">
        <v>0</v>
      </c>
      <c r="L38" s="8">
        <v>1092.8900000000001</v>
      </c>
      <c r="M38" s="8">
        <v>1862.72</v>
      </c>
      <c r="N38" s="8">
        <v>0</v>
      </c>
      <c r="O38" s="8">
        <v>30245.8</v>
      </c>
      <c r="P38" s="8">
        <v>550</v>
      </c>
      <c r="Q38" s="8">
        <v>19551.62</v>
      </c>
      <c r="R38" s="8">
        <v>18714.46</v>
      </c>
      <c r="S38" s="9">
        <v>16662.830000000002</v>
      </c>
      <c r="T38" s="10">
        <f t="shared" si="3"/>
        <v>216301.78999999998</v>
      </c>
    </row>
    <row r="39" spans="1:21" s="28" customFormat="1" x14ac:dyDescent="0.25">
      <c r="A39" s="21" t="s">
        <v>43</v>
      </c>
      <c r="B39" s="22">
        <v>43697</v>
      </c>
      <c r="C39" s="29">
        <v>0</v>
      </c>
      <c r="D39" s="24">
        <v>0</v>
      </c>
      <c r="E39" s="24">
        <v>0</v>
      </c>
      <c r="F39" s="24">
        <v>0</v>
      </c>
      <c r="G39" s="24">
        <v>0</v>
      </c>
      <c r="H39" s="24">
        <v>0</v>
      </c>
      <c r="I39" s="24">
        <v>0</v>
      </c>
      <c r="J39" s="24">
        <v>0</v>
      </c>
      <c r="K39" s="24">
        <v>0</v>
      </c>
      <c r="L39" s="24">
        <v>0</v>
      </c>
      <c r="M39" s="24">
        <v>0</v>
      </c>
      <c r="N39" s="24">
        <v>0</v>
      </c>
      <c r="O39" s="24">
        <v>0</v>
      </c>
      <c r="P39" s="24">
        <v>0</v>
      </c>
      <c r="Q39" s="24">
        <v>0</v>
      </c>
      <c r="R39" s="24">
        <v>0</v>
      </c>
      <c r="S39" s="26">
        <v>0</v>
      </c>
      <c r="T39" s="29">
        <v>0</v>
      </c>
      <c r="U39" s="26"/>
    </row>
    <row r="40" spans="1:21" s="7" customFormat="1" x14ac:dyDescent="0.25">
      <c r="A40" s="12" t="s">
        <v>44</v>
      </c>
      <c r="B40" s="20">
        <v>43671</v>
      </c>
      <c r="C40" s="6">
        <v>122</v>
      </c>
      <c r="D40" s="8">
        <v>893.72</v>
      </c>
      <c r="E40" s="8">
        <v>781.97</v>
      </c>
      <c r="F40" s="8">
        <v>4893.53</v>
      </c>
      <c r="G40" s="8">
        <v>857.07</v>
      </c>
      <c r="H40" s="8">
        <v>402.93</v>
      </c>
      <c r="I40" s="8">
        <v>417.11</v>
      </c>
      <c r="J40" s="8">
        <v>0</v>
      </c>
      <c r="K40" s="8">
        <v>0</v>
      </c>
      <c r="L40" s="8">
        <v>0</v>
      </c>
      <c r="M40" s="8">
        <v>65.92</v>
      </c>
      <c r="N40" s="8">
        <v>0</v>
      </c>
      <c r="O40" s="8">
        <v>0</v>
      </c>
      <c r="P40" s="8">
        <v>0</v>
      </c>
      <c r="Q40" s="8">
        <v>4930.49</v>
      </c>
      <c r="R40" s="8">
        <v>0</v>
      </c>
      <c r="S40" s="9">
        <v>0</v>
      </c>
      <c r="T40" s="10">
        <f t="shared" ref="T40:T47" si="4">SUM(D40:S40)</f>
        <v>13242.74</v>
      </c>
    </row>
    <row r="41" spans="1:21" s="28" customFormat="1" x14ac:dyDescent="0.25">
      <c r="A41" s="21" t="s">
        <v>45</v>
      </c>
      <c r="B41" s="22">
        <v>43683</v>
      </c>
      <c r="C41" s="29">
        <v>96</v>
      </c>
      <c r="D41" s="24">
        <v>7277.88</v>
      </c>
      <c r="E41" s="24">
        <v>4737.24</v>
      </c>
      <c r="F41" s="24">
        <v>39892.65</v>
      </c>
      <c r="G41" s="24">
        <v>3985.29</v>
      </c>
      <c r="H41" s="24">
        <v>2366.62</v>
      </c>
      <c r="I41" s="24">
        <v>2434.0300000000002</v>
      </c>
      <c r="J41" s="24">
        <v>0</v>
      </c>
      <c r="K41" s="24">
        <v>3010.67</v>
      </c>
      <c r="L41" s="24">
        <v>3227.92</v>
      </c>
      <c r="M41" s="24">
        <v>489.58</v>
      </c>
      <c r="N41" s="24">
        <v>0</v>
      </c>
      <c r="O41" s="24">
        <v>9607.92</v>
      </c>
      <c r="P41" s="24">
        <v>1228</v>
      </c>
      <c r="Q41" s="24">
        <v>11925.64</v>
      </c>
      <c r="R41" s="24">
        <v>16061.53</v>
      </c>
      <c r="S41" s="26">
        <v>9374.73</v>
      </c>
      <c r="T41" s="27">
        <f t="shared" si="4"/>
        <v>115619.7</v>
      </c>
    </row>
    <row r="42" spans="1:21" s="28" customFormat="1" x14ac:dyDescent="0.25">
      <c r="A42" s="21" t="s">
        <v>46</v>
      </c>
      <c r="B42" s="22">
        <v>43682</v>
      </c>
      <c r="C42" s="29">
        <v>50</v>
      </c>
      <c r="D42" s="24">
        <v>5997.78</v>
      </c>
      <c r="E42" s="24">
        <v>6949.66</v>
      </c>
      <c r="F42" s="24">
        <v>33220</v>
      </c>
      <c r="G42" s="24">
        <v>4805.24</v>
      </c>
      <c r="H42" s="24">
        <v>1376.52</v>
      </c>
      <c r="I42" s="24">
        <v>3017.49</v>
      </c>
      <c r="J42" s="24"/>
      <c r="K42" s="24">
        <v>1127.5</v>
      </c>
      <c r="L42" s="24">
        <v>790.51</v>
      </c>
      <c r="M42" s="24">
        <v>497.44</v>
      </c>
      <c r="N42" s="24"/>
      <c r="O42" s="24">
        <v>8418.15</v>
      </c>
      <c r="P42" s="24">
        <v>351</v>
      </c>
      <c r="Q42" s="24">
        <v>21222.51</v>
      </c>
      <c r="R42" s="24">
        <v>15900.94</v>
      </c>
      <c r="S42" s="26">
        <v>8650.4</v>
      </c>
      <c r="T42" s="27">
        <f t="shared" si="4"/>
        <v>112325.13999999998</v>
      </c>
    </row>
    <row r="43" spans="1:21" s="7" customFormat="1" x14ac:dyDescent="0.25">
      <c r="A43" s="12" t="s">
        <v>47</v>
      </c>
      <c r="B43" s="20">
        <v>43662</v>
      </c>
      <c r="C43" s="6">
        <v>67</v>
      </c>
      <c r="D43" s="8">
        <v>0</v>
      </c>
      <c r="E43" s="8">
        <v>0</v>
      </c>
      <c r="F43" s="8">
        <v>0</v>
      </c>
      <c r="G43" s="8">
        <v>0</v>
      </c>
      <c r="H43" s="8">
        <v>0</v>
      </c>
      <c r="I43" s="8">
        <v>0</v>
      </c>
      <c r="J43" s="8">
        <v>0</v>
      </c>
      <c r="K43" s="8">
        <v>0</v>
      </c>
      <c r="L43" s="8">
        <v>0</v>
      </c>
      <c r="M43" s="8">
        <v>0</v>
      </c>
      <c r="N43" s="8">
        <v>0</v>
      </c>
      <c r="O43" s="8">
        <v>7117.9</v>
      </c>
      <c r="P43" s="8">
        <v>402</v>
      </c>
      <c r="Q43" s="8">
        <v>54722.21</v>
      </c>
      <c r="R43" s="8">
        <v>11076.45</v>
      </c>
      <c r="S43" s="9">
        <v>6472.76</v>
      </c>
      <c r="T43" s="10">
        <f t="shared" si="4"/>
        <v>79791.319999999992</v>
      </c>
    </row>
    <row r="44" spans="1:21" s="7" customFormat="1" x14ac:dyDescent="0.25">
      <c r="A44" s="12" t="s">
        <v>48</v>
      </c>
      <c r="B44" s="20">
        <v>43691</v>
      </c>
      <c r="C44" s="6">
        <v>84</v>
      </c>
      <c r="D44" s="8">
        <v>4064.82</v>
      </c>
      <c r="E44" s="8">
        <v>2236.0500000000002</v>
      </c>
      <c r="F44" s="8">
        <v>17172.66</v>
      </c>
      <c r="G44" s="8">
        <v>3266.47</v>
      </c>
      <c r="H44" s="8">
        <v>867.31</v>
      </c>
      <c r="I44" s="8">
        <v>1564.38</v>
      </c>
      <c r="J44" s="8">
        <v>1468.3</v>
      </c>
      <c r="K44" s="8">
        <v>515.52</v>
      </c>
      <c r="L44" s="8">
        <v>0</v>
      </c>
      <c r="M44" s="8">
        <v>0</v>
      </c>
      <c r="N44" s="8">
        <v>0</v>
      </c>
      <c r="O44" s="8">
        <v>4796.29</v>
      </c>
      <c r="P44" s="8">
        <v>258</v>
      </c>
      <c r="Q44" s="8">
        <v>5332.33</v>
      </c>
      <c r="R44" s="8">
        <v>8012.12</v>
      </c>
      <c r="S44" s="9">
        <v>5233.54</v>
      </c>
      <c r="T44" s="10">
        <f t="shared" si="4"/>
        <v>54787.790000000008</v>
      </c>
    </row>
    <row r="45" spans="1:21" s="28" customFormat="1" x14ac:dyDescent="0.25">
      <c r="A45" s="21" t="s">
        <v>49</v>
      </c>
      <c r="B45" s="22">
        <v>43699</v>
      </c>
      <c r="C45" s="29">
        <v>17</v>
      </c>
      <c r="D45" s="24">
        <v>802.42</v>
      </c>
      <c r="E45" s="24">
        <v>684.04</v>
      </c>
      <c r="F45" s="24">
        <v>3433.32</v>
      </c>
      <c r="G45" s="24">
        <v>578.79</v>
      </c>
      <c r="H45" s="24">
        <v>223.63</v>
      </c>
      <c r="I45" s="24">
        <v>359.9</v>
      </c>
      <c r="J45" s="24">
        <v>0</v>
      </c>
      <c r="K45" s="24">
        <v>0</v>
      </c>
      <c r="L45" s="24">
        <v>2.61</v>
      </c>
      <c r="M45" s="24"/>
      <c r="N45" s="24">
        <v>644.55999999999995</v>
      </c>
      <c r="O45" s="24">
        <v>1043.56</v>
      </c>
      <c r="P45" s="24">
        <v>85</v>
      </c>
      <c r="Q45" s="24">
        <v>1095.22</v>
      </c>
      <c r="R45" s="24">
        <v>1598.9</v>
      </c>
      <c r="S45" s="26">
        <v>1088.46</v>
      </c>
      <c r="T45" s="27">
        <f t="shared" si="4"/>
        <v>11640.41</v>
      </c>
    </row>
    <row r="46" spans="1:21" s="7" customFormat="1" x14ac:dyDescent="0.25">
      <c r="A46" s="12" t="s">
        <v>50</v>
      </c>
      <c r="B46" s="20">
        <v>43685</v>
      </c>
      <c r="C46" s="6">
        <v>125</v>
      </c>
      <c r="D46" s="8">
        <v>11452.54</v>
      </c>
      <c r="E46" s="8">
        <v>30133.29</v>
      </c>
      <c r="F46" s="8">
        <v>79111.05</v>
      </c>
      <c r="G46" s="8">
        <v>8260.81</v>
      </c>
      <c r="H46" s="8">
        <v>7509.85</v>
      </c>
      <c r="I46" s="8">
        <v>2116.85</v>
      </c>
      <c r="J46" s="8"/>
      <c r="K46" s="8">
        <v>4313.25</v>
      </c>
      <c r="L46" s="8">
        <v>2116.5500000000002</v>
      </c>
      <c r="M46" s="8"/>
      <c r="N46" s="8">
        <v>5379.62</v>
      </c>
      <c r="O46" s="8">
        <v>21841.56</v>
      </c>
      <c r="P46" s="8">
        <v>1250</v>
      </c>
      <c r="Q46" s="8">
        <v>24403.33</v>
      </c>
      <c r="R46" s="8">
        <v>35209.42</v>
      </c>
      <c r="S46" s="9">
        <v>19354.759999999998</v>
      </c>
      <c r="T46" s="10">
        <f t="shared" si="4"/>
        <v>252452.88</v>
      </c>
    </row>
    <row r="47" spans="1:21" s="28" customFormat="1" x14ac:dyDescent="0.25">
      <c r="A47" s="21" t="s">
        <v>51</v>
      </c>
      <c r="B47" s="22">
        <v>43726</v>
      </c>
      <c r="C47" s="29">
        <v>15</v>
      </c>
      <c r="D47" s="24">
        <v>898.54</v>
      </c>
      <c r="E47" s="24">
        <v>412.43</v>
      </c>
      <c r="F47" s="24">
        <v>4676.78</v>
      </c>
      <c r="G47" s="24">
        <v>846.98</v>
      </c>
      <c r="H47" s="24">
        <v>313</v>
      </c>
      <c r="I47" s="24"/>
      <c r="J47" s="24"/>
      <c r="K47" s="24"/>
      <c r="L47" s="24">
        <v>3.78</v>
      </c>
      <c r="M47" s="24"/>
      <c r="N47" s="24"/>
      <c r="O47" s="24">
        <v>979.5</v>
      </c>
      <c r="P47" s="24">
        <v>360</v>
      </c>
      <c r="Q47" s="24">
        <v>1245.9100000000001</v>
      </c>
      <c r="R47" s="24">
        <v>1679.47</v>
      </c>
      <c r="S47" s="26">
        <v>1064.76</v>
      </c>
      <c r="T47" s="27">
        <f t="shared" si="4"/>
        <v>12481.149999999998</v>
      </c>
    </row>
    <row r="48" spans="1:21" s="7" customFormat="1" x14ac:dyDescent="0.25">
      <c r="A48" s="12" t="s">
        <v>52</v>
      </c>
      <c r="B48" s="20">
        <v>43689</v>
      </c>
      <c r="C48" s="6">
        <v>254</v>
      </c>
      <c r="D48" s="8">
        <v>24155.47</v>
      </c>
      <c r="E48" s="8">
        <v>23869.919999999998</v>
      </c>
      <c r="F48" s="8">
        <v>130635.08</v>
      </c>
      <c r="G48" s="8">
        <v>0</v>
      </c>
      <c r="H48" s="8">
        <v>4355.93</v>
      </c>
      <c r="I48" s="8">
        <v>3102.58</v>
      </c>
      <c r="J48" s="8"/>
      <c r="K48" s="8">
        <v>10.99</v>
      </c>
      <c r="L48" s="8">
        <v>9783.4699999999993</v>
      </c>
      <c r="M48" s="8"/>
      <c r="N48" s="8"/>
      <c r="O48" s="8">
        <v>22457.9</v>
      </c>
      <c r="P48" s="8">
        <v>0</v>
      </c>
      <c r="Q48" s="8">
        <v>0</v>
      </c>
      <c r="R48" s="8">
        <v>38776.21</v>
      </c>
      <c r="S48" s="9">
        <v>22944.02</v>
      </c>
      <c r="T48" s="10">
        <f t="shared" ref="T48:T55" si="5">SUM(D48:S48)</f>
        <v>280091.56999999995</v>
      </c>
    </row>
    <row r="49" spans="1:20" s="28" customFormat="1" x14ac:dyDescent="0.25">
      <c r="A49" s="21" t="s">
        <v>53</v>
      </c>
      <c r="B49" s="22">
        <v>43675</v>
      </c>
      <c r="C49" s="29">
        <v>10</v>
      </c>
      <c r="D49" s="24">
        <v>190.59</v>
      </c>
      <c r="E49" s="24">
        <v>651.20000000000005</v>
      </c>
      <c r="F49" s="24">
        <v>928.72</v>
      </c>
      <c r="G49" s="24">
        <v>156.19999999999999</v>
      </c>
      <c r="H49" s="24">
        <v>85.92</v>
      </c>
      <c r="I49" s="24">
        <v>156.19999999999999</v>
      </c>
      <c r="J49" s="24">
        <v>0</v>
      </c>
      <c r="K49" s="24">
        <v>0</v>
      </c>
      <c r="L49" s="24">
        <v>0</v>
      </c>
      <c r="M49" s="24">
        <v>24.6</v>
      </c>
      <c r="N49" s="24">
        <v>0</v>
      </c>
      <c r="O49" s="24">
        <v>323.85000000000002</v>
      </c>
      <c r="P49" s="24">
        <v>0</v>
      </c>
      <c r="Q49" s="24">
        <v>294.49</v>
      </c>
      <c r="R49" s="24">
        <v>521.61</v>
      </c>
      <c r="S49" s="26">
        <v>480.84</v>
      </c>
      <c r="T49" s="27">
        <f t="shared" si="5"/>
        <v>3814.2200000000007</v>
      </c>
    </row>
    <row r="50" spans="1:20" s="28" customFormat="1" x14ac:dyDescent="0.25">
      <c r="A50" s="21" t="s">
        <v>54</v>
      </c>
      <c r="B50" s="22">
        <v>43698</v>
      </c>
      <c r="C50" s="29">
        <v>27</v>
      </c>
      <c r="D50" s="24">
        <v>2312.8000000000002</v>
      </c>
      <c r="E50" s="24">
        <v>1990.52</v>
      </c>
      <c r="F50" s="24">
        <v>9572.4699999999993</v>
      </c>
      <c r="G50" s="24">
        <v>1327.01</v>
      </c>
      <c r="H50" s="24">
        <v>853.09</v>
      </c>
      <c r="I50" s="24">
        <v>1052.1600000000001</v>
      </c>
      <c r="J50" s="24">
        <v>0</v>
      </c>
      <c r="K50" s="24">
        <v>990.39</v>
      </c>
      <c r="L50" s="24">
        <v>0</v>
      </c>
      <c r="M50" s="24">
        <v>208.55</v>
      </c>
      <c r="N50" s="24">
        <v>0</v>
      </c>
      <c r="O50" s="24">
        <v>2457.15</v>
      </c>
      <c r="P50" s="24">
        <v>270</v>
      </c>
      <c r="Q50" s="24">
        <v>2970.23</v>
      </c>
      <c r="R50" s="24">
        <v>4309.6400000000003</v>
      </c>
      <c r="S50" s="26">
        <v>2397.85</v>
      </c>
      <c r="T50" s="27">
        <f t="shared" si="5"/>
        <v>30711.859999999997</v>
      </c>
    </row>
    <row r="51" spans="1:20" s="7" customFormat="1" x14ac:dyDescent="0.25">
      <c r="A51" s="12" t="s">
        <v>55</v>
      </c>
      <c r="B51" s="20">
        <v>43683</v>
      </c>
      <c r="C51" s="6">
        <v>16</v>
      </c>
      <c r="D51" s="8">
        <v>2093.71</v>
      </c>
      <c r="E51" s="8">
        <v>1801.98</v>
      </c>
      <c r="F51" s="8">
        <v>10228.33</v>
      </c>
      <c r="G51" s="8">
        <v>1630.37</v>
      </c>
      <c r="H51" s="8">
        <v>0</v>
      </c>
      <c r="I51" s="8">
        <v>0</v>
      </c>
      <c r="J51" s="8">
        <v>0</v>
      </c>
      <c r="K51" s="8">
        <v>420</v>
      </c>
      <c r="L51" s="8">
        <v>1.8</v>
      </c>
      <c r="M51" s="8">
        <v>0</v>
      </c>
      <c r="N51" s="8">
        <v>1269.95</v>
      </c>
      <c r="O51" s="8">
        <v>2646.81</v>
      </c>
      <c r="P51" s="8">
        <v>160</v>
      </c>
      <c r="Q51" s="8">
        <v>2836.48</v>
      </c>
      <c r="R51" s="8">
        <v>4056.54</v>
      </c>
      <c r="S51" s="9">
        <v>2268.2600000000002</v>
      </c>
      <c r="T51" s="10">
        <f t="shared" si="5"/>
        <v>29414.230000000003</v>
      </c>
    </row>
    <row r="52" spans="1:20" s="28" customFormat="1" x14ac:dyDescent="0.25">
      <c r="A52" s="21" t="s">
        <v>144</v>
      </c>
      <c r="B52" s="22">
        <v>43691</v>
      </c>
      <c r="C52" s="29">
        <v>6</v>
      </c>
      <c r="D52" s="24">
        <v>703.21</v>
      </c>
      <c r="E52" s="24">
        <v>737.79</v>
      </c>
      <c r="F52" s="24">
        <v>3637</v>
      </c>
      <c r="G52" s="24">
        <v>587.95000000000005</v>
      </c>
      <c r="H52" s="24">
        <v>288.5</v>
      </c>
      <c r="I52" s="24">
        <v>188.48</v>
      </c>
      <c r="J52" s="24">
        <v>0</v>
      </c>
      <c r="K52" s="24">
        <v>110</v>
      </c>
      <c r="L52" s="24"/>
      <c r="M52" s="24"/>
      <c r="N52" s="24"/>
      <c r="O52" s="24">
        <v>887.36</v>
      </c>
      <c r="P52" s="24">
        <v>25</v>
      </c>
      <c r="Q52" s="24">
        <v>1013.52</v>
      </c>
      <c r="R52" s="24">
        <v>1463.23</v>
      </c>
      <c r="S52" s="26">
        <v>801.62</v>
      </c>
      <c r="T52" s="27">
        <f t="shared" si="5"/>
        <v>10443.66</v>
      </c>
    </row>
    <row r="53" spans="1:20" s="28" customFormat="1" x14ac:dyDescent="0.25">
      <c r="A53" s="21" t="s">
        <v>145</v>
      </c>
      <c r="B53" s="22">
        <v>43691</v>
      </c>
      <c r="C53" s="29">
        <v>50</v>
      </c>
      <c r="D53" s="24">
        <v>5454.38</v>
      </c>
      <c r="E53" s="24">
        <v>5726.23</v>
      </c>
      <c r="F53" s="24">
        <v>28210.7</v>
      </c>
      <c r="G53" s="24">
        <v>4560.22</v>
      </c>
      <c r="H53" s="24">
        <v>2235.4</v>
      </c>
      <c r="I53" s="24">
        <v>1461.51</v>
      </c>
      <c r="J53" s="24"/>
      <c r="K53" s="24">
        <v>1081.5</v>
      </c>
      <c r="L53" s="24" t="s">
        <v>146</v>
      </c>
      <c r="M53" s="24"/>
      <c r="N53" s="24"/>
      <c r="O53" s="24">
        <v>6915.58</v>
      </c>
      <c r="P53" s="24">
        <v>244.23</v>
      </c>
      <c r="Q53" s="24">
        <v>7901.03</v>
      </c>
      <c r="R53" s="24">
        <v>11426.63</v>
      </c>
      <c r="S53" s="26">
        <v>6397.13</v>
      </c>
      <c r="T53" s="27">
        <f t="shared" si="5"/>
        <v>81614.540000000008</v>
      </c>
    </row>
    <row r="54" spans="1:20" s="7" customFormat="1" x14ac:dyDescent="0.25">
      <c r="A54" s="12" t="s">
        <v>57</v>
      </c>
      <c r="B54" s="20">
        <v>43677</v>
      </c>
      <c r="C54" s="6">
        <v>20</v>
      </c>
      <c r="D54" s="8">
        <v>1453.75</v>
      </c>
      <c r="E54" s="8">
        <v>1394.16</v>
      </c>
      <c r="F54" s="8">
        <v>9072.26</v>
      </c>
      <c r="G54" s="8">
        <v>1215.43</v>
      </c>
      <c r="H54" s="8">
        <v>476.64</v>
      </c>
      <c r="I54" s="8">
        <v>560.04</v>
      </c>
      <c r="J54" s="8"/>
      <c r="K54" s="8">
        <v>525</v>
      </c>
      <c r="L54" s="8">
        <v>76.03</v>
      </c>
      <c r="M54" s="8">
        <v>85.81</v>
      </c>
      <c r="N54" s="8"/>
      <c r="O54" s="8">
        <v>2185.8000000000002</v>
      </c>
      <c r="P54" s="8">
        <v>220</v>
      </c>
      <c r="Q54" s="8">
        <v>2227.25</v>
      </c>
      <c r="R54" s="8">
        <v>3447.41</v>
      </c>
      <c r="S54" s="9">
        <v>2008.72</v>
      </c>
      <c r="T54" s="10">
        <f t="shared" si="5"/>
        <v>24948.3</v>
      </c>
    </row>
    <row r="55" spans="1:20" s="7" customFormat="1" x14ac:dyDescent="0.25">
      <c r="A55" s="12" t="s">
        <v>58</v>
      </c>
      <c r="B55" s="20">
        <v>43685</v>
      </c>
      <c r="C55" s="6">
        <v>0</v>
      </c>
      <c r="D55" s="8">
        <v>0</v>
      </c>
      <c r="E55" s="8">
        <v>0</v>
      </c>
      <c r="F55" s="8">
        <v>0</v>
      </c>
      <c r="G55" s="8">
        <v>0</v>
      </c>
      <c r="H55" s="8">
        <v>0</v>
      </c>
      <c r="I55" s="8">
        <v>0</v>
      </c>
      <c r="J55" s="8">
        <v>0</v>
      </c>
      <c r="K55" s="8">
        <v>0</v>
      </c>
      <c r="L55" s="8">
        <v>0</v>
      </c>
      <c r="M55" s="8">
        <v>0</v>
      </c>
      <c r="N55" s="8">
        <v>0</v>
      </c>
      <c r="O55" s="8">
        <v>0</v>
      </c>
      <c r="P55" s="8">
        <v>0</v>
      </c>
      <c r="Q55" s="8">
        <v>0</v>
      </c>
      <c r="R55" s="8">
        <v>0</v>
      </c>
      <c r="S55" s="9">
        <v>0</v>
      </c>
      <c r="T55" s="10">
        <f t="shared" si="5"/>
        <v>0</v>
      </c>
    </row>
    <row r="56" spans="1:20" s="28" customFormat="1" x14ac:dyDescent="0.25">
      <c r="A56" s="21" t="s">
        <v>59</v>
      </c>
      <c r="B56" s="22">
        <v>43726</v>
      </c>
      <c r="C56" s="29">
        <v>110</v>
      </c>
      <c r="D56" s="24">
        <v>9881.44</v>
      </c>
      <c r="E56" s="24">
        <v>11744.61</v>
      </c>
      <c r="F56" s="24">
        <v>55922.86</v>
      </c>
      <c r="G56" s="24">
        <v>0</v>
      </c>
      <c r="H56" s="24">
        <v>3158.89</v>
      </c>
      <c r="I56" s="24">
        <v>2021.68</v>
      </c>
      <c r="J56" s="24"/>
      <c r="K56" s="24">
        <v>2473.92</v>
      </c>
      <c r="L56" s="24">
        <v>61.43</v>
      </c>
      <c r="M56" s="24">
        <v>0</v>
      </c>
      <c r="N56" s="24">
        <v>0</v>
      </c>
      <c r="O56" s="24">
        <v>10171.52</v>
      </c>
      <c r="P56" s="24">
        <v>1430</v>
      </c>
      <c r="Q56" s="24"/>
      <c r="R56" s="24">
        <v>17347.12</v>
      </c>
      <c r="S56" s="26">
        <v>9663.61</v>
      </c>
      <c r="T56" s="27">
        <f t="shared" ref="T56:T61" si="6">SUM(D56:S56)</f>
        <v>123877.07999999999</v>
      </c>
    </row>
    <row r="57" spans="1:20" s="7" customFormat="1" x14ac:dyDescent="0.25">
      <c r="A57" s="12" t="s">
        <v>60</v>
      </c>
      <c r="B57" s="20">
        <v>43678</v>
      </c>
      <c r="C57" s="6">
        <v>0</v>
      </c>
      <c r="D57" s="8">
        <v>0</v>
      </c>
      <c r="E57" s="8">
        <v>0</v>
      </c>
      <c r="F57" s="8">
        <v>0</v>
      </c>
      <c r="G57" s="8">
        <v>0</v>
      </c>
      <c r="H57" s="8">
        <v>0</v>
      </c>
      <c r="I57" s="8">
        <v>0</v>
      </c>
      <c r="J57" s="8">
        <v>0</v>
      </c>
      <c r="K57" s="8">
        <v>0</v>
      </c>
      <c r="L57" s="8">
        <v>0</v>
      </c>
      <c r="M57" s="8">
        <v>0</v>
      </c>
      <c r="N57" s="8">
        <v>0</v>
      </c>
      <c r="O57" s="8">
        <v>0</v>
      </c>
      <c r="P57" s="8">
        <v>0</v>
      </c>
      <c r="Q57" s="8">
        <v>0</v>
      </c>
      <c r="R57" s="8">
        <v>0</v>
      </c>
      <c r="S57" s="9">
        <v>0</v>
      </c>
      <c r="T57" s="10">
        <f t="shared" si="6"/>
        <v>0</v>
      </c>
    </row>
    <row r="58" spans="1:20" s="28" customFormat="1" x14ac:dyDescent="0.25">
      <c r="A58" s="21" t="s">
        <v>61</v>
      </c>
      <c r="B58" s="22">
        <v>43665</v>
      </c>
      <c r="C58" s="29">
        <v>1051</v>
      </c>
      <c r="D58" s="23">
        <v>176463.72</v>
      </c>
      <c r="E58" s="24">
        <v>178633.61</v>
      </c>
      <c r="F58" s="23">
        <v>1014486.64</v>
      </c>
      <c r="G58" s="24">
        <v>0</v>
      </c>
      <c r="H58" s="24">
        <v>0</v>
      </c>
      <c r="I58" s="24">
        <v>124013.7</v>
      </c>
      <c r="J58" s="24">
        <v>0</v>
      </c>
      <c r="K58" s="25">
        <v>138801.01</v>
      </c>
      <c r="L58" s="24">
        <v>2102</v>
      </c>
      <c r="M58" s="24">
        <v>0</v>
      </c>
      <c r="N58" s="24">
        <v>0</v>
      </c>
      <c r="O58" s="24">
        <v>191604.43</v>
      </c>
      <c r="P58" s="24">
        <v>55703</v>
      </c>
      <c r="Q58" s="24"/>
      <c r="R58" s="24">
        <v>326479.68</v>
      </c>
      <c r="S58" s="26">
        <v>208433.02</v>
      </c>
      <c r="T58" s="27">
        <f t="shared" si="6"/>
        <v>2416720.81</v>
      </c>
    </row>
    <row r="59" spans="1:20" s="28" customFormat="1" x14ac:dyDescent="0.25">
      <c r="A59" s="21" t="s">
        <v>62</v>
      </c>
      <c r="B59" s="22">
        <v>43703</v>
      </c>
      <c r="C59" s="29">
        <v>66</v>
      </c>
      <c r="D59" s="24">
        <v>7565.82</v>
      </c>
      <c r="E59" s="24">
        <v>4775.17</v>
      </c>
      <c r="F59" s="24">
        <v>42976.24</v>
      </c>
      <c r="G59" s="24">
        <v>7131.71</v>
      </c>
      <c r="H59" s="24">
        <v>1860.45</v>
      </c>
      <c r="I59" s="24">
        <v>1054.29</v>
      </c>
      <c r="J59" s="24"/>
      <c r="K59" s="24">
        <v>2219.29</v>
      </c>
      <c r="L59" s="24"/>
      <c r="M59" s="24"/>
      <c r="N59" s="24"/>
      <c r="O59" s="24">
        <v>9214.26</v>
      </c>
      <c r="P59" s="24">
        <v>594</v>
      </c>
      <c r="Q59" s="24">
        <v>10936.13</v>
      </c>
      <c r="R59" s="24">
        <v>15835.79</v>
      </c>
      <c r="S59" s="26">
        <v>8841.93</v>
      </c>
      <c r="T59" s="27">
        <f t="shared" si="6"/>
        <v>113005.07999999999</v>
      </c>
    </row>
    <row r="60" spans="1:20" s="28" customFormat="1" x14ac:dyDescent="0.25">
      <c r="A60" s="21" t="s">
        <v>63</v>
      </c>
      <c r="B60" s="22">
        <v>43755</v>
      </c>
      <c r="C60" s="29">
        <v>100</v>
      </c>
      <c r="D60" s="24">
        <v>8958.7999999999993</v>
      </c>
      <c r="E60" s="24">
        <v>6829.18</v>
      </c>
      <c r="F60" s="24">
        <v>19333.22</v>
      </c>
      <c r="G60" s="24">
        <v>6241.77</v>
      </c>
      <c r="H60" s="24">
        <v>4405.92</v>
      </c>
      <c r="I60" s="24"/>
      <c r="J60" s="24"/>
      <c r="K60" s="24">
        <v>1136.76</v>
      </c>
      <c r="L60" s="24">
        <v>2723.58</v>
      </c>
      <c r="M60" s="24">
        <v>555.86</v>
      </c>
      <c r="N60" s="24"/>
      <c r="O60" s="24">
        <v>7773.82</v>
      </c>
      <c r="P60" s="24">
        <v>600</v>
      </c>
      <c r="Q60" s="24">
        <v>9426.98</v>
      </c>
      <c r="R60" s="24">
        <v>11922.44</v>
      </c>
      <c r="S60" s="26">
        <v>7461.18</v>
      </c>
      <c r="T60" s="27">
        <f t="shared" si="6"/>
        <v>87369.510000000009</v>
      </c>
    </row>
    <row r="61" spans="1:20" s="7" customFormat="1" x14ac:dyDescent="0.25">
      <c r="A61" s="12" t="s">
        <v>64</v>
      </c>
      <c r="B61" s="20">
        <v>43669</v>
      </c>
      <c r="C61" s="6">
        <v>200</v>
      </c>
      <c r="D61" s="8">
        <v>0</v>
      </c>
      <c r="E61" s="8">
        <v>0</v>
      </c>
      <c r="F61" s="8">
        <v>0</v>
      </c>
      <c r="G61" s="8">
        <v>0</v>
      </c>
      <c r="H61" s="8">
        <v>0</v>
      </c>
      <c r="I61" s="8">
        <v>0</v>
      </c>
      <c r="J61" s="8">
        <v>0</v>
      </c>
      <c r="K61" s="8">
        <v>0</v>
      </c>
      <c r="L61" s="8">
        <v>1800</v>
      </c>
      <c r="M61" s="8">
        <v>0</v>
      </c>
      <c r="N61" s="8">
        <v>0</v>
      </c>
      <c r="O61" s="8">
        <v>34722.07</v>
      </c>
      <c r="P61" s="8"/>
      <c r="Q61" s="8">
        <v>290274</v>
      </c>
      <c r="R61" s="8">
        <v>58454.7</v>
      </c>
      <c r="S61" s="9">
        <v>37627.5</v>
      </c>
      <c r="T61" s="10">
        <f t="shared" si="6"/>
        <v>422878.27</v>
      </c>
    </row>
    <row r="62" spans="1:20" s="28" customFormat="1" x14ac:dyDescent="0.25">
      <c r="A62" s="21" t="s">
        <v>65</v>
      </c>
      <c r="B62" s="22">
        <v>43719</v>
      </c>
      <c r="C62" s="29">
        <v>16</v>
      </c>
      <c r="D62" s="24">
        <v>150</v>
      </c>
      <c r="E62" s="24">
        <v>206.94</v>
      </c>
      <c r="F62" s="24">
        <v>761.61</v>
      </c>
      <c r="G62" s="24">
        <v>0</v>
      </c>
      <c r="H62" s="24">
        <v>65.61</v>
      </c>
      <c r="I62" s="24">
        <v>72.84</v>
      </c>
      <c r="J62" s="24">
        <v>0</v>
      </c>
      <c r="K62" s="24">
        <v>0</v>
      </c>
      <c r="L62" s="24">
        <v>7.12</v>
      </c>
      <c r="M62" s="24">
        <v>18.71</v>
      </c>
      <c r="N62" s="24">
        <v>0</v>
      </c>
      <c r="O62" s="24">
        <v>199.04</v>
      </c>
      <c r="P62" s="24">
        <v>170</v>
      </c>
      <c r="Q62" s="24">
        <v>424.23</v>
      </c>
      <c r="R62" s="24">
        <v>350.83</v>
      </c>
      <c r="S62" s="26">
        <v>410.75</v>
      </c>
      <c r="T62" s="27">
        <f t="shared" ref="T62:T72" si="7">SUM(D62:S62)</f>
        <v>2837.6799999999994</v>
      </c>
    </row>
    <row r="63" spans="1:20" s="7" customFormat="1" x14ac:dyDescent="0.25">
      <c r="A63" s="12" t="s">
        <v>66</v>
      </c>
      <c r="B63" s="20">
        <v>43756</v>
      </c>
      <c r="C63" s="6">
        <v>50</v>
      </c>
      <c r="D63" s="8">
        <v>4678.2</v>
      </c>
      <c r="E63" s="8">
        <v>4179.7299999999996</v>
      </c>
      <c r="F63" s="8">
        <v>19338.09</v>
      </c>
      <c r="G63" s="8">
        <v>3067.67</v>
      </c>
      <c r="H63" s="8">
        <v>1533.84</v>
      </c>
      <c r="I63" s="8">
        <v>1342.1</v>
      </c>
      <c r="J63" s="8">
        <v>2684.22</v>
      </c>
      <c r="K63" s="8">
        <v>1564.8</v>
      </c>
      <c r="L63" s="8">
        <v>43.84</v>
      </c>
      <c r="M63" s="8">
        <v>843.61</v>
      </c>
      <c r="N63" s="8">
        <v>1073.69</v>
      </c>
      <c r="O63" s="8">
        <v>6264.01</v>
      </c>
      <c r="P63" s="8">
        <v>250</v>
      </c>
      <c r="Q63" s="8">
        <v>7580.35</v>
      </c>
      <c r="R63" s="8">
        <v>9586.0300000000007</v>
      </c>
      <c r="S63" s="9">
        <v>5543.04</v>
      </c>
      <c r="T63" s="10">
        <f t="shared" si="7"/>
        <v>69573.22</v>
      </c>
    </row>
    <row r="64" spans="1:20" s="28" customFormat="1" x14ac:dyDescent="0.25">
      <c r="A64" s="21" t="s">
        <v>67</v>
      </c>
      <c r="B64" s="22">
        <v>43689</v>
      </c>
      <c r="C64" s="29">
        <v>20</v>
      </c>
      <c r="D64" s="24">
        <v>1395.22</v>
      </c>
      <c r="E64" s="24">
        <v>2596.02</v>
      </c>
      <c r="F64" s="24">
        <v>5752.43</v>
      </c>
      <c r="G64" s="24">
        <v>720.48</v>
      </c>
      <c r="H64" s="24">
        <v>320.2</v>
      </c>
      <c r="I64" s="24">
        <v>537.15</v>
      </c>
      <c r="J64" s="24">
        <v>0</v>
      </c>
      <c r="K64" s="24">
        <v>800.11</v>
      </c>
      <c r="L64" s="24">
        <v>0</v>
      </c>
      <c r="M64" s="24">
        <v>0</v>
      </c>
      <c r="N64" s="24">
        <v>0</v>
      </c>
      <c r="O64" s="24">
        <v>1624.5</v>
      </c>
      <c r="P64" s="24"/>
      <c r="Q64" s="24"/>
      <c r="R64" s="24">
        <v>2470.71</v>
      </c>
      <c r="S64" s="26">
        <v>1444.18</v>
      </c>
      <c r="T64" s="27">
        <f t="shared" si="7"/>
        <v>17661</v>
      </c>
    </row>
    <row r="65" spans="1:26" s="28" customFormat="1" x14ac:dyDescent="0.25">
      <c r="A65" s="21" t="s">
        <v>68</v>
      </c>
      <c r="B65" s="22">
        <v>43663</v>
      </c>
      <c r="C65" s="29">
        <v>113</v>
      </c>
      <c r="D65" s="24">
        <v>15043.73</v>
      </c>
      <c r="E65" s="24">
        <v>7398.54</v>
      </c>
      <c r="F65" s="24">
        <v>60421.41</v>
      </c>
      <c r="G65" s="24">
        <v>9864.7199999999993</v>
      </c>
      <c r="H65" s="24">
        <v>4932.3599999999997</v>
      </c>
      <c r="I65" s="24">
        <v>4436.55</v>
      </c>
      <c r="J65" s="24">
        <v>0</v>
      </c>
      <c r="K65" s="24">
        <v>459.59</v>
      </c>
      <c r="L65" s="24">
        <v>577.65</v>
      </c>
      <c r="M65" s="24">
        <v>0</v>
      </c>
      <c r="N65" s="24">
        <v>0</v>
      </c>
      <c r="O65" s="24">
        <v>14617.8</v>
      </c>
      <c r="P65" s="24">
        <v>1356</v>
      </c>
      <c r="Q65" s="24">
        <v>15351.18</v>
      </c>
      <c r="R65" s="24">
        <v>23922.98</v>
      </c>
      <c r="S65" s="26">
        <v>13543.58</v>
      </c>
      <c r="T65" s="27">
        <f t="shared" si="7"/>
        <v>171926.09</v>
      </c>
    </row>
    <row r="66" spans="1:26" s="28" customFormat="1" x14ac:dyDescent="0.25">
      <c r="A66" s="21" t="s">
        <v>69</v>
      </c>
      <c r="B66" s="22">
        <v>43753</v>
      </c>
      <c r="C66" s="29">
        <v>94</v>
      </c>
      <c r="D66" s="24">
        <v>8208.56</v>
      </c>
      <c r="E66" s="24">
        <v>11303.65</v>
      </c>
      <c r="F66" s="24">
        <v>39966.379999999997</v>
      </c>
      <c r="G66" s="24">
        <v>9890.7000000000007</v>
      </c>
      <c r="H66" s="24">
        <v>4037.01</v>
      </c>
      <c r="I66" s="24">
        <v>5093.3999999999996</v>
      </c>
      <c r="J66" s="24">
        <v>0</v>
      </c>
      <c r="K66" s="24">
        <v>1408.59</v>
      </c>
      <c r="L66" s="24"/>
      <c r="M66" s="24">
        <v>1547.56</v>
      </c>
      <c r="N66" s="24"/>
      <c r="O66" s="24">
        <v>12138.22</v>
      </c>
      <c r="P66" s="24">
        <v>846</v>
      </c>
      <c r="Q66" s="24">
        <v>15199.57</v>
      </c>
      <c r="R66" s="24">
        <v>19381.11</v>
      </c>
      <c r="S66" s="26">
        <v>10992.57</v>
      </c>
      <c r="T66" s="27">
        <f t="shared" si="7"/>
        <v>140013.31999999998</v>
      </c>
    </row>
    <row r="67" spans="1:26" s="38" customFormat="1" x14ac:dyDescent="0.25">
      <c r="A67" s="21" t="s">
        <v>70</v>
      </c>
      <c r="B67" s="22">
        <v>43754</v>
      </c>
      <c r="C67" s="57">
        <v>28</v>
      </c>
      <c r="D67" s="24">
        <v>1467.09</v>
      </c>
      <c r="E67" s="24">
        <v>5895.89</v>
      </c>
      <c r="F67" s="24">
        <v>5289.51</v>
      </c>
      <c r="G67" s="24">
        <v>1986.12</v>
      </c>
      <c r="H67" s="24">
        <v>828.56</v>
      </c>
      <c r="I67" s="24">
        <v>912.45</v>
      </c>
      <c r="J67" s="24"/>
      <c r="K67" s="24"/>
      <c r="L67" s="24">
        <v>12.87</v>
      </c>
      <c r="M67" s="24">
        <v>336.1</v>
      </c>
      <c r="N67" s="24"/>
      <c r="O67" s="24">
        <v>3102.62</v>
      </c>
      <c r="P67" s="24">
        <v>330</v>
      </c>
      <c r="Q67" s="24">
        <v>3327.28</v>
      </c>
      <c r="R67" s="24">
        <v>4077.19</v>
      </c>
      <c r="S67" s="26">
        <v>2500.59</v>
      </c>
      <c r="T67" s="27">
        <f t="shared" si="7"/>
        <v>30066.269999999997</v>
      </c>
      <c r="U67" s="28"/>
      <c r="V67" s="28"/>
      <c r="W67" s="28"/>
      <c r="X67" s="28"/>
      <c r="Y67" s="28"/>
      <c r="Z67" s="28"/>
    </row>
    <row r="68" spans="1:26" s="28" customFormat="1" x14ac:dyDescent="0.25">
      <c r="A68" s="21" t="s">
        <v>71</v>
      </c>
      <c r="B68" s="22">
        <v>43752</v>
      </c>
      <c r="C68" s="29">
        <v>25</v>
      </c>
      <c r="D68" s="24">
        <v>1993.47</v>
      </c>
      <c r="E68" s="24">
        <v>3355.62</v>
      </c>
      <c r="F68" s="24">
        <v>10800.78</v>
      </c>
      <c r="G68" s="24">
        <v>2892.21</v>
      </c>
      <c r="H68" s="24">
        <v>817.02</v>
      </c>
      <c r="I68" s="24">
        <v>1738.56</v>
      </c>
      <c r="J68" s="24">
        <v>0</v>
      </c>
      <c r="K68" s="24">
        <v>10.14</v>
      </c>
      <c r="L68" s="24">
        <v>65.86</v>
      </c>
      <c r="M68" s="24">
        <v>326.8</v>
      </c>
      <c r="N68" s="24">
        <v>0</v>
      </c>
      <c r="O68" s="24">
        <v>2640.21</v>
      </c>
      <c r="P68" s="24">
        <v>0</v>
      </c>
      <c r="Q68" s="24"/>
      <c r="R68" s="24">
        <v>4390.0600000000004</v>
      </c>
      <c r="S68" s="26">
        <v>3245.07</v>
      </c>
      <c r="T68" s="27">
        <f t="shared" si="7"/>
        <v>32275.800000000003</v>
      </c>
    </row>
    <row r="69" spans="1:26" s="28" customFormat="1" x14ac:dyDescent="0.25">
      <c r="A69" s="21" t="s">
        <v>72</v>
      </c>
      <c r="B69" s="22">
        <v>43690</v>
      </c>
      <c r="C69" s="29">
        <v>7</v>
      </c>
      <c r="D69" s="24"/>
      <c r="E69" s="24"/>
      <c r="F69" s="24"/>
      <c r="G69" s="24"/>
      <c r="H69" s="24">
        <v>187.12</v>
      </c>
      <c r="I69" s="24"/>
      <c r="J69" s="24"/>
      <c r="K69" s="24"/>
      <c r="L69" s="24"/>
      <c r="M69" s="24"/>
      <c r="N69" s="24"/>
      <c r="O69" s="24">
        <v>440.5</v>
      </c>
      <c r="P69" s="24">
        <v>78</v>
      </c>
      <c r="Q69" s="24">
        <v>3228.48</v>
      </c>
      <c r="R69" s="24">
        <v>682.38</v>
      </c>
      <c r="S69" s="26">
        <v>431.19</v>
      </c>
      <c r="T69" s="27">
        <f t="shared" si="7"/>
        <v>5047.6699999999992</v>
      </c>
    </row>
    <row r="70" spans="1:26" s="7" customFormat="1" x14ac:dyDescent="0.25">
      <c r="A70" s="12" t="s">
        <v>73</v>
      </c>
      <c r="B70" s="20">
        <v>43665</v>
      </c>
      <c r="C70" s="6">
        <v>38</v>
      </c>
      <c r="D70" s="8">
        <v>2062.84</v>
      </c>
      <c r="E70" s="8">
        <v>2333.9899999999998</v>
      </c>
      <c r="F70" s="8">
        <v>8349.98</v>
      </c>
      <c r="G70" s="8">
        <v>1386.5</v>
      </c>
      <c r="H70" s="8">
        <v>930</v>
      </c>
      <c r="I70" s="8">
        <v>1065.24</v>
      </c>
      <c r="J70" s="8"/>
      <c r="K70" s="8">
        <v>749.54</v>
      </c>
      <c r="L70" s="8">
        <v>78</v>
      </c>
      <c r="M70" s="8"/>
      <c r="N70" s="8"/>
      <c r="O70" s="8">
        <v>2273.2800000000002</v>
      </c>
      <c r="P70" s="8"/>
      <c r="Q70" s="8"/>
      <c r="R70" s="8">
        <v>3351.82</v>
      </c>
      <c r="S70" s="9">
        <v>2260.94</v>
      </c>
      <c r="T70" s="10">
        <f t="shared" si="7"/>
        <v>24842.129999999997</v>
      </c>
    </row>
    <row r="71" spans="1:26" s="7" customFormat="1" x14ac:dyDescent="0.25">
      <c r="A71" s="12" t="s">
        <v>74</v>
      </c>
      <c r="B71" s="20">
        <v>43698</v>
      </c>
      <c r="C71" s="6">
        <v>58</v>
      </c>
      <c r="D71" s="8">
        <v>3439.8</v>
      </c>
      <c r="E71" s="8">
        <v>3234.52</v>
      </c>
      <c r="F71" s="8">
        <v>15084.39</v>
      </c>
      <c r="G71" s="8">
        <v>2117.0100000000002</v>
      </c>
      <c r="H71" s="8">
        <v>1127.8</v>
      </c>
      <c r="I71" s="8">
        <v>1304.97</v>
      </c>
      <c r="J71" s="8"/>
      <c r="K71" s="8">
        <v>1820.51</v>
      </c>
      <c r="L71" s="8">
        <v>5.79</v>
      </c>
      <c r="M71" s="8">
        <v>0</v>
      </c>
      <c r="N71" s="8">
        <v>2763.11</v>
      </c>
      <c r="O71" s="8">
        <v>3874.04</v>
      </c>
      <c r="P71" s="8"/>
      <c r="Q71" s="8"/>
      <c r="R71" s="8">
        <v>6200.78</v>
      </c>
      <c r="S71" s="9">
        <v>3632.41</v>
      </c>
      <c r="T71" s="10">
        <f t="shared" si="7"/>
        <v>44605.130000000005</v>
      </c>
    </row>
    <row r="72" spans="1:26" s="28" customFormat="1" x14ac:dyDescent="0.25">
      <c r="A72" s="21" t="s">
        <v>75</v>
      </c>
      <c r="B72" s="22">
        <v>43700</v>
      </c>
      <c r="C72" s="29">
        <v>16</v>
      </c>
      <c r="D72" s="24">
        <v>1555.14</v>
      </c>
      <c r="E72" s="24">
        <v>1516.91</v>
      </c>
      <c r="F72" s="24">
        <v>5838.12</v>
      </c>
      <c r="G72" s="24">
        <v>0</v>
      </c>
      <c r="H72" s="24">
        <v>382.41</v>
      </c>
      <c r="I72" s="24">
        <v>650.1</v>
      </c>
      <c r="J72" s="24">
        <v>0</v>
      </c>
      <c r="K72" s="24">
        <v>1200.5999999999999</v>
      </c>
      <c r="L72" s="24">
        <v>0.12</v>
      </c>
      <c r="M72" s="24">
        <v>198.84</v>
      </c>
      <c r="N72" s="24">
        <v>0</v>
      </c>
      <c r="O72" s="24">
        <v>1718.94</v>
      </c>
      <c r="P72" s="24">
        <v>128</v>
      </c>
      <c r="Q72" s="24">
        <v>1844.01</v>
      </c>
      <c r="R72" s="24">
        <v>2669.24</v>
      </c>
      <c r="S72" s="26">
        <v>1558.63</v>
      </c>
      <c r="T72" s="27">
        <f t="shared" si="7"/>
        <v>19261.060000000001</v>
      </c>
    </row>
    <row r="73" spans="1:26" s="7" customFormat="1" x14ac:dyDescent="0.25">
      <c r="A73" s="12" t="s">
        <v>76</v>
      </c>
      <c r="B73" s="20">
        <v>43670</v>
      </c>
      <c r="C73" s="6">
        <v>36</v>
      </c>
      <c r="D73" s="8">
        <v>2321.7199999999998</v>
      </c>
      <c r="E73" s="8">
        <v>2473.96</v>
      </c>
      <c r="F73" s="8">
        <v>9960.4</v>
      </c>
      <c r="G73" s="8">
        <v>1731.77</v>
      </c>
      <c r="H73" s="8">
        <v>428.18</v>
      </c>
      <c r="I73" s="8">
        <v>947.54</v>
      </c>
      <c r="J73" s="8"/>
      <c r="K73" s="8"/>
      <c r="L73" s="8">
        <v>156.88</v>
      </c>
      <c r="M73" s="8">
        <v>285.45999999999998</v>
      </c>
      <c r="N73" s="8"/>
      <c r="O73" s="8">
        <v>2650.31</v>
      </c>
      <c r="P73" s="8">
        <v>324</v>
      </c>
      <c r="Q73" s="8">
        <v>2742.05</v>
      </c>
      <c r="R73" s="8">
        <v>4281.58</v>
      </c>
      <c r="S73" s="9">
        <v>2644.77</v>
      </c>
      <c r="T73" s="10">
        <f t="shared" ref="T73:T78" si="8">SUM(D73:S73)</f>
        <v>30948.62</v>
      </c>
    </row>
    <row r="74" spans="1:26" s="28" customFormat="1" x14ac:dyDescent="0.25">
      <c r="A74" s="21" t="s">
        <v>77</v>
      </c>
      <c r="B74" s="22">
        <v>43703</v>
      </c>
      <c r="C74" s="29">
        <v>9</v>
      </c>
      <c r="D74" s="24">
        <v>549.78</v>
      </c>
      <c r="E74" s="24">
        <v>473.18</v>
      </c>
      <c r="F74" s="24">
        <v>2023.38</v>
      </c>
      <c r="G74" s="24">
        <v>211.81</v>
      </c>
      <c r="H74" s="24">
        <v>135.19</v>
      </c>
      <c r="I74" s="24">
        <v>171.24</v>
      </c>
      <c r="J74" s="24"/>
      <c r="K74" s="24">
        <v>139.28</v>
      </c>
      <c r="L74" s="24"/>
      <c r="M74" s="24"/>
      <c r="N74" s="24">
        <v>356.02</v>
      </c>
      <c r="O74" s="24">
        <v>622.51</v>
      </c>
      <c r="P74" s="24">
        <v>54</v>
      </c>
      <c r="Q74" s="24">
        <v>657.4</v>
      </c>
      <c r="R74" s="24">
        <v>939.55</v>
      </c>
      <c r="S74" s="26">
        <v>559.79</v>
      </c>
      <c r="T74" s="27">
        <f t="shared" si="8"/>
        <v>6893.13</v>
      </c>
    </row>
    <row r="75" spans="1:26" s="28" customFormat="1" x14ac:dyDescent="0.25">
      <c r="A75" s="21" t="s">
        <v>78</v>
      </c>
      <c r="B75" s="22">
        <v>43693</v>
      </c>
      <c r="C75" s="29">
        <v>164</v>
      </c>
      <c r="D75" s="24">
        <v>27263.74</v>
      </c>
      <c r="E75" s="24">
        <v>25389.39</v>
      </c>
      <c r="F75" s="24">
        <v>84777.59</v>
      </c>
      <c r="G75" s="24">
        <v>13631.8</v>
      </c>
      <c r="H75" s="24">
        <v>5363.36</v>
      </c>
      <c r="I75" s="24">
        <v>7694.16</v>
      </c>
      <c r="J75" s="24">
        <v>2681.74</v>
      </c>
      <c r="K75" s="24">
        <v>6795.39</v>
      </c>
      <c r="L75" s="24"/>
      <c r="M75" s="24">
        <v>0</v>
      </c>
      <c r="N75" s="24">
        <v>0</v>
      </c>
      <c r="O75" s="24">
        <v>21291.02</v>
      </c>
      <c r="P75" s="24"/>
      <c r="Q75" s="24"/>
      <c r="R75" s="24">
        <v>34260.230000000003</v>
      </c>
      <c r="S75" s="26">
        <v>19426.13</v>
      </c>
      <c r="T75" s="27">
        <f t="shared" si="8"/>
        <v>248574.55</v>
      </c>
    </row>
    <row r="76" spans="1:26" s="7" customFormat="1" x14ac:dyDescent="0.25">
      <c r="A76" s="12" t="s">
        <v>79</v>
      </c>
      <c r="B76" s="20">
        <v>43707</v>
      </c>
      <c r="C76" s="6">
        <v>18</v>
      </c>
      <c r="D76" s="8">
        <v>1432.77</v>
      </c>
      <c r="E76" s="8">
        <v>1092.19</v>
      </c>
      <c r="F76" s="8">
        <v>4803.3</v>
      </c>
      <c r="G76" s="8">
        <v>880.8</v>
      </c>
      <c r="H76" s="8">
        <v>469.76</v>
      </c>
      <c r="I76" s="8">
        <v>440.39</v>
      </c>
      <c r="J76" s="8"/>
      <c r="K76" s="8">
        <v>1174.4000000000001</v>
      </c>
      <c r="L76" s="8">
        <v>0</v>
      </c>
      <c r="M76" s="8">
        <v>199.65</v>
      </c>
      <c r="N76" s="8"/>
      <c r="O76" s="8">
        <v>1536.77</v>
      </c>
      <c r="P76" s="8">
        <v>180</v>
      </c>
      <c r="Q76" s="8">
        <v>1703.31</v>
      </c>
      <c r="R76" s="8">
        <v>2475.31</v>
      </c>
      <c r="S76" s="9">
        <v>1489.69</v>
      </c>
      <c r="T76" s="10">
        <f t="shared" si="8"/>
        <v>17878.339999999997</v>
      </c>
    </row>
    <row r="77" spans="1:26" s="28" customFormat="1" x14ac:dyDescent="0.25">
      <c r="A77" s="21" t="s">
        <v>80</v>
      </c>
      <c r="B77" s="22">
        <v>43696</v>
      </c>
      <c r="C77" s="29">
        <v>1</v>
      </c>
      <c r="D77" s="24">
        <v>9.15</v>
      </c>
      <c r="E77" s="24">
        <v>11.7</v>
      </c>
      <c r="F77" s="24">
        <v>42.52</v>
      </c>
      <c r="G77" s="24">
        <v>2.85</v>
      </c>
      <c r="H77" s="24">
        <v>3.9</v>
      </c>
      <c r="I77" s="24">
        <v>2.5</v>
      </c>
      <c r="J77" s="24">
        <v>0</v>
      </c>
      <c r="K77" s="24">
        <v>40</v>
      </c>
      <c r="L77" s="24"/>
      <c r="M77" s="24">
        <v>0.98</v>
      </c>
      <c r="N77" s="24"/>
      <c r="O77" s="24">
        <v>16.47</v>
      </c>
      <c r="P77" s="24">
        <v>28</v>
      </c>
      <c r="Q77" s="24">
        <v>18.43</v>
      </c>
      <c r="R77" s="24">
        <v>28.41</v>
      </c>
      <c r="S77" s="26">
        <v>46.2</v>
      </c>
      <c r="T77" s="27">
        <f t="shared" si="8"/>
        <v>251.11</v>
      </c>
    </row>
    <row r="78" spans="1:26" s="7" customFormat="1" x14ac:dyDescent="0.25">
      <c r="A78" s="12" t="s">
        <v>81</v>
      </c>
      <c r="B78" s="20">
        <v>43699</v>
      </c>
      <c r="C78" s="6">
        <v>111</v>
      </c>
      <c r="D78" s="8">
        <v>15758.55</v>
      </c>
      <c r="E78" s="8">
        <v>10593.11</v>
      </c>
      <c r="F78" s="8">
        <v>83813.02</v>
      </c>
      <c r="G78" s="8">
        <v>7619.61</v>
      </c>
      <c r="H78" s="8">
        <v>6458.38</v>
      </c>
      <c r="I78" s="8">
        <v>2232.13</v>
      </c>
      <c r="J78" s="8">
        <v>0</v>
      </c>
      <c r="K78" s="8">
        <v>0</v>
      </c>
      <c r="L78" s="8">
        <v>127.75</v>
      </c>
      <c r="M78" s="8">
        <v>0</v>
      </c>
      <c r="N78" s="8">
        <v>6458.38</v>
      </c>
      <c r="O78" s="8">
        <v>18417.91</v>
      </c>
      <c r="P78" s="8">
        <v>1103.5999999999999</v>
      </c>
      <c r="Q78" s="8">
        <v>21995.79</v>
      </c>
      <c r="R78" s="8">
        <v>31915.37</v>
      </c>
      <c r="S78" s="9">
        <v>17528.169999999998</v>
      </c>
      <c r="T78" s="10">
        <f t="shared" si="8"/>
        <v>224021.77000000002</v>
      </c>
    </row>
    <row r="79" spans="1:26" s="28" customFormat="1" x14ac:dyDescent="0.25">
      <c r="A79" s="21" t="s">
        <v>82</v>
      </c>
      <c r="B79" s="22">
        <v>43704</v>
      </c>
      <c r="C79" s="29">
        <v>86</v>
      </c>
      <c r="D79" s="24">
        <v>1422.92</v>
      </c>
      <c r="E79" s="24">
        <v>5657</v>
      </c>
      <c r="F79" s="24">
        <v>7091.55</v>
      </c>
      <c r="G79" s="24">
        <v>1586.22</v>
      </c>
      <c r="H79" s="24">
        <v>1166.3800000000001</v>
      </c>
      <c r="I79" s="24">
        <v>1480.17</v>
      </c>
      <c r="J79" s="24">
        <v>0</v>
      </c>
      <c r="K79" s="24">
        <v>36.770000000000003</v>
      </c>
      <c r="L79" s="24"/>
      <c r="M79" s="24">
        <v>198.3</v>
      </c>
      <c r="N79" s="24"/>
      <c r="O79" s="24">
        <v>2495.9699999999998</v>
      </c>
      <c r="P79" s="24">
        <v>0</v>
      </c>
      <c r="Q79" s="24"/>
      <c r="R79" s="24">
        <v>3867.9</v>
      </c>
      <c r="S79" s="26">
        <v>2563.9499999999998</v>
      </c>
      <c r="T79" s="27">
        <f>SUM(D79:S79)</f>
        <v>27567.13</v>
      </c>
    </row>
    <row r="80" spans="1:26" s="28" customFormat="1" x14ac:dyDescent="0.25">
      <c r="A80" s="21" t="s">
        <v>83</v>
      </c>
      <c r="B80" s="22">
        <v>43754</v>
      </c>
      <c r="C80" s="29">
        <v>34</v>
      </c>
      <c r="D80" s="24">
        <v>1918.38</v>
      </c>
      <c r="E80" s="24">
        <v>1840.32</v>
      </c>
      <c r="F80" s="24">
        <v>9434.59</v>
      </c>
      <c r="G80" s="24">
        <v>864.84</v>
      </c>
      <c r="H80" s="24">
        <v>471.73</v>
      </c>
      <c r="I80" s="24">
        <v>502.58</v>
      </c>
      <c r="J80" s="24">
        <v>0</v>
      </c>
      <c r="K80" s="24">
        <v>12.04</v>
      </c>
      <c r="L80" s="24"/>
      <c r="M80" s="24">
        <v>172.96</v>
      </c>
      <c r="N80" s="24"/>
      <c r="O80" s="24">
        <v>1900.31</v>
      </c>
      <c r="P80" s="24"/>
      <c r="Q80" s="24"/>
      <c r="R80" s="24">
        <v>3013.87</v>
      </c>
      <c r="S80" s="26">
        <v>1982.96</v>
      </c>
      <c r="T80" s="27">
        <f>SUM(D80:S80)</f>
        <v>22114.579999999998</v>
      </c>
    </row>
    <row r="81" spans="1:20" s="28" customFormat="1" x14ac:dyDescent="0.25">
      <c r="A81" s="21" t="s">
        <v>84</v>
      </c>
      <c r="B81" s="22">
        <v>43670</v>
      </c>
      <c r="C81" s="29">
        <v>66</v>
      </c>
      <c r="D81" s="24">
        <v>7986.62</v>
      </c>
      <c r="E81" s="24">
        <v>6284.55</v>
      </c>
      <c r="F81" s="24">
        <v>31030.01</v>
      </c>
      <c r="G81" s="24">
        <v>6153.65</v>
      </c>
      <c r="H81" s="24">
        <v>4746.24</v>
      </c>
      <c r="I81" s="24">
        <v>1171.17</v>
      </c>
      <c r="J81" s="24">
        <v>2487.62</v>
      </c>
      <c r="K81" s="24">
        <v>4477.01</v>
      </c>
      <c r="L81" s="24">
        <v>132</v>
      </c>
      <c r="M81" s="24">
        <v>327.35000000000002</v>
      </c>
      <c r="N81" s="24">
        <v>128.96</v>
      </c>
      <c r="O81" s="24">
        <v>9128.77</v>
      </c>
      <c r="P81" s="24">
        <v>0</v>
      </c>
      <c r="Q81" s="24">
        <v>4979.45</v>
      </c>
      <c r="R81" s="24">
        <v>13954.52</v>
      </c>
      <c r="S81" s="26">
        <v>7637.26</v>
      </c>
      <c r="T81" s="27">
        <f>SUM(D81:S81)</f>
        <v>100625.18</v>
      </c>
    </row>
    <row r="82" spans="1:20" s="28" customFormat="1" x14ac:dyDescent="0.25">
      <c r="A82" s="21" t="s">
        <v>85</v>
      </c>
      <c r="B82" s="22">
        <v>43727</v>
      </c>
      <c r="C82" s="29">
        <v>0</v>
      </c>
      <c r="D82" s="24">
        <v>0</v>
      </c>
      <c r="E82" s="24">
        <v>0</v>
      </c>
      <c r="F82" s="24">
        <v>0</v>
      </c>
      <c r="G82" s="24">
        <v>0</v>
      </c>
      <c r="H82" s="24">
        <v>0</v>
      </c>
      <c r="I82" s="24">
        <v>0</v>
      </c>
      <c r="J82" s="24">
        <v>0</v>
      </c>
      <c r="K82" s="24">
        <v>0</v>
      </c>
      <c r="L82" s="24">
        <v>0</v>
      </c>
      <c r="M82" s="24">
        <v>0</v>
      </c>
      <c r="N82" s="24">
        <v>0</v>
      </c>
      <c r="O82" s="24">
        <v>0</v>
      </c>
      <c r="P82" s="24">
        <v>0</v>
      </c>
      <c r="Q82" s="24">
        <v>0</v>
      </c>
      <c r="R82" s="24">
        <v>0</v>
      </c>
      <c r="S82" s="26">
        <v>0</v>
      </c>
      <c r="T82" s="29">
        <v>0</v>
      </c>
    </row>
    <row r="83" spans="1:20" s="7" customFormat="1" x14ac:dyDescent="0.25">
      <c r="A83" s="12" t="s">
        <v>86</v>
      </c>
      <c r="B83" s="20">
        <v>43665</v>
      </c>
      <c r="C83" s="6">
        <v>31</v>
      </c>
      <c r="D83" s="8">
        <v>0</v>
      </c>
      <c r="E83" s="8">
        <v>0</v>
      </c>
      <c r="F83" s="8">
        <v>0</v>
      </c>
      <c r="G83" s="8">
        <v>0</v>
      </c>
      <c r="H83" s="8">
        <v>0</v>
      </c>
      <c r="I83" s="8">
        <v>0</v>
      </c>
      <c r="J83" s="8">
        <v>0</v>
      </c>
      <c r="K83" s="8">
        <v>0</v>
      </c>
      <c r="L83" s="8">
        <v>0</v>
      </c>
      <c r="M83" s="8">
        <v>0</v>
      </c>
      <c r="N83" s="8">
        <v>0</v>
      </c>
      <c r="O83" s="8">
        <v>2464.02</v>
      </c>
      <c r="P83" s="8">
        <v>651</v>
      </c>
      <c r="Q83" s="8">
        <v>18876.96</v>
      </c>
      <c r="R83" s="8">
        <v>3775.39</v>
      </c>
      <c r="S83" s="9">
        <v>2352.7199999999998</v>
      </c>
      <c r="T83" s="10">
        <f t="shared" ref="T83:T89" si="9">SUM(D83:S83)</f>
        <v>28120.09</v>
      </c>
    </row>
    <row r="84" spans="1:20" s="28" customFormat="1" x14ac:dyDescent="0.25">
      <c r="A84" s="21" t="s">
        <v>87</v>
      </c>
      <c r="B84" s="22">
        <v>43686</v>
      </c>
      <c r="C84" s="29">
        <v>60</v>
      </c>
      <c r="D84" s="24"/>
      <c r="E84" s="24"/>
      <c r="F84" s="24"/>
      <c r="G84" s="24"/>
      <c r="H84" s="24"/>
      <c r="I84" s="24"/>
      <c r="J84" s="24"/>
      <c r="K84" s="24"/>
      <c r="L84" s="24"/>
      <c r="M84" s="24"/>
      <c r="N84" s="24"/>
      <c r="O84" s="24">
        <v>8820.4699999999993</v>
      </c>
      <c r="P84" s="24">
        <v>540</v>
      </c>
      <c r="Q84" s="24">
        <v>67272.28</v>
      </c>
      <c r="R84" s="24">
        <v>13574.43</v>
      </c>
      <c r="S84" s="26">
        <v>7627.21</v>
      </c>
      <c r="T84" s="27">
        <f t="shared" si="9"/>
        <v>97834.39</v>
      </c>
    </row>
    <row r="85" spans="1:20" s="28" customFormat="1" x14ac:dyDescent="0.25">
      <c r="A85" s="21" t="s">
        <v>88</v>
      </c>
      <c r="B85" s="22">
        <v>43705</v>
      </c>
      <c r="C85" s="29">
        <v>3</v>
      </c>
      <c r="D85" s="24">
        <v>46.36</v>
      </c>
      <c r="E85" s="24">
        <v>43.32</v>
      </c>
      <c r="F85" s="24">
        <v>203.68</v>
      </c>
      <c r="G85" s="24">
        <v>36.479999999999997</v>
      </c>
      <c r="H85" s="24">
        <v>30.4</v>
      </c>
      <c r="I85" s="24">
        <v>25.28</v>
      </c>
      <c r="J85" s="24">
        <v>0</v>
      </c>
      <c r="K85" s="24">
        <v>33.049999999999997</v>
      </c>
      <c r="L85" s="24">
        <v>15.58</v>
      </c>
      <c r="M85" s="24">
        <v>22.8</v>
      </c>
      <c r="N85" s="24">
        <v>18.25</v>
      </c>
      <c r="O85" s="24">
        <v>72.66</v>
      </c>
      <c r="P85" s="24">
        <v>0</v>
      </c>
      <c r="Q85" s="24">
        <v>77.28</v>
      </c>
      <c r="R85" s="24">
        <v>122.5</v>
      </c>
      <c r="S85" s="26">
        <v>106.24</v>
      </c>
      <c r="T85" s="27">
        <f t="shared" si="9"/>
        <v>853.88</v>
      </c>
    </row>
    <row r="86" spans="1:20" s="7" customFormat="1" x14ac:dyDescent="0.25">
      <c r="A86" s="12" t="s">
        <v>89</v>
      </c>
      <c r="B86" s="20">
        <v>43663</v>
      </c>
      <c r="C86" s="6">
        <v>64</v>
      </c>
      <c r="D86" s="8">
        <v>7485.48</v>
      </c>
      <c r="E86" s="8">
        <v>7485.48</v>
      </c>
      <c r="F86" s="8">
        <v>36113.699999999997</v>
      </c>
      <c r="G86" s="8">
        <v>4969.87</v>
      </c>
      <c r="H86" s="8">
        <v>3067.81</v>
      </c>
      <c r="I86" s="8">
        <v>2515.6</v>
      </c>
      <c r="J86" s="8">
        <v>0</v>
      </c>
      <c r="K86" s="8">
        <v>2402.79</v>
      </c>
      <c r="L86" s="8">
        <v>0</v>
      </c>
      <c r="M86" s="8">
        <v>429.52</v>
      </c>
      <c r="N86" s="8">
        <v>0</v>
      </c>
      <c r="O86" s="8">
        <v>9229.07</v>
      </c>
      <c r="P86" s="8">
        <v>768</v>
      </c>
      <c r="Q86" s="8">
        <v>9652.8799999999992</v>
      </c>
      <c r="R86" s="8">
        <v>14952.62</v>
      </c>
      <c r="S86" s="9">
        <v>8372.2900000000009</v>
      </c>
      <c r="T86" s="10">
        <f t="shared" si="9"/>
        <v>107445.10999999999</v>
      </c>
    </row>
    <row r="87" spans="1:20" s="28" customFormat="1" x14ac:dyDescent="0.25">
      <c r="A87" s="21" t="s">
        <v>90</v>
      </c>
      <c r="B87" s="22">
        <v>43732</v>
      </c>
      <c r="C87" s="29">
        <v>68</v>
      </c>
      <c r="D87" s="24">
        <v>2728.05</v>
      </c>
      <c r="E87" s="24">
        <v>1977.19</v>
      </c>
      <c r="F87" s="24">
        <v>11632.19</v>
      </c>
      <c r="G87" s="24">
        <v>2638.64</v>
      </c>
      <c r="H87" s="24">
        <v>0</v>
      </c>
      <c r="I87" s="24">
        <v>2360.5100000000002</v>
      </c>
      <c r="J87" s="24">
        <v>0</v>
      </c>
      <c r="K87" s="24">
        <v>1890</v>
      </c>
      <c r="L87" s="24">
        <v>4.5199999999999996</v>
      </c>
      <c r="M87" s="24">
        <v>321.89</v>
      </c>
      <c r="N87" s="24">
        <v>1323.64</v>
      </c>
      <c r="O87" s="24">
        <v>3858.77</v>
      </c>
      <c r="P87" s="24">
        <v>1700</v>
      </c>
      <c r="Q87" s="24">
        <v>4361.1000000000004</v>
      </c>
      <c r="R87" s="24">
        <v>5847.69</v>
      </c>
      <c r="S87" s="26">
        <v>3943.82</v>
      </c>
      <c r="T87" s="27">
        <f t="shared" si="9"/>
        <v>44588.01</v>
      </c>
    </row>
    <row r="88" spans="1:20" s="28" customFormat="1" x14ac:dyDescent="0.25">
      <c r="A88" s="21" t="s">
        <v>91</v>
      </c>
      <c r="B88" s="22">
        <v>43720</v>
      </c>
      <c r="C88" s="29">
        <v>45</v>
      </c>
      <c r="D88" s="24">
        <v>2042.5</v>
      </c>
      <c r="E88" s="24">
        <v>1456.54</v>
      </c>
      <c r="F88" s="24">
        <v>9392.1</v>
      </c>
      <c r="G88" s="24">
        <v>971.01</v>
      </c>
      <c r="H88" s="24">
        <v>669.67</v>
      </c>
      <c r="I88" s="24">
        <v>1012.88</v>
      </c>
      <c r="J88" s="24">
        <v>0</v>
      </c>
      <c r="K88" s="24">
        <v>0</v>
      </c>
      <c r="L88" s="24">
        <v>9</v>
      </c>
      <c r="M88" s="24">
        <v>301.33999999999997</v>
      </c>
      <c r="N88" s="24">
        <v>1185.29</v>
      </c>
      <c r="O88" s="24">
        <v>2590.38</v>
      </c>
      <c r="P88" s="24">
        <v>450</v>
      </c>
      <c r="Q88" s="24">
        <v>2984.09</v>
      </c>
      <c r="R88" s="24">
        <v>4094.87</v>
      </c>
      <c r="S88" s="26">
        <v>2677.44</v>
      </c>
      <c r="T88" s="27">
        <f t="shared" si="9"/>
        <v>29837.109999999997</v>
      </c>
    </row>
    <row r="89" spans="1:20" s="28" customFormat="1" x14ac:dyDescent="0.25">
      <c r="A89" s="21" t="s">
        <v>92</v>
      </c>
      <c r="B89" s="22">
        <v>43691</v>
      </c>
      <c r="C89" s="29">
        <v>57</v>
      </c>
      <c r="D89" s="24">
        <v>6615.71</v>
      </c>
      <c r="E89" s="24">
        <v>4012.84</v>
      </c>
      <c r="F89" s="24">
        <v>28631.84</v>
      </c>
      <c r="G89" s="24">
        <v>4338.16</v>
      </c>
      <c r="H89" s="24">
        <v>3253.62</v>
      </c>
      <c r="I89" s="24">
        <v>2819.82</v>
      </c>
      <c r="J89" s="24">
        <v>0</v>
      </c>
      <c r="K89" s="24">
        <v>3370.3</v>
      </c>
      <c r="L89" s="24">
        <v>0</v>
      </c>
      <c r="M89" s="24">
        <v>0</v>
      </c>
      <c r="N89" s="24">
        <v>4392.33</v>
      </c>
      <c r="O89" s="24">
        <v>8476.65</v>
      </c>
      <c r="P89" s="24">
        <v>285</v>
      </c>
      <c r="Q89" s="24">
        <v>9326.19</v>
      </c>
      <c r="R89" s="24">
        <v>13466.17</v>
      </c>
      <c r="S89" s="26">
        <v>7531.09</v>
      </c>
      <c r="T89" s="27">
        <f t="shared" si="9"/>
        <v>96519.72</v>
      </c>
    </row>
    <row r="90" spans="1:20" s="7" customFormat="1" x14ac:dyDescent="0.25">
      <c r="A90" s="12" t="s">
        <v>93</v>
      </c>
      <c r="B90" s="20">
        <v>43684</v>
      </c>
      <c r="C90" s="6">
        <v>46</v>
      </c>
      <c r="D90" s="8">
        <v>2643.9</v>
      </c>
      <c r="E90" s="8">
        <v>1300.27</v>
      </c>
      <c r="F90" s="8">
        <v>13479.54</v>
      </c>
      <c r="G90" s="8">
        <v>2600.54</v>
      </c>
      <c r="H90" s="8">
        <v>2167.13</v>
      </c>
      <c r="I90" s="8">
        <v>2545.9499999999998</v>
      </c>
      <c r="J90" s="8">
        <v>0</v>
      </c>
      <c r="K90" s="8">
        <v>40.46</v>
      </c>
      <c r="L90" s="8">
        <v>46</v>
      </c>
      <c r="M90" s="8">
        <v>411.79</v>
      </c>
      <c r="N90" s="8">
        <v>2123.7800000000002</v>
      </c>
      <c r="O90" s="8">
        <v>3667.21</v>
      </c>
      <c r="P90" s="8"/>
      <c r="Q90" s="8"/>
      <c r="R90" s="8">
        <v>5462.66</v>
      </c>
      <c r="S90" s="9">
        <v>3191.36</v>
      </c>
      <c r="T90" s="10">
        <f t="shared" ref="T90:T96" si="10">SUM(D90:S90)</f>
        <v>39680.589999999997</v>
      </c>
    </row>
    <row r="91" spans="1:20" s="28" customFormat="1" x14ac:dyDescent="0.25">
      <c r="A91" s="21" t="s">
        <v>94</v>
      </c>
      <c r="B91" s="22">
        <v>43697</v>
      </c>
      <c r="C91" s="29">
        <v>53</v>
      </c>
      <c r="D91" s="24">
        <v>4257.45</v>
      </c>
      <c r="E91" s="24">
        <v>4082.99</v>
      </c>
      <c r="F91" s="24">
        <v>19577.22</v>
      </c>
      <c r="G91" s="24">
        <v>3594.35</v>
      </c>
      <c r="H91" s="24">
        <v>1186.51</v>
      </c>
      <c r="I91" s="24">
        <v>702.47</v>
      </c>
      <c r="J91" s="24"/>
      <c r="K91" s="24"/>
      <c r="L91" s="24">
        <v>679.46</v>
      </c>
      <c r="M91" s="24">
        <v>181.41</v>
      </c>
      <c r="N91" s="24"/>
      <c r="O91" s="24">
        <v>4689.6000000000004</v>
      </c>
      <c r="P91" s="24">
        <v>159</v>
      </c>
      <c r="Q91" s="24">
        <v>5289.86</v>
      </c>
      <c r="R91" s="24">
        <v>7399.89</v>
      </c>
      <c r="S91" s="26">
        <v>4750.1899999999996</v>
      </c>
      <c r="T91" s="27">
        <f t="shared" si="10"/>
        <v>56550.400000000001</v>
      </c>
    </row>
    <row r="92" spans="1:20" s="28" customFormat="1" x14ac:dyDescent="0.25">
      <c r="A92" s="21" t="s">
        <v>95</v>
      </c>
      <c r="B92" s="22">
        <v>43671</v>
      </c>
      <c r="C92" s="29">
        <v>56</v>
      </c>
      <c r="D92" s="24">
        <v>6835.06</v>
      </c>
      <c r="E92" s="24">
        <v>8011.64</v>
      </c>
      <c r="F92" s="24">
        <v>31190.67</v>
      </c>
      <c r="G92" s="24">
        <v>4314</v>
      </c>
      <c r="H92" s="24">
        <v>0</v>
      </c>
      <c r="I92" s="24">
        <v>588.32000000000005</v>
      </c>
      <c r="J92" s="24">
        <v>0</v>
      </c>
      <c r="K92" s="24">
        <v>4083.47</v>
      </c>
      <c r="L92" s="24"/>
      <c r="M92" s="24">
        <v>291.32</v>
      </c>
      <c r="N92" s="24">
        <v>0</v>
      </c>
      <c r="O92" s="24">
        <v>6828.7</v>
      </c>
      <c r="P92" s="24">
        <v>896</v>
      </c>
      <c r="Q92" s="24"/>
      <c r="R92" s="24">
        <v>11116.95</v>
      </c>
      <c r="S92" s="26">
        <v>7936.74</v>
      </c>
      <c r="T92" s="27">
        <f t="shared" si="10"/>
        <v>82092.87</v>
      </c>
    </row>
    <row r="93" spans="1:20" s="28" customFormat="1" x14ac:dyDescent="0.25">
      <c r="A93" s="21" t="s">
        <v>96</v>
      </c>
      <c r="B93" s="22">
        <v>43669</v>
      </c>
      <c r="C93" s="29">
        <v>12</v>
      </c>
      <c r="D93" s="24">
        <v>1063.3</v>
      </c>
      <c r="E93" s="24">
        <v>1255.03</v>
      </c>
      <c r="F93" s="24">
        <v>3451.34</v>
      </c>
      <c r="G93" s="24">
        <v>705.95</v>
      </c>
      <c r="H93" s="24">
        <v>435.78</v>
      </c>
      <c r="I93" s="24">
        <v>326.04000000000002</v>
      </c>
      <c r="J93" s="24">
        <v>0</v>
      </c>
      <c r="K93" s="24">
        <v>473.99</v>
      </c>
      <c r="L93" s="24">
        <v>0</v>
      </c>
      <c r="M93" s="24">
        <v>130.74</v>
      </c>
      <c r="N93" s="24">
        <v>0</v>
      </c>
      <c r="O93" s="24">
        <v>1202.8399999999999</v>
      </c>
      <c r="P93" s="24">
        <v>84</v>
      </c>
      <c r="Q93" s="24">
        <v>1177.3599999999999</v>
      </c>
      <c r="R93" s="24">
        <v>1803.91</v>
      </c>
      <c r="S93" s="26">
        <v>1081.96</v>
      </c>
      <c r="T93" s="27">
        <f t="shared" si="10"/>
        <v>13192.239999999998</v>
      </c>
    </row>
    <row r="94" spans="1:20" s="7" customFormat="1" x14ac:dyDescent="0.25">
      <c r="A94" s="12" t="s">
        <v>97</v>
      </c>
      <c r="B94" s="20">
        <v>43762</v>
      </c>
      <c r="C94" s="6">
        <v>55</v>
      </c>
      <c r="D94" s="8">
        <v>2752.08</v>
      </c>
      <c r="E94" s="8">
        <v>1646.76</v>
      </c>
      <c r="F94" s="8">
        <v>11843.08</v>
      </c>
      <c r="G94" s="8">
        <v>1872.32</v>
      </c>
      <c r="H94" s="8">
        <v>902.33</v>
      </c>
      <c r="I94" s="8">
        <v>757.94</v>
      </c>
      <c r="J94" s="8"/>
      <c r="K94" s="8"/>
      <c r="L94" s="8">
        <v>45.88</v>
      </c>
      <c r="M94" s="8">
        <v>180.47</v>
      </c>
      <c r="N94" s="8"/>
      <c r="O94" s="8">
        <v>2874.55</v>
      </c>
      <c r="P94" s="8">
        <v>275</v>
      </c>
      <c r="Q94" s="8">
        <v>3741.33</v>
      </c>
      <c r="R94" s="8">
        <v>4858.3999999999996</v>
      </c>
      <c r="S94" s="9">
        <v>3199.17</v>
      </c>
      <c r="T94" s="10">
        <f t="shared" si="10"/>
        <v>34949.310000000005</v>
      </c>
    </row>
    <row r="95" spans="1:20" s="7" customFormat="1" x14ac:dyDescent="0.25">
      <c r="A95" s="12" t="s">
        <v>98</v>
      </c>
      <c r="B95" s="20">
        <v>43671</v>
      </c>
      <c r="C95" s="6">
        <v>44</v>
      </c>
      <c r="D95" s="8">
        <v>13918.42</v>
      </c>
      <c r="E95" s="8">
        <v>9919.86</v>
      </c>
      <c r="F95" s="8">
        <v>63915.96</v>
      </c>
      <c r="G95" s="8">
        <v>4667.6000000000004</v>
      </c>
      <c r="H95" s="8">
        <v>2840.41</v>
      </c>
      <c r="I95" s="8">
        <v>1655.03</v>
      </c>
      <c r="J95" s="8"/>
      <c r="K95" s="8">
        <v>10871.5</v>
      </c>
      <c r="L95" s="8">
        <v>25450.19</v>
      </c>
      <c r="M95" s="8">
        <v>1125.28</v>
      </c>
      <c r="N95" s="8">
        <v>5385.45</v>
      </c>
      <c r="O95" s="8">
        <v>18798.95</v>
      </c>
      <c r="P95" s="8">
        <v>1099</v>
      </c>
      <c r="Q95" s="8">
        <v>24052.93</v>
      </c>
      <c r="R95" s="8">
        <v>32938.53</v>
      </c>
      <c r="S95" s="9">
        <v>17715.259999999998</v>
      </c>
      <c r="T95" s="10">
        <f t="shared" si="10"/>
        <v>234354.37000000002</v>
      </c>
    </row>
    <row r="96" spans="1:20" s="28" customFormat="1" x14ac:dyDescent="0.25">
      <c r="A96" s="21" t="s">
        <v>99</v>
      </c>
      <c r="B96" s="22">
        <v>43670</v>
      </c>
      <c r="C96" s="29">
        <v>21</v>
      </c>
      <c r="D96" s="24">
        <v>1994.84</v>
      </c>
      <c r="E96" s="24">
        <v>1994.84</v>
      </c>
      <c r="F96" s="24">
        <v>10775.34</v>
      </c>
      <c r="G96" s="24">
        <v>1782.28</v>
      </c>
      <c r="H96" s="24">
        <v>915.64</v>
      </c>
      <c r="I96" s="24">
        <v>873.15</v>
      </c>
      <c r="J96" s="24">
        <v>0</v>
      </c>
      <c r="K96" s="24">
        <v>729.79</v>
      </c>
      <c r="L96" s="24">
        <v>300</v>
      </c>
      <c r="M96" s="24">
        <v>261.60000000000002</v>
      </c>
      <c r="N96" s="24">
        <v>0</v>
      </c>
      <c r="O96" s="24">
        <v>2538.9699999999998</v>
      </c>
      <c r="P96" s="24">
        <v>0</v>
      </c>
      <c r="Q96" s="24"/>
      <c r="R96" s="24">
        <v>3896.18</v>
      </c>
      <c r="S96" s="26">
        <v>2228.77</v>
      </c>
      <c r="T96" s="27">
        <f t="shared" si="10"/>
        <v>28291.4</v>
      </c>
    </row>
    <row r="97" spans="1:21" s="28" customFormat="1" x14ac:dyDescent="0.25">
      <c r="A97" s="21" t="s">
        <v>100</v>
      </c>
      <c r="B97" s="22">
        <v>43769</v>
      </c>
      <c r="C97" s="29">
        <v>0</v>
      </c>
      <c r="D97" s="24">
        <v>0</v>
      </c>
      <c r="E97" s="24">
        <v>0</v>
      </c>
      <c r="F97" s="24">
        <v>0</v>
      </c>
      <c r="G97" s="24">
        <v>0</v>
      </c>
      <c r="H97" s="24">
        <v>0</v>
      </c>
      <c r="I97" s="24">
        <v>0</v>
      </c>
      <c r="J97" s="24">
        <v>0</v>
      </c>
      <c r="K97" s="24">
        <v>0</v>
      </c>
      <c r="L97" s="24">
        <v>0</v>
      </c>
      <c r="M97" s="24">
        <v>0</v>
      </c>
      <c r="N97" s="24">
        <v>0</v>
      </c>
      <c r="O97" s="24">
        <v>0</v>
      </c>
      <c r="P97" s="24">
        <v>0</v>
      </c>
      <c r="Q97" s="24">
        <v>0</v>
      </c>
      <c r="R97" s="24">
        <v>0</v>
      </c>
      <c r="S97" s="26">
        <v>0</v>
      </c>
      <c r="T97" s="27">
        <f t="shared" ref="T97:T102" si="11">SUM(D97:S97)</f>
        <v>0</v>
      </c>
      <c r="U97" s="26"/>
    </row>
    <row r="98" spans="1:21" s="28" customFormat="1" x14ac:dyDescent="0.25">
      <c r="A98" s="21" t="s">
        <v>101</v>
      </c>
      <c r="B98" s="22">
        <v>43664</v>
      </c>
      <c r="C98" s="29">
        <v>31</v>
      </c>
      <c r="D98" s="24">
        <v>1722.36</v>
      </c>
      <c r="E98" s="24">
        <v>2230.59</v>
      </c>
      <c r="F98" s="24">
        <v>9684.7199999999993</v>
      </c>
      <c r="G98" s="24">
        <v>1581.18</v>
      </c>
      <c r="H98" s="24">
        <v>818.82</v>
      </c>
      <c r="I98" s="24">
        <v>1376.54</v>
      </c>
      <c r="J98" s="24">
        <v>324.70999999999998</v>
      </c>
      <c r="K98" s="24">
        <v>91.95</v>
      </c>
      <c r="L98" s="24">
        <v>267.77999999999997</v>
      </c>
      <c r="M98" s="24">
        <v>197.65</v>
      </c>
      <c r="N98" s="24">
        <v>1247.4000000000001</v>
      </c>
      <c r="O98" s="24">
        <v>2532.48</v>
      </c>
      <c r="P98" s="24">
        <v>0</v>
      </c>
      <c r="Q98" s="24">
        <v>0</v>
      </c>
      <c r="R98" s="24">
        <v>3902.54</v>
      </c>
      <c r="S98" s="26">
        <v>2261.2600000000002</v>
      </c>
      <c r="T98" s="27">
        <f t="shared" si="11"/>
        <v>28239.980000000003</v>
      </c>
    </row>
    <row r="99" spans="1:21" s="28" customFormat="1" ht="15.75" x14ac:dyDescent="0.25">
      <c r="A99" s="41" t="s">
        <v>102</v>
      </c>
      <c r="B99" s="22">
        <v>43718</v>
      </c>
      <c r="C99" s="29">
        <v>52</v>
      </c>
      <c r="D99" s="24">
        <v>5357.88</v>
      </c>
      <c r="E99" s="24">
        <v>4347.79</v>
      </c>
      <c r="F99" s="24">
        <v>24704.560000000001</v>
      </c>
      <c r="G99" s="24">
        <v>7026.72</v>
      </c>
      <c r="H99" s="24">
        <v>1976.27</v>
      </c>
      <c r="I99" s="24">
        <v>986.86</v>
      </c>
      <c r="J99" s="24"/>
      <c r="K99" s="24"/>
      <c r="L99" s="24">
        <v>168.54</v>
      </c>
      <c r="M99" s="24">
        <v>614.86</v>
      </c>
      <c r="N99" s="24"/>
      <c r="O99" s="24">
        <v>6890.99</v>
      </c>
      <c r="P99" s="24">
        <v>572</v>
      </c>
      <c r="Q99" s="24">
        <v>7913.97</v>
      </c>
      <c r="R99" s="24">
        <v>10723.48</v>
      </c>
      <c r="S99" s="26">
        <v>6089.69</v>
      </c>
      <c r="T99" s="27">
        <f t="shared" si="11"/>
        <v>77373.61</v>
      </c>
    </row>
    <row r="100" spans="1:21" s="28" customFormat="1" ht="15.75" x14ac:dyDescent="0.25">
      <c r="A100" s="41" t="s">
        <v>103</v>
      </c>
      <c r="B100" s="22">
        <v>43754</v>
      </c>
      <c r="C100" s="29">
        <v>28</v>
      </c>
      <c r="D100" s="24">
        <v>2093.38</v>
      </c>
      <c r="E100" s="24">
        <v>3088.62</v>
      </c>
      <c r="F100" s="24">
        <v>15220.04</v>
      </c>
      <c r="G100" s="24">
        <v>2802.8</v>
      </c>
      <c r="H100" s="24">
        <v>1029.54</v>
      </c>
      <c r="I100" s="24">
        <v>781.14</v>
      </c>
      <c r="J100" s="24"/>
      <c r="K100" s="24">
        <v>73.3</v>
      </c>
      <c r="L100" s="24"/>
      <c r="M100" s="24">
        <v>137.29</v>
      </c>
      <c r="N100" s="24">
        <v>0</v>
      </c>
      <c r="O100" s="24">
        <v>3837.84</v>
      </c>
      <c r="P100" s="24">
        <v>189</v>
      </c>
      <c r="Q100" s="24">
        <v>4418.1099999999997</v>
      </c>
      <c r="R100" s="24">
        <v>5985.19</v>
      </c>
      <c r="S100" s="26">
        <v>3379.61</v>
      </c>
      <c r="T100" s="27">
        <f t="shared" si="11"/>
        <v>43035.86</v>
      </c>
    </row>
    <row r="101" spans="1:21" s="28" customFormat="1" x14ac:dyDescent="0.25">
      <c r="A101" s="21" t="s">
        <v>104</v>
      </c>
      <c r="B101" s="22">
        <v>43754</v>
      </c>
      <c r="C101" s="29">
        <v>38</v>
      </c>
      <c r="D101" s="24">
        <v>1999.84</v>
      </c>
      <c r="E101" s="24">
        <v>1655.63</v>
      </c>
      <c r="F101" s="24">
        <v>6907.89</v>
      </c>
      <c r="G101" s="24">
        <v>819.6</v>
      </c>
      <c r="H101" s="24">
        <v>1295.3599999999999</v>
      </c>
      <c r="I101" s="24">
        <v>592.20000000000005</v>
      </c>
      <c r="J101" s="24">
        <v>0</v>
      </c>
      <c r="K101" s="24">
        <v>14.57</v>
      </c>
      <c r="L101" s="24">
        <v>0</v>
      </c>
      <c r="M101" s="24">
        <v>0</v>
      </c>
      <c r="N101" s="24">
        <v>0</v>
      </c>
      <c r="O101" s="24">
        <v>2070.04</v>
      </c>
      <c r="P101" s="24">
        <v>12</v>
      </c>
      <c r="Q101" s="24"/>
      <c r="R101" s="24">
        <v>3183.99</v>
      </c>
      <c r="S101" s="26">
        <v>1591.97</v>
      </c>
      <c r="T101" s="27">
        <f t="shared" si="11"/>
        <v>20143.090000000004</v>
      </c>
    </row>
    <row r="102" spans="1:21" s="7" customFormat="1" x14ac:dyDescent="0.25">
      <c r="A102" s="12" t="s">
        <v>105</v>
      </c>
      <c r="B102" s="20">
        <v>43699</v>
      </c>
      <c r="C102" s="6">
        <v>141</v>
      </c>
      <c r="D102" s="8">
        <v>15677.98</v>
      </c>
      <c r="E102" s="8">
        <v>6553.83</v>
      </c>
      <c r="F102" s="8">
        <v>52772.18</v>
      </c>
      <c r="G102" s="8">
        <v>8481.44</v>
      </c>
      <c r="H102" s="8">
        <v>3855.24</v>
      </c>
      <c r="I102" s="8">
        <v>1986.81</v>
      </c>
      <c r="J102" s="8"/>
      <c r="K102" s="8"/>
      <c r="L102" s="8">
        <v>1.46</v>
      </c>
      <c r="M102" s="8"/>
      <c r="N102" s="8"/>
      <c r="O102" s="8">
        <v>12323.5</v>
      </c>
      <c r="P102" s="8">
        <v>1960</v>
      </c>
      <c r="Q102" s="8">
        <v>13924.46</v>
      </c>
      <c r="R102" s="8">
        <v>19855.39</v>
      </c>
      <c r="S102" s="9">
        <v>11887.65</v>
      </c>
      <c r="T102" s="10">
        <f t="shared" si="11"/>
        <v>149279.93999999997</v>
      </c>
    </row>
    <row r="103" spans="1:21" s="7" customFormat="1" x14ac:dyDescent="0.25">
      <c r="A103" s="12" t="s">
        <v>106</v>
      </c>
      <c r="B103" s="20">
        <v>43690</v>
      </c>
      <c r="C103" s="6">
        <v>0</v>
      </c>
      <c r="D103" s="8">
        <v>0</v>
      </c>
      <c r="E103" s="8">
        <v>0</v>
      </c>
      <c r="F103" s="8">
        <v>0</v>
      </c>
      <c r="G103" s="8">
        <v>0</v>
      </c>
      <c r="H103" s="8">
        <v>0</v>
      </c>
      <c r="I103" s="8">
        <v>0</v>
      </c>
      <c r="J103" s="8">
        <v>0</v>
      </c>
      <c r="K103" s="8">
        <v>0</v>
      </c>
      <c r="L103" s="8">
        <v>0</v>
      </c>
      <c r="M103" s="8">
        <v>0</v>
      </c>
      <c r="N103" s="8">
        <v>0</v>
      </c>
      <c r="O103" s="8">
        <v>0</v>
      </c>
      <c r="P103" s="8">
        <v>0</v>
      </c>
      <c r="Q103" s="8">
        <v>0</v>
      </c>
      <c r="R103" s="8">
        <v>0</v>
      </c>
      <c r="S103" s="9">
        <v>0</v>
      </c>
      <c r="T103" s="10">
        <v>0</v>
      </c>
    </row>
    <row r="104" spans="1:21" s="28" customFormat="1" x14ac:dyDescent="0.25">
      <c r="A104" s="21" t="s">
        <v>107</v>
      </c>
      <c r="B104" s="22">
        <v>43696</v>
      </c>
      <c r="C104" s="29">
        <v>39</v>
      </c>
      <c r="D104" s="24">
        <v>3882.85</v>
      </c>
      <c r="E104" s="24">
        <v>2518.35</v>
      </c>
      <c r="F104" s="24">
        <v>13367.15</v>
      </c>
      <c r="G104" s="24">
        <v>2577.9499999999998</v>
      </c>
      <c r="H104" s="24">
        <v>2227.86</v>
      </c>
      <c r="I104" s="24">
        <v>1388.59</v>
      </c>
      <c r="J104" s="24">
        <v>0</v>
      </c>
      <c r="K104" s="24">
        <v>3.95</v>
      </c>
      <c r="L104" s="24">
        <v>0</v>
      </c>
      <c r="M104" s="24">
        <v>286.45999999999998</v>
      </c>
      <c r="N104" s="24">
        <v>0</v>
      </c>
      <c r="O104" s="24">
        <v>3506.62</v>
      </c>
      <c r="P104" s="24">
        <v>0</v>
      </c>
      <c r="Q104" s="24"/>
      <c r="R104" s="24">
        <v>5289.48</v>
      </c>
      <c r="S104" s="26">
        <v>3190.76</v>
      </c>
      <c r="T104" s="27">
        <f>SUM(D104:S104)</f>
        <v>38240.019999999997</v>
      </c>
    </row>
    <row r="105" spans="1:21" s="28" customFormat="1" x14ac:dyDescent="0.25">
      <c r="A105" s="21" t="s">
        <v>108</v>
      </c>
      <c r="B105" s="22">
        <v>43692</v>
      </c>
      <c r="C105" s="29">
        <v>32</v>
      </c>
      <c r="D105" s="24">
        <v>2359.3200000000002</v>
      </c>
      <c r="E105" s="24">
        <v>1257.44</v>
      </c>
      <c r="F105" s="24">
        <v>10123.57</v>
      </c>
      <c r="G105" s="24">
        <v>1924.84</v>
      </c>
      <c r="H105" s="24">
        <v>822.15</v>
      </c>
      <c r="I105" s="24">
        <v>0</v>
      </c>
      <c r="J105" s="24">
        <v>0</v>
      </c>
      <c r="K105" s="24">
        <v>0</v>
      </c>
      <c r="L105" s="24">
        <v>2.2999999999999998</v>
      </c>
      <c r="M105" s="24">
        <v>0</v>
      </c>
      <c r="N105" s="24">
        <v>0</v>
      </c>
      <c r="O105" s="24">
        <v>2547.21</v>
      </c>
      <c r="P105" s="24">
        <v>310</v>
      </c>
      <c r="Q105" s="24">
        <v>2674.31</v>
      </c>
      <c r="R105" s="24">
        <v>3883.28</v>
      </c>
      <c r="S105" s="26">
        <v>2375.64</v>
      </c>
      <c r="T105" s="27">
        <f t="shared" ref="T105:T110" si="12">SUM(D105:S105)</f>
        <v>28280.059999999998</v>
      </c>
    </row>
    <row r="106" spans="1:21" s="7" customFormat="1" x14ac:dyDescent="0.25">
      <c r="A106" s="12" t="s">
        <v>109</v>
      </c>
      <c r="B106" s="20">
        <v>43669</v>
      </c>
      <c r="C106" s="6">
        <v>38</v>
      </c>
      <c r="D106" s="8">
        <v>4195.92</v>
      </c>
      <c r="E106" s="8">
        <v>2494.33</v>
      </c>
      <c r="F106" s="8">
        <v>17952.95</v>
      </c>
      <c r="G106" s="8">
        <v>2132.37</v>
      </c>
      <c r="H106" s="8">
        <v>1547.72</v>
      </c>
      <c r="I106" s="8">
        <v>1243.28</v>
      </c>
      <c r="J106" s="8">
        <v>2269.88</v>
      </c>
      <c r="K106" s="8">
        <v>1.31</v>
      </c>
      <c r="L106" s="8">
        <v>0</v>
      </c>
      <c r="M106" s="8">
        <v>309.57</v>
      </c>
      <c r="N106" s="8">
        <v>2166.75</v>
      </c>
      <c r="O106" s="8">
        <v>4607.7299999999996</v>
      </c>
      <c r="P106" s="8"/>
      <c r="Q106" s="8"/>
      <c r="R106" s="8">
        <v>6900.83</v>
      </c>
      <c r="S106" s="9">
        <v>3982.44</v>
      </c>
      <c r="T106" s="10">
        <f t="shared" si="12"/>
        <v>49805.08</v>
      </c>
    </row>
    <row r="107" spans="1:21" s="28" customFormat="1" x14ac:dyDescent="0.25">
      <c r="A107" s="21" t="s">
        <v>110</v>
      </c>
      <c r="B107" s="22">
        <v>43689</v>
      </c>
      <c r="C107" s="29">
        <v>83</v>
      </c>
      <c r="D107" s="24">
        <v>19077.599999999999</v>
      </c>
      <c r="E107" s="24">
        <v>9851.57</v>
      </c>
      <c r="F107" s="24">
        <v>88194.84</v>
      </c>
      <c r="G107" s="24">
        <v>8913.31</v>
      </c>
      <c r="H107" s="24">
        <v>6880.46</v>
      </c>
      <c r="I107" s="24">
        <v>2783.43</v>
      </c>
      <c r="J107" s="24">
        <v>0</v>
      </c>
      <c r="K107" s="24">
        <v>0</v>
      </c>
      <c r="L107" s="24">
        <v>0</v>
      </c>
      <c r="M107" s="24">
        <v>0</v>
      </c>
      <c r="N107" s="24">
        <v>0</v>
      </c>
      <c r="O107" s="24">
        <v>19573.48</v>
      </c>
      <c r="P107" s="24">
        <v>1743</v>
      </c>
      <c r="Q107" s="24">
        <v>22012.38</v>
      </c>
      <c r="R107" s="24">
        <v>31708.73</v>
      </c>
      <c r="S107" s="26">
        <v>17016.34</v>
      </c>
      <c r="T107" s="27">
        <f t="shared" si="12"/>
        <v>227755.14</v>
      </c>
    </row>
    <row r="108" spans="1:21" s="7" customFormat="1" x14ac:dyDescent="0.25">
      <c r="A108" s="12" t="s">
        <v>111</v>
      </c>
      <c r="B108" s="20">
        <v>43671</v>
      </c>
      <c r="C108" s="6">
        <v>55</v>
      </c>
      <c r="D108" s="8">
        <v>8071.08</v>
      </c>
      <c r="E108" s="8">
        <v>7078.72</v>
      </c>
      <c r="F108" s="8">
        <v>48360.24</v>
      </c>
      <c r="G108" s="8">
        <v>2249.34</v>
      </c>
      <c r="H108" s="8">
        <v>2480.85</v>
      </c>
      <c r="I108" s="8">
        <v>1342.85</v>
      </c>
      <c r="J108" s="8">
        <v>0</v>
      </c>
      <c r="K108" s="8">
        <v>5668.59</v>
      </c>
      <c r="L108" s="8">
        <v>2585.35</v>
      </c>
      <c r="M108" s="8">
        <v>0</v>
      </c>
      <c r="N108" s="8">
        <v>0</v>
      </c>
      <c r="O108" s="8">
        <v>10535.38</v>
      </c>
      <c r="P108" s="8">
        <v>495</v>
      </c>
      <c r="Q108" s="8">
        <v>11629.99</v>
      </c>
      <c r="R108" s="8">
        <v>18003.41</v>
      </c>
      <c r="S108" s="9">
        <v>9771.68</v>
      </c>
      <c r="T108" s="10">
        <f t="shared" si="12"/>
        <v>128272.48000000001</v>
      </c>
    </row>
    <row r="109" spans="1:21" s="7" customFormat="1" x14ac:dyDescent="0.25">
      <c r="A109" s="12" t="s">
        <v>112</v>
      </c>
      <c r="B109" s="20">
        <v>43705</v>
      </c>
      <c r="C109" s="6">
        <v>30</v>
      </c>
      <c r="D109" s="8">
        <v>3376.24</v>
      </c>
      <c r="E109" s="8">
        <v>2905.77</v>
      </c>
      <c r="F109" s="8">
        <v>14943.96</v>
      </c>
      <c r="G109" s="8">
        <v>1771.16</v>
      </c>
      <c r="H109" s="8"/>
      <c r="I109" s="8">
        <v>552.64</v>
      </c>
      <c r="J109" s="8"/>
      <c r="K109" s="8">
        <v>120</v>
      </c>
      <c r="L109" s="8">
        <v>1200.46</v>
      </c>
      <c r="M109" s="8"/>
      <c r="N109" s="8"/>
      <c r="O109" s="8">
        <v>3689.97</v>
      </c>
      <c r="P109" s="8">
        <v>290</v>
      </c>
      <c r="Q109" s="8">
        <v>4022.63</v>
      </c>
      <c r="R109" s="8">
        <v>5778.58</v>
      </c>
      <c r="S109" s="9">
        <v>3334.28</v>
      </c>
      <c r="T109" s="10">
        <f t="shared" si="12"/>
        <v>41985.69</v>
      </c>
    </row>
    <row r="110" spans="1:21" s="7" customFormat="1" x14ac:dyDescent="0.25">
      <c r="A110" s="12" t="s">
        <v>113</v>
      </c>
      <c r="B110" s="20">
        <v>43690</v>
      </c>
      <c r="C110" s="6">
        <v>28</v>
      </c>
      <c r="D110" s="8">
        <v>2253.15</v>
      </c>
      <c r="E110" s="8">
        <v>1447.48</v>
      </c>
      <c r="F110" s="8">
        <v>11653.61</v>
      </c>
      <c r="G110" s="8">
        <v>868</v>
      </c>
      <c r="H110" s="8">
        <v>738.74</v>
      </c>
      <c r="I110" s="8">
        <v>633.46</v>
      </c>
      <c r="J110" s="8">
        <v>0</v>
      </c>
      <c r="K110" s="8">
        <v>1292.79</v>
      </c>
      <c r="L110" s="8">
        <v>0</v>
      </c>
      <c r="M110" s="8">
        <v>232.22</v>
      </c>
      <c r="N110" s="8">
        <v>0</v>
      </c>
      <c r="O110" s="8">
        <v>2795.22</v>
      </c>
      <c r="P110" s="8">
        <v>756</v>
      </c>
      <c r="Q110" s="8">
        <v>3107.93</v>
      </c>
      <c r="R110" s="8">
        <v>4451.45</v>
      </c>
      <c r="S110" s="9">
        <v>2645.74</v>
      </c>
      <c r="T110" s="10">
        <f t="shared" si="12"/>
        <v>32875.790000000008</v>
      </c>
    </row>
    <row r="111" spans="1:21" s="28" customFormat="1" x14ac:dyDescent="0.25">
      <c r="A111" s="21" t="s">
        <v>114</v>
      </c>
      <c r="B111" s="22">
        <v>43698</v>
      </c>
      <c r="C111" s="29">
        <v>31</v>
      </c>
      <c r="D111" s="24">
        <v>2467.42</v>
      </c>
      <c r="E111" s="24">
        <v>1658.43</v>
      </c>
      <c r="F111" s="24">
        <v>7287.63</v>
      </c>
      <c r="G111" s="24">
        <v>1516.88</v>
      </c>
      <c r="H111" s="24">
        <v>657.37</v>
      </c>
      <c r="I111" s="24">
        <v>858.96</v>
      </c>
      <c r="J111" s="24">
        <v>1678.68</v>
      </c>
      <c r="K111" s="24"/>
      <c r="L111" s="24"/>
      <c r="M111" s="24"/>
      <c r="N111" s="24"/>
      <c r="O111" s="24">
        <v>752.82</v>
      </c>
      <c r="P111" s="24"/>
      <c r="Q111" s="24">
        <v>2537.38</v>
      </c>
      <c r="R111" s="24">
        <v>3732.94</v>
      </c>
      <c r="S111" s="26">
        <v>3279.47</v>
      </c>
      <c r="T111" s="27">
        <f>SUM(D111:S111)</f>
        <v>26427.980000000003</v>
      </c>
    </row>
    <row r="112" spans="1:21" s="7" customFormat="1" x14ac:dyDescent="0.25">
      <c r="A112" s="12" t="s">
        <v>115</v>
      </c>
      <c r="B112" s="20">
        <v>43706</v>
      </c>
      <c r="C112" s="6">
        <v>22</v>
      </c>
      <c r="D112" s="8">
        <v>1514.31</v>
      </c>
      <c r="E112" s="8">
        <v>1034.7</v>
      </c>
      <c r="F112" s="8">
        <v>3869.69</v>
      </c>
      <c r="G112" s="8">
        <v>586.6</v>
      </c>
      <c r="H112" s="8">
        <v>382.51</v>
      </c>
      <c r="I112" s="8">
        <v>360.5</v>
      </c>
      <c r="J112" s="8"/>
      <c r="K112" s="8">
        <v>5.23</v>
      </c>
      <c r="L112" s="8">
        <v>44</v>
      </c>
      <c r="M112" s="8">
        <v>179.22</v>
      </c>
      <c r="N112" s="8">
        <v>0</v>
      </c>
      <c r="O112" s="8">
        <v>1000.76</v>
      </c>
      <c r="P112" s="8"/>
      <c r="Q112" s="8"/>
      <c r="R112" s="8">
        <v>1555.74</v>
      </c>
      <c r="S112" s="9">
        <v>1110.8900000000001</v>
      </c>
      <c r="T112" s="10">
        <f t="shared" ref="T112:T117" si="13">SUM(D112:S112)</f>
        <v>11644.15</v>
      </c>
    </row>
    <row r="113" spans="1:20" s="28" customFormat="1" x14ac:dyDescent="0.25">
      <c r="A113" s="21" t="s">
        <v>116</v>
      </c>
      <c r="B113" s="22">
        <v>43668</v>
      </c>
      <c r="C113" s="29">
        <v>71</v>
      </c>
      <c r="D113" s="24">
        <v>3986.56</v>
      </c>
      <c r="E113" s="24">
        <v>2613.52</v>
      </c>
      <c r="F113" s="24">
        <v>17281.21</v>
      </c>
      <c r="G113" s="24">
        <v>1502.8</v>
      </c>
      <c r="H113" s="24">
        <v>0</v>
      </c>
      <c r="I113" s="24"/>
      <c r="J113" s="24">
        <v>3266.78</v>
      </c>
      <c r="K113" s="24">
        <v>1481.6</v>
      </c>
      <c r="L113" s="24"/>
      <c r="M113" s="24"/>
      <c r="N113" s="24">
        <v>3266.78</v>
      </c>
      <c r="O113" s="24">
        <v>4467.2</v>
      </c>
      <c r="P113" s="24">
        <v>0</v>
      </c>
      <c r="Q113" s="24"/>
      <c r="R113" s="24">
        <v>6830.85</v>
      </c>
      <c r="S113" s="26">
        <v>6352</v>
      </c>
      <c r="T113" s="27">
        <f t="shared" si="13"/>
        <v>51049.299999999996</v>
      </c>
    </row>
    <row r="114" spans="1:20" s="7" customFormat="1" x14ac:dyDescent="0.25">
      <c r="A114" s="12" t="s">
        <v>117</v>
      </c>
      <c r="B114" s="20">
        <v>43669</v>
      </c>
      <c r="C114" s="6">
        <v>3</v>
      </c>
      <c r="D114" s="8">
        <v>383.08</v>
      </c>
      <c r="E114" s="8">
        <v>244.92</v>
      </c>
      <c r="F114" s="8">
        <v>2301.62</v>
      </c>
      <c r="G114" s="8">
        <v>373.66</v>
      </c>
      <c r="H114" s="8">
        <v>125.6</v>
      </c>
      <c r="I114" s="8">
        <v>139.1</v>
      </c>
      <c r="J114" s="8">
        <v>0</v>
      </c>
      <c r="K114" s="8">
        <v>0</v>
      </c>
      <c r="L114" s="8">
        <v>0</v>
      </c>
      <c r="M114" s="8">
        <v>0</v>
      </c>
      <c r="N114" s="8">
        <v>0</v>
      </c>
      <c r="O114" s="8">
        <v>552.95000000000005</v>
      </c>
      <c r="P114" s="8">
        <v>30</v>
      </c>
      <c r="Q114" s="8">
        <v>535.91</v>
      </c>
      <c r="R114" s="8">
        <v>820.77</v>
      </c>
      <c r="S114" s="9">
        <v>455.39</v>
      </c>
      <c r="T114" s="10">
        <f t="shared" si="13"/>
        <v>5962.9999999999991</v>
      </c>
    </row>
    <row r="115" spans="1:20" s="28" customFormat="1" x14ac:dyDescent="0.25">
      <c r="A115" s="21" t="s">
        <v>118</v>
      </c>
      <c r="B115" s="22">
        <v>43725</v>
      </c>
      <c r="C115" s="29">
        <v>23</v>
      </c>
      <c r="D115" s="24">
        <v>1322.61</v>
      </c>
      <c r="E115" s="24">
        <v>1116.6600000000001</v>
      </c>
      <c r="F115" s="24">
        <v>7382.87</v>
      </c>
      <c r="G115" s="24">
        <v>487.84</v>
      </c>
      <c r="H115" s="24">
        <v>878.15</v>
      </c>
      <c r="I115" s="24">
        <v>444.49</v>
      </c>
      <c r="J115" s="24">
        <v>0</v>
      </c>
      <c r="K115" s="24">
        <v>0</v>
      </c>
      <c r="L115" s="24">
        <v>0</v>
      </c>
      <c r="M115" s="24">
        <v>0</v>
      </c>
      <c r="N115" s="24">
        <v>0</v>
      </c>
      <c r="O115" s="24">
        <v>1600.08</v>
      </c>
      <c r="P115" s="24">
        <v>184</v>
      </c>
      <c r="Q115" s="24">
        <v>2027.02</v>
      </c>
      <c r="R115" s="24">
        <v>2777.94</v>
      </c>
      <c r="S115" s="26">
        <v>1710.98</v>
      </c>
      <c r="T115" s="27">
        <f t="shared" si="13"/>
        <v>19932.64</v>
      </c>
    </row>
    <row r="116" spans="1:20" s="28" customFormat="1" x14ac:dyDescent="0.25">
      <c r="A116" s="21" t="s">
        <v>119</v>
      </c>
      <c r="B116" s="22">
        <v>43704</v>
      </c>
      <c r="C116" s="29">
        <v>205</v>
      </c>
      <c r="D116" s="24">
        <v>20654.310000000001</v>
      </c>
      <c r="E116" s="24">
        <v>24548.17</v>
      </c>
      <c r="F116" s="24">
        <v>53056.21</v>
      </c>
      <c r="G116" s="24">
        <v>6771.89</v>
      </c>
      <c r="H116" s="24">
        <v>3893.83</v>
      </c>
      <c r="I116" s="24">
        <v>1039.52</v>
      </c>
      <c r="J116" s="24"/>
      <c r="K116" s="24">
        <v>4350</v>
      </c>
      <c r="L116" s="24">
        <v>283.64999999999998</v>
      </c>
      <c r="M116" s="24">
        <v>423.1</v>
      </c>
      <c r="N116" s="24"/>
      <c r="O116" s="24">
        <v>16569.939999999999</v>
      </c>
      <c r="P116" s="24">
        <v>6355</v>
      </c>
      <c r="Q116" s="24">
        <v>18659.23</v>
      </c>
      <c r="R116" s="24">
        <v>27160.01</v>
      </c>
      <c r="S116" s="26">
        <v>16449.91</v>
      </c>
      <c r="T116" s="27">
        <f t="shared" si="13"/>
        <v>200214.77000000002</v>
      </c>
    </row>
    <row r="117" spans="1:20" s="7" customFormat="1" x14ac:dyDescent="0.25">
      <c r="A117" s="12" t="s">
        <v>120</v>
      </c>
      <c r="B117" s="20">
        <v>43683</v>
      </c>
      <c r="C117" s="6">
        <v>17</v>
      </c>
      <c r="D117" s="8">
        <v>1339.64</v>
      </c>
      <c r="E117" s="8">
        <v>911.38</v>
      </c>
      <c r="F117" s="8">
        <v>6610.31</v>
      </c>
      <c r="G117" s="8">
        <v>966.28</v>
      </c>
      <c r="H117" s="8">
        <v>251.23</v>
      </c>
      <c r="I117" s="8">
        <v>1158.8900000000001</v>
      </c>
      <c r="J117" s="8"/>
      <c r="K117" s="8">
        <v>450</v>
      </c>
      <c r="L117" s="8">
        <v>120.76</v>
      </c>
      <c r="M117" s="8">
        <v>1.04</v>
      </c>
      <c r="N117" s="8"/>
      <c r="O117" s="8">
        <v>1742.08</v>
      </c>
      <c r="P117" s="8">
        <v>323</v>
      </c>
      <c r="Q117" s="8">
        <v>1917.58</v>
      </c>
      <c r="R117" s="8">
        <v>2779.44</v>
      </c>
      <c r="S117" s="9">
        <v>1627.7</v>
      </c>
      <c r="T117" s="10">
        <f t="shared" si="13"/>
        <v>20199.330000000002</v>
      </c>
    </row>
    <row r="118" spans="1:20" s="7" customFormat="1" x14ac:dyDescent="0.25">
      <c r="A118" s="12" t="s">
        <v>121</v>
      </c>
      <c r="B118" s="20">
        <v>43732</v>
      </c>
      <c r="C118" s="6">
        <v>51</v>
      </c>
      <c r="D118" s="8">
        <v>4856.93</v>
      </c>
      <c r="E118" s="8">
        <v>5016.1400000000003</v>
      </c>
      <c r="F118" s="8">
        <v>19666.53</v>
      </c>
      <c r="G118" s="8">
        <v>3622.76</v>
      </c>
      <c r="H118" s="8">
        <v>1194.3399999999999</v>
      </c>
      <c r="I118" s="8">
        <v>3582.96</v>
      </c>
      <c r="J118" s="8">
        <v>0</v>
      </c>
      <c r="K118" s="8">
        <v>0</v>
      </c>
      <c r="L118" s="8">
        <v>0</v>
      </c>
      <c r="M118" s="8">
        <v>597.15</v>
      </c>
      <c r="N118" s="8">
        <v>351.03</v>
      </c>
      <c r="O118" s="8">
        <v>6042.11</v>
      </c>
      <c r="P118" s="8">
        <v>204</v>
      </c>
      <c r="Q118" s="8">
        <v>6819.84</v>
      </c>
      <c r="R118" s="8">
        <v>9143.41</v>
      </c>
      <c r="S118" s="9">
        <v>5336.7</v>
      </c>
      <c r="T118" s="10">
        <f t="shared" ref="T118:T123" si="14">SUM(D118:S118)</f>
        <v>66433.899999999994</v>
      </c>
    </row>
    <row r="119" spans="1:20" s="28" customFormat="1" x14ac:dyDescent="0.25">
      <c r="A119" s="21" t="s">
        <v>122</v>
      </c>
      <c r="B119" s="22">
        <v>43719</v>
      </c>
      <c r="C119" s="29">
        <v>21</v>
      </c>
      <c r="D119" s="24">
        <v>1409.72</v>
      </c>
      <c r="E119" s="24">
        <v>2384.63</v>
      </c>
      <c r="F119" s="24">
        <v>6505.07</v>
      </c>
      <c r="G119" s="24">
        <v>1028.26</v>
      </c>
      <c r="H119" s="24">
        <v>520</v>
      </c>
      <c r="I119" s="24">
        <v>727.62</v>
      </c>
      <c r="J119" s="24">
        <v>0</v>
      </c>
      <c r="K119" s="24">
        <v>0</v>
      </c>
      <c r="L119" s="24">
        <v>0</v>
      </c>
      <c r="M119" s="24">
        <v>0</v>
      </c>
      <c r="N119" s="24">
        <v>722.06</v>
      </c>
      <c r="O119" s="24">
        <v>1615.46</v>
      </c>
      <c r="P119" s="24"/>
      <c r="Q119" s="24"/>
      <c r="R119" s="24">
        <v>2651.75</v>
      </c>
      <c r="S119" s="26">
        <v>1616.03</v>
      </c>
      <c r="T119" s="27">
        <f t="shared" si="14"/>
        <v>19180.599999999999</v>
      </c>
    </row>
    <row r="120" spans="1:20" s="28" customFormat="1" x14ac:dyDescent="0.25">
      <c r="A120" s="21" t="s">
        <v>141</v>
      </c>
      <c r="B120" s="22">
        <v>43691</v>
      </c>
      <c r="C120" s="29">
        <v>4</v>
      </c>
      <c r="D120" s="24">
        <v>59.97</v>
      </c>
      <c r="E120" s="24">
        <v>38.33</v>
      </c>
      <c r="F120" s="24">
        <v>219.7</v>
      </c>
      <c r="G120" s="24">
        <v>25.56</v>
      </c>
      <c r="H120" s="24">
        <v>19.66</v>
      </c>
      <c r="I120" s="24">
        <v>26.05</v>
      </c>
      <c r="J120" s="24">
        <v>0</v>
      </c>
      <c r="K120" s="24">
        <v>0</v>
      </c>
      <c r="L120" s="24">
        <v>0</v>
      </c>
      <c r="M120" s="24">
        <v>6.87</v>
      </c>
      <c r="N120" s="24">
        <v>0</v>
      </c>
      <c r="O120" s="24">
        <v>61.5</v>
      </c>
      <c r="P120" s="24">
        <v>48</v>
      </c>
      <c r="Q120" s="24">
        <v>64.48</v>
      </c>
      <c r="R120" s="24">
        <v>100.13</v>
      </c>
      <c r="S120" s="26">
        <v>106.06</v>
      </c>
      <c r="T120" s="27">
        <f t="shared" si="14"/>
        <v>776.31</v>
      </c>
    </row>
    <row r="121" spans="1:20" s="28" customFormat="1" x14ac:dyDescent="0.25">
      <c r="A121" s="21" t="s">
        <v>142</v>
      </c>
      <c r="B121" s="22">
        <v>43691</v>
      </c>
      <c r="C121" s="29">
        <v>78</v>
      </c>
      <c r="D121" s="34">
        <v>12290.06</v>
      </c>
      <c r="E121" s="24">
        <v>7857.54</v>
      </c>
      <c r="F121" s="24">
        <v>36619.97</v>
      </c>
      <c r="G121" s="24">
        <v>5238.3999999999996</v>
      </c>
      <c r="H121" s="24">
        <v>4029.52</v>
      </c>
      <c r="I121" s="24">
        <v>5339.12</v>
      </c>
      <c r="J121" s="24"/>
      <c r="K121" s="24">
        <v>47.02</v>
      </c>
      <c r="L121" s="24"/>
      <c r="M121" s="24">
        <v>1410.337</v>
      </c>
      <c r="N121" s="24">
        <v>0</v>
      </c>
      <c r="O121" s="24">
        <v>11315.69</v>
      </c>
      <c r="P121" s="24">
        <v>936</v>
      </c>
      <c r="Q121" s="24">
        <v>11854.77</v>
      </c>
      <c r="R121" s="24">
        <v>17093.39</v>
      </c>
      <c r="S121" s="26">
        <v>9638.68</v>
      </c>
      <c r="T121" s="27">
        <f t="shared" si="14"/>
        <v>123670.497</v>
      </c>
    </row>
    <row r="122" spans="1:20" s="28" customFormat="1" x14ac:dyDescent="0.25">
      <c r="A122" s="21" t="s">
        <v>123</v>
      </c>
      <c r="B122" s="22">
        <v>43696</v>
      </c>
      <c r="C122" s="29">
        <v>2</v>
      </c>
      <c r="D122" s="24">
        <v>17.690000000000001</v>
      </c>
      <c r="E122" s="24">
        <v>11.31</v>
      </c>
      <c r="F122" s="24">
        <v>50.17</v>
      </c>
      <c r="G122" s="24">
        <v>19.579999999999998</v>
      </c>
      <c r="H122" s="24">
        <v>7.98</v>
      </c>
      <c r="I122" s="24">
        <v>18.850000000000001</v>
      </c>
      <c r="J122" s="24">
        <v>0</v>
      </c>
      <c r="K122" s="24">
        <v>9.6000000000000002E-2</v>
      </c>
      <c r="L122" s="24">
        <v>0</v>
      </c>
      <c r="M122" s="24">
        <v>6.74</v>
      </c>
      <c r="N122" s="24">
        <v>0</v>
      </c>
      <c r="O122" s="24">
        <v>20.76</v>
      </c>
      <c r="P122" s="24">
        <v>10</v>
      </c>
      <c r="Q122" s="24">
        <v>21.7</v>
      </c>
      <c r="R122" s="24">
        <v>30.99</v>
      </c>
      <c r="S122" s="26">
        <v>89.5</v>
      </c>
      <c r="T122" s="27">
        <f t="shared" si="14"/>
        <v>305.36599999999999</v>
      </c>
    </row>
    <row r="123" spans="1:20" s="7" customFormat="1" x14ac:dyDescent="0.25">
      <c r="A123" s="12" t="s">
        <v>124</v>
      </c>
      <c r="B123" s="20">
        <v>43700</v>
      </c>
      <c r="C123" s="6">
        <v>21</v>
      </c>
      <c r="D123" s="8">
        <v>4232.0600000000004</v>
      </c>
      <c r="E123" s="8">
        <v>2428.23</v>
      </c>
      <c r="F123" s="8">
        <v>23608.51</v>
      </c>
      <c r="G123" s="8">
        <v>2185.4</v>
      </c>
      <c r="H123" s="8">
        <v>693.78</v>
      </c>
      <c r="I123" s="8">
        <v>604.92999999999995</v>
      </c>
      <c r="J123" s="8">
        <v>0</v>
      </c>
      <c r="K123" s="8">
        <v>1157.1199999999999</v>
      </c>
      <c r="L123" s="8">
        <v>352</v>
      </c>
      <c r="M123" s="8"/>
      <c r="N123" s="8"/>
      <c r="O123" s="8">
        <v>4976.3500000000004</v>
      </c>
      <c r="P123" s="8"/>
      <c r="Q123" s="8">
        <v>6051.53</v>
      </c>
      <c r="R123" s="8">
        <v>8194.31</v>
      </c>
      <c r="S123" s="9">
        <v>4426.17</v>
      </c>
      <c r="T123" s="10">
        <f t="shared" si="14"/>
        <v>58910.39</v>
      </c>
    </row>
    <row r="125" spans="1:20" x14ac:dyDescent="0.25">
      <c r="A125" s="31" t="s">
        <v>138</v>
      </c>
      <c r="C125" s="6">
        <f>SUM(C2:C124)</f>
        <v>7833</v>
      </c>
      <c r="D125" s="43">
        <f t="shared" ref="D125:T125" si="15">SUM(D2:D124)</f>
        <v>820903.68000000017</v>
      </c>
      <c r="E125" s="43">
        <f t="shared" si="15"/>
        <v>869156.09999999963</v>
      </c>
      <c r="F125" s="43">
        <f t="shared" si="15"/>
        <v>3996573.75</v>
      </c>
      <c r="G125" s="43">
        <f t="shared" si="15"/>
        <v>325844.78000000014</v>
      </c>
      <c r="H125" s="43">
        <f t="shared" si="15"/>
        <v>206157.94999999992</v>
      </c>
      <c r="I125" s="43">
        <f t="shared" si="15"/>
        <v>275745.24000000005</v>
      </c>
      <c r="J125" s="43">
        <f t="shared" si="15"/>
        <v>17877.46</v>
      </c>
      <c r="K125" s="43">
        <f t="shared" si="15"/>
        <v>295960.09600000002</v>
      </c>
      <c r="L125" s="43">
        <f t="shared" si="15"/>
        <v>92863.11</v>
      </c>
      <c r="M125" s="43">
        <f t="shared" si="15"/>
        <v>29734.227000000003</v>
      </c>
      <c r="N125" s="43">
        <f t="shared" si="15"/>
        <v>80198.229999999981</v>
      </c>
      <c r="O125" s="43">
        <f t="shared" si="15"/>
        <v>986421.00999999943</v>
      </c>
      <c r="P125" s="43">
        <f t="shared" si="15"/>
        <v>122539.78</v>
      </c>
      <c r="Q125" s="43">
        <f t="shared" si="15"/>
        <v>1025853.22</v>
      </c>
      <c r="R125" s="43">
        <f t="shared" si="15"/>
        <v>1591129.2599999993</v>
      </c>
      <c r="S125" s="43">
        <f t="shared" si="15"/>
        <v>941947.29999999981</v>
      </c>
      <c r="T125" s="5">
        <f t="shared" si="15"/>
        <v>11678905.193000006</v>
      </c>
    </row>
    <row r="128" spans="1:20" x14ac:dyDescent="0.25">
      <c r="A128" s="30"/>
    </row>
    <row r="129" spans="1:1" x14ac:dyDescent="0.25">
      <c r="A129" s="40"/>
    </row>
    <row r="130" spans="1:1" x14ac:dyDescent="0.25">
      <c r="A130" s="40"/>
    </row>
    <row r="131" spans="1:1" x14ac:dyDescent="0.25">
      <c r="A131" s="40"/>
    </row>
    <row r="132" spans="1:1" x14ac:dyDescent="0.25">
      <c r="A132" s="40"/>
    </row>
    <row r="133" spans="1:1" x14ac:dyDescent="0.25">
      <c r="A133" s="40"/>
    </row>
  </sheetData>
  <pageMargins left="0.7" right="0.7" top="0.75" bottom="0.75" header="0.3" footer="0.3"/>
  <pageSetup paperSize="5" scale="25" orientation="landscape" r:id="rId1"/>
  <headerFooter>
    <oddFooter>&amp;L_x000D_&amp;1#&amp;"Calibri"&amp;8&amp;K000000 Sensitivity: Internal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43"/>
  <sheetViews>
    <sheetView topLeftCell="E1" workbookViewId="0">
      <pane ySplit="1" topLeftCell="A116" activePane="bottomLeft" state="frozen"/>
      <selection pane="bottomLeft" activeCell="F140" sqref="F140"/>
    </sheetView>
  </sheetViews>
  <sheetFormatPr defaultColWidth="9.140625" defaultRowHeight="15" x14ac:dyDescent="0.25"/>
  <cols>
    <col min="1" max="1" width="20.140625" style="13" customWidth="1"/>
    <col min="2" max="2" width="12.140625" style="14" customWidth="1"/>
    <col min="3" max="3" width="14.5703125" style="11" customWidth="1"/>
    <col min="4" max="4" width="14.28515625" style="4" customWidth="1"/>
    <col min="5" max="5" width="13.140625" style="4" customWidth="1"/>
    <col min="6" max="6" width="15.7109375" style="4" customWidth="1"/>
    <col min="7" max="8" width="14.28515625" style="4" customWidth="1"/>
    <col min="9" max="10" width="13.140625" style="4" customWidth="1"/>
    <col min="11" max="11" width="14.140625" style="4" customWidth="1"/>
    <col min="12" max="12" width="13.140625" style="4" customWidth="1"/>
    <col min="13" max="13" width="11.5703125" style="4" customWidth="1"/>
    <col min="14" max="14" width="13.140625" style="4" customWidth="1"/>
    <col min="15" max="15" width="14.140625" style="4" customWidth="1"/>
    <col min="16" max="16" width="13.5703125" style="4" customWidth="1"/>
    <col min="17" max="17" width="14.140625" style="4" customWidth="1"/>
    <col min="18" max="18" width="14.28515625" style="4" customWidth="1"/>
    <col min="19" max="19" width="14" style="4" customWidth="1"/>
    <col min="20" max="20" width="21.140625" style="3" customWidth="1"/>
    <col min="21" max="30" width="9.140625" style="4"/>
    <col min="31" max="16384" width="9.140625" style="2"/>
  </cols>
  <sheetData>
    <row r="1" spans="1:33" s="19" customFormat="1" ht="12.75" x14ac:dyDescent="0.2">
      <c r="A1" s="16" t="s">
        <v>0</v>
      </c>
      <c r="B1" s="17" t="s">
        <v>139</v>
      </c>
      <c r="C1" s="15" t="s">
        <v>136</v>
      </c>
      <c r="D1" s="17" t="s">
        <v>1</v>
      </c>
      <c r="E1" s="17" t="s">
        <v>2</v>
      </c>
      <c r="F1" s="17" t="s">
        <v>3</v>
      </c>
      <c r="G1" s="17" t="s">
        <v>128</v>
      </c>
      <c r="H1" s="17" t="s">
        <v>129</v>
      </c>
      <c r="I1" s="17" t="s">
        <v>130</v>
      </c>
      <c r="J1" s="17" t="s">
        <v>137</v>
      </c>
      <c r="K1" s="17" t="s">
        <v>132</v>
      </c>
      <c r="L1" s="17" t="s">
        <v>133</v>
      </c>
      <c r="M1" s="17" t="s">
        <v>134</v>
      </c>
      <c r="N1" s="17" t="s">
        <v>131</v>
      </c>
      <c r="O1" s="18" t="s">
        <v>4</v>
      </c>
      <c r="P1" s="18" t="s">
        <v>125</v>
      </c>
      <c r="Q1" s="18" t="s">
        <v>127</v>
      </c>
      <c r="R1" s="18" t="s">
        <v>5</v>
      </c>
      <c r="S1" s="18" t="s">
        <v>126</v>
      </c>
      <c r="T1" s="15" t="s">
        <v>135</v>
      </c>
    </row>
    <row r="2" spans="1:33" s="28" customFormat="1" x14ac:dyDescent="0.25">
      <c r="A2" s="21" t="s">
        <v>6</v>
      </c>
      <c r="B2" s="22">
        <v>44104</v>
      </c>
      <c r="C2" s="29">
        <v>33</v>
      </c>
      <c r="D2" s="24">
        <v>1604.27</v>
      </c>
      <c r="E2" s="24">
        <v>2335.7800000000002</v>
      </c>
      <c r="F2" s="24">
        <v>7127.16</v>
      </c>
      <c r="G2" s="24">
        <v>710.08</v>
      </c>
      <c r="H2" s="24">
        <v>394.49</v>
      </c>
      <c r="I2" s="24">
        <v>845.56</v>
      </c>
      <c r="J2" s="24">
        <v>1314.97</v>
      </c>
      <c r="K2" s="24">
        <v>207.21</v>
      </c>
      <c r="L2" s="24"/>
      <c r="M2" s="24">
        <v>236.69</v>
      </c>
      <c r="N2" s="24">
        <v>973.07</v>
      </c>
      <c r="O2" s="24">
        <v>2046.05</v>
      </c>
      <c r="P2" s="24"/>
      <c r="Q2" s="24"/>
      <c r="R2" s="24">
        <v>3130.09</v>
      </c>
      <c r="S2" s="26">
        <v>2027.03</v>
      </c>
      <c r="T2" s="27">
        <f t="shared" ref="T2:T7" si="0">SUM(D2:S2)</f>
        <v>22952.449999999997</v>
      </c>
    </row>
    <row r="3" spans="1:33" s="7" customFormat="1" x14ac:dyDescent="0.25">
      <c r="A3" s="12" t="s">
        <v>7</v>
      </c>
      <c r="B3" s="20">
        <v>44098</v>
      </c>
      <c r="C3" s="6">
        <v>120</v>
      </c>
      <c r="D3" s="8">
        <v>2829.85</v>
      </c>
      <c r="E3" s="8">
        <v>2136.37</v>
      </c>
      <c r="F3" s="8">
        <v>12616.64</v>
      </c>
      <c r="G3" s="8">
        <v>1836.34</v>
      </c>
      <c r="H3" s="8">
        <v>1275.6600000000001</v>
      </c>
      <c r="I3" s="8">
        <v>828.06</v>
      </c>
      <c r="J3" s="8"/>
      <c r="K3" s="8">
        <v>1290</v>
      </c>
      <c r="L3" s="8">
        <v>0.54</v>
      </c>
      <c r="M3" s="8">
        <v>463.89</v>
      </c>
      <c r="N3" s="8">
        <v>1999.73</v>
      </c>
      <c r="O3" s="8">
        <v>3783.15</v>
      </c>
      <c r="P3" s="8">
        <v>721</v>
      </c>
      <c r="Q3" s="8">
        <v>4294.78</v>
      </c>
      <c r="R3" s="8">
        <v>6152.23</v>
      </c>
      <c r="S3" s="9">
        <v>4757.1099999999997</v>
      </c>
      <c r="T3" s="10">
        <f t="shared" si="0"/>
        <v>44985.350000000006</v>
      </c>
    </row>
    <row r="4" spans="1:33" s="28" customFormat="1" x14ac:dyDescent="0.25">
      <c r="A4" s="21" t="s">
        <v>8</v>
      </c>
      <c r="B4" s="22">
        <v>44063</v>
      </c>
      <c r="C4" s="29">
        <v>42</v>
      </c>
      <c r="D4" s="24">
        <v>4164.8500000000004</v>
      </c>
      <c r="E4" s="24">
        <v>4403.84</v>
      </c>
      <c r="F4" s="24">
        <v>22053.119999999999</v>
      </c>
      <c r="G4" s="24">
        <v>2799.33</v>
      </c>
      <c r="H4" s="24">
        <v>1024.1400000000001</v>
      </c>
      <c r="I4" s="24">
        <v>470.42</v>
      </c>
      <c r="J4" s="24"/>
      <c r="K4" s="24">
        <v>2028.5</v>
      </c>
      <c r="L4" s="24"/>
      <c r="M4" s="24"/>
      <c r="N4" s="24"/>
      <c r="O4" s="24">
        <v>5415.29</v>
      </c>
      <c r="P4" s="24">
        <v>546</v>
      </c>
      <c r="Q4" s="24">
        <v>5997.07</v>
      </c>
      <c r="R4" s="24">
        <v>8672.2999999999993</v>
      </c>
      <c r="S4" s="26">
        <v>4924.12</v>
      </c>
      <c r="T4" s="27">
        <f t="shared" si="0"/>
        <v>62498.98</v>
      </c>
    </row>
    <row r="5" spans="1:33" s="7" customFormat="1" x14ac:dyDescent="0.25">
      <c r="A5" s="12" t="s">
        <v>9</v>
      </c>
      <c r="B5" s="20">
        <v>44083</v>
      </c>
      <c r="C5" s="6">
        <v>17</v>
      </c>
      <c r="D5" s="8">
        <v>1422.76</v>
      </c>
      <c r="E5" s="8">
        <v>2809.95</v>
      </c>
      <c r="F5" s="8">
        <v>6414.11</v>
      </c>
      <c r="G5" s="8">
        <v>0</v>
      </c>
      <c r="H5" s="8">
        <v>349.86</v>
      </c>
      <c r="I5" s="8">
        <v>452.74</v>
      </c>
      <c r="J5" s="8">
        <v>0</v>
      </c>
      <c r="K5" s="8">
        <v>0</v>
      </c>
      <c r="L5" s="8">
        <v>0</v>
      </c>
      <c r="M5" s="8">
        <v>186.58</v>
      </c>
      <c r="N5" s="8">
        <v>816.35</v>
      </c>
      <c r="O5" s="8">
        <v>1607.44</v>
      </c>
      <c r="P5" s="8">
        <v>34</v>
      </c>
      <c r="Q5" s="8"/>
      <c r="R5" s="8">
        <v>2446.2800000000002</v>
      </c>
      <c r="S5" s="9">
        <v>1478.16</v>
      </c>
      <c r="T5" s="10">
        <f t="shared" si="0"/>
        <v>18018.23</v>
      </c>
    </row>
    <row r="6" spans="1:33" s="28" customFormat="1" x14ac:dyDescent="0.25">
      <c r="A6" s="21" t="s">
        <v>10</v>
      </c>
      <c r="B6" s="22">
        <v>44097</v>
      </c>
      <c r="C6" s="29">
        <v>563</v>
      </c>
      <c r="D6" s="24">
        <v>37038.449999999997</v>
      </c>
      <c r="E6" s="24">
        <v>37372.080000000002</v>
      </c>
      <c r="F6" s="24">
        <v>197375.6</v>
      </c>
      <c r="G6" s="24">
        <v>7047</v>
      </c>
      <c r="H6" s="24"/>
      <c r="I6" s="24">
        <v>4406.09</v>
      </c>
      <c r="J6" s="24"/>
      <c r="K6" s="24">
        <v>8610</v>
      </c>
      <c r="L6" s="24">
        <v>333.58</v>
      </c>
      <c r="M6" s="24"/>
      <c r="N6" s="24">
        <v>5632</v>
      </c>
      <c r="O6" s="24" t="s">
        <v>159</v>
      </c>
      <c r="P6" s="24">
        <v>3373</v>
      </c>
      <c r="Q6" s="24">
        <v>42374.32</v>
      </c>
      <c r="R6" s="24">
        <v>68410.48</v>
      </c>
      <c r="S6" s="26">
        <v>41167.379999999997</v>
      </c>
      <c r="T6" s="27">
        <f t="shared" si="0"/>
        <v>453139.98000000004</v>
      </c>
    </row>
    <row r="7" spans="1:33" s="7" customFormat="1" x14ac:dyDescent="0.25">
      <c r="A7" s="12" t="s">
        <v>11</v>
      </c>
      <c r="B7" s="20">
        <v>44088</v>
      </c>
      <c r="C7" s="6">
        <v>36</v>
      </c>
      <c r="D7" s="8">
        <v>992.2</v>
      </c>
      <c r="E7" s="8">
        <v>839.21</v>
      </c>
      <c r="F7" s="8">
        <v>4087.28</v>
      </c>
      <c r="G7" s="8">
        <v>761.9</v>
      </c>
      <c r="H7" s="8">
        <v>699.35</v>
      </c>
      <c r="I7" s="8">
        <v>598.08000000000004</v>
      </c>
      <c r="J7" s="24"/>
      <c r="K7" s="8">
        <v>347.06</v>
      </c>
      <c r="L7" s="8">
        <v>772.75</v>
      </c>
      <c r="M7" s="8">
        <v>163.19999999999999</v>
      </c>
      <c r="N7" s="8"/>
      <c r="O7" s="8">
        <v>1384.08</v>
      </c>
      <c r="P7" s="8">
        <v>272</v>
      </c>
      <c r="Q7" s="8">
        <v>1561.37</v>
      </c>
      <c r="R7" s="8">
        <v>2175.19</v>
      </c>
      <c r="S7" s="9">
        <v>1590.66</v>
      </c>
      <c r="T7" s="10">
        <f t="shared" si="0"/>
        <v>16244.33</v>
      </c>
    </row>
    <row r="8" spans="1:33" s="7" customFormat="1" x14ac:dyDescent="0.25">
      <c r="A8" s="12" t="s">
        <v>155</v>
      </c>
      <c r="B8" s="20">
        <v>44081</v>
      </c>
      <c r="C8" s="6">
        <v>57</v>
      </c>
      <c r="D8" s="8">
        <v>6363.5</v>
      </c>
      <c r="E8" s="8">
        <v>6885.1</v>
      </c>
      <c r="F8" s="8">
        <v>31307.3</v>
      </c>
      <c r="G8" s="8">
        <v>4694.3999999999996</v>
      </c>
      <c r="H8" s="8">
        <v>2868.81</v>
      </c>
      <c r="I8" s="8">
        <v>2608</v>
      </c>
      <c r="J8" s="8"/>
      <c r="K8" s="8"/>
      <c r="L8" s="8">
        <v>2050.02</v>
      </c>
      <c r="M8" s="8">
        <v>1982.1</v>
      </c>
      <c r="N8" s="8"/>
      <c r="O8" s="8">
        <v>8713.14</v>
      </c>
      <c r="P8" s="8">
        <v>448</v>
      </c>
      <c r="Q8" s="8">
        <v>9496.02</v>
      </c>
      <c r="R8" s="8">
        <v>13765.05</v>
      </c>
      <c r="S8" s="9">
        <v>7680.5</v>
      </c>
      <c r="T8" s="10">
        <f t="shared" ref="T8:T13" si="1">SUM(D8:S8)</f>
        <v>98861.94</v>
      </c>
    </row>
    <row r="9" spans="1:33" s="7" customFormat="1" x14ac:dyDescent="0.25">
      <c r="A9" s="12" t="s">
        <v>12</v>
      </c>
      <c r="B9" s="20">
        <v>44081</v>
      </c>
      <c r="C9" s="6">
        <v>83</v>
      </c>
      <c r="D9" s="8">
        <v>7406.95</v>
      </c>
      <c r="E9" s="8">
        <v>8013.88</v>
      </c>
      <c r="F9" s="8">
        <v>36570.93</v>
      </c>
      <c r="G9" s="8">
        <v>5464.08</v>
      </c>
      <c r="H9" s="8">
        <v>3339.19</v>
      </c>
      <c r="I9" s="8">
        <v>3035.15</v>
      </c>
      <c r="J9" s="8"/>
      <c r="K9" s="8"/>
      <c r="L9" s="8">
        <v>2223.79</v>
      </c>
      <c r="M9" s="8"/>
      <c r="N9" s="8"/>
      <c r="O9" s="8">
        <v>9734.65</v>
      </c>
      <c r="P9" s="8">
        <v>683</v>
      </c>
      <c r="Q9" s="8">
        <v>10224.14</v>
      </c>
      <c r="R9" s="8">
        <v>15902.65</v>
      </c>
      <c r="S9" s="9">
        <v>9113.33</v>
      </c>
      <c r="T9" s="10">
        <f t="shared" si="1"/>
        <v>111711.73999999999</v>
      </c>
    </row>
    <row r="10" spans="1:33" s="28" customFormat="1" x14ac:dyDescent="0.25">
      <c r="A10" s="21" t="s">
        <v>13</v>
      </c>
      <c r="B10" s="22">
        <v>44089</v>
      </c>
      <c r="C10" s="29">
        <v>83</v>
      </c>
      <c r="D10" s="24">
        <v>20550.64</v>
      </c>
      <c r="E10" s="24">
        <v>17181.7</v>
      </c>
      <c r="F10" s="24">
        <v>113605.95</v>
      </c>
      <c r="G10" s="24">
        <v>8590.85</v>
      </c>
      <c r="H10" s="24">
        <v>3587.97</v>
      </c>
      <c r="I10" s="24">
        <v>3032.1</v>
      </c>
      <c r="J10" s="24"/>
      <c r="K10" s="24">
        <v>23355.119999999999</v>
      </c>
      <c r="L10" s="24"/>
      <c r="M10" s="24"/>
      <c r="N10" s="24"/>
      <c r="O10" s="24">
        <v>26618.69</v>
      </c>
      <c r="P10" s="24"/>
      <c r="Q10" s="24">
        <v>30741.200000000001</v>
      </c>
      <c r="R10" s="24">
        <v>44653.21</v>
      </c>
      <c r="S10" s="26">
        <v>23309.55</v>
      </c>
      <c r="T10" s="27">
        <f t="shared" si="1"/>
        <v>315226.98</v>
      </c>
    </row>
    <row r="11" spans="1:33" s="28" customFormat="1" x14ac:dyDescent="0.25">
      <c r="A11" s="21" t="s">
        <v>14</v>
      </c>
      <c r="B11" s="22">
        <v>44056</v>
      </c>
      <c r="C11" s="29" t="s">
        <v>154</v>
      </c>
      <c r="D11" s="24">
        <v>6269.05</v>
      </c>
      <c r="E11" s="24">
        <v>6375.93</v>
      </c>
      <c r="F11" s="46">
        <v>16880.63</v>
      </c>
      <c r="G11" s="24">
        <v>4350.01</v>
      </c>
      <c r="H11" s="24">
        <v>2046.78</v>
      </c>
      <c r="I11" s="24">
        <v>1327.11</v>
      </c>
      <c r="J11" s="24"/>
      <c r="K11" s="24"/>
      <c r="L11" s="24"/>
      <c r="M11" s="24">
        <v>279.04000000000002</v>
      </c>
      <c r="N11" s="24"/>
      <c r="O11" s="24">
        <v>4585.38</v>
      </c>
      <c r="P11" s="24">
        <v>102</v>
      </c>
      <c r="Q11" s="24"/>
      <c r="R11" s="24">
        <v>7271.69</v>
      </c>
      <c r="S11" s="26">
        <v>4145.88</v>
      </c>
      <c r="T11" s="27">
        <f t="shared" si="1"/>
        <v>53633.5</v>
      </c>
    </row>
    <row r="12" spans="1:33" s="28" customFormat="1" x14ac:dyDescent="0.25">
      <c r="A12" s="21" t="s">
        <v>152</v>
      </c>
      <c r="B12" s="22">
        <v>44056</v>
      </c>
      <c r="C12" s="29">
        <v>38</v>
      </c>
      <c r="D12" s="24">
        <v>3723.63</v>
      </c>
      <c r="E12" s="24">
        <v>3571.06</v>
      </c>
      <c r="F12" s="46">
        <v>12415.51</v>
      </c>
      <c r="G12" s="24">
        <v>2899.6</v>
      </c>
      <c r="H12" s="24">
        <v>1404</v>
      </c>
      <c r="I12" s="24">
        <v>883.89</v>
      </c>
      <c r="J12" s="24"/>
      <c r="K12" s="24"/>
      <c r="L12" s="24"/>
      <c r="M12" s="24">
        <v>213.69</v>
      </c>
      <c r="N12" s="24"/>
      <c r="O12" s="24">
        <v>3630.11</v>
      </c>
      <c r="P12" s="24">
        <v>908</v>
      </c>
      <c r="Q12" s="24">
        <v>3749.86</v>
      </c>
      <c r="R12" s="24">
        <v>5772.23</v>
      </c>
      <c r="S12" s="26">
        <v>3266.15</v>
      </c>
      <c r="T12" s="27">
        <f t="shared" si="1"/>
        <v>42437.73</v>
      </c>
    </row>
    <row r="13" spans="1:33" s="28" customFormat="1" x14ac:dyDescent="0.25">
      <c r="A13" s="21" t="s">
        <v>153</v>
      </c>
      <c r="B13" s="22">
        <v>44056</v>
      </c>
      <c r="C13" s="29">
        <v>13</v>
      </c>
      <c r="D13" s="24">
        <v>1730.1</v>
      </c>
      <c r="E13" s="24">
        <v>958.04</v>
      </c>
      <c r="F13" s="46">
        <v>2270.8200000000002</v>
      </c>
      <c r="G13" s="24">
        <v>884.82</v>
      </c>
      <c r="H13" s="24">
        <v>376.67</v>
      </c>
      <c r="I13" s="24">
        <v>270.67</v>
      </c>
      <c r="J13" s="24"/>
      <c r="K13" s="24"/>
      <c r="L13" s="24"/>
      <c r="M13" s="24">
        <v>29.08</v>
      </c>
      <c r="N13" s="24"/>
      <c r="O13" s="24">
        <v>956.07</v>
      </c>
      <c r="P13" s="24">
        <v>338</v>
      </c>
      <c r="Q13" s="24">
        <v>977.11</v>
      </c>
      <c r="R13" s="24">
        <v>1525.46</v>
      </c>
      <c r="S13" s="26">
        <v>879.73</v>
      </c>
      <c r="T13" s="27">
        <f t="shared" si="1"/>
        <v>11196.57</v>
      </c>
    </row>
    <row r="14" spans="1:33" s="56" customFormat="1" x14ac:dyDescent="0.25">
      <c r="A14" s="21" t="s">
        <v>15</v>
      </c>
      <c r="B14" s="22">
        <v>44104</v>
      </c>
      <c r="C14" s="29">
        <v>211</v>
      </c>
      <c r="D14" s="24">
        <v>18142.2</v>
      </c>
      <c r="E14" s="24">
        <v>26172.35</v>
      </c>
      <c r="F14" s="24">
        <v>39343.839999999997</v>
      </c>
      <c r="G14" s="24">
        <v>17993.52</v>
      </c>
      <c r="H14" s="24">
        <v>8922.42</v>
      </c>
      <c r="I14" s="24">
        <v>5607.74</v>
      </c>
      <c r="J14" s="24"/>
      <c r="K14" s="24">
        <v>5223.8</v>
      </c>
      <c r="L14" s="24">
        <v>8.9</v>
      </c>
      <c r="M14" s="24">
        <v>743.49</v>
      </c>
      <c r="N14" s="24">
        <v>13978.54</v>
      </c>
      <c r="O14" s="24">
        <v>20573.21</v>
      </c>
      <c r="P14" s="24">
        <v>4557</v>
      </c>
      <c r="Q14" s="24">
        <v>22173.93</v>
      </c>
      <c r="R14" s="24">
        <v>31934.75</v>
      </c>
      <c r="S14" s="26">
        <v>20883.080000000002</v>
      </c>
      <c r="T14" s="27">
        <f>SUM(D14:S14)</f>
        <v>236258.77000000002</v>
      </c>
      <c r="U14" s="28"/>
      <c r="V14" s="28"/>
      <c r="W14" s="28"/>
      <c r="X14" s="28"/>
      <c r="Y14" s="28"/>
      <c r="Z14" s="28"/>
      <c r="AA14" s="28"/>
      <c r="AB14" s="28"/>
      <c r="AC14" s="28"/>
      <c r="AD14" s="28"/>
      <c r="AE14" s="28"/>
      <c r="AF14" s="28"/>
      <c r="AG14" s="28"/>
    </row>
    <row r="15" spans="1:33" s="28" customFormat="1" x14ac:dyDescent="0.25">
      <c r="A15" s="21" t="s">
        <v>16</v>
      </c>
      <c r="B15" s="22">
        <v>44070</v>
      </c>
      <c r="C15" s="29">
        <v>38</v>
      </c>
      <c r="D15" s="24">
        <v>2275.52</v>
      </c>
      <c r="E15" s="24">
        <v>1268.3599999999999</v>
      </c>
      <c r="F15" s="24">
        <v>7716.36</v>
      </c>
      <c r="G15" s="24">
        <v>1473.49</v>
      </c>
      <c r="H15" s="24">
        <v>690.13</v>
      </c>
      <c r="I15" s="24">
        <v>1077.1500000000001</v>
      </c>
      <c r="J15" s="24"/>
      <c r="K15" s="24">
        <v>560.4</v>
      </c>
      <c r="L15" s="24">
        <v>1663.37</v>
      </c>
      <c r="M15" s="24">
        <v>186.52</v>
      </c>
      <c r="N15" s="24"/>
      <c r="O15" s="24">
        <v>2488.1</v>
      </c>
      <c r="P15" s="24">
        <v>456</v>
      </c>
      <c r="Q15" s="24">
        <v>2534.7399999999998</v>
      </c>
      <c r="R15" s="24">
        <v>3889.23</v>
      </c>
      <c r="S15" s="26">
        <v>2514.58</v>
      </c>
      <c r="T15" s="27">
        <f t="shared" ref="T15:T20" si="2">SUM(D15:S15)</f>
        <v>28793.949999999997</v>
      </c>
    </row>
    <row r="16" spans="1:33" s="28" customFormat="1" x14ac:dyDescent="0.25">
      <c r="A16" s="21" t="s">
        <v>17</v>
      </c>
      <c r="B16" s="22">
        <v>44111</v>
      </c>
      <c r="C16" s="29">
        <v>17</v>
      </c>
      <c r="D16" s="24">
        <v>886.21</v>
      </c>
      <c r="E16" s="24">
        <v>2832.96</v>
      </c>
      <c r="F16" s="24">
        <v>3214.96</v>
      </c>
      <c r="G16" s="24">
        <v>668.29</v>
      </c>
      <c r="H16" s="24">
        <v>530.29</v>
      </c>
      <c r="I16" s="24">
        <v>453.29</v>
      </c>
      <c r="J16" s="24"/>
      <c r="K16" s="24"/>
      <c r="L16" s="24">
        <v>31.5</v>
      </c>
      <c r="M16" s="24">
        <v>170.72</v>
      </c>
      <c r="N16" s="24">
        <v>690.1</v>
      </c>
      <c r="O16" s="24">
        <v>1406.07</v>
      </c>
      <c r="P16" s="24">
        <v>15</v>
      </c>
      <c r="Q16" s="24">
        <v>1619.05</v>
      </c>
      <c r="R16" s="24">
        <v>2172.84</v>
      </c>
      <c r="S16" s="26">
        <v>1341.43</v>
      </c>
      <c r="T16" s="47">
        <f t="shared" si="2"/>
        <v>16032.71</v>
      </c>
    </row>
    <row r="17" spans="1:34" s="28" customFormat="1" x14ac:dyDescent="0.25">
      <c r="A17" s="21" t="s">
        <v>18</v>
      </c>
      <c r="B17" s="22">
        <v>44124</v>
      </c>
      <c r="C17" s="29">
        <v>10</v>
      </c>
      <c r="D17" s="24">
        <v>97.72</v>
      </c>
      <c r="E17" s="24">
        <v>116.29</v>
      </c>
      <c r="F17" s="24">
        <v>476.51</v>
      </c>
      <c r="G17" s="24">
        <v>116.29</v>
      </c>
      <c r="H17" s="24">
        <v>60.8</v>
      </c>
      <c r="I17" s="24">
        <v>114.75</v>
      </c>
      <c r="J17" s="24"/>
      <c r="K17" s="24"/>
      <c r="L17" s="24">
        <v>0.5</v>
      </c>
      <c r="M17" s="24">
        <v>19.010000000000002</v>
      </c>
      <c r="N17" s="24"/>
      <c r="O17" s="24">
        <v>149.68</v>
      </c>
      <c r="P17" s="24">
        <v>50</v>
      </c>
      <c r="Q17" s="24">
        <v>186.93</v>
      </c>
      <c r="R17" s="24">
        <v>236.76</v>
      </c>
      <c r="S17" s="26">
        <v>268.36</v>
      </c>
      <c r="T17" s="27">
        <f t="shared" si="2"/>
        <v>1893.6</v>
      </c>
    </row>
    <row r="18" spans="1:34" s="7" customFormat="1" x14ac:dyDescent="0.25">
      <c r="A18" s="12" t="s">
        <v>19</v>
      </c>
      <c r="B18" s="20">
        <v>44067</v>
      </c>
      <c r="C18" s="6">
        <v>40</v>
      </c>
      <c r="D18" s="8">
        <v>2178.58</v>
      </c>
      <c r="E18" s="8">
        <v>2225.9899999999998</v>
      </c>
      <c r="F18" s="8">
        <v>10129.61</v>
      </c>
      <c r="G18" s="8">
        <v>1517.89</v>
      </c>
      <c r="H18" s="8">
        <v>553.6</v>
      </c>
      <c r="I18" s="8">
        <v>813.27</v>
      </c>
      <c r="J18" s="8"/>
      <c r="K18" s="8">
        <v>1627.88</v>
      </c>
      <c r="L18" s="8">
        <v>314.77999999999997</v>
      </c>
      <c r="M18" s="8">
        <v>178.62</v>
      </c>
      <c r="N18" s="8"/>
      <c r="O18" s="8">
        <v>2583.4699999999998</v>
      </c>
      <c r="P18" s="8"/>
      <c r="Q18" s="8"/>
      <c r="R18" s="8">
        <v>3948.02</v>
      </c>
      <c r="S18" s="9">
        <v>2814.07</v>
      </c>
      <c r="T18" s="10">
        <f t="shared" si="2"/>
        <v>28885.78</v>
      </c>
    </row>
    <row r="19" spans="1:34" s="28" customFormat="1" x14ac:dyDescent="0.25">
      <c r="A19" s="21" t="s">
        <v>20</v>
      </c>
      <c r="B19" s="22">
        <v>44084</v>
      </c>
      <c r="C19" s="29">
        <v>147</v>
      </c>
      <c r="D19" s="24">
        <v>18931.89</v>
      </c>
      <c r="E19" s="24">
        <v>14592.84</v>
      </c>
      <c r="F19" s="24">
        <v>111089.54</v>
      </c>
      <c r="G19" s="24">
        <v>9944.36</v>
      </c>
      <c r="H19" s="24">
        <v>3724.35</v>
      </c>
      <c r="I19" s="24">
        <v>1449.62</v>
      </c>
      <c r="J19" s="24"/>
      <c r="K19" s="24">
        <v>12574.45</v>
      </c>
      <c r="L19" s="24"/>
      <c r="M19" s="24">
        <v>2447.4299999999998</v>
      </c>
      <c r="N19" s="24"/>
      <c r="O19" s="24">
        <v>24203.599999999999</v>
      </c>
      <c r="P19" s="24">
        <v>1911</v>
      </c>
      <c r="Q19" s="24">
        <v>29295.55</v>
      </c>
      <c r="R19" s="24">
        <v>40709.11</v>
      </c>
      <c r="S19" s="26">
        <v>22415.51</v>
      </c>
      <c r="T19" s="27">
        <f t="shared" si="2"/>
        <v>293289.25</v>
      </c>
    </row>
    <row r="20" spans="1:34" s="28" customFormat="1" x14ac:dyDescent="0.25">
      <c r="A20" s="21" t="s">
        <v>21</v>
      </c>
      <c r="B20" s="22">
        <v>44088</v>
      </c>
      <c r="C20" s="29">
        <v>36</v>
      </c>
      <c r="D20" s="24">
        <v>1120.6600000000001</v>
      </c>
      <c r="E20" s="24">
        <v>724.37</v>
      </c>
      <c r="F20" s="24">
        <v>3818.5</v>
      </c>
      <c r="G20" s="24">
        <v>652.12</v>
      </c>
      <c r="H20" s="24">
        <v>235.63</v>
      </c>
      <c r="I20" s="24">
        <v>647.64</v>
      </c>
      <c r="J20" s="24"/>
      <c r="K20" s="24">
        <v>2221.33</v>
      </c>
      <c r="L20" s="24">
        <v>0.88</v>
      </c>
      <c r="M20" s="24">
        <v>125.69</v>
      </c>
      <c r="N20" s="24">
        <v>788.82</v>
      </c>
      <c r="O20" s="24">
        <v>1398.58</v>
      </c>
      <c r="P20" s="24"/>
      <c r="Q20" s="24">
        <v>1447</v>
      </c>
      <c r="R20" s="24">
        <v>2168.7399999999998</v>
      </c>
      <c r="S20" s="26">
        <v>1402.89</v>
      </c>
      <c r="T20" s="27">
        <f t="shared" si="2"/>
        <v>16752.849999999999</v>
      </c>
    </row>
    <row r="21" spans="1:34" s="56" customFormat="1" x14ac:dyDescent="0.25">
      <c r="A21" s="21" t="s">
        <v>22</v>
      </c>
      <c r="B21" s="22">
        <v>44084</v>
      </c>
      <c r="C21" s="29">
        <v>29</v>
      </c>
      <c r="D21" s="24">
        <v>1687.04</v>
      </c>
      <c r="E21" s="24">
        <v>1355.17</v>
      </c>
      <c r="F21" s="24">
        <v>6167.37</v>
      </c>
      <c r="G21" s="24">
        <v>802.04</v>
      </c>
      <c r="H21" s="24">
        <v>691.42</v>
      </c>
      <c r="I21" s="24">
        <v>611.51</v>
      </c>
      <c r="J21" s="24">
        <v>0</v>
      </c>
      <c r="K21" s="24">
        <v>332.32</v>
      </c>
      <c r="L21" s="24">
        <v>285.60000000000002</v>
      </c>
      <c r="M21" s="24">
        <v>28.55</v>
      </c>
      <c r="N21" s="24">
        <v>0</v>
      </c>
      <c r="O21" s="24">
        <v>1737.18</v>
      </c>
      <c r="P21" s="24">
        <v>232</v>
      </c>
      <c r="Q21" s="24">
        <v>1902.11</v>
      </c>
      <c r="R21" s="24">
        <v>2703.59</v>
      </c>
      <c r="S21" s="26">
        <v>1351.82</v>
      </c>
      <c r="T21" s="27">
        <f>SUM(D21:S21)</f>
        <v>19887.72</v>
      </c>
      <c r="U21" s="28"/>
      <c r="V21" s="28"/>
      <c r="W21" s="28"/>
      <c r="X21" s="28"/>
      <c r="Y21" s="28"/>
      <c r="Z21" s="28"/>
      <c r="AA21" s="28"/>
      <c r="AB21" s="28"/>
      <c r="AC21" s="28"/>
      <c r="AD21" s="28"/>
      <c r="AE21" s="28"/>
      <c r="AF21" s="28"/>
      <c r="AG21" s="28"/>
      <c r="AH21" s="28"/>
    </row>
    <row r="22" spans="1:34" s="28" customFormat="1" x14ac:dyDescent="0.25">
      <c r="A22" s="21" t="s">
        <v>23</v>
      </c>
      <c r="B22" s="22">
        <v>44061</v>
      </c>
      <c r="C22" s="29">
        <v>114</v>
      </c>
      <c r="D22" s="24">
        <v>7001.27</v>
      </c>
      <c r="E22" s="24">
        <v>7747.48</v>
      </c>
      <c r="F22" s="24">
        <v>18039.14</v>
      </c>
      <c r="G22" s="24">
        <v>3328.53</v>
      </c>
      <c r="H22" s="24">
        <v>1606.9</v>
      </c>
      <c r="I22" s="24">
        <v>913.65</v>
      </c>
      <c r="J22" s="24"/>
      <c r="K22" s="24">
        <v>2935.91</v>
      </c>
      <c r="L22" s="24">
        <v>3.8</v>
      </c>
      <c r="M22" s="24">
        <v>287.08999999999997</v>
      </c>
      <c r="N22" s="24"/>
      <c r="O22" s="24">
        <v>6209.09</v>
      </c>
      <c r="P22" s="24">
        <v>1482</v>
      </c>
      <c r="Q22" s="24">
        <v>6269.1</v>
      </c>
      <c r="R22" s="24">
        <v>9839.17</v>
      </c>
      <c r="S22" s="26">
        <v>5945.56</v>
      </c>
      <c r="T22" s="27">
        <f t="shared" ref="T22:T27" si="3">SUM(D22:S22)</f>
        <v>71608.69</v>
      </c>
    </row>
    <row r="23" spans="1:34" s="28" customFormat="1" x14ac:dyDescent="0.25">
      <c r="A23" s="21" t="s">
        <v>149</v>
      </c>
      <c r="B23" s="22">
        <v>44061</v>
      </c>
      <c r="C23" s="29">
        <v>12</v>
      </c>
      <c r="D23" s="24">
        <v>788.55</v>
      </c>
      <c r="E23" s="24">
        <v>838.71</v>
      </c>
      <c r="F23" s="24">
        <v>466.56</v>
      </c>
      <c r="G23" s="24">
        <v>360.77</v>
      </c>
      <c r="H23" s="24">
        <v>173.62</v>
      </c>
      <c r="I23" s="24">
        <v>97.18</v>
      </c>
      <c r="J23" s="24"/>
      <c r="K23" s="24">
        <v>87.79</v>
      </c>
      <c r="L23" s="24"/>
      <c r="M23" s="24">
        <v>30.51</v>
      </c>
      <c r="N23" s="24"/>
      <c r="O23" s="24">
        <v>378.35</v>
      </c>
      <c r="P23" s="24">
        <v>140.13</v>
      </c>
      <c r="Q23" s="24"/>
      <c r="R23" s="24">
        <v>591.16</v>
      </c>
      <c r="S23" s="26">
        <v>394.67</v>
      </c>
      <c r="T23" s="27">
        <f t="shared" si="3"/>
        <v>4348</v>
      </c>
    </row>
    <row r="24" spans="1:34" s="28" customFormat="1" x14ac:dyDescent="0.25">
      <c r="A24" s="21" t="s">
        <v>150</v>
      </c>
      <c r="B24" s="22">
        <v>44061</v>
      </c>
      <c r="C24" s="29">
        <v>18</v>
      </c>
      <c r="D24" s="24">
        <v>1603.78</v>
      </c>
      <c r="E24" s="24">
        <v>1799.76</v>
      </c>
      <c r="F24" s="24">
        <v>5057.63</v>
      </c>
      <c r="G24" s="24">
        <v>772.88</v>
      </c>
      <c r="H24" s="24">
        <v>374.27</v>
      </c>
      <c r="I24" s="24">
        <v>212.85</v>
      </c>
      <c r="J24" s="24"/>
      <c r="K24" s="24">
        <v>1145.74</v>
      </c>
      <c r="L24" s="24"/>
      <c r="M24" s="24">
        <v>78.319999999999993</v>
      </c>
      <c r="N24" s="24"/>
      <c r="O24" s="24">
        <v>1546.59</v>
      </c>
      <c r="P24" s="24">
        <v>209</v>
      </c>
      <c r="Q24" s="24">
        <v>1869.3</v>
      </c>
      <c r="R24" s="24">
        <v>2503.61</v>
      </c>
      <c r="S24" s="26">
        <v>1252.76</v>
      </c>
      <c r="T24" s="27">
        <f t="shared" si="3"/>
        <v>18426.489999999998</v>
      </c>
    </row>
    <row r="25" spans="1:34" s="28" customFormat="1" x14ac:dyDescent="0.25">
      <c r="A25" s="21" t="s">
        <v>24</v>
      </c>
      <c r="B25" s="22">
        <v>44056</v>
      </c>
      <c r="C25" s="29">
        <v>131</v>
      </c>
      <c r="D25" s="24">
        <v>17274.93</v>
      </c>
      <c r="E25" s="24">
        <v>25204.42</v>
      </c>
      <c r="F25" s="24">
        <v>52077.81</v>
      </c>
      <c r="G25" s="24">
        <v>10619.81</v>
      </c>
      <c r="H25" s="24">
        <v>3723.99</v>
      </c>
      <c r="I25" s="24">
        <v>3539.98</v>
      </c>
      <c r="J25" s="24"/>
      <c r="K25" s="24">
        <v>4669.54</v>
      </c>
      <c r="L25" s="24"/>
      <c r="M25" s="24">
        <v>424.81</v>
      </c>
      <c r="N25" s="24"/>
      <c r="O25" s="24">
        <v>16681.419999999998</v>
      </c>
      <c r="P25" s="24">
        <v>3930</v>
      </c>
      <c r="Q25" s="24">
        <v>17592.310000000001</v>
      </c>
      <c r="R25" s="24">
        <v>27287.57</v>
      </c>
      <c r="S25" s="26">
        <v>15477.71</v>
      </c>
      <c r="T25" s="27">
        <f t="shared" si="3"/>
        <v>198504.3</v>
      </c>
    </row>
    <row r="26" spans="1:34" s="7" customFormat="1" x14ac:dyDescent="0.25">
      <c r="A26" s="12" t="s">
        <v>156</v>
      </c>
      <c r="B26" s="20">
        <v>44056</v>
      </c>
      <c r="C26" s="6">
        <v>13</v>
      </c>
      <c r="D26" s="8">
        <v>1016.72</v>
      </c>
      <c r="E26" s="8">
        <v>1483.42</v>
      </c>
      <c r="F26" s="8">
        <v>5436.77</v>
      </c>
      <c r="G26" s="8">
        <v>625.04</v>
      </c>
      <c r="H26" s="8">
        <v>219.17</v>
      </c>
      <c r="I26" s="8">
        <v>208.34</v>
      </c>
      <c r="J26" s="8"/>
      <c r="K26" s="8">
        <v>239.3</v>
      </c>
      <c r="L26" s="8"/>
      <c r="M26" s="8">
        <v>25.01</v>
      </c>
      <c r="N26" s="8"/>
      <c r="O26" s="8">
        <v>1277.49</v>
      </c>
      <c r="P26" s="8">
        <v>390</v>
      </c>
      <c r="Q26" s="8">
        <v>1383.68</v>
      </c>
      <c r="R26" s="8">
        <v>2153.52</v>
      </c>
      <c r="S26" s="9">
        <v>1258.73</v>
      </c>
      <c r="T26" s="10">
        <f t="shared" si="3"/>
        <v>15717.19</v>
      </c>
    </row>
    <row r="27" spans="1:34" s="7" customFormat="1" x14ac:dyDescent="0.25">
      <c r="A27" s="21" t="s">
        <v>25</v>
      </c>
      <c r="B27" s="20">
        <v>44077</v>
      </c>
      <c r="C27" s="6">
        <v>1</v>
      </c>
      <c r="D27" s="8">
        <v>8.5399999999999991</v>
      </c>
      <c r="E27" s="8">
        <v>14.21</v>
      </c>
      <c r="F27" s="8">
        <v>39.409999999999997</v>
      </c>
      <c r="G27" s="8"/>
      <c r="H27" s="8">
        <v>2.2400000000000002</v>
      </c>
      <c r="I27" s="8">
        <v>5.61</v>
      </c>
      <c r="J27" s="8"/>
      <c r="K27" s="8"/>
      <c r="L27" s="8">
        <v>4.6900000000000004</v>
      </c>
      <c r="M27" s="8">
        <v>1.4</v>
      </c>
      <c r="N27" s="8">
        <v>6.09</v>
      </c>
      <c r="O27" s="8">
        <v>12.76</v>
      </c>
      <c r="P27" s="8"/>
      <c r="Q27" s="8">
        <v>13.38</v>
      </c>
      <c r="R27" s="8">
        <v>45.11</v>
      </c>
      <c r="S27" s="9">
        <v>24.56</v>
      </c>
      <c r="T27" s="10">
        <f t="shared" si="3"/>
        <v>178</v>
      </c>
      <c r="U27" s="9"/>
    </row>
    <row r="28" spans="1:34" s="7" customFormat="1" x14ac:dyDescent="0.25">
      <c r="A28" s="21" t="s">
        <v>26</v>
      </c>
      <c r="B28" s="20">
        <v>44064</v>
      </c>
      <c r="C28" s="6">
        <v>22</v>
      </c>
      <c r="D28" s="8">
        <v>4342.84</v>
      </c>
      <c r="E28" s="8">
        <v>1139.1199999999999</v>
      </c>
      <c r="F28" s="8">
        <v>21358.799999999999</v>
      </c>
      <c r="G28" s="8">
        <v>4093.79</v>
      </c>
      <c r="H28" s="8">
        <v>1922.3</v>
      </c>
      <c r="I28" s="8">
        <v>1752.84</v>
      </c>
      <c r="J28" s="8"/>
      <c r="K28" s="8">
        <v>1888.6</v>
      </c>
      <c r="L28" s="8">
        <v>2298.9</v>
      </c>
      <c r="M28" s="8"/>
      <c r="N28" s="8"/>
      <c r="O28" s="8">
        <v>5720.37</v>
      </c>
      <c r="P28" s="8">
        <v>396</v>
      </c>
      <c r="Q28" s="8">
        <v>5815.78</v>
      </c>
      <c r="R28" s="8">
        <v>8922.7800000000007</v>
      </c>
      <c r="S28" s="9">
        <v>4791.3999999999996</v>
      </c>
      <c r="T28" s="10">
        <v>64444.5</v>
      </c>
    </row>
    <row r="29" spans="1:34" s="28" customFormat="1" x14ac:dyDescent="0.25">
      <c r="A29" s="21" t="s">
        <v>27</v>
      </c>
      <c r="B29" s="22">
        <v>44071</v>
      </c>
      <c r="C29" s="29">
        <v>78</v>
      </c>
      <c r="D29" s="24">
        <v>5494.44</v>
      </c>
      <c r="E29" s="24">
        <v>4336.78</v>
      </c>
      <c r="F29" s="24">
        <v>21662.11</v>
      </c>
      <c r="G29" s="24">
        <v>0</v>
      </c>
      <c r="H29" s="24">
        <v>2701.62</v>
      </c>
      <c r="I29" s="24">
        <v>2156.73</v>
      </c>
      <c r="J29" s="24"/>
      <c r="K29" s="24">
        <v>44.96</v>
      </c>
      <c r="L29" s="24">
        <v>160</v>
      </c>
      <c r="M29" s="24"/>
      <c r="N29" s="24">
        <v>4323.47</v>
      </c>
      <c r="O29" s="24">
        <v>5345.42</v>
      </c>
      <c r="P29" s="24"/>
      <c r="Q29" s="24"/>
      <c r="R29" s="24">
        <v>7941.8</v>
      </c>
      <c r="S29" s="26">
        <v>5170.99</v>
      </c>
      <c r="T29" s="27">
        <f>SUM(D29:S29)</f>
        <v>59338.320000000007</v>
      </c>
    </row>
    <row r="30" spans="1:34" s="28" customFormat="1" x14ac:dyDescent="0.25">
      <c r="A30" s="21" t="s">
        <v>28</v>
      </c>
      <c r="B30" s="22">
        <v>44067</v>
      </c>
      <c r="C30" s="29">
        <v>22</v>
      </c>
      <c r="D30" s="24">
        <v>980.7</v>
      </c>
      <c r="E30" s="24">
        <v>646.42999999999995</v>
      </c>
      <c r="F30" s="24">
        <v>4061.4</v>
      </c>
      <c r="G30" s="24">
        <v>760.02</v>
      </c>
      <c r="H30" s="24">
        <v>345.68</v>
      </c>
      <c r="I30" s="24">
        <v>160.02000000000001</v>
      </c>
      <c r="J30" s="24">
        <v>505.03</v>
      </c>
      <c r="K30" s="24">
        <v>11.04</v>
      </c>
      <c r="L30" s="24"/>
      <c r="M30" s="24">
        <v>196.05</v>
      </c>
      <c r="N30" s="24">
        <v>482.32</v>
      </c>
      <c r="O30" s="24">
        <v>1248.96</v>
      </c>
      <c r="P30" s="24">
        <v>223.18</v>
      </c>
      <c r="Q30" s="24">
        <v>1493.35</v>
      </c>
      <c r="R30" s="24">
        <v>1918.26</v>
      </c>
      <c r="S30" s="26">
        <v>1176.96</v>
      </c>
      <c r="T30" s="27">
        <f>SUM(D30:S30)</f>
        <v>14209.400000000001</v>
      </c>
    </row>
    <row r="31" spans="1:34" s="28" customFormat="1" x14ac:dyDescent="0.25">
      <c r="A31" s="21" t="s">
        <v>29</v>
      </c>
      <c r="B31" s="22">
        <v>44083</v>
      </c>
      <c r="C31" s="29">
        <v>152</v>
      </c>
      <c r="D31" s="24">
        <v>15120.15</v>
      </c>
      <c r="E31" s="24">
        <v>23176.01</v>
      </c>
      <c r="F31" s="24">
        <v>53044.55</v>
      </c>
      <c r="G31" s="24"/>
      <c r="H31" s="24">
        <v>4648.92</v>
      </c>
      <c r="I31" s="24">
        <v>2974.51</v>
      </c>
      <c r="J31" s="24"/>
      <c r="K31" s="24">
        <v>3614.59</v>
      </c>
      <c r="L31" s="24"/>
      <c r="M31" s="24">
        <v>495.77</v>
      </c>
      <c r="N31" s="24"/>
      <c r="O31" s="24">
        <v>14966.64</v>
      </c>
      <c r="P31" s="24"/>
      <c r="Q31" s="24">
        <v>17727.32</v>
      </c>
      <c r="R31" s="24">
        <v>24408.02</v>
      </c>
      <c r="S31" s="26">
        <v>14445.21</v>
      </c>
      <c r="T31" s="27">
        <f>SUM(D31:S31)</f>
        <v>174621.68999999997</v>
      </c>
    </row>
    <row r="32" spans="1:34" s="7" customFormat="1" x14ac:dyDescent="0.25">
      <c r="A32" s="21" t="s">
        <v>30</v>
      </c>
      <c r="B32" s="20">
        <v>44071</v>
      </c>
      <c r="C32" s="6">
        <v>78</v>
      </c>
      <c r="D32" s="8">
        <v>8377.1</v>
      </c>
      <c r="E32" s="8">
        <v>6179.85</v>
      </c>
      <c r="F32" s="8">
        <v>43739.62</v>
      </c>
      <c r="G32" s="8">
        <v>4844.68</v>
      </c>
      <c r="H32" s="8">
        <v>3592.27</v>
      </c>
      <c r="I32" s="8">
        <v>2515.3200000000002</v>
      </c>
      <c r="J32" s="8">
        <v>0</v>
      </c>
      <c r="K32" s="8">
        <v>0</v>
      </c>
      <c r="L32" s="8">
        <v>0</v>
      </c>
      <c r="M32" s="8">
        <v>0</v>
      </c>
      <c r="N32" s="8">
        <v>0</v>
      </c>
      <c r="O32" s="8">
        <v>9684.7800000000007</v>
      </c>
      <c r="P32" s="8">
        <v>780</v>
      </c>
      <c r="Q32" s="8">
        <v>10168.44</v>
      </c>
      <c r="R32" s="8">
        <v>15774.52</v>
      </c>
      <c r="S32" s="9">
        <v>8979.2000000000007</v>
      </c>
      <c r="T32" s="10">
        <f>SUM(D32:S32)</f>
        <v>114635.78000000001</v>
      </c>
    </row>
    <row r="33" spans="1:30" s="56" customFormat="1" x14ac:dyDescent="0.25">
      <c r="A33" s="21" t="s">
        <v>31</v>
      </c>
      <c r="B33" s="22">
        <v>44103</v>
      </c>
      <c r="C33" s="29">
        <v>48</v>
      </c>
      <c r="D33" s="24">
        <v>3382.4</v>
      </c>
      <c r="E33" s="24">
        <v>3549.69</v>
      </c>
      <c r="F33" s="24">
        <v>18187.599999999999</v>
      </c>
      <c r="G33" s="24">
        <v>3271.6</v>
      </c>
      <c r="H33" s="24">
        <v>1940.75</v>
      </c>
      <c r="I33" s="24">
        <v>2362.7199999999998</v>
      </c>
      <c r="J33" s="24"/>
      <c r="K33" s="24">
        <v>46.84</v>
      </c>
      <c r="L33" s="24"/>
      <c r="M33" s="24">
        <v>443.58</v>
      </c>
      <c r="N33" s="24"/>
      <c r="O33" s="24">
        <v>4314.5</v>
      </c>
      <c r="P33" s="24">
        <v>47.8</v>
      </c>
      <c r="Q33" s="24"/>
      <c r="R33" s="24">
        <v>6464.97</v>
      </c>
      <c r="S33" s="26">
        <v>3949.45</v>
      </c>
      <c r="T33" s="27">
        <f>SUM(D33:S33)</f>
        <v>47961.9</v>
      </c>
      <c r="U33" s="28"/>
      <c r="V33" s="28"/>
      <c r="W33" s="28"/>
      <c r="X33" s="28"/>
      <c r="Y33" s="28"/>
      <c r="Z33" s="28"/>
    </row>
    <row r="34" spans="1:30" s="28" customFormat="1" x14ac:dyDescent="0.25">
      <c r="A34" s="21" t="s">
        <v>32</v>
      </c>
      <c r="B34" s="22">
        <v>44082</v>
      </c>
      <c r="C34" s="29">
        <v>16</v>
      </c>
      <c r="D34" s="24">
        <v>1962.72</v>
      </c>
      <c r="E34" s="24">
        <v>1045.72</v>
      </c>
      <c r="F34" s="24">
        <v>7303.9</v>
      </c>
      <c r="G34" s="24">
        <v>772.22</v>
      </c>
      <c r="H34" s="24">
        <v>563.09</v>
      </c>
      <c r="I34" s="24">
        <v>1377.76</v>
      </c>
      <c r="J34" s="24"/>
      <c r="K34" s="24">
        <v>14.37</v>
      </c>
      <c r="L34" s="24"/>
      <c r="M34" s="24">
        <v>292.81</v>
      </c>
      <c r="N34" s="24"/>
      <c r="O34" s="24">
        <v>1779.92</v>
      </c>
      <c r="P34" s="24">
        <v>32</v>
      </c>
      <c r="Q34" s="24"/>
      <c r="R34" s="24">
        <v>2666.52</v>
      </c>
      <c r="S34" s="26">
        <v>1493.27</v>
      </c>
      <c r="T34" s="27">
        <f t="shared" ref="T34:T43" si="4">SUM(D34:S34)</f>
        <v>19304.3</v>
      </c>
    </row>
    <row r="35" spans="1:30" s="28" customFormat="1" x14ac:dyDescent="0.25">
      <c r="A35" s="21" t="s">
        <v>33</v>
      </c>
      <c r="B35" s="22">
        <v>44082</v>
      </c>
      <c r="C35" s="29">
        <v>23</v>
      </c>
      <c r="D35" s="24">
        <v>1784.92</v>
      </c>
      <c r="E35" s="24">
        <v>1849.79</v>
      </c>
      <c r="F35" s="24">
        <v>7110.44</v>
      </c>
      <c r="G35" s="24">
        <v>731.53</v>
      </c>
      <c r="H35" s="24">
        <v>438.92</v>
      </c>
      <c r="I35" s="24">
        <v>545.76</v>
      </c>
      <c r="J35" s="24">
        <v>0</v>
      </c>
      <c r="K35" s="24">
        <v>5.51</v>
      </c>
      <c r="L35" s="24"/>
      <c r="M35" s="24">
        <v>523.22</v>
      </c>
      <c r="N35" s="24"/>
      <c r="O35" s="24">
        <v>1707.17</v>
      </c>
      <c r="P35" s="24"/>
      <c r="Q35" s="24"/>
      <c r="R35" s="24">
        <v>2616.4</v>
      </c>
      <c r="S35" s="26">
        <v>1630.23</v>
      </c>
      <c r="T35" s="27">
        <f t="shared" si="4"/>
        <v>18943.89</v>
      </c>
    </row>
    <row r="36" spans="1:30" s="36" customFormat="1" x14ac:dyDescent="0.25">
      <c r="A36" s="32" t="s">
        <v>34</v>
      </c>
      <c r="B36" s="33">
        <v>44082</v>
      </c>
      <c r="C36" s="29">
        <v>38</v>
      </c>
      <c r="D36" s="34">
        <v>1954.21</v>
      </c>
      <c r="E36" s="34">
        <v>976.76</v>
      </c>
      <c r="F36" s="34">
        <v>6599.48</v>
      </c>
      <c r="G36" s="34">
        <v>1185.3399999999999</v>
      </c>
      <c r="H36" s="34">
        <v>560.65</v>
      </c>
      <c r="I36" s="34">
        <v>1015.94</v>
      </c>
      <c r="J36" s="34"/>
      <c r="K36" s="34">
        <v>23.51</v>
      </c>
      <c r="L36" s="34"/>
      <c r="M36" s="34">
        <v>384.43</v>
      </c>
      <c r="N36" s="34">
        <v>929.06</v>
      </c>
      <c r="O36" s="34">
        <v>1778.57</v>
      </c>
      <c r="P36" s="34"/>
      <c r="Q36" s="34"/>
      <c r="R36" s="34">
        <v>2741.07</v>
      </c>
      <c r="S36" s="35">
        <v>1902.53</v>
      </c>
      <c r="T36" s="27">
        <f t="shared" si="4"/>
        <v>20051.55</v>
      </c>
    </row>
    <row r="37" spans="1:30" s="28" customFormat="1" x14ac:dyDescent="0.25">
      <c r="A37" s="21" t="s">
        <v>35</v>
      </c>
      <c r="B37" s="22">
        <v>44089</v>
      </c>
      <c r="C37" s="29">
        <v>104</v>
      </c>
      <c r="D37" s="24">
        <v>10318.030000000001</v>
      </c>
      <c r="E37" s="24">
        <v>11417.53</v>
      </c>
      <c r="F37" s="24">
        <v>36395.14</v>
      </c>
      <c r="G37" s="24">
        <v>5328.19</v>
      </c>
      <c r="H37" s="24">
        <v>3382.96</v>
      </c>
      <c r="I37" s="24">
        <v>726.52</v>
      </c>
      <c r="J37" s="24"/>
      <c r="K37" s="24">
        <v>1210</v>
      </c>
      <c r="L37" s="24">
        <v>219.28</v>
      </c>
      <c r="M37" s="24"/>
      <c r="N37" s="24"/>
      <c r="O37" s="24">
        <v>9677.7800000000007</v>
      </c>
      <c r="P37" s="24">
        <v>2176.7199999999998</v>
      </c>
      <c r="Q37" s="24">
        <v>11178.45</v>
      </c>
      <c r="R37" s="24">
        <v>16243.17</v>
      </c>
      <c r="S37" s="26">
        <v>9577.61</v>
      </c>
      <c r="T37" s="27">
        <f t="shared" si="4"/>
        <v>117851.38</v>
      </c>
    </row>
    <row r="38" spans="1:30" s="28" customFormat="1" x14ac:dyDescent="0.25">
      <c r="A38" s="21" t="s">
        <v>36</v>
      </c>
      <c r="B38" s="22">
        <v>44089</v>
      </c>
      <c r="C38" s="29">
        <v>58</v>
      </c>
      <c r="D38" s="24">
        <v>4359.25</v>
      </c>
      <c r="E38" s="24">
        <v>4961.9399999999996</v>
      </c>
      <c r="F38" s="24">
        <v>16286.64</v>
      </c>
      <c r="G38" s="24">
        <v>2664.93</v>
      </c>
      <c r="H38" s="24">
        <v>759.3</v>
      </c>
      <c r="I38" s="24">
        <v>606</v>
      </c>
      <c r="J38" s="24"/>
      <c r="K38" s="24">
        <v>1833.63</v>
      </c>
      <c r="L38" s="24"/>
      <c r="M38" s="24">
        <v>352.26</v>
      </c>
      <c r="N38" s="24">
        <v>2911.14</v>
      </c>
      <c r="O38" s="24">
        <v>5288.83</v>
      </c>
      <c r="P38" s="24"/>
      <c r="Q38" s="24">
        <v>7390.24</v>
      </c>
      <c r="R38" s="24">
        <v>8486.0499999999993</v>
      </c>
      <c r="S38" s="26">
        <v>4872.5200000000004</v>
      </c>
      <c r="T38" s="27">
        <f t="shared" si="4"/>
        <v>60772.729999999996</v>
      </c>
    </row>
    <row r="39" spans="1:30" s="28" customFormat="1" x14ac:dyDescent="0.25">
      <c r="A39" s="21" t="s">
        <v>37</v>
      </c>
      <c r="B39" s="22">
        <v>44084</v>
      </c>
      <c r="C39" s="29">
        <v>233</v>
      </c>
      <c r="D39" s="24">
        <v>7196.03</v>
      </c>
      <c r="E39" s="24">
        <v>6167.66</v>
      </c>
      <c r="F39" s="24">
        <v>24440.67</v>
      </c>
      <c r="G39" s="24"/>
      <c r="H39" s="24">
        <v>4568.6400000000003</v>
      </c>
      <c r="I39" s="24">
        <v>4230.53</v>
      </c>
      <c r="J39" s="24"/>
      <c r="K39" s="24"/>
      <c r="L39" s="24">
        <v>97.49</v>
      </c>
      <c r="M39" s="24">
        <v>3451.78</v>
      </c>
      <c r="N39" s="24">
        <v>5196.7700000000004</v>
      </c>
      <c r="O39" s="24">
        <v>8416.48</v>
      </c>
      <c r="P39" s="24">
        <v>819.36</v>
      </c>
      <c r="Q39" s="24">
        <v>8589.6299999999992</v>
      </c>
      <c r="R39" s="24">
        <v>12607.03</v>
      </c>
      <c r="S39" s="26">
        <v>9117.8799999999992</v>
      </c>
      <c r="T39" s="27">
        <f t="shared" si="4"/>
        <v>94899.95</v>
      </c>
    </row>
    <row r="40" spans="1:30" s="28" customFormat="1" x14ac:dyDescent="0.25">
      <c r="A40" s="21" t="s">
        <v>38</v>
      </c>
      <c r="B40" s="22">
        <v>44069</v>
      </c>
      <c r="C40" s="29">
        <v>37</v>
      </c>
      <c r="D40" s="24">
        <v>2692.18</v>
      </c>
      <c r="E40" s="24">
        <v>1963.98</v>
      </c>
      <c r="F40" s="24">
        <v>11276.24</v>
      </c>
      <c r="G40" s="24">
        <v>2956.99</v>
      </c>
      <c r="H40" s="24">
        <v>1765.36</v>
      </c>
      <c r="I40" s="24">
        <v>1500.56</v>
      </c>
      <c r="J40" s="24"/>
      <c r="K40" s="24"/>
      <c r="L40" s="24">
        <v>11.1</v>
      </c>
      <c r="M40" s="24">
        <v>330.98</v>
      </c>
      <c r="N40" s="24">
        <v>2206.71</v>
      </c>
      <c r="O40" s="24">
        <v>3804.28</v>
      </c>
      <c r="P40" s="24">
        <v>185</v>
      </c>
      <c r="Q40" s="24">
        <v>3709.52</v>
      </c>
      <c r="R40" s="24">
        <v>5756.69</v>
      </c>
      <c r="S40" s="26">
        <v>3396.38</v>
      </c>
      <c r="T40" s="27">
        <f t="shared" si="4"/>
        <v>41555.969999999994</v>
      </c>
    </row>
    <row r="41" spans="1:30" s="50" customFormat="1" x14ac:dyDescent="0.25">
      <c r="A41" s="21" t="s">
        <v>39</v>
      </c>
      <c r="B41" s="22">
        <v>44064</v>
      </c>
      <c r="C41" s="29">
        <v>317</v>
      </c>
      <c r="D41" s="24">
        <v>73319.22</v>
      </c>
      <c r="E41" s="24">
        <v>48988.160000000003</v>
      </c>
      <c r="F41" s="24">
        <v>486791.37</v>
      </c>
      <c r="G41" s="24"/>
      <c r="H41" s="24">
        <v>16827.330000000002</v>
      </c>
      <c r="I41" s="24">
        <v>2103.63</v>
      </c>
      <c r="J41" s="24"/>
      <c r="K41" s="24"/>
      <c r="L41" s="24">
        <v>121340.62</v>
      </c>
      <c r="M41" s="24">
        <v>360.61</v>
      </c>
      <c r="N41" s="24"/>
      <c r="O41" s="24">
        <v>98882.39</v>
      </c>
      <c r="P41" s="24">
        <v>12008</v>
      </c>
      <c r="Q41" s="24">
        <v>111916.65</v>
      </c>
      <c r="R41" s="24">
        <v>172961.53</v>
      </c>
      <c r="S41" s="26">
        <v>90904.81</v>
      </c>
      <c r="T41" s="27">
        <f t="shared" si="4"/>
        <v>1236404.32</v>
      </c>
      <c r="U41" s="28"/>
      <c r="V41" s="28"/>
      <c r="W41" s="28"/>
      <c r="X41" s="28"/>
      <c r="Y41" s="28"/>
      <c r="Z41" s="28"/>
      <c r="AA41" s="28"/>
      <c r="AB41" s="28"/>
      <c r="AC41" s="28"/>
      <c r="AD41" s="28"/>
    </row>
    <row r="42" spans="1:30" s="28" customFormat="1" x14ac:dyDescent="0.25">
      <c r="A42" s="21" t="s">
        <v>40</v>
      </c>
      <c r="B42" s="22">
        <v>44071</v>
      </c>
      <c r="C42" s="29">
        <v>38</v>
      </c>
      <c r="D42" s="24">
        <v>1802.06</v>
      </c>
      <c r="E42" s="24">
        <v>2363.36</v>
      </c>
      <c r="F42" s="24">
        <v>6676.49</v>
      </c>
      <c r="G42" s="24">
        <v>1299.8499999999999</v>
      </c>
      <c r="H42" s="24">
        <v>738.55</v>
      </c>
      <c r="I42" s="24">
        <v>681.37</v>
      </c>
      <c r="J42" s="24"/>
      <c r="K42" s="24"/>
      <c r="L42" s="24">
        <v>116.06</v>
      </c>
      <c r="M42" s="24">
        <v>221.55</v>
      </c>
      <c r="N42" s="24">
        <v>1255.55</v>
      </c>
      <c r="O42" s="24">
        <v>2164.94</v>
      </c>
      <c r="P42" s="24">
        <v>760</v>
      </c>
      <c r="Q42" s="24">
        <v>2268.9</v>
      </c>
      <c r="R42" s="24">
        <v>3560.77</v>
      </c>
      <c r="S42" s="26">
        <v>2312.38</v>
      </c>
      <c r="T42" s="27">
        <f t="shared" si="4"/>
        <v>26221.83</v>
      </c>
    </row>
    <row r="43" spans="1:30" s="56" customFormat="1" x14ac:dyDescent="0.25">
      <c r="A43" s="21" t="s">
        <v>41</v>
      </c>
      <c r="B43" s="22">
        <v>44091</v>
      </c>
      <c r="C43" s="29">
        <v>117</v>
      </c>
      <c r="D43" s="24">
        <v>22362.27</v>
      </c>
      <c r="E43" s="24">
        <v>22034.21</v>
      </c>
      <c r="F43" s="24">
        <v>125765.92</v>
      </c>
      <c r="G43" s="24">
        <v>11296.63</v>
      </c>
      <c r="H43" s="24">
        <v>10921.08</v>
      </c>
      <c r="I43" s="24">
        <v>6573.89</v>
      </c>
      <c r="J43" s="24"/>
      <c r="K43" s="24">
        <v>14228.95</v>
      </c>
      <c r="L43" s="24"/>
      <c r="M43" s="24">
        <v>3267.2</v>
      </c>
      <c r="N43" s="24"/>
      <c r="O43" s="24">
        <v>27249.1</v>
      </c>
      <c r="P43" s="24">
        <v>1164.1099999999999</v>
      </c>
      <c r="Q43" s="24"/>
      <c r="R43" s="24">
        <v>43523.73</v>
      </c>
      <c r="S43" s="26">
        <v>26032.78</v>
      </c>
      <c r="T43" s="27">
        <f t="shared" si="4"/>
        <v>314419.87</v>
      </c>
    </row>
    <row r="44" spans="1:30" s="7" customFormat="1" x14ac:dyDescent="0.25">
      <c r="A44" s="12" t="s">
        <v>42</v>
      </c>
      <c r="B44" s="20">
        <v>44056</v>
      </c>
      <c r="C44" s="6">
        <v>131</v>
      </c>
      <c r="D44" s="8">
        <v>17715.93</v>
      </c>
      <c r="E44" s="8">
        <v>27154.799999999999</v>
      </c>
      <c r="F44" s="8">
        <v>90043.31</v>
      </c>
      <c r="G44" s="8">
        <v>12343.1</v>
      </c>
      <c r="H44" s="8">
        <v>10527.98</v>
      </c>
      <c r="I44" s="8">
        <v>2345.15</v>
      </c>
      <c r="J44" s="8"/>
      <c r="K44" s="8"/>
      <c r="L44" s="8"/>
      <c r="M44" s="8">
        <v>1306.9000000000001</v>
      </c>
      <c r="N44" s="8"/>
      <c r="O44" s="8">
        <v>23571.95</v>
      </c>
      <c r="P44" s="8">
        <v>655</v>
      </c>
      <c r="Q44" s="8">
        <v>24189.759999999998</v>
      </c>
      <c r="R44" s="8">
        <v>37387.29</v>
      </c>
      <c r="S44" s="9">
        <v>20527.64</v>
      </c>
      <c r="T44" s="10">
        <f t="shared" ref="T44:T50" si="5">SUM(D44:S44)</f>
        <v>267768.81</v>
      </c>
    </row>
    <row r="45" spans="1:30" s="28" customFormat="1" x14ac:dyDescent="0.25">
      <c r="A45" s="21" t="s">
        <v>43</v>
      </c>
      <c r="B45" s="22">
        <v>44060</v>
      </c>
      <c r="C45" s="29">
        <v>22</v>
      </c>
      <c r="D45" s="24">
        <v>1201.25</v>
      </c>
      <c r="E45" s="24">
        <v>1348.96</v>
      </c>
      <c r="F45" s="24">
        <v>6243.38</v>
      </c>
      <c r="G45" s="24">
        <v>827.08</v>
      </c>
      <c r="H45" s="24">
        <v>393.85</v>
      </c>
      <c r="I45" s="24">
        <v>579.73</v>
      </c>
      <c r="J45" s="24"/>
      <c r="K45" s="24"/>
      <c r="L45" s="24">
        <v>189.11</v>
      </c>
      <c r="M45" s="24">
        <v>265.87</v>
      </c>
      <c r="N45" s="24"/>
      <c r="O45" s="24">
        <v>1681.02</v>
      </c>
      <c r="P45" s="24">
        <v>106</v>
      </c>
      <c r="Q45" s="24">
        <v>1658.08</v>
      </c>
      <c r="R45" s="24">
        <v>2543.06</v>
      </c>
      <c r="S45" s="26">
        <v>1600.2</v>
      </c>
      <c r="T45" s="27">
        <f t="shared" si="5"/>
        <v>18637.590000000004</v>
      </c>
      <c r="U45" s="26"/>
    </row>
    <row r="46" spans="1:30" s="7" customFormat="1" x14ac:dyDescent="0.25">
      <c r="A46" s="12" t="s">
        <v>44</v>
      </c>
      <c r="B46" s="20">
        <v>44070</v>
      </c>
      <c r="C46" s="6">
        <v>114</v>
      </c>
      <c r="D46" s="8">
        <v>2343.27</v>
      </c>
      <c r="E46" s="8">
        <v>1949.44</v>
      </c>
      <c r="F46" s="8">
        <v>12830.25</v>
      </c>
      <c r="G46" s="8">
        <v>2247.2399999999998</v>
      </c>
      <c r="H46" s="8">
        <v>1056.3599999999999</v>
      </c>
      <c r="I46" s="8">
        <v>1085.4100000000001</v>
      </c>
      <c r="J46" s="8"/>
      <c r="K46" s="8">
        <v>251.1</v>
      </c>
      <c r="L46" s="8">
        <v>554.39</v>
      </c>
      <c r="M46" s="8">
        <v>172.88</v>
      </c>
      <c r="N46" s="8"/>
      <c r="O46" s="8">
        <v>2992.54</v>
      </c>
      <c r="P46" s="8"/>
      <c r="Q46" s="8"/>
      <c r="R46" s="8">
        <v>4498.07</v>
      </c>
      <c r="S46" s="9">
        <v>2465.0100000000002</v>
      </c>
      <c r="T46" s="10">
        <f t="shared" si="5"/>
        <v>32445.96</v>
      </c>
    </row>
    <row r="47" spans="1:30" s="28" customFormat="1" x14ac:dyDescent="0.25">
      <c r="A47" s="21" t="s">
        <v>45</v>
      </c>
      <c r="B47" s="22">
        <v>44083</v>
      </c>
      <c r="C47" s="29">
        <v>33</v>
      </c>
      <c r="D47" s="24">
        <v>2757.43</v>
      </c>
      <c r="E47" s="24">
        <v>1808.16</v>
      </c>
      <c r="F47" s="24">
        <v>15212.88</v>
      </c>
      <c r="G47" s="24">
        <v>1514.34</v>
      </c>
      <c r="H47" s="24">
        <v>904.08</v>
      </c>
      <c r="I47" s="24">
        <v>978.44</v>
      </c>
      <c r="J47" s="24"/>
      <c r="K47" s="24">
        <v>1576.13</v>
      </c>
      <c r="L47" s="24">
        <v>765.04</v>
      </c>
      <c r="M47" s="24">
        <v>187.61</v>
      </c>
      <c r="N47" s="24"/>
      <c r="O47" s="24">
        <v>3650.74</v>
      </c>
      <c r="P47" s="24">
        <v>425</v>
      </c>
      <c r="Q47" s="24">
        <v>4466.4799999999996</v>
      </c>
      <c r="R47" s="24">
        <v>6100.13</v>
      </c>
      <c r="S47" s="26">
        <v>3512.05</v>
      </c>
      <c r="T47" s="27">
        <f t="shared" si="5"/>
        <v>43858.51</v>
      </c>
    </row>
    <row r="48" spans="1:30" s="28" customFormat="1" x14ac:dyDescent="0.25">
      <c r="A48" s="21" t="s">
        <v>46</v>
      </c>
      <c r="B48" s="22">
        <v>44098</v>
      </c>
      <c r="C48" s="29">
        <v>57</v>
      </c>
      <c r="D48" s="24">
        <v>4917.1899999999996</v>
      </c>
      <c r="E48" s="24">
        <v>5407.46</v>
      </c>
      <c r="F48" s="24">
        <v>26095.03</v>
      </c>
      <c r="G48" s="24">
        <v>4186.8</v>
      </c>
      <c r="H48" s="24">
        <v>1128.56</v>
      </c>
      <c r="I48" s="24">
        <v>2894.99</v>
      </c>
      <c r="J48" s="24">
        <v>644.86</v>
      </c>
      <c r="K48" s="24">
        <v>1313</v>
      </c>
      <c r="L48" s="24">
        <v>18.149999999999999</v>
      </c>
      <c r="M48" s="24">
        <v>403.05</v>
      </c>
      <c r="N48" s="24"/>
      <c r="O48" s="24">
        <v>6866.67</v>
      </c>
      <c r="P48" s="24">
        <v>397</v>
      </c>
      <c r="Q48" s="24">
        <v>7971.86</v>
      </c>
      <c r="R48" s="24">
        <v>11110.15</v>
      </c>
      <c r="S48" s="26">
        <v>6353.07</v>
      </c>
      <c r="T48" s="27">
        <f t="shared" si="5"/>
        <v>79707.839999999997</v>
      </c>
    </row>
    <row r="49" spans="1:20" s="28" customFormat="1" x14ac:dyDescent="0.25">
      <c r="A49" s="21" t="s">
        <v>47</v>
      </c>
      <c r="B49" s="22">
        <v>44096</v>
      </c>
      <c r="C49" s="29">
        <v>81</v>
      </c>
      <c r="D49" s="24">
        <v>5600.03</v>
      </c>
      <c r="E49" s="24">
        <v>4406.57</v>
      </c>
      <c r="F49" s="24">
        <v>18684.46</v>
      </c>
      <c r="G49" s="24">
        <v>2524.63</v>
      </c>
      <c r="H49" s="24">
        <v>1606.6</v>
      </c>
      <c r="I49" s="24">
        <v>1836.08</v>
      </c>
      <c r="J49" s="24"/>
      <c r="K49" s="24">
        <v>1959.24</v>
      </c>
      <c r="L49" s="24">
        <v>1033.76</v>
      </c>
      <c r="M49" s="24"/>
      <c r="N49" s="24"/>
      <c r="O49" s="24">
        <v>5551.93</v>
      </c>
      <c r="P49" s="24">
        <v>326</v>
      </c>
      <c r="Q49" s="24">
        <v>6158.67</v>
      </c>
      <c r="R49" s="24">
        <v>9108.51</v>
      </c>
      <c r="S49" s="26">
        <v>5688.24</v>
      </c>
      <c r="T49" s="27">
        <f t="shared" si="5"/>
        <v>64484.72</v>
      </c>
    </row>
    <row r="50" spans="1:20" s="7" customFormat="1" x14ac:dyDescent="0.25">
      <c r="A50" s="12" t="s">
        <v>48</v>
      </c>
      <c r="B50" s="20">
        <v>44076</v>
      </c>
      <c r="C50" s="6">
        <v>71</v>
      </c>
      <c r="D50" s="8">
        <v>5060.22</v>
      </c>
      <c r="E50" s="8">
        <v>2778.98</v>
      </c>
      <c r="F50" s="8">
        <v>21817.13</v>
      </c>
      <c r="G50" s="8">
        <v>4023.33</v>
      </c>
      <c r="H50" s="8">
        <v>1078.42</v>
      </c>
      <c r="I50" s="8">
        <v>2082.17</v>
      </c>
      <c r="J50" s="8">
        <v>1825.02</v>
      </c>
      <c r="K50" s="8">
        <v>3109.99</v>
      </c>
      <c r="L50" s="8"/>
      <c r="M50" s="8"/>
      <c r="N50" s="8"/>
      <c r="O50" s="8">
        <v>5234.42</v>
      </c>
      <c r="P50" s="8">
        <v>213</v>
      </c>
      <c r="Q50" s="8"/>
      <c r="R50" s="8">
        <v>8497.07</v>
      </c>
      <c r="S50" s="9">
        <v>5242.53</v>
      </c>
      <c r="T50" s="10">
        <f t="shared" si="5"/>
        <v>60962.279999999992</v>
      </c>
    </row>
    <row r="51" spans="1:20" s="28" customFormat="1" x14ac:dyDescent="0.25">
      <c r="A51" s="21" t="s">
        <v>49</v>
      </c>
      <c r="B51" s="22">
        <v>44091</v>
      </c>
      <c r="C51" s="29">
        <v>164</v>
      </c>
      <c r="D51" s="24">
        <v>6905.75</v>
      </c>
      <c r="E51" s="24">
        <v>5807.31</v>
      </c>
      <c r="F51" s="24">
        <v>29995.62</v>
      </c>
      <c r="G51" s="24">
        <v>5127.96</v>
      </c>
      <c r="H51" s="24">
        <v>1898.55</v>
      </c>
      <c r="I51" s="24">
        <v>3206.26</v>
      </c>
      <c r="J51" s="24"/>
      <c r="K51" s="24"/>
      <c r="L51" s="24">
        <v>21.81</v>
      </c>
      <c r="M51" s="24"/>
      <c r="N51" s="24">
        <v>5583.91</v>
      </c>
      <c r="O51" s="24">
        <v>7625.45</v>
      </c>
      <c r="P51" s="24">
        <v>210</v>
      </c>
      <c r="Q51" s="24">
        <v>7581.13</v>
      </c>
      <c r="R51" s="24">
        <v>11631.25</v>
      </c>
      <c r="S51" s="26">
        <v>7682.55</v>
      </c>
      <c r="T51" s="27">
        <f>SUM(D51:S51)</f>
        <v>93277.55</v>
      </c>
    </row>
    <row r="52" spans="1:20" s="7" customFormat="1" x14ac:dyDescent="0.25">
      <c r="A52" s="12" t="s">
        <v>50</v>
      </c>
      <c r="B52" s="20">
        <v>44063</v>
      </c>
      <c r="C52" s="6">
        <v>144</v>
      </c>
      <c r="D52" s="8">
        <v>11885.36</v>
      </c>
      <c r="E52" s="8">
        <v>30298.12</v>
      </c>
      <c r="F52" s="8">
        <v>83489.100000000006</v>
      </c>
      <c r="G52" s="8">
        <v>8573.14</v>
      </c>
      <c r="H52" s="8">
        <v>7793.74</v>
      </c>
      <c r="I52" s="8">
        <v>2205.64</v>
      </c>
      <c r="J52" s="8"/>
      <c r="K52" s="8">
        <v>4768.03</v>
      </c>
      <c r="L52" s="8">
        <v>3308.38</v>
      </c>
      <c r="M52" s="8">
        <v>24.16</v>
      </c>
      <c r="N52" s="8">
        <v>5385.92</v>
      </c>
      <c r="O52" s="8">
        <v>22915.119999999999</v>
      </c>
      <c r="P52" s="8">
        <v>3320</v>
      </c>
      <c r="Q52" s="8">
        <v>23629.94</v>
      </c>
      <c r="R52" s="8">
        <v>36604.269999999997</v>
      </c>
      <c r="S52" s="9">
        <v>20272.759999999998</v>
      </c>
      <c r="T52" s="10">
        <f t="shared" ref="T52:T57" si="6">SUM(D52:S52)</f>
        <v>264473.68</v>
      </c>
    </row>
    <row r="53" spans="1:20" s="28" customFormat="1" x14ac:dyDescent="0.25">
      <c r="A53" s="21" t="s">
        <v>51</v>
      </c>
      <c r="B53" s="22">
        <v>44118</v>
      </c>
      <c r="C53" s="29">
        <v>18</v>
      </c>
      <c r="D53" s="24">
        <v>992.98</v>
      </c>
      <c r="E53" s="24">
        <v>341.86</v>
      </c>
      <c r="F53" s="24">
        <v>5607.78</v>
      </c>
      <c r="G53" s="24">
        <v>935.98</v>
      </c>
      <c r="H53" s="24">
        <v>345.91</v>
      </c>
      <c r="I53" s="24">
        <v>3.93</v>
      </c>
      <c r="J53" s="24"/>
      <c r="K53" s="24"/>
      <c r="L53" s="24"/>
      <c r="M53" s="24"/>
      <c r="N53" s="24"/>
      <c r="O53" s="24">
        <v>1220.19</v>
      </c>
      <c r="P53" s="24">
        <v>252</v>
      </c>
      <c r="Q53" s="24">
        <v>1432.54</v>
      </c>
      <c r="R53" s="24">
        <v>1932.31</v>
      </c>
      <c r="S53" s="26">
        <v>1236.1600000000001</v>
      </c>
      <c r="T53" s="27">
        <f t="shared" si="6"/>
        <v>14301.640000000001</v>
      </c>
    </row>
    <row r="54" spans="1:20" s="7" customFormat="1" x14ac:dyDescent="0.25">
      <c r="A54" s="21" t="s">
        <v>52</v>
      </c>
      <c r="B54" s="20">
        <v>44067</v>
      </c>
      <c r="C54" s="6">
        <v>246</v>
      </c>
      <c r="D54" s="8">
        <v>20568.96</v>
      </c>
      <c r="E54" s="8">
        <v>20832.46</v>
      </c>
      <c r="F54" s="8">
        <v>108770.15</v>
      </c>
      <c r="G54" s="8"/>
      <c r="H54" s="8">
        <v>3709.12</v>
      </c>
      <c r="I54" s="8">
        <v>2780.15</v>
      </c>
      <c r="J54" s="8"/>
      <c r="K54" s="8"/>
      <c r="L54" s="8">
        <v>4393.41</v>
      </c>
      <c r="M54" s="8"/>
      <c r="N54" s="8"/>
      <c r="O54" s="8">
        <v>19136.669999999998</v>
      </c>
      <c r="P54" s="8">
        <v>3198</v>
      </c>
      <c r="Q54" s="8"/>
      <c r="R54" s="8">
        <v>33657.46</v>
      </c>
      <c r="S54" s="9">
        <v>20272.759999999998</v>
      </c>
      <c r="T54" s="10">
        <f t="shared" si="6"/>
        <v>237319.13999999998</v>
      </c>
    </row>
    <row r="55" spans="1:20" s="28" customFormat="1" x14ac:dyDescent="0.25">
      <c r="A55" s="21" t="s">
        <v>53</v>
      </c>
      <c r="B55" s="22">
        <v>44057</v>
      </c>
      <c r="C55" s="29">
        <v>94</v>
      </c>
      <c r="D55" s="24">
        <v>9252.6200000000008</v>
      </c>
      <c r="E55" s="24">
        <v>31793.599999999999</v>
      </c>
      <c r="F55" s="24">
        <v>33891.17</v>
      </c>
      <c r="G55" s="24">
        <v>7584.18</v>
      </c>
      <c r="H55" s="24">
        <v>4171.45</v>
      </c>
      <c r="I55" s="24">
        <v>7584.18</v>
      </c>
      <c r="J55" s="24">
        <v>0</v>
      </c>
      <c r="K55" s="24">
        <v>0</v>
      </c>
      <c r="L55" s="24">
        <v>4516.96</v>
      </c>
      <c r="M55" s="24">
        <v>1289.3399999999999</v>
      </c>
      <c r="N55" s="24">
        <v>0</v>
      </c>
      <c r="O55" s="24">
        <v>13558.33</v>
      </c>
      <c r="P55" s="24">
        <v>0</v>
      </c>
      <c r="Q55" s="24"/>
      <c r="R55" s="24">
        <v>20204.79</v>
      </c>
      <c r="S55" s="26">
        <v>12828.37</v>
      </c>
      <c r="T55" s="27">
        <f t="shared" si="6"/>
        <v>146674.99000000002</v>
      </c>
    </row>
    <row r="56" spans="1:20" s="28" customFormat="1" x14ac:dyDescent="0.25">
      <c r="A56" s="21" t="s">
        <v>54</v>
      </c>
      <c r="B56" s="22">
        <v>44062</v>
      </c>
      <c r="C56" s="29">
        <v>20</v>
      </c>
      <c r="D56" s="24">
        <v>3468.67</v>
      </c>
      <c r="E56" s="24">
        <v>3175.35</v>
      </c>
      <c r="F56" s="24">
        <v>14699.27</v>
      </c>
      <c r="G56" s="24">
        <v>1990.26</v>
      </c>
      <c r="H56" s="24">
        <v>1279.45</v>
      </c>
      <c r="I56" s="24">
        <v>1577.68</v>
      </c>
      <c r="J56" s="24"/>
      <c r="K56" s="24">
        <v>1064.27</v>
      </c>
      <c r="L56" s="24"/>
      <c r="M56" s="24">
        <v>312.75</v>
      </c>
      <c r="N56" s="24"/>
      <c r="O56" s="24">
        <v>3453.17</v>
      </c>
      <c r="P56" s="24"/>
      <c r="Q56" s="24"/>
      <c r="R56" s="24">
        <v>5513.55</v>
      </c>
      <c r="S56" s="26">
        <v>2927.75</v>
      </c>
      <c r="T56" s="27">
        <f t="shared" si="6"/>
        <v>39462.170000000006</v>
      </c>
    </row>
    <row r="57" spans="1:20" s="7" customFormat="1" x14ac:dyDescent="0.25">
      <c r="A57" s="12" t="s">
        <v>55</v>
      </c>
      <c r="B57" s="20">
        <v>44090</v>
      </c>
      <c r="C57" s="6">
        <v>80</v>
      </c>
      <c r="D57" s="8">
        <v>3463.7</v>
      </c>
      <c r="E57" s="8">
        <v>2981.03</v>
      </c>
      <c r="F57" s="8">
        <v>18394.55</v>
      </c>
      <c r="G57" s="8">
        <v>2697.17</v>
      </c>
      <c r="H57" s="8"/>
      <c r="I57" s="8"/>
      <c r="J57" s="8"/>
      <c r="K57" s="8">
        <v>2135</v>
      </c>
      <c r="L57" s="8">
        <v>12.6</v>
      </c>
      <c r="M57" s="8"/>
      <c r="N57" s="8">
        <v>2981.03</v>
      </c>
      <c r="O57" s="8">
        <v>4762.76</v>
      </c>
      <c r="P57" s="8">
        <v>800</v>
      </c>
      <c r="Q57" s="8">
        <v>5566.77</v>
      </c>
      <c r="R57" s="8">
        <v>7476.01</v>
      </c>
      <c r="S57" s="9">
        <v>4938</v>
      </c>
      <c r="T57" s="10">
        <f t="shared" si="6"/>
        <v>56208.62</v>
      </c>
    </row>
    <row r="58" spans="1:20" s="28" customFormat="1" x14ac:dyDescent="0.25">
      <c r="A58" s="21" t="s">
        <v>56</v>
      </c>
      <c r="B58" s="22">
        <v>44097</v>
      </c>
      <c r="C58" s="29">
        <v>89</v>
      </c>
      <c r="D58" s="24">
        <v>2684.43</v>
      </c>
      <c r="E58" s="24">
        <v>2888.59</v>
      </c>
      <c r="F58" s="24">
        <v>13801.94</v>
      </c>
      <c r="G58" s="24">
        <v>2750.31</v>
      </c>
      <c r="H58" s="24">
        <v>1285.2</v>
      </c>
      <c r="I58" s="24">
        <v>840.25</v>
      </c>
      <c r="J58" s="24"/>
      <c r="K58" s="24">
        <v>1080.3800000000001</v>
      </c>
      <c r="L58" s="24"/>
      <c r="M58" s="24"/>
      <c r="N58" s="24"/>
      <c r="O58" s="24">
        <v>3465.57</v>
      </c>
      <c r="P58" s="24">
        <v>32</v>
      </c>
      <c r="Q58" s="24">
        <v>4022.2</v>
      </c>
      <c r="R58" s="24">
        <v>5675.36</v>
      </c>
      <c r="S58" s="26">
        <v>3317.68</v>
      </c>
      <c r="T58" s="27">
        <f>SUM(D58:S58)</f>
        <v>41843.910000000003</v>
      </c>
    </row>
    <row r="59" spans="1:20" s="7" customFormat="1" x14ac:dyDescent="0.25">
      <c r="A59" s="12" t="s">
        <v>57</v>
      </c>
      <c r="B59" s="20">
        <v>44068</v>
      </c>
      <c r="C59" s="6">
        <v>28</v>
      </c>
      <c r="D59" s="8">
        <v>1496.21</v>
      </c>
      <c r="E59" s="8">
        <v>1483.94</v>
      </c>
      <c r="F59" s="8">
        <v>9258.52</v>
      </c>
      <c r="G59" s="8">
        <v>1250.93</v>
      </c>
      <c r="H59" s="8">
        <v>490.56</v>
      </c>
      <c r="I59" s="8">
        <v>564.13</v>
      </c>
      <c r="J59" s="8">
        <v>54.36</v>
      </c>
      <c r="K59" s="8">
        <v>700</v>
      </c>
      <c r="L59" s="8">
        <v>1.4</v>
      </c>
      <c r="M59" s="8">
        <v>109.16</v>
      </c>
      <c r="N59" s="8"/>
      <c r="O59" s="8">
        <v>2263.0700000000002</v>
      </c>
      <c r="P59" s="8">
        <v>308</v>
      </c>
      <c r="Q59" s="8">
        <v>2273.4499999999998</v>
      </c>
      <c r="R59" s="8">
        <v>3599.71</v>
      </c>
      <c r="S59" s="9">
        <v>2191.91</v>
      </c>
      <c r="T59" s="10">
        <f>SUM(D59:S59)</f>
        <v>26045.35</v>
      </c>
    </row>
    <row r="60" spans="1:20" s="7" customFormat="1" x14ac:dyDescent="0.25">
      <c r="A60" s="12" t="s">
        <v>57</v>
      </c>
      <c r="B60" s="20">
        <v>44068</v>
      </c>
      <c r="C60" s="6">
        <v>56</v>
      </c>
      <c r="D60" s="8">
        <v>3488.09</v>
      </c>
      <c r="E60" s="8">
        <v>3456.69</v>
      </c>
      <c r="F60" s="8">
        <v>21517.18</v>
      </c>
      <c r="G60" s="8">
        <v>2916.27</v>
      </c>
      <c r="H60" s="8">
        <v>1143.6400000000001</v>
      </c>
      <c r="I60" s="8">
        <v>1315.4</v>
      </c>
      <c r="J60" s="8"/>
      <c r="K60" s="8">
        <v>1225</v>
      </c>
      <c r="L60" s="8">
        <v>90.68</v>
      </c>
      <c r="M60" s="8">
        <v>254.11</v>
      </c>
      <c r="N60" s="8"/>
      <c r="O60" s="8">
        <v>5202.1899999999996</v>
      </c>
      <c r="P60" s="8">
        <v>594</v>
      </c>
      <c r="Q60" s="8">
        <v>5339.65</v>
      </c>
      <c r="R60" s="8">
        <v>8241.81</v>
      </c>
      <c r="S60" s="9">
        <v>4863.2299999999996</v>
      </c>
      <c r="T60" s="10">
        <f>SUM(D60:S60)</f>
        <v>59647.94</v>
      </c>
    </row>
    <row r="61" spans="1:20" s="7" customFormat="1" x14ac:dyDescent="0.25">
      <c r="A61" s="21" t="s">
        <v>58</v>
      </c>
      <c r="B61" s="20">
        <v>44056</v>
      </c>
      <c r="C61" s="6">
        <v>1</v>
      </c>
      <c r="D61" s="8">
        <v>6.1</v>
      </c>
      <c r="E61" s="8">
        <v>7.65</v>
      </c>
      <c r="F61" s="8">
        <v>28.2</v>
      </c>
      <c r="G61" s="8"/>
      <c r="H61" s="8">
        <v>1.6</v>
      </c>
      <c r="I61" s="8">
        <v>2.73</v>
      </c>
      <c r="J61" s="8"/>
      <c r="K61" s="8"/>
      <c r="L61" s="8"/>
      <c r="M61" s="8">
        <v>3.18</v>
      </c>
      <c r="N61" s="8"/>
      <c r="O61" s="8">
        <v>7.67</v>
      </c>
      <c r="P61" s="8">
        <v>11</v>
      </c>
      <c r="Q61" s="8">
        <v>7.43</v>
      </c>
      <c r="R61" s="8">
        <v>13.38</v>
      </c>
      <c r="S61" s="9">
        <v>20.69</v>
      </c>
      <c r="T61" s="10">
        <f>SUM(D61:S61)</f>
        <v>109.63</v>
      </c>
    </row>
    <row r="62" spans="1:20" s="28" customFormat="1" x14ac:dyDescent="0.25">
      <c r="A62" s="21" t="s">
        <v>59</v>
      </c>
      <c r="B62" s="22">
        <v>44076</v>
      </c>
      <c r="C62" s="29">
        <v>88</v>
      </c>
      <c r="D62" s="24">
        <v>13941.15</v>
      </c>
      <c r="E62" s="24">
        <v>16569.57</v>
      </c>
      <c r="F62" s="24">
        <v>78789.58</v>
      </c>
      <c r="G62" s="24">
        <v>0</v>
      </c>
      <c r="H62" s="24">
        <v>4456.63</v>
      </c>
      <c r="I62" s="24">
        <v>2985.97</v>
      </c>
      <c r="J62" s="24"/>
      <c r="K62" s="24">
        <v>4348.8100000000004</v>
      </c>
      <c r="L62" s="24">
        <v>26.88</v>
      </c>
      <c r="M62" s="24"/>
      <c r="N62" s="24"/>
      <c r="O62" s="24">
        <v>14177.47</v>
      </c>
      <c r="P62" s="24"/>
      <c r="Q62" s="24"/>
      <c r="R62" s="24">
        <v>23986.98</v>
      </c>
      <c r="S62" s="26">
        <v>12785.22</v>
      </c>
      <c r="T62" s="27">
        <f>SUM(D62:S62)</f>
        <v>172068.26</v>
      </c>
    </row>
    <row r="63" spans="1:20" s="56" customFormat="1" hidden="1" x14ac:dyDescent="0.25">
      <c r="A63" s="48" t="s">
        <v>60</v>
      </c>
      <c r="B63" s="51">
        <v>44075</v>
      </c>
      <c r="C63" s="52"/>
      <c r="D63" s="53"/>
      <c r="E63" s="53"/>
      <c r="F63" s="53"/>
      <c r="G63" s="53"/>
      <c r="H63" s="53"/>
      <c r="I63" s="53"/>
      <c r="J63" s="53"/>
      <c r="K63" s="53"/>
      <c r="L63" s="53"/>
      <c r="M63" s="53"/>
      <c r="N63" s="53"/>
      <c r="O63" s="53"/>
      <c r="P63" s="53"/>
      <c r="Q63" s="53"/>
      <c r="R63" s="53"/>
      <c r="S63" s="54"/>
      <c r="T63" s="55"/>
    </row>
    <row r="64" spans="1:20" s="28" customFormat="1" x14ac:dyDescent="0.25">
      <c r="A64" s="21" t="s">
        <v>61</v>
      </c>
      <c r="B64" s="22">
        <v>44057</v>
      </c>
      <c r="C64" s="29">
        <v>1051</v>
      </c>
      <c r="D64" s="23">
        <v>167566.54999999999</v>
      </c>
      <c r="E64" s="24">
        <v>172694.73</v>
      </c>
      <c r="F64" s="23">
        <v>1002629</v>
      </c>
      <c r="G64" s="24"/>
      <c r="H64" s="24"/>
      <c r="I64" s="24"/>
      <c r="J64" s="24"/>
      <c r="K64" s="25">
        <v>120911.51</v>
      </c>
      <c r="L64" s="24">
        <v>167480.69</v>
      </c>
      <c r="M64" s="24"/>
      <c r="N64" s="24"/>
      <c r="O64" s="24">
        <v>192272.7</v>
      </c>
      <c r="P64" s="24">
        <v>58964.56</v>
      </c>
      <c r="Q64" s="24"/>
      <c r="R64" s="24">
        <v>328408.05</v>
      </c>
      <c r="S64" s="26">
        <v>206017.57</v>
      </c>
      <c r="T64" s="27">
        <f t="shared" ref="T64:T71" si="7">SUM(D64:S64)</f>
        <v>2416945.36</v>
      </c>
    </row>
    <row r="65" spans="1:20" s="28" customFormat="1" hidden="1" x14ac:dyDescent="0.25">
      <c r="A65" s="21" t="s">
        <v>158</v>
      </c>
      <c r="B65" s="22">
        <v>44057</v>
      </c>
      <c r="C65" s="29">
        <v>1051</v>
      </c>
      <c r="D65" s="23">
        <v>2989.85</v>
      </c>
      <c r="E65" s="24">
        <v>3078.15</v>
      </c>
      <c r="F65" s="23">
        <v>17983.830000000002</v>
      </c>
      <c r="G65" s="24"/>
      <c r="H65" s="24"/>
      <c r="I65" s="24"/>
      <c r="J65" s="24"/>
      <c r="K65" s="25">
        <v>6226.25</v>
      </c>
      <c r="L65" s="24"/>
      <c r="M65" s="24"/>
      <c r="N65" s="24"/>
      <c r="O65" s="24">
        <v>4146.7299999999996</v>
      </c>
      <c r="P65" s="24">
        <v>2744.56</v>
      </c>
      <c r="Q65" s="24">
        <v>5641.48</v>
      </c>
      <c r="R65" s="24">
        <v>7460.6</v>
      </c>
      <c r="S65" s="26">
        <v>4316.29</v>
      </c>
      <c r="T65" s="27">
        <f>SUM(D65:S65)</f>
        <v>54587.739999999991</v>
      </c>
    </row>
    <row r="66" spans="1:20" s="28" customFormat="1" x14ac:dyDescent="0.25">
      <c r="A66" s="21" t="s">
        <v>62</v>
      </c>
      <c r="B66" s="22">
        <v>44102</v>
      </c>
      <c r="C66" s="29">
        <v>53</v>
      </c>
      <c r="D66" s="24">
        <v>7456.42</v>
      </c>
      <c r="E66" s="24">
        <v>4950.63</v>
      </c>
      <c r="F66" s="24">
        <v>42171.73</v>
      </c>
      <c r="G66" s="24">
        <v>7028.7</v>
      </c>
      <c r="H66" s="24">
        <v>1833.56</v>
      </c>
      <c r="I66" s="24">
        <v>1020.72</v>
      </c>
      <c r="J66" s="24"/>
      <c r="K66" s="24">
        <v>2343.14</v>
      </c>
      <c r="L66" s="24"/>
      <c r="M66" s="24"/>
      <c r="N66" s="24"/>
      <c r="O66" s="24">
        <v>9112.19</v>
      </c>
      <c r="P66" s="24">
        <v>477</v>
      </c>
      <c r="Q66" s="24">
        <v>10810.36</v>
      </c>
      <c r="R66" s="24">
        <v>15576.05</v>
      </c>
      <c r="S66" s="26">
        <v>8556.57</v>
      </c>
      <c r="T66" s="27">
        <f t="shared" si="7"/>
        <v>111337.07</v>
      </c>
    </row>
    <row r="67" spans="1:20" s="28" customFormat="1" x14ac:dyDescent="0.25">
      <c r="A67" s="21" t="s">
        <v>63</v>
      </c>
      <c r="B67" s="22">
        <v>44119</v>
      </c>
      <c r="C67" s="29">
        <v>122</v>
      </c>
      <c r="D67" s="24">
        <v>9555.1200000000008</v>
      </c>
      <c r="E67" s="24">
        <v>7362.16</v>
      </c>
      <c r="F67" s="24">
        <v>30896.3</v>
      </c>
      <c r="G67" s="24">
        <v>6657.27</v>
      </c>
      <c r="H67" s="24">
        <v>4699.24</v>
      </c>
      <c r="I67" s="24">
        <v>3043.58</v>
      </c>
      <c r="J67" s="24"/>
      <c r="K67" s="24">
        <v>2007.18</v>
      </c>
      <c r="L67" s="24"/>
      <c r="M67" s="24">
        <v>626.6</v>
      </c>
      <c r="N67" s="24"/>
      <c r="O67" s="24">
        <v>9951.34</v>
      </c>
      <c r="P67" s="24">
        <v>847</v>
      </c>
      <c r="Q67" s="24">
        <v>11299.15</v>
      </c>
      <c r="R67" s="24">
        <v>15395.85</v>
      </c>
      <c r="S67" s="26">
        <v>9392.02</v>
      </c>
      <c r="T67" s="27">
        <f t="shared" si="7"/>
        <v>111732.81000000001</v>
      </c>
    </row>
    <row r="68" spans="1:20" s="7" customFormat="1" x14ac:dyDescent="0.25">
      <c r="A68" s="21" t="s">
        <v>64</v>
      </c>
      <c r="B68" s="20">
        <v>44068</v>
      </c>
      <c r="C68" s="6">
        <v>359</v>
      </c>
      <c r="D68" s="8">
        <v>45693.19</v>
      </c>
      <c r="E68" s="8">
        <v>62064.44</v>
      </c>
      <c r="F68" s="8">
        <v>305461.15000000002</v>
      </c>
      <c r="G68" s="8">
        <v>42322.879999999997</v>
      </c>
      <c r="H68" s="8">
        <v>9476.4699999999993</v>
      </c>
      <c r="I68" s="8">
        <v>3902.91</v>
      </c>
      <c r="J68" s="8"/>
      <c r="K68" s="8">
        <v>14092.12</v>
      </c>
      <c r="L68" s="8">
        <v>12958.19</v>
      </c>
      <c r="M68" s="8"/>
      <c r="N68" s="8"/>
      <c r="O68" s="8">
        <v>59072.72</v>
      </c>
      <c r="P68" s="8"/>
      <c r="Q68" s="8"/>
      <c r="R68" s="8">
        <v>99409.75</v>
      </c>
      <c r="S68" s="9">
        <v>64783.1</v>
      </c>
      <c r="T68" s="10">
        <f t="shared" si="7"/>
        <v>719236.91999999993</v>
      </c>
    </row>
    <row r="69" spans="1:20" s="7" customFormat="1" x14ac:dyDescent="0.25">
      <c r="A69" s="12" t="s">
        <v>151</v>
      </c>
      <c r="B69" s="20">
        <v>44068</v>
      </c>
      <c r="C69" s="6">
        <v>27</v>
      </c>
      <c r="D69" s="8">
        <v>3264.55</v>
      </c>
      <c r="E69" s="8">
        <v>4255.8</v>
      </c>
      <c r="F69" s="8">
        <v>19342.27</v>
      </c>
      <c r="G69" s="8">
        <v>3024.57</v>
      </c>
      <c r="H69" s="8">
        <v>677.23</v>
      </c>
      <c r="I69" s="8">
        <v>278.89999999999998</v>
      </c>
      <c r="J69" s="8"/>
      <c r="K69" s="8">
        <v>2533.1999999999998</v>
      </c>
      <c r="L69" s="8">
        <v>789.66</v>
      </c>
      <c r="M69" s="8"/>
      <c r="N69" s="8"/>
      <c r="O69" s="8">
        <v>4693.16</v>
      </c>
      <c r="P69" s="8">
        <v>182</v>
      </c>
      <c r="Q69" s="8">
        <v>5107.8</v>
      </c>
      <c r="R69" s="8">
        <v>7906.97</v>
      </c>
      <c r="S69" s="9">
        <v>5045.5</v>
      </c>
      <c r="T69" s="10">
        <f t="shared" si="7"/>
        <v>57101.610000000015</v>
      </c>
    </row>
    <row r="70" spans="1:20" s="28" customFormat="1" x14ac:dyDescent="0.25">
      <c r="A70" s="21" t="s">
        <v>65</v>
      </c>
      <c r="B70" s="22">
        <v>44090</v>
      </c>
      <c r="C70" s="29">
        <v>1</v>
      </c>
      <c r="D70" s="24">
        <v>15.58</v>
      </c>
      <c r="E70" s="24">
        <v>21.66</v>
      </c>
      <c r="F70" s="24">
        <v>81.760000000000005</v>
      </c>
      <c r="G70" s="24"/>
      <c r="H70" s="24">
        <v>7.66</v>
      </c>
      <c r="I70" s="24">
        <v>7.66</v>
      </c>
      <c r="J70" s="24"/>
      <c r="K70" s="24"/>
      <c r="L70" s="24"/>
      <c r="M70" s="24">
        <v>2.04</v>
      </c>
      <c r="N70" s="24"/>
      <c r="O70" s="24">
        <v>0</v>
      </c>
      <c r="P70" s="24">
        <v>0</v>
      </c>
      <c r="Q70" s="24">
        <v>13.34</v>
      </c>
      <c r="R70" s="24"/>
      <c r="S70" s="26"/>
      <c r="T70" s="27">
        <f t="shared" si="7"/>
        <v>149.69999999999999</v>
      </c>
    </row>
    <row r="71" spans="1:20" s="7" customFormat="1" x14ac:dyDescent="0.25">
      <c r="A71" s="21" t="s">
        <v>66</v>
      </c>
      <c r="B71" s="20">
        <v>44155</v>
      </c>
      <c r="C71" s="6">
        <v>110</v>
      </c>
      <c r="D71" s="8">
        <v>6952.65</v>
      </c>
      <c r="E71" s="8">
        <v>6211.74</v>
      </c>
      <c r="F71" s="8">
        <v>26755.08</v>
      </c>
      <c r="G71" s="8">
        <v>5054.32</v>
      </c>
      <c r="H71" s="8">
        <v>2279.56</v>
      </c>
      <c r="I71" s="8" t="s">
        <v>157</v>
      </c>
      <c r="J71" s="8">
        <v>3989.22</v>
      </c>
      <c r="K71" s="8">
        <v>3613.67</v>
      </c>
      <c r="L71" s="8">
        <v>2045.24</v>
      </c>
      <c r="M71" s="8">
        <v>1253.3</v>
      </c>
      <c r="N71" s="8">
        <v>1983.08</v>
      </c>
      <c r="O71" s="8">
        <v>9324.77</v>
      </c>
      <c r="P71" s="8">
        <v>550</v>
      </c>
      <c r="Q71" s="8">
        <v>11642.89</v>
      </c>
      <c r="R71" s="8">
        <v>14356.18</v>
      </c>
      <c r="S71" s="9">
        <v>8828.11</v>
      </c>
      <c r="T71" s="10">
        <f t="shared" si="7"/>
        <v>104839.81000000001</v>
      </c>
    </row>
    <row r="72" spans="1:20" s="28" customFormat="1" x14ac:dyDescent="0.25">
      <c r="A72" s="21" t="s">
        <v>67</v>
      </c>
      <c r="B72" s="22">
        <v>44075</v>
      </c>
      <c r="C72" s="29">
        <v>26</v>
      </c>
      <c r="D72" s="24">
        <v>1755.63</v>
      </c>
      <c r="E72" s="24">
        <v>3281.03</v>
      </c>
      <c r="F72" s="24">
        <v>7339.13</v>
      </c>
      <c r="G72" s="24">
        <v>892.19</v>
      </c>
      <c r="H72" s="24">
        <v>402.94</v>
      </c>
      <c r="I72" s="24">
        <v>673.34</v>
      </c>
      <c r="J72" s="24"/>
      <c r="K72" s="24">
        <v>805</v>
      </c>
      <c r="L72" s="24"/>
      <c r="M72" s="24"/>
      <c r="N72" s="24"/>
      <c r="O72" s="24">
        <v>688.17</v>
      </c>
      <c r="P72" s="24"/>
      <c r="Q72" s="24"/>
      <c r="R72" s="24">
        <v>3523.18</v>
      </c>
      <c r="S72" s="26">
        <v>1761.6</v>
      </c>
      <c r="T72" s="27">
        <f>SUM(D72:S72)</f>
        <v>21122.21</v>
      </c>
    </row>
    <row r="73" spans="1:20" s="28" customFormat="1" x14ac:dyDescent="0.25">
      <c r="A73" s="21" t="s">
        <v>68</v>
      </c>
      <c r="B73" s="22">
        <v>44118</v>
      </c>
      <c r="C73" s="29">
        <v>1064</v>
      </c>
      <c r="D73" s="24">
        <v>31587.83</v>
      </c>
      <c r="E73" s="24">
        <v>11929.55</v>
      </c>
      <c r="F73" s="24">
        <v>97621.31</v>
      </c>
      <c r="G73" s="24">
        <v>17244.66</v>
      </c>
      <c r="H73" s="24">
        <v>7953.04</v>
      </c>
      <c r="I73" s="24">
        <v>7823.22</v>
      </c>
      <c r="J73" s="24"/>
      <c r="K73" s="24">
        <v>842.84</v>
      </c>
      <c r="L73" s="24">
        <v>7.9</v>
      </c>
      <c r="M73" s="24">
        <v>705</v>
      </c>
      <c r="N73" s="24"/>
      <c r="O73" s="24">
        <v>25594.55</v>
      </c>
      <c r="P73" s="24">
        <v>1020</v>
      </c>
      <c r="Q73" s="24">
        <v>17571.61</v>
      </c>
      <c r="R73" s="24"/>
      <c r="S73" s="26"/>
      <c r="T73" s="27">
        <f>SUM(D73:S73)</f>
        <v>219901.51</v>
      </c>
    </row>
    <row r="74" spans="1:20" s="28" customFormat="1" x14ac:dyDescent="0.25">
      <c r="A74" s="21" t="s">
        <v>69</v>
      </c>
      <c r="B74" s="22">
        <v>44152</v>
      </c>
      <c r="C74" s="29">
        <v>109</v>
      </c>
      <c r="D74" s="24">
        <v>15480.62</v>
      </c>
      <c r="E74" s="24">
        <v>21317.62</v>
      </c>
      <c r="F74" s="24">
        <v>75626.720000000001</v>
      </c>
      <c r="G74" s="24">
        <v>18652.88</v>
      </c>
      <c r="H74" s="24">
        <v>7613.43</v>
      </c>
      <c r="I74" s="24">
        <v>9605.59</v>
      </c>
      <c r="J74" s="24"/>
      <c r="K74" s="24">
        <v>1777.44</v>
      </c>
      <c r="L74" s="24"/>
      <c r="M74" s="24">
        <v>3045.39</v>
      </c>
      <c r="N74" s="24"/>
      <c r="O74" s="24">
        <v>22940.27</v>
      </c>
      <c r="P74" s="24">
        <v>981</v>
      </c>
      <c r="Q74" s="24">
        <v>28708.01</v>
      </c>
      <c r="R74" s="24">
        <v>36583.480000000003</v>
      </c>
      <c r="S74" s="26">
        <v>19817.73</v>
      </c>
      <c r="T74" s="27">
        <f t="shared" ref="T74:T79" si="8">SUM(D74:S74)</f>
        <v>262150.18</v>
      </c>
    </row>
    <row r="75" spans="1:20" s="28" customFormat="1" x14ac:dyDescent="0.25">
      <c r="A75" s="21" t="s">
        <v>70</v>
      </c>
      <c r="B75" s="22">
        <v>44103</v>
      </c>
      <c r="C75" s="29">
        <v>35</v>
      </c>
      <c r="D75" s="24">
        <v>1438.94</v>
      </c>
      <c r="E75" s="24">
        <v>5071.63</v>
      </c>
      <c r="F75" s="24">
        <v>5783.41</v>
      </c>
      <c r="G75" s="24">
        <v>1890.27</v>
      </c>
      <c r="H75" s="24">
        <v>943.56</v>
      </c>
      <c r="I75" s="24">
        <v>896.39</v>
      </c>
      <c r="J75" s="24"/>
      <c r="K75" s="24"/>
      <c r="L75" s="24">
        <v>1.2</v>
      </c>
      <c r="M75" s="24">
        <v>356.5</v>
      </c>
      <c r="N75" s="24"/>
      <c r="O75" s="24">
        <v>2550.16</v>
      </c>
      <c r="P75" s="24">
        <v>350</v>
      </c>
      <c r="Q75" s="24">
        <v>2870.6</v>
      </c>
      <c r="R75" s="24">
        <v>4441.67</v>
      </c>
      <c r="S75" s="26">
        <v>2449.81</v>
      </c>
      <c r="T75" s="27">
        <f t="shared" si="8"/>
        <v>29044.139999999996</v>
      </c>
    </row>
    <row r="76" spans="1:20" s="28" customFormat="1" x14ac:dyDescent="0.25">
      <c r="A76" s="21" t="s">
        <v>71</v>
      </c>
      <c r="B76" s="22">
        <v>44102</v>
      </c>
      <c r="C76" s="29">
        <v>45</v>
      </c>
      <c r="D76" s="24">
        <v>3881.53</v>
      </c>
      <c r="E76" s="24">
        <v>6763.96</v>
      </c>
      <c r="F76" s="24">
        <v>22175.94</v>
      </c>
      <c r="G76" s="24">
        <v>5631.48</v>
      </c>
      <c r="H76" s="24">
        <v>1908.98</v>
      </c>
      <c r="I76" s="24">
        <v>3547.56</v>
      </c>
      <c r="J76" s="24"/>
      <c r="K76" s="24">
        <v>32.4</v>
      </c>
      <c r="L76" s="24"/>
      <c r="M76" s="24">
        <v>763.62</v>
      </c>
      <c r="N76" s="24"/>
      <c r="O76" s="24">
        <v>5940.98</v>
      </c>
      <c r="P76" s="24"/>
      <c r="Q76" s="24"/>
      <c r="R76" s="24">
        <v>8852.19</v>
      </c>
      <c r="S76" s="26">
        <v>6130.41</v>
      </c>
      <c r="T76" s="27">
        <f t="shared" si="8"/>
        <v>65629.050000000017</v>
      </c>
    </row>
    <row r="77" spans="1:20" s="28" customFormat="1" x14ac:dyDescent="0.25">
      <c r="A77" s="21" t="s">
        <v>72</v>
      </c>
      <c r="B77" s="22">
        <v>44076</v>
      </c>
      <c r="C77" s="29">
        <v>4</v>
      </c>
      <c r="D77" s="24">
        <v>45.75</v>
      </c>
      <c r="E77" s="24">
        <v>73.87</v>
      </c>
      <c r="F77" s="24">
        <v>250.87</v>
      </c>
      <c r="G77" s="24">
        <v>46.13</v>
      </c>
      <c r="H77" s="24">
        <v>30</v>
      </c>
      <c r="I77" s="24">
        <v>49.27</v>
      </c>
      <c r="J77" s="24"/>
      <c r="K77" s="24"/>
      <c r="L77" s="24"/>
      <c r="M77" s="24">
        <v>10.130000000000001</v>
      </c>
      <c r="N77" s="24"/>
      <c r="O77" s="24">
        <v>75.87</v>
      </c>
      <c r="P77" s="24">
        <v>52</v>
      </c>
      <c r="Q77" s="24">
        <v>82.2</v>
      </c>
      <c r="R77" s="24">
        <v>117.64</v>
      </c>
      <c r="S77" s="26">
        <v>118.83</v>
      </c>
      <c r="T77" s="27">
        <f t="shared" si="8"/>
        <v>952.56000000000006</v>
      </c>
    </row>
    <row r="78" spans="1:20" s="7" customFormat="1" x14ac:dyDescent="0.25">
      <c r="A78" s="21" t="s">
        <v>73</v>
      </c>
      <c r="B78" s="22">
        <v>44071</v>
      </c>
      <c r="C78" s="29">
        <v>46</v>
      </c>
      <c r="D78" s="24">
        <v>3844.29</v>
      </c>
      <c r="E78" s="24">
        <v>4211.3599999999997</v>
      </c>
      <c r="F78" s="24">
        <v>13098.08</v>
      </c>
      <c r="G78" s="24">
        <v>2277.6</v>
      </c>
      <c r="H78" s="24">
        <v>1789.54</v>
      </c>
      <c r="I78" s="24">
        <v>1753.11</v>
      </c>
      <c r="J78" s="24"/>
      <c r="K78" s="24">
        <v>1536.86</v>
      </c>
      <c r="L78" s="24"/>
      <c r="M78" s="24"/>
      <c r="N78" s="24"/>
      <c r="O78" s="24">
        <v>3741.85</v>
      </c>
      <c r="P78" s="24"/>
      <c r="Q78" s="24"/>
      <c r="R78" s="24">
        <v>5656.15</v>
      </c>
      <c r="S78" s="26">
        <v>3986.14</v>
      </c>
      <c r="T78" s="27">
        <f t="shared" si="8"/>
        <v>41894.979999999996</v>
      </c>
    </row>
    <row r="79" spans="1:20" s="7" customFormat="1" x14ac:dyDescent="0.25">
      <c r="A79" s="12" t="s">
        <v>74</v>
      </c>
      <c r="B79" s="20">
        <v>44061</v>
      </c>
      <c r="C79" s="6">
        <v>61</v>
      </c>
      <c r="D79" s="8">
        <v>5106.46</v>
      </c>
      <c r="E79" s="8">
        <v>4844.6899999999996</v>
      </c>
      <c r="F79" s="8">
        <v>22811.88</v>
      </c>
      <c r="G79" s="8">
        <v>3097.39</v>
      </c>
      <c r="H79" s="8">
        <v>1674.26</v>
      </c>
      <c r="I79" s="8">
        <v>1938.02</v>
      </c>
      <c r="J79" s="8"/>
      <c r="K79" s="8">
        <v>2046.17</v>
      </c>
      <c r="L79" s="8"/>
      <c r="M79" s="8"/>
      <c r="N79" s="8">
        <v>4101.97</v>
      </c>
      <c r="O79" s="8">
        <v>5807.62</v>
      </c>
      <c r="P79" s="8">
        <v>122</v>
      </c>
      <c r="Q79" s="8"/>
      <c r="R79" s="8">
        <v>9050.9500000000007</v>
      </c>
      <c r="S79" s="9">
        <v>5440.55</v>
      </c>
      <c r="T79" s="10">
        <f t="shared" si="8"/>
        <v>66041.960000000006</v>
      </c>
    </row>
    <row r="80" spans="1:20" s="28" customFormat="1" x14ac:dyDescent="0.25">
      <c r="A80" s="21" t="s">
        <v>75</v>
      </c>
      <c r="B80" s="22">
        <v>44099</v>
      </c>
      <c r="C80" s="29">
        <v>24</v>
      </c>
      <c r="D80" s="24">
        <v>1742.03</v>
      </c>
      <c r="E80" s="24">
        <v>1699.21</v>
      </c>
      <c r="F80" s="24">
        <v>6397</v>
      </c>
      <c r="G80" s="24"/>
      <c r="H80" s="24">
        <v>428.37</v>
      </c>
      <c r="I80" s="24">
        <v>728.24</v>
      </c>
      <c r="J80" s="24"/>
      <c r="K80" s="24">
        <v>1266.7</v>
      </c>
      <c r="L80" s="24">
        <v>0.72</v>
      </c>
      <c r="M80" s="24">
        <v>222.76</v>
      </c>
      <c r="N80" s="24"/>
      <c r="O80" s="24">
        <v>1806.17</v>
      </c>
      <c r="P80" s="24">
        <v>192</v>
      </c>
      <c r="Q80" s="24">
        <v>2025.5</v>
      </c>
      <c r="R80" s="24">
        <v>3134.2</v>
      </c>
      <c r="S80" s="26">
        <v>1811.04</v>
      </c>
      <c r="T80" s="27">
        <f>SUM(D80:S80)</f>
        <v>21453.940000000002</v>
      </c>
    </row>
    <row r="81" spans="1:20" s="7" customFormat="1" x14ac:dyDescent="0.25">
      <c r="A81" s="12" t="s">
        <v>76</v>
      </c>
      <c r="B81" s="20">
        <v>44062</v>
      </c>
      <c r="C81" s="6">
        <v>63</v>
      </c>
      <c r="D81" s="8">
        <v>3224.22</v>
      </c>
      <c r="E81" s="8">
        <v>3435.65</v>
      </c>
      <c r="F81" s="8">
        <v>16346.26</v>
      </c>
      <c r="G81" s="8">
        <v>2431.38</v>
      </c>
      <c r="H81" s="8">
        <v>594.62</v>
      </c>
      <c r="I81" s="8">
        <v>1291.52</v>
      </c>
      <c r="J81" s="8"/>
      <c r="K81" s="8"/>
      <c r="L81" s="8">
        <v>219.58</v>
      </c>
      <c r="M81" s="8">
        <v>397.32</v>
      </c>
      <c r="N81" s="8"/>
      <c r="O81" s="8">
        <v>4020.08</v>
      </c>
      <c r="P81" s="8">
        <v>504</v>
      </c>
      <c r="Q81" s="8">
        <v>4184.24</v>
      </c>
      <c r="R81" s="8">
        <v>6550.97</v>
      </c>
      <c r="S81" s="9">
        <v>6084.96</v>
      </c>
      <c r="T81" s="10">
        <f>SUM(D81:S81)</f>
        <v>49284.800000000003</v>
      </c>
    </row>
    <row r="82" spans="1:20" s="28" customFormat="1" x14ac:dyDescent="0.25">
      <c r="A82" s="21" t="s">
        <v>77</v>
      </c>
      <c r="B82" s="22">
        <v>44096</v>
      </c>
      <c r="C82" s="29">
        <v>20</v>
      </c>
      <c r="D82" s="24">
        <v>1883.16</v>
      </c>
      <c r="E82" s="24">
        <v>1697.94</v>
      </c>
      <c r="F82" s="24">
        <v>6930.69</v>
      </c>
      <c r="G82" s="24">
        <v>923.44</v>
      </c>
      <c r="H82" s="24">
        <v>608.1</v>
      </c>
      <c r="I82" s="24">
        <v>776.76</v>
      </c>
      <c r="J82" s="24"/>
      <c r="K82" s="24">
        <v>427.51</v>
      </c>
      <c r="L82" s="24"/>
      <c r="M82" s="24"/>
      <c r="N82" s="24">
        <v>1560.82</v>
      </c>
      <c r="O82" s="24">
        <v>2127.6999999999998</v>
      </c>
      <c r="P82" s="24">
        <v>180</v>
      </c>
      <c r="Q82" s="24">
        <v>4319.57</v>
      </c>
      <c r="R82" s="24">
        <v>3613.02</v>
      </c>
      <c r="S82" s="26">
        <v>2011</v>
      </c>
      <c r="T82" s="27">
        <f>SUM(D82:S82)</f>
        <v>27059.710000000003</v>
      </c>
    </row>
    <row r="83" spans="1:20" s="28" customFormat="1" x14ac:dyDescent="0.25">
      <c r="A83" s="21" t="s">
        <v>78</v>
      </c>
      <c r="B83" s="22">
        <v>44069</v>
      </c>
      <c r="C83" s="29">
        <v>169</v>
      </c>
      <c r="D83" s="24">
        <v>25569.47</v>
      </c>
      <c r="E83" s="24">
        <v>24568.16</v>
      </c>
      <c r="F83" s="24">
        <v>73886.25</v>
      </c>
      <c r="G83" s="24">
        <v>12784.75</v>
      </c>
      <c r="H83" s="24">
        <v>7545.16</v>
      </c>
      <c r="I83" s="24">
        <v>8565.76</v>
      </c>
      <c r="J83" s="24"/>
      <c r="K83" s="24">
        <v>6655.96</v>
      </c>
      <c r="L83" s="24">
        <v>1656.7</v>
      </c>
      <c r="M83" s="24"/>
      <c r="N83" s="24"/>
      <c r="O83" s="24">
        <v>20068.099999999999</v>
      </c>
      <c r="P83" s="24"/>
      <c r="Q83" s="24"/>
      <c r="R83" s="24">
        <v>31906.39</v>
      </c>
      <c r="S83" s="26">
        <v>18333.27</v>
      </c>
      <c r="T83" s="27">
        <f>SUM(D83:S83)</f>
        <v>231539.97</v>
      </c>
    </row>
    <row r="84" spans="1:20" s="7" customFormat="1" x14ac:dyDescent="0.25">
      <c r="A84" s="12" t="s">
        <v>79</v>
      </c>
      <c r="B84" s="20">
        <v>44131</v>
      </c>
      <c r="C84" s="6">
        <v>47</v>
      </c>
      <c r="D84" s="8">
        <v>2404.98</v>
      </c>
      <c r="E84" s="8">
        <v>1833.3</v>
      </c>
      <c r="F84" s="8">
        <v>7964.05</v>
      </c>
      <c r="G84" s="8">
        <v>1458.76</v>
      </c>
      <c r="H84" s="8">
        <v>788.52</v>
      </c>
      <c r="I84" s="8">
        <v>727.8</v>
      </c>
      <c r="J84" s="8"/>
      <c r="K84" s="8">
        <v>1971.3</v>
      </c>
      <c r="L84" s="8">
        <v>2.4</v>
      </c>
      <c r="M84" s="8">
        <v>335.13</v>
      </c>
      <c r="N84" s="8"/>
      <c r="O84" s="8">
        <v>2561</v>
      </c>
      <c r="P84" s="8">
        <v>470</v>
      </c>
      <c r="Q84" s="8">
        <v>3056.43</v>
      </c>
      <c r="R84" s="8">
        <v>4155.55</v>
      </c>
      <c r="S84" s="9">
        <v>2759.3</v>
      </c>
      <c r="T84" s="10">
        <f>SUM(D84:S84)</f>
        <v>30488.52</v>
      </c>
    </row>
    <row r="85" spans="1:20" s="28" customFormat="1" x14ac:dyDescent="0.25">
      <c r="A85" s="21" t="s">
        <v>80</v>
      </c>
      <c r="B85" s="22">
        <v>44064</v>
      </c>
      <c r="C85" s="29">
        <v>0</v>
      </c>
      <c r="D85" s="24">
        <v>0</v>
      </c>
      <c r="E85" s="24">
        <v>0</v>
      </c>
      <c r="F85" s="24">
        <v>0</v>
      </c>
      <c r="G85" s="24">
        <v>0</v>
      </c>
      <c r="H85" s="24">
        <v>0</v>
      </c>
      <c r="I85" s="24">
        <v>0</v>
      </c>
      <c r="J85" s="24">
        <v>0</v>
      </c>
      <c r="K85" s="24">
        <v>0</v>
      </c>
      <c r="L85" s="24">
        <v>0</v>
      </c>
      <c r="M85" s="24">
        <v>0</v>
      </c>
      <c r="N85" s="24">
        <v>0</v>
      </c>
      <c r="O85" s="24">
        <v>0</v>
      </c>
      <c r="P85" s="24">
        <v>0</v>
      </c>
      <c r="Q85" s="24">
        <v>0</v>
      </c>
      <c r="R85" s="24">
        <v>0</v>
      </c>
      <c r="S85" s="26">
        <v>0</v>
      </c>
      <c r="T85" s="27">
        <v>0</v>
      </c>
    </row>
    <row r="86" spans="1:20" s="7" customFormat="1" x14ac:dyDescent="0.25">
      <c r="A86" s="12" t="s">
        <v>81</v>
      </c>
      <c r="B86" s="20">
        <v>44070</v>
      </c>
      <c r="C86" s="6">
        <v>150</v>
      </c>
      <c r="D86" s="8">
        <v>16451.88</v>
      </c>
      <c r="E86" s="8">
        <v>11192.59</v>
      </c>
      <c r="F86" s="8">
        <v>87721.56</v>
      </c>
      <c r="G86" s="8">
        <v>7821.58</v>
      </c>
      <c r="H86" s="8">
        <v>6742.58</v>
      </c>
      <c r="I86" s="8">
        <v>2389.52</v>
      </c>
      <c r="J86" s="8"/>
      <c r="K86" s="8"/>
      <c r="L86" s="8">
        <v>636.1</v>
      </c>
      <c r="M86" s="8"/>
      <c r="N86" s="8">
        <v>6607.81</v>
      </c>
      <c r="O86" s="8">
        <v>19204.89</v>
      </c>
      <c r="P86" s="8">
        <v>1500</v>
      </c>
      <c r="Q86" s="8">
        <v>20886.689999999999</v>
      </c>
      <c r="R86" s="8">
        <v>32390.07</v>
      </c>
      <c r="S86" s="9">
        <v>18294.96</v>
      </c>
      <c r="T86" s="10">
        <f t="shared" ref="T86:T93" si="9">SUM(D86:S86)</f>
        <v>231840.23</v>
      </c>
    </row>
    <row r="87" spans="1:20" s="28" customFormat="1" x14ac:dyDescent="0.25">
      <c r="A87" s="21" t="s">
        <v>82</v>
      </c>
      <c r="B87" s="22">
        <v>44090</v>
      </c>
      <c r="C87" s="29">
        <v>68</v>
      </c>
      <c r="D87" s="24">
        <v>1526.19</v>
      </c>
      <c r="E87" s="24">
        <v>6057.59</v>
      </c>
      <c r="F87" s="24">
        <v>7091.55</v>
      </c>
      <c r="G87" s="24">
        <v>1701.37</v>
      </c>
      <c r="H87" s="24">
        <v>1251.03</v>
      </c>
      <c r="I87" s="24">
        <v>1587.65</v>
      </c>
      <c r="J87" s="24"/>
      <c r="K87" s="24">
        <v>39.79</v>
      </c>
      <c r="L87" s="24"/>
      <c r="M87" s="24">
        <v>212.71</v>
      </c>
      <c r="N87" s="24"/>
      <c r="O87" s="24">
        <v>2677.22</v>
      </c>
      <c r="P87" s="24">
        <v>172</v>
      </c>
      <c r="Q87" s="24">
        <v>2798.9</v>
      </c>
      <c r="R87" s="24">
        <v>3998.57</v>
      </c>
      <c r="S87" s="26">
        <v>2859.25</v>
      </c>
      <c r="T87" s="27">
        <f t="shared" si="9"/>
        <v>31973.820000000003</v>
      </c>
    </row>
    <row r="88" spans="1:20" s="28" customFormat="1" x14ac:dyDescent="0.25">
      <c r="A88" s="21" t="s">
        <v>83</v>
      </c>
      <c r="B88" s="22">
        <v>44097</v>
      </c>
      <c r="C88" s="29">
        <v>49</v>
      </c>
      <c r="D88" s="24">
        <v>3595.64</v>
      </c>
      <c r="E88" s="24">
        <v>3152.48</v>
      </c>
      <c r="F88" s="24">
        <v>17465.23</v>
      </c>
      <c r="G88" s="24">
        <v>1532.14</v>
      </c>
      <c r="H88" s="24">
        <v>867.03</v>
      </c>
      <c r="I88" s="24">
        <v>947.13</v>
      </c>
      <c r="J88" s="24"/>
      <c r="K88" s="24"/>
      <c r="L88" s="24">
        <v>317.93</v>
      </c>
      <c r="M88" s="24"/>
      <c r="N88" s="24"/>
      <c r="O88" s="24">
        <v>7148.78</v>
      </c>
      <c r="P88" s="24">
        <v>98</v>
      </c>
      <c r="Q88" s="24"/>
      <c r="R88" s="24">
        <v>10982.74</v>
      </c>
      <c r="S88" s="26">
        <v>6472.3</v>
      </c>
      <c r="T88" s="27">
        <f t="shared" si="9"/>
        <v>52579.4</v>
      </c>
    </row>
    <row r="89" spans="1:20" s="28" customFormat="1" x14ac:dyDescent="0.25">
      <c r="A89" s="21" t="s">
        <v>84</v>
      </c>
      <c r="B89" s="22">
        <v>44077</v>
      </c>
      <c r="C89" s="29">
        <v>38</v>
      </c>
      <c r="D89" s="24">
        <v>5262.89</v>
      </c>
      <c r="E89" s="24">
        <v>4207.0600000000004</v>
      </c>
      <c r="F89" s="24">
        <v>20447.71</v>
      </c>
      <c r="G89" s="24">
        <v>4055.06</v>
      </c>
      <c r="H89" s="24">
        <v>3127.58</v>
      </c>
      <c r="I89" s="24">
        <v>754.97</v>
      </c>
      <c r="J89" s="24">
        <v>1639.27</v>
      </c>
      <c r="K89" s="24">
        <v>2746.93</v>
      </c>
      <c r="L89" s="24">
        <v>3113.5</v>
      </c>
      <c r="M89" s="24">
        <v>215.73</v>
      </c>
      <c r="N89" s="24">
        <v>130.37</v>
      </c>
      <c r="O89" s="24">
        <v>5901.19</v>
      </c>
      <c r="P89" s="24"/>
      <c r="Q89" s="24"/>
      <c r="R89" s="24">
        <v>9185.83</v>
      </c>
      <c r="S89" s="26">
        <v>5124.9799999999996</v>
      </c>
      <c r="T89" s="27">
        <f t="shared" si="9"/>
        <v>65913.070000000007</v>
      </c>
    </row>
    <row r="90" spans="1:20" s="28" customFormat="1" x14ac:dyDescent="0.25">
      <c r="A90" s="21" t="s">
        <v>85</v>
      </c>
      <c r="B90" s="22">
        <v>44126</v>
      </c>
      <c r="C90" s="29">
        <v>17</v>
      </c>
      <c r="D90" s="24">
        <v>1413.86</v>
      </c>
      <c r="E90" s="24">
        <v>1332.85</v>
      </c>
      <c r="F90" s="24">
        <v>9375.9500000000007</v>
      </c>
      <c r="G90" s="24">
        <v>1263.27</v>
      </c>
      <c r="H90" s="24">
        <v>463.59</v>
      </c>
      <c r="I90" s="24">
        <v>1010.9</v>
      </c>
      <c r="J90" s="24"/>
      <c r="K90" s="24">
        <v>360</v>
      </c>
      <c r="L90" s="24">
        <v>510</v>
      </c>
      <c r="M90" s="24">
        <v>0</v>
      </c>
      <c r="N90" s="24">
        <v>41.28</v>
      </c>
      <c r="O90" s="24">
        <v>2301.39</v>
      </c>
      <c r="P90" s="24">
        <v>85</v>
      </c>
      <c r="Q90" s="24">
        <v>2480.9299999999998</v>
      </c>
      <c r="R90" s="24">
        <v>3582.6</v>
      </c>
      <c r="S90" s="26">
        <v>2029.28</v>
      </c>
      <c r="T90" s="27">
        <f t="shared" si="9"/>
        <v>26250.899999999998</v>
      </c>
    </row>
    <row r="91" spans="1:20" s="7" customFormat="1" x14ac:dyDescent="0.25">
      <c r="A91" s="12" t="s">
        <v>86</v>
      </c>
      <c r="B91" s="20">
        <v>44057</v>
      </c>
      <c r="C91" s="6">
        <v>46</v>
      </c>
      <c r="D91" s="8">
        <v>2587.59</v>
      </c>
      <c r="E91" s="8">
        <v>4857.04</v>
      </c>
      <c r="F91" s="8">
        <v>11580.52</v>
      </c>
      <c r="G91" s="8">
        <v>1424.05</v>
      </c>
      <c r="H91" s="8">
        <v>1590.71</v>
      </c>
      <c r="I91" s="8">
        <v>848.4</v>
      </c>
      <c r="J91" s="8">
        <v>0</v>
      </c>
      <c r="K91" s="8">
        <v>0</v>
      </c>
      <c r="L91" s="8">
        <v>2051.85</v>
      </c>
      <c r="M91" s="8">
        <v>0</v>
      </c>
      <c r="N91" s="8">
        <v>0</v>
      </c>
      <c r="O91" s="8">
        <v>3744.04</v>
      </c>
      <c r="P91" s="8">
        <v>1196</v>
      </c>
      <c r="Q91" s="8">
        <v>3740.7</v>
      </c>
      <c r="R91" s="8">
        <v>5781.56</v>
      </c>
      <c r="S91" s="9">
        <v>3557.78</v>
      </c>
      <c r="T91" s="10">
        <f t="shared" si="9"/>
        <v>42960.24</v>
      </c>
    </row>
    <row r="92" spans="1:20" s="28" customFormat="1" x14ac:dyDescent="0.25">
      <c r="A92" s="21" t="s">
        <v>87</v>
      </c>
      <c r="B92" s="22">
        <v>44059</v>
      </c>
      <c r="C92" s="29">
        <v>81</v>
      </c>
      <c r="D92" s="24">
        <v>8372.6299999999992</v>
      </c>
      <c r="E92" s="24">
        <v>14823.65</v>
      </c>
      <c r="F92" s="24">
        <v>40353.25</v>
      </c>
      <c r="G92" s="24">
        <v>6725.53</v>
      </c>
      <c r="H92" s="24">
        <v>1852.94</v>
      </c>
      <c r="I92" s="24">
        <v>2196.11</v>
      </c>
      <c r="J92" s="24">
        <v>4336.6099999999997</v>
      </c>
      <c r="K92" s="24">
        <v>4614.43</v>
      </c>
      <c r="L92" s="24">
        <v>0.9</v>
      </c>
      <c r="M92" s="24">
        <v>549.01</v>
      </c>
      <c r="N92" s="24"/>
      <c r="O92" s="24">
        <v>12774.9</v>
      </c>
      <c r="P92" s="24">
        <v>729</v>
      </c>
      <c r="Q92" s="24">
        <v>12581.76</v>
      </c>
      <c r="R92" s="24">
        <v>19443.37</v>
      </c>
      <c r="S92" s="26">
        <v>10855.71</v>
      </c>
      <c r="T92" s="27">
        <f t="shared" si="9"/>
        <v>140209.79999999996</v>
      </c>
    </row>
    <row r="93" spans="1:20" s="28" customFormat="1" x14ac:dyDescent="0.25">
      <c r="A93" s="21" t="s">
        <v>147</v>
      </c>
      <c r="B93" s="22">
        <v>44059</v>
      </c>
      <c r="C93" s="29">
        <v>13</v>
      </c>
      <c r="D93" s="24">
        <v>1016.72</v>
      </c>
      <c r="E93" s="24">
        <v>1483.42</v>
      </c>
      <c r="F93" s="24">
        <v>5436.77</v>
      </c>
      <c r="G93" s="24">
        <v>625.04</v>
      </c>
      <c r="H93" s="24">
        <v>219.17</v>
      </c>
      <c r="I93" s="24">
        <v>208.34</v>
      </c>
      <c r="J93" s="24"/>
      <c r="K93" s="24">
        <v>239.3</v>
      </c>
      <c r="L93" s="24"/>
      <c r="M93" s="24">
        <v>25.01</v>
      </c>
      <c r="N93" s="24"/>
      <c r="O93" s="24">
        <v>1277.49</v>
      </c>
      <c r="P93" s="24">
        <v>390</v>
      </c>
      <c r="Q93" s="24">
        <v>1383.68</v>
      </c>
      <c r="R93" s="24">
        <v>2153.52</v>
      </c>
      <c r="S93" s="26">
        <v>1258.73</v>
      </c>
      <c r="T93" s="27">
        <f t="shared" si="9"/>
        <v>15717.19</v>
      </c>
    </row>
    <row r="94" spans="1:20" s="28" customFormat="1" x14ac:dyDescent="0.25">
      <c r="A94" s="21" t="s">
        <v>88</v>
      </c>
      <c r="B94" s="22">
        <v>44088</v>
      </c>
      <c r="C94" s="29">
        <v>1</v>
      </c>
      <c r="D94" s="24">
        <v>8.91</v>
      </c>
      <c r="E94" s="24">
        <v>8.25</v>
      </c>
      <c r="F94" s="24">
        <v>38.979999999999997</v>
      </c>
      <c r="G94" s="24">
        <v>7.23</v>
      </c>
      <c r="H94" s="24">
        <v>5.84</v>
      </c>
      <c r="I94" s="24">
        <v>4.8499999999999996</v>
      </c>
      <c r="J94" s="24"/>
      <c r="K94" s="24">
        <v>6.35</v>
      </c>
      <c r="L94" s="24">
        <v>6.14</v>
      </c>
      <c r="M94" s="24">
        <v>4.38</v>
      </c>
      <c r="N94" s="24">
        <v>6.72</v>
      </c>
      <c r="O94" s="24">
        <v>14.73</v>
      </c>
      <c r="P94" s="24">
        <v>6</v>
      </c>
      <c r="Q94" s="24">
        <v>15.87</v>
      </c>
      <c r="R94" s="24">
        <v>22.7</v>
      </c>
      <c r="S94" s="26">
        <v>26.35</v>
      </c>
      <c r="T94" s="27">
        <f>SUM(D94:S94)</f>
        <v>183.29999999999998</v>
      </c>
    </row>
    <row r="95" spans="1:20" s="7" customFormat="1" x14ac:dyDescent="0.25">
      <c r="A95" s="12" t="s">
        <v>89</v>
      </c>
      <c r="B95" s="20">
        <v>44068</v>
      </c>
      <c r="C95" s="6">
        <v>87</v>
      </c>
      <c r="D95" s="8">
        <v>6293.92</v>
      </c>
      <c r="E95" s="8">
        <v>6389.82</v>
      </c>
      <c r="F95" s="8">
        <v>27245.78</v>
      </c>
      <c r="G95" s="8">
        <v>4129.4799999999996</v>
      </c>
      <c r="H95" s="8">
        <v>2576.92</v>
      </c>
      <c r="I95" s="8">
        <v>2114.92</v>
      </c>
      <c r="J95" s="8"/>
      <c r="K95" s="8">
        <v>1995.59</v>
      </c>
      <c r="L95" s="8"/>
      <c r="M95" s="8">
        <v>361.11</v>
      </c>
      <c r="N95" s="8"/>
      <c r="O95" s="8">
        <v>7416.38</v>
      </c>
      <c r="P95" s="8">
        <v>1097</v>
      </c>
      <c r="Q95" s="8">
        <v>8011.68</v>
      </c>
      <c r="R95" s="8">
        <v>11997.83</v>
      </c>
      <c r="S95" s="9">
        <v>7216.94</v>
      </c>
      <c r="T95" s="10">
        <f t="shared" ref="T95:T100" si="10">SUM(D95:S95)</f>
        <v>86847.37</v>
      </c>
    </row>
    <row r="96" spans="1:20" s="28" customFormat="1" x14ac:dyDescent="0.25">
      <c r="A96" s="21" t="s">
        <v>90</v>
      </c>
      <c r="B96" s="22">
        <v>44096</v>
      </c>
      <c r="C96" s="29">
        <v>101</v>
      </c>
      <c r="D96" s="24">
        <v>3023.75</v>
      </c>
      <c r="E96" s="24">
        <v>2280.1999999999998</v>
      </c>
      <c r="F96" s="24">
        <v>13433.33</v>
      </c>
      <c r="G96" s="24">
        <v>3197.23</v>
      </c>
      <c r="H96" s="24"/>
      <c r="I96" s="24">
        <v>2746.56</v>
      </c>
      <c r="J96" s="24"/>
      <c r="K96" s="24">
        <v>2730</v>
      </c>
      <c r="L96" s="24">
        <v>13.52</v>
      </c>
      <c r="M96" s="24">
        <v>396.6</v>
      </c>
      <c r="N96" s="24">
        <v>1536.64</v>
      </c>
      <c r="O96" s="24">
        <v>4553.1400000000003</v>
      </c>
      <c r="P96" s="24">
        <v>2424</v>
      </c>
      <c r="Q96" s="24">
        <v>4778.12</v>
      </c>
      <c r="R96" s="24">
        <v>6827.17</v>
      </c>
      <c r="S96" s="26">
        <v>4928.6499999999996</v>
      </c>
      <c r="T96" s="27">
        <f t="shared" si="10"/>
        <v>52868.91</v>
      </c>
    </row>
    <row r="97" spans="1:39" s="28" customFormat="1" x14ac:dyDescent="0.25">
      <c r="A97" s="21" t="s">
        <v>91</v>
      </c>
      <c r="B97" s="22">
        <v>44103</v>
      </c>
      <c r="C97" s="29">
        <v>53</v>
      </c>
      <c r="D97" s="24">
        <v>1281.3</v>
      </c>
      <c r="E97" s="24">
        <v>875.48</v>
      </c>
      <c r="F97" s="24">
        <v>5793.72</v>
      </c>
      <c r="G97" s="24">
        <v>590.08000000000004</v>
      </c>
      <c r="H97" s="24">
        <v>420.11</v>
      </c>
      <c r="I97" s="24">
        <v>603.49</v>
      </c>
      <c r="J97" s="24"/>
      <c r="K97" s="24"/>
      <c r="L97" s="24">
        <v>2.5</v>
      </c>
      <c r="M97" s="24">
        <v>189.07</v>
      </c>
      <c r="N97" s="24">
        <v>735.1</v>
      </c>
      <c r="O97" s="24">
        <v>1604.58</v>
      </c>
      <c r="P97" s="24">
        <v>528</v>
      </c>
      <c r="Q97" s="24">
        <v>2204.4899999999998</v>
      </c>
      <c r="R97" s="24">
        <v>2643.08</v>
      </c>
      <c r="S97" s="26">
        <v>2064.5300000000002</v>
      </c>
      <c r="T97" s="27">
        <f t="shared" si="10"/>
        <v>19535.53</v>
      </c>
    </row>
    <row r="98" spans="1:39" s="28" customFormat="1" x14ac:dyDescent="0.25">
      <c r="A98" s="21" t="s">
        <v>92</v>
      </c>
      <c r="B98" s="22">
        <v>44062</v>
      </c>
      <c r="C98" s="29">
        <v>75</v>
      </c>
      <c r="D98" s="24">
        <v>11113.31</v>
      </c>
      <c r="E98" s="24">
        <v>6649.79</v>
      </c>
      <c r="F98" s="24">
        <v>47641.63</v>
      </c>
      <c r="G98" s="24">
        <v>7560.71</v>
      </c>
      <c r="H98" s="24">
        <v>5465.58</v>
      </c>
      <c r="I98" s="24">
        <v>4736.8</v>
      </c>
      <c r="J98" s="24"/>
      <c r="K98" s="24">
        <v>7650.8</v>
      </c>
      <c r="L98" s="24">
        <v>0.9</v>
      </c>
      <c r="M98" s="24">
        <v>0</v>
      </c>
      <c r="N98" s="24">
        <v>7378.56</v>
      </c>
      <c r="O98" s="24">
        <v>14443.65</v>
      </c>
      <c r="P98" s="24">
        <v>375</v>
      </c>
      <c r="Q98" s="24">
        <v>14718.23</v>
      </c>
      <c r="R98" s="24">
        <v>22733.25</v>
      </c>
      <c r="S98" s="26">
        <v>12416.66</v>
      </c>
      <c r="T98" s="27">
        <f t="shared" si="10"/>
        <v>162884.87</v>
      </c>
    </row>
    <row r="99" spans="1:39" s="7" customFormat="1" x14ac:dyDescent="0.25">
      <c r="A99" s="12" t="s">
        <v>93</v>
      </c>
      <c r="B99" s="20">
        <v>18493</v>
      </c>
      <c r="C99" s="6">
        <v>45</v>
      </c>
      <c r="D99" s="8">
        <v>1601.41</v>
      </c>
      <c r="E99" s="8">
        <v>787.59</v>
      </c>
      <c r="F99" s="8">
        <v>8256.5300000000007</v>
      </c>
      <c r="G99" s="8">
        <v>1575.17</v>
      </c>
      <c r="H99" s="8">
        <v>1312.64</v>
      </c>
      <c r="I99" s="8">
        <v>1543.67</v>
      </c>
      <c r="J99" s="8"/>
      <c r="K99" s="8">
        <v>42.72</v>
      </c>
      <c r="L99" s="8"/>
      <c r="M99" s="8">
        <v>249.43</v>
      </c>
      <c r="N99" s="8">
        <v>1291.6300000000001</v>
      </c>
      <c r="O99" s="8">
        <v>2223.44</v>
      </c>
      <c r="P99" s="8">
        <v>45</v>
      </c>
      <c r="Q99" s="8"/>
      <c r="R99" s="8">
        <v>3332.14</v>
      </c>
      <c r="S99" s="9">
        <v>2116.1</v>
      </c>
      <c r="T99" s="10">
        <f t="shared" si="10"/>
        <v>24377.469999999998</v>
      </c>
    </row>
    <row r="100" spans="1:39" s="28" customFormat="1" x14ac:dyDescent="0.25">
      <c r="A100" s="21" t="s">
        <v>94</v>
      </c>
      <c r="B100" s="22">
        <v>44062</v>
      </c>
      <c r="C100" s="29">
        <v>96</v>
      </c>
      <c r="D100" s="24">
        <v>5549.85</v>
      </c>
      <c r="E100" s="24">
        <v>5319.98</v>
      </c>
      <c r="F100" s="24">
        <v>25732.37</v>
      </c>
      <c r="G100" s="24">
        <v>5219.29</v>
      </c>
      <c r="H100" s="24">
        <v>1544.52</v>
      </c>
      <c r="I100" s="24">
        <v>955.36</v>
      </c>
      <c r="J100" s="24"/>
      <c r="K100" s="24"/>
      <c r="L100" s="24">
        <v>769.79</v>
      </c>
      <c r="M100" s="24">
        <v>236.53</v>
      </c>
      <c r="N100" s="24"/>
      <c r="O100" s="24">
        <v>6644.39</v>
      </c>
      <c r="P100" s="24">
        <v>264</v>
      </c>
      <c r="Q100" s="24">
        <v>6874</v>
      </c>
      <c r="R100" s="24">
        <v>10528.18</v>
      </c>
      <c r="S100" s="26">
        <v>6498.01</v>
      </c>
      <c r="T100" s="27">
        <f t="shared" si="10"/>
        <v>76136.26999999999</v>
      </c>
    </row>
    <row r="101" spans="1:39" s="28" customFormat="1" x14ac:dyDescent="0.25">
      <c r="A101" s="21" t="s">
        <v>95</v>
      </c>
      <c r="B101" s="22">
        <v>44091</v>
      </c>
      <c r="C101" s="29">
        <v>77</v>
      </c>
      <c r="D101" s="24">
        <v>7417.88</v>
      </c>
      <c r="E101" s="24">
        <v>8634.14</v>
      </c>
      <c r="F101" s="24">
        <v>37786.1</v>
      </c>
      <c r="G101" s="24">
        <v>5233.1899999999996</v>
      </c>
      <c r="H101" s="24"/>
      <c r="I101" s="24">
        <v>632.28</v>
      </c>
      <c r="J101" s="24"/>
      <c r="K101" s="24">
        <v>3357.73</v>
      </c>
      <c r="L101" s="24"/>
      <c r="M101" s="24">
        <v>316.14999999999998</v>
      </c>
      <c r="N101" s="24"/>
      <c r="O101" s="24">
        <v>8975.67</v>
      </c>
      <c r="P101" s="24">
        <v>1213.99</v>
      </c>
      <c r="Q101" s="24">
        <v>10321.06</v>
      </c>
      <c r="R101" s="24">
        <v>14902.16</v>
      </c>
      <c r="S101" s="26">
        <v>10286.77</v>
      </c>
      <c r="T101" s="27">
        <f t="shared" ref="T101:T106" si="11">SUM(D101:S101)</f>
        <v>109077.12000000001</v>
      </c>
    </row>
    <row r="102" spans="1:39" s="28" customFormat="1" x14ac:dyDescent="0.25">
      <c r="A102" s="21" t="s">
        <v>96</v>
      </c>
      <c r="B102" s="22">
        <v>44057</v>
      </c>
      <c r="C102" s="29">
        <v>7</v>
      </c>
      <c r="D102" s="24">
        <v>422.36</v>
      </c>
      <c r="E102" s="24">
        <v>512.38</v>
      </c>
      <c r="F102" s="24">
        <v>1412.5</v>
      </c>
      <c r="G102" s="24">
        <v>294.27</v>
      </c>
      <c r="H102" s="24">
        <v>173.1</v>
      </c>
      <c r="I102" s="24">
        <v>140.9</v>
      </c>
      <c r="J102" s="24">
        <v>0</v>
      </c>
      <c r="K102" s="24">
        <v>29.5</v>
      </c>
      <c r="L102" s="24">
        <v>0</v>
      </c>
      <c r="M102" s="24">
        <v>51.93</v>
      </c>
      <c r="N102" s="24">
        <v>0</v>
      </c>
      <c r="O102" s="24">
        <v>471.09</v>
      </c>
      <c r="P102" s="24">
        <v>49</v>
      </c>
      <c r="Q102" s="24">
        <v>456.14</v>
      </c>
      <c r="R102" s="24">
        <v>698.63</v>
      </c>
      <c r="S102" s="26">
        <v>454.3</v>
      </c>
      <c r="T102" s="27">
        <f t="shared" si="11"/>
        <v>5166.0999999999995</v>
      </c>
    </row>
    <row r="103" spans="1:39" s="7" customFormat="1" x14ac:dyDescent="0.25">
      <c r="A103" s="12" t="s">
        <v>97</v>
      </c>
      <c r="B103" s="20">
        <v>44126</v>
      </c>
      <c r="C103" s="6">
        <v>53</v>
      </c>
      <c r="D103" s="8">
        <v>2098.56</v>
      </c>
      <c r="E103" s="8">
        <v>1290.1099999999999</v>
      </c>
      <c r="F103" s="8">
        <v>9306.08</v>
      </c>
      <c r="G103" s="8">
        <v>1530.92</v>
      </c>
      <c r="H103" s="8">
        <v>774.08</v>
      </c>
      <c r="I103" s="8">
        <v>678.08</v>
      </c>
      <c r="J103" s="8"/>
      <c r="K103" s="8"/>
      <c r="L103" s="8">
        <v>38.4</v>
      </c>
      <c r="M103" s="8">
        <v>13.8</v>
      </c>
      <c r="N103" s="8"/>
      <c r="O103" s="8">
        <v>2285.19</v>
      </c>
      <c r="P103" s="8">
        <v>265</v>
      </c>
      <c r="Q103" s="8">
        <v>2774.01</v>
      </c>
      <c r="R103" s="8">
        <v>3837.75</v>
      </c>
      <c r="S103" s="9">
        <v>2660.87</v>
      </c>
      <c r="T103" s="10">
        <f t="shared" si="11"/>
        <v>27552.849999999995</v>
      </c>
    </row>
    <row r="104" spans="1:39" s="7" customFormat="1" x14ac:dyDescent="0.25">
      <c r="A104" s="21" t="s">
        <v>98</v>
      </c>
      <c r="B104" s="20">
        <v>44063</v>
      </c>
      <c r="C104" s="6">
        <v>52</v>
      </c>
      <c r="D104" s="8">
        <v>10222.9</v>
      </c>
      <c r="E104" s="8">
        <v>7758.1</v>
      </c>
      <c r="F104" s="8">
        <v>47260.07</v>
      </c>
      <c r="G104" s="8">
        <v>2957.36</v>
      </c>
      <c r="H104" s="8">
        <v>1803.27</v>
      </c>
      <c r="I104" s="8">
        <v>1009.83</v>
      </c>
      <c r="J104" s="8"/>
      <c r="K104" s="8">
        <v>7080.98</v>
      </c>
      <c r="L104" s="8">
        <v>16157.13</v>
      </c>
      <c r="M104" s="8">
        <v>33.840000000000003</v>
      </c>
      <c r="N104" s="8">
        <v>3418.95</v>
      </c>
      <c r="O104" s="8">
        <v>11846.22</v>
      </c>
      <c r="P104" s="8">
        <v>468</v>
      </c>
      <c r="Q104" s="8"/>
      <c r="R104" s="8">
        <v>26045.040000000001</v>
      </c>
      <c r="S104" s="9">
        <v>11028.4</v>
      </c>
      <c r="T104" s="10">
        <f t="shared" si="11"/>
        <v>147090.09</v>
      </c>
    </row>
    <row r="105" spans="1:39" s="45" customFormat="1" x14ac:dyDescent="0.25">
      <c r="A105" s="21" t="s">
        <v>98</v>
      </c>
      <c r="B105" s="22">
        <v>44063</v>
      </c>
      <c r="C105" s="29">
        <v>89</v>
      </c>
      <c r="D105" s="24">
        <v>11718.39</v>
      </c>
      <c r="E105" s="24">
        <v>8346.49</v>
      </c>
      <c r="F105" s="24">
        <v>54070.09</v>
      </c>
      <c r="G105" s="24">
        <v>3934.39</v>
      </c>
      <c r="H105" s="24">
        <v>2393.8000000000002</v>
      </c>
      <c r="I105" s="24">
        <v>1332.45</v>
      </c>
      <c r="J105" s="24"/>
      <c r="K105" s="24">
        <v>9645.15</v>
      </c>
      <c r="L105" s="24">
        <v>21603.73</v>
      </c>
      <c r="M105" s="24">
        <v>676.8</v>
      </c>
      <c r="N105" s="24">
        <v>4545.03</v>
      </c>
      <c r="O105" s="24">
        <v>15895.6</v>
      </c>
      <c r="P105" s="24">
        <v>810</v>
      </c>
      <c r="Q105" s="24">
        <v>19974.080000000002</v>
      </c>
      <c r="R105" s="24">
        <v>27826.06</v>
      </c>
      <c r="S105" s="26">
        <v>15159.05</v>
      </c>
      <c r="T105" s="27">
        <f t="shared" si="11"/>
        <v>197931.11</v>
      </c>
      <c r="U105" s="28"/>
      <c r="V105" s="28"/>
      <c r="W105" s="28"/>
      <c r="X105" s="28"/>
      <c r="Y105" s="28"/>
      <c r="Z105" s="28"/>
      <c r="AA105" s="28"/>
      <c r="AB105" s="28"/>
      <c r="AC105" s="28"/>
      <c r="AD105" s="28"/>
      <c r="AE105" s="28"/>
      <c r="AF105" s="28"/>
      <c r="AG105" s="28"/>
      <c r="AH105" s="28"/>
      <c r="AI105" s="28"/>
      <c r="AJ105" s="28"/>
      <c r="AK105" s="28"/>
      <c r="AL105" s="28"/>
      <c r="AM105" s="28"/>
    </row>
    <row r="106" spans="1:39" s="28" customFormat="1" x14ac:dyDescent="0.25">
      <c r="A106" s="21" t="s">
        <v>99</v>
      </c>
      <c r="B106" s="22">
        <v>44069</v>
      </c>
      <c r="C106" s="29">
        <v>20</v>
      </c>
      <c r="D106" s="24">
        <v>1126.44</v>
      </c>
      <c r="E106" s="24">
        <v>1154.1500000000001</v>
      </c>
      <c r="F106" s="24">
        <v>6407.71</v>
      </c>
      <c r="G106" s="24">
        <v>967.92</v>
      </c>
      <c r="H106" s="24">
        <v>517.04999999999995</v>
      </c>
      <c r="I106" s="24">
        <v>493.15</v>
      </c>
      <c r="J106" s="24"/>
      <c r="K106" s="24">
        <v>670</v>
      </c>
      <c r="L106" s="24"/>
      <c r="M106" s="24">
        <v>147.72</v>
      </c>
      <c r="N106" s="24"/>
      <c r="O106" s="24">
        <v>1739.44</v>
      </c>
      <c r="P106" s="24">
        <v>300</v>
      </c>
      <c r="Q106" s="24">
        <v>1731.5</v>
      </c>
      <c r="R106" s="24">
        <v>2694.49</v>
      </c>
      <c r="S106" s="26">
        <v>1627.4</v>
      </c>
      <c r="T106" s="27">
        <f t="shared" si="11"/>
        <v>19576.97</v>
      </c>
    </row>
    <row r="107" spans="1:39" s="56" customFormat="1" x14ac:dyDescent="0.25">
      <c r="A107" s="21" t="s">
        <v>100</v>
      </c>
      <c r="B107" s="22">
        <v>44127</v>
      </c>
      <c r="C107" s="29">
        <v>28</v>
      </c>
      <c r="D107" s="24">
        <v>659.98</v>
      </c>
      <c r="E107" s="24">
        <v>875.18</v>
      </c>
      <c r="F107" s="24">
        <v>2727.81</v>
      </c>
      <c r="G107" s="24">
        <v>1021.26</v>
      </c>
      <c r="H107" s="24">
        <v>378.68</v>
      </c>
      <c r="I107" s="24">
        <v>1284.92</v>
      </c>
      <c r="J107" s="24" t="s">
        <v>160</v>
      </c>
      <c r="K107" s="24">
        <v>4.59</v>
      </c>
      <c r="L107" s="24">
        <v>643.5</v>
      </c>
      <c r="M107" s="24">
        <v>382.92</v>
      </c>
      <c r="N107" s="24"/>
      <c r="O107" s="24">
        <v>1184.75</v>
      </c>
      <c r="P107" s="24">
        <v>154</v>
      </c>
      <c r="Q107" s="24">
        <v>391.31</v>
      </c>
      <c r="R107" s="24">
        <v>1728.02</v>
      </c>
      <c r="S107" s="26">
        <v>1257.03</v>
      </c>
      <c r="T107" s="27">
        <f>SUM(D107:S107)</f>
        <v>12693.95</v>
      </c>
      <c r="U107" s="26"/>
      <c r="V107" s="28"/>
      <c r="W107" s="28"/>
      <c r="X107" s="28"/>
      <c r="Y107" s="28"/>
    </row>
    <row r="108" spans="1:39" s="28" customFormat="1" x14ac:dyDescent="0.25">
      <c r="A108" s="21" t="s">
        <v>101</v>
      </c>
      <c r="B108" s="22">
        <v>44070</v>
      </c>
      <c r="C108" s="29">
        <v>38</v>
      </c>
      <c r="D108" s="24">
        <v>2542.35</v>
      </c>
      <c r="E108" s="24">
        <v>3292.57</v>
      </c>
      <c r="F108" s="24">
        <v>14212.19</v>
      </c>
      <c r="G108" s="24">
        <v>2521.54</v>
      </c>
      <c r="H108" s="24">
        <v>1208.67</v>
      </c>
      <c r="I108" s="24">
        <v>2181.41</v>
      </c>
      <c r="J108" s="24">
        <v>479.31</v>
      </c>
      <c r="K108" s="24">
        <v>1494</v>
      </c>
      <c r="L108" s="24"/>
      <c r="M108" s="24">
        <v>291.75</v>
      </c>
      <c r="N108" s="24">
        <v>1754.28</v>
      </c>
      <c r="O108" s="24">
        <v>4381.78</v>
      </c>
      <c r="P108" s="24"/>
      <c r="Q108" s="24">
        <v>9228.84</v>
      </c>
      <c r="R108" s="24">
        <v>7757.91</v>
      </c>
      <c r="S108" s="26">
        <v>4258.9799999999996</v>
      </c>
      <c r="T108" s="27">
        <f>SUM(D108:S108)</f>
        <v>55605.58</v>
      </c>
    </row>
    <row r="109" spans="1:39" s="56" customFormat="1" ht="15.75" hidden="1" x14ac:dyDescent="0.25">
      <c r="A109" s="49" t="s">
        <v>143</v>
      </c>
      <c r="B109" s="51">
        <v>44082</v>
      </c>
      <c r="C109" s="52"/>
      <c r="D109" s="53"/>
      <c r="E109" s="53"/>
      <c r="F109" s="53"/>
      <c r="G109" s="53"/>
      <c r="H109" s="53"/>
      <c r="I109" s="53"/>
      <c r="J109" s="53"/>
      <c r="K109" s="53"/>
      <c r="L109" s="53"/>
      <c r="M109" s="53"/>
      <c r="N109" s="53"/>
      <c r="O109" s="53"/>
      <c r="P109" s="53"/>
      <c r="Q109" s="53"/>
      <c r="R109" s="53"/>
      <c r="S109" s="54"/>
      <c r="T109" s="55"/>
    </row>
    <row r="110" spans="1:39" s="28" customFormat="1" ht="15.75" x14ac:dyDescent="0.25">
      <c r="A110" s="41" t="s">
        <v>103</v>
      </c>
      <c r="B110" s="22">
        <v>44118</v>
      </c>
      <c r="C110" s="29">
        <v>54</v>
      </c>
      <c r="D110" s="24">
        <v>7674.51</v>
      </c>
      <c r="E110" s="24">
        <v>11917.07</v>
      </c>
      <c r="F110" s="24">
        <v>55797.57</v>
      </c>
      <c r="G110" s="24">
        <v>8743.92</v>
      </c>
      <c r="H110" s="24">
        <v>3774.35</v>
      </c>
      <c r="I110" s="24">
        <v>2437.0100000000002</v>
      </c>
      <c r="J110" s="24"/>
      <c r="K110" s="24">
        <v>28.21</v>
      </c>
      <c r="L110" s="24">
        <v>20470.669999999998</v>
      </c>
      <c r="M110" s="24">
        <v>503.26</v>
      </c>
      <c r="N110" s="24"/>
      <c r="O110" s="24">
        <v>14376.51</v>
      </c>
      <c r="P110" s="24">
        <v>108</v>
      </c>
      <c r="Q110" s="24"/>
      <c r="R110" s="24">
        <v>22150.47</v>
      </c>
      <c r="S110" s="26">
        <v>11885.26</v>
      </c>
      <c r="T110" s="27">
        <f>SUM(D110:S110)</f>
        <v>159866.81</v>
      </c>
    </row>
    <row r="111" spans="1:39" s="28" customFormat="1" x14ac:dyDescent="0.25">
      <c r="A111" s="21" t="s">
        <v>104</v>
      </c>
      <c r="B111" s="22">
        <v>44103</v>
      </c>
      <c r="C111" s="29">
        <v>67</v>
      </c>
      <c r="D111" s="24">
        <v>3882.6</v>
      </c>
      <c r="E111" s="24">
        <v>3164.66</v>
      </c>
      <c r="F111" s="24">
        <v>13535.83</v>
      </c>
      <c r="G111" s="24">
        <v>1566.65</v>
      </c>
      <c r="H111" s="24">
        <v>2506.64</v>
      </c>
      <c r="I111" s="24">
        <v>1114.52</v>
      </c>
      <c r="J111" s="24"/>
      <c r="K111" s="24"/>
      <c r="L111" s="34">
        <v>1011</v>
      </c>
      <c r="M111" s="24"/>
      <c r="N111" s="24"/>
      <c r="O111" s="24">
        <v>4005.92</v>
      </c>
      <c r="P111" s="24">
        <v>660</v>
      </c>
      <c r="Q111" s="24">
        <v>4202.03</v>
      </c>
      <c r="R111" s="24">
        <v>6030.12</v>
      </c>
      <c r="S111" s="26">
        <v>2991.08</v>
      </c>
      <c r="T111" s="27">
        <f>SUM(D111:S111)</f>
        <v>44671.05</v>
      </c>
    </row>
    <row r="112" spans="1:39" s="7" customFormat="1" x14ac:dyDescent="0.25">
      <c r="A112" s="12" t="s">
        <v>105</v>
      </c>
      <c r="B112" s="20">
        <v>44063</v>
      </c>
      <c r="C112" s="6">
        <v>171</v>
      </c>
      <c r="D112" s="8">
        <v>19864.32</v>
      </c>
      <c r="E112" s="8">
        <v>8304.02</v>
      </c>
      <c r="F112" s="8">
        <v>75083.91</v>
      </c>
      <c r="G112" s="8">
        <v>10909.16</v>
      </c>
      <c r="H112" s="8">
        <v>4884.68</v>
      </c>
      <c r="I112" s="8">
        <v>2606.7600000000002</v>
      </c>
      <c r="J112" s="8"/>
      <c r="K112" s="8">
        <v>1.02</v>
      </c>
      <c r="L112" s="8"/>
      <c r="M112" s="8"/>
      <c r="N112" s="8"/>
      <c r="O112" s="8">
        <v>17785.88</v>
      </c>
      <c r="P112" s="8">
        <v>2380</v>
      </c>
      <c r="Q112" s="8">
        <v>18197.88</v>
      </c>
      <c r="R112" s="8">
        <v>28246.89</v>
      </c>
      <c r="S112" s="9">
        <v>16503.400000000001</v>
      </c>
      <c r="T112" s="10">
        <f>SUM(D112:S112)</f>
        <v>204767.92</v>
      </c>
    </row>
    <row r="113" spans="1:20" s="7" customFormat="1" x14ac:dyDescent="0.25">
      <c r="A113" s="12" t="s">
        <v>106</v>
      </c>
      <c r="B113" s="20">
        <v>44098</v>
      </c>
      <c r="C113" s="6">
        <v>0</v>
      </c>
      <c r="D113" s="8">
        <v>0</v>
      </c>
      <c r="E113" s="8">
        <v>0</v>
      </c>
      <c r="F113" s="8">
        <v>0</v>
      </c>
      <c r="G113" s="8">
        <v>0</v>
      </c>
      <c r="H113" s="8">
        <v>0</v>
      </c>
      <c r="I113" s="8">
        <v>0</v>
      </c>
      <c r="J113" s="8">
        <v>0</v>
      </c>
      <c r="K113" s="8">
        <v>0</v>
      </c>
      <c r="L113" s="8">
        <v>0</v>
      </c>
      <c r="M113" s="8">
        <v>0</v>
      </c>
      <c r="N113" s="8">
        <v>0</v>
      </c>
      <c r="O113" s="8">
        <v>0</v>
      </c>
      <c r="P113" s="8">
        <v>0</v>
      </c>
      <c r="Q113" s="8">
        <v>0</v>
      </c>
      <c r="R113" s="8">
        <v>0</v>
      </c>
      <c r="S113" s="9">
        <v>0</v>
      </c>
      <c r="T113" s="10">
        <v>0</v>
      </c>
    </row>
    <row r="114" spans="1:20" s="28" customFormat="1" x14ac:dyDescent="0.25">
      <c r="A114" s="21" t="s">
        <v>107</v>
      </c>
      <c r="B114" s="22">
        <v>44074</v>
      </c>
      <c r="C114" s="29">
        <v>75</v>
      </c>
      <c r="D114" s="24">
        <v>4733.1899999999996</v>
      </c>
      <c r="E114" s="24">
        <v>3282.22</v>
      </c>
      <c r="F114" s="24">
        <v>16372.16</v>
      </c>
      <c r="G114" s="24">
        <v>3142.59</v>
      </c>
      <c r="H114" s="24">
        <v>2715.77</v>
      </c>
      <c r="I114" s="24">
        <v>1705.99</v>
      </c>
      <c r="J114" s="24"/>
      <c r="K114" s="24">
        <v>18.52</v>
      </c>
      <c r="L114" s="24">
        <v>349.24</v>
      </c>
      <c r="M114" s="24"/>
      <c r="N114" s="24">
        <v>0</v>
      </c>
      <c r="O114" s="24">
        <v>4335.5200000000004</v>
      </c>
      <c r="P114" s="24">
        <v>150</v>
      </c>
      <c r="Q114" s="24"/>
      <c r="R114" s="24">
        <v>6373.95</v>
      </c>
      <c r="S114" s="26">
        <v>4312.01</v>
      </c>
      <c r="T114" s="27">
        <f>SUM(D114:S114)</f>
        <v>47491.16</v>
      </c>
    </row>
    <row r="115" spans="1:20" s="28" customFormat="1" x14ac:dyDescent="0.25">
      <c r="A115" s="21" t="s">
        <v>108</v>
      </c>
      <c r="B115" s="22">
        <v>44090</v>
      </c>
      <c r="C115" s="29">
        <v>41</v>
      </c>
      <c r="D115" s="24">
        <v>4161.6400000000003</v>
      </c>
      <c r="E115" s="24">
        <v>6303.93</v>
      </c>
      <c r="F115" s="24">
        <v>19308.48</v>
      </c>
      <c r="G115" s="24">
        <v>3647.21</v>
      </c>
      <c r="H115" s="24">
        <v>1534.99</v>
      </c>
      <c r="I115" s="24"/>
      <c r="J115" s="24"/>
      <c r="K115" s="24">
        <v>4.67</v>
      </c>
      <c r="L115" s="24"/>
      <c r="M115" s="24"/>
      <c r="N115" s="24"/>
      <c r="O115" s="24">
        <v>4111.83</v>
      </c>
      <c r="P115" s="24"/>
      <c r="Q115" s="24"/>
      <c r="R115" s="24">
        <v>6303.93</v>
      </c>
      <c r="S115" s="26"/>
      <c r="T115" s="27">
        <f>SUM(D115:S115)</f>
        <v>45376.68</v>
      </c>
    </row>
    <row r="116" spans="1:20" s="7" customFormat="1" x14ac:dyDescent="0.25">
      <c r="A116" s="21" t="s">
        <v>109</v>
      </c>
      <c r="B116" s="22">
        <v>44068</v>
      </c>
      <c r="C116" s="29">
        <v>50</v>
      </c>
      <c r="D116" s="24">
        <v>4292.49</v>
      </c>
      <c r="E116" s="24">
        <v>2547.36</v>
      </c>
      <c r="F116" s="24">
        <v>18366.28</v>
      </c>
      <c r="G116" s="24">
        <v>2216.64</v>
      </c>
      <c r="H116" s="24">
        <v>1583.39</v>
      </c>
      <c r="I116" s="24">
        <v>1337.36</v>
      </c>
      <c r="J116" s="24">
        <v>2322.14</v>
      </c>
      <c r="K116" s="24">
        <v>0.46</v>
      </c>
      <c r="L116" s="24"/>
      <c r="M116" s="24"/>
      <c r="N116" s="24">
        <v>2322.14</v>
      </c>
      <c r="O116" s="24">
        <v>4728.47</v>
      </c>
      <c r="P116" s="24">
        <v>76</v>
      </c>
      <c r="Q116" s="24"/>
      <c r="R116" s="24">
        <v>7098.98</v>
      </c>
      <c r="S116" s="26">
        <v>4081.51</v>
      </c>
      <c r="T116" s="27">
        <f>SUM(D116:S116)</f>
        <v>50973.219999999994</v>
      </c>
    </row>
    <row r="117" spans="1:20" s="28" customFormat="1" x14ac:dyDescent="0.25">
      <c r="A117" s="21" t="s">
        <v>110</v>
      </c>
      <c r="B117" s="22">
        <v>44074</v>
      </c>
      <c r="C117" s="29">
        <v>87</v>
      </c>
      <c r="D117" s="24">
        <v>15049.25</v>
      </c>
      <c r="E117" s="24">
        <v>7655.87</v>
      </c>
      <c r="F117" s="24">
        <v>70508</v>
      </c>
      <c r="G117" s="24">
        <v>6916.59</v>
      </c>
      <c r="H117" s="24">
        <v>5433.2</v>
      </c>
      <c r="I117" s="24">
        <v>2211.08</v>
      </c>
      <c r="J117" s="24"/>
      <c r="K117" s="24"/>
      <c r="L117" s="24"/>
      <c r="M117" s="24"/>
      <c r="N117" s="24"/>
      <c r="O117" s="24">
        <v>15349.1</v>
      </c>
      <c r="P117" s="24">
        <v>1806</v>
      </c>
      <c r="Q117" s="24">
        <v>16000.94</v>
      </c>
      <c r="R117" s="24">
        <v>24656.959999999999</v>
      </c>
      <c r="S117" s="26">
        <v>13532.43</v>
      </c>
      <c r="T117" s="27">
        <f>SUM(D117:S117)</f>
        <v>179119.41999999998</v>
      </c>
    </row>
    <row r="118" spans="1:20" s="7" customFormat="1" x14ac:dyDescent="0.25">
      <c r="A118" s="12" t="s">
        <v>111</v>
      </c>
      <c r="B118" s="20">
        <v>44069</v>
      </c>
      <c r="C118" s="6">
        <v>57</v>
      </c>
      <c r="D118" s="8">
        <v>10621.69</v>
      </c>
      <c r="E118" s="8">
        <v>9315.7800000000007</v>
      </c>
      <c r="F118" s="8">
        <v>63643.17</v>
      </c>
      <c r="G118" s="8">
        <v>2873.06</v>
      </c>
      <c r="H118" s="8">
        <v>3264.86</v>
      </c>
      <c r="I118" s="8">
        <v>1767.37</v>
      </c>
      <c r="J118" s="8"/>
      <c r="K118" s="8">
        <v>5295.8</v>
      </c>
      <c r="L118" s="8">
        <v>2437.7800000000002</v>
      </c>
      <c r="M118" s="8">
        <v>870.63</v>
      </c>
      <c r="N118" s="8"/>
      <c r="O118" s="8">
        <v>13574.55</v>
      </c>
      <c r="P118" s="8">
        <v>741</v>
      </c>
      <c r="Q118" s="8">
        <v>14995.97</v>
      </c>
      <c r="R118" s="8">
        <v>23123.25</v>
      </c>
      <c r="S118" s="9">
        <v>12359.59</v>
      </c>
      <c r="T118" s="10">
        <f t="shared" ref="T118:T127" si="12">SUM(D118:S118)</f>
        <v>164884.5</v>
      </c>
    </row>
    <row r="119" spans="1:20" s="7" customFormat="1" x14ac:dyDescent="0.25">
      <c r="A119" s="12" t="s">
        <v>112</v>
      </c>
      <c r="B119" s="20">
        <v>44095</v>
      </c>
      <c r="C119" s="6">
        <v>36</v>
      </c>
      <c r="D119" s="8">
        <v>3929.84</v>
      </c>
      <c r="E119" s="8">
        <v>3317.82</v>
      </c>
      <c r="F119" s="8">
        <v>17652.11</v>
      </c>
      <c r="G119" s="8">
        <v>2029.35</v>
      </c>
      <c r="H119" s="8"/>
      <c r="I119" s="8">
        <v>626.20000000000005</v>
      </c>
      <c r="J119" s="8"/>
      <c r="K119" s="8"/>
      <c r="L119" s="8"/>
      <c r="M119" s="8"/>
      <c r="N119" s="8">
        <v>1224.06</v>
      </c>
      <c r="O119" s="8">
        <v>4265.0600000000004</v>
      </c>
      <c r="P119" s="8">
        <v>360</v>
      </c>
      <c r="Q119" s="8">
        <v>4674.0600000000004</v>
      </c>
      <c r="R119" s="8">
        <v>6849.06</v>
      </c>
      <c r="S119" s="9">
        <v>3885.35</v>
      </c>
      <c r="T119" s="10">
        <f t="shared" si="12"/>
        <v>48812.909999999996</v>
      </c>
    </row>
    <row r="120" spans="1:20" s="7" customFormat="1" x14ac:dyDescent="0.25">
      <c r="A120" s="12" t="s">
        <v>113</v>
      </c>
      <c r="B120" s="20">
        <v>44098</v>
      </c>
      <c r="C120" s="6">
        <v>29</v>
      </c>
      <c r="D120" s="8">
        <v>1519.56</v>
      </c>
      <c r="E120" s="8">
        <v>983.99</v>
      </c>
      <c r="F120" s="8">
        <v>7959.07</v>
      </c>
      <c r="G120" s="8">
        <v>597.88</v>
      </c>
      <c r="H120" s="8">
        <v>498.22</v>
      </c>
      <c r="I120" s="8">
        <v>427.27</v>
      </c>
      <c r="J120" s="8"/>
      <c r="K120" s="8">
        <v>871.88</v>
      </c>
      <c r="L120" s="8">
        <v>7.01</v>
      </c>
      <c r="M120" s="8">
        <v>108.35</v>
      </c>
      <c r="N120" s="8"/>
      <c r="O120" s="8">
        <v>1599.54</v>
      </c>
      <c r="P120" s="8">
        <v>756</v>
      </c>
      <c r="Q120" s="8">
        <v>1879.63</v>
      </c>
      <c r="R120" s="8">
        <v>2548.21</v>
      </c>
      <c r="S120" s="9">
        <v>1694.13</v>
      </c>
      <c r="T120" s="10">
        <f t="shared" si="12"/>
        <v>21450.739999999998</v>
      </c>
    </row>
    <row r="121" spans="1:20" s="28" customFormat="1" x14ac:dyDescent="0.25">
      <c r="A121" s="21" t="s">
        <v>114</v>
      </c>
      <c r="B121" s="22">
        <v>44091</v>
      </c>
      <c r="C121" s="29">
        <v>34</v>
      </c>
      <c r="D121" s="24">
        <v>2149.9499999999998</v>
      </c>
      <c r="E121" s="24">
        <v>1992.52</v>
      </c>
      <c r="F121" s="24">
        <v>7415.93</v>
      </c>
      <c r="G121" s="24">
        <v>1374.64</v>
      </c>
      <c r="H121" s="24">
        <v>572.82000000000005</v>
      </c>
      <c r="I121" s="24">
        <v>774.69</v>
      </c>
      <c r="J121" s="24">
        <v>1462.7</v>
      </c>
      <c r="K121" s="24"/>
      <c r="L121" s="24"/>
      <c r="M121" s="24"/>
      <c r="N121" s="24"/>
      <c r="O121" s="24">
        <v>2045.85</v>
      </c>
      <c r="P121" s="24"/>
      <c r="Q121" s="24"/>
      <c r="R121" s="24">
        <v>3107.8</v>
      </c>
      <c r="S121" s="26">
        <v>2029.96</v>
      </c>
      <c r="T121" s="27">
        <f t="shared" si="12"/>
        <v>22926.859999999997</v>
      </c>
    </row>
    <row r="122" spans="1:20" s="7" customFormat="1" x14ac:dyDescent="0.25">
      <c r="A122" s="12" t="s">
        <v>115</v>
      </c>
      <c r="B122" s="20">
        <v>44097</v>
      </c>
      <c r="C122" s="6">
        <v>23</v>
      </c>
      <c r="D122" s="8">
        <v>2510.8000000000002</v>
      </c>
      <c r="E122" s="8">
        <v>2037.47</v>
      </c>
      <c r="F122" s="8">
        <v>9100.3799999999992</v>
      </c>
      <c r="G122" s="8">
        <v>1275.99</v>
      </c>
      <c r="H122" s="8">
        <v>884.95</v>
      </c>
      <c r="I122" s="8">
        <v>796.29</v>
      </c>
      <c r="J122" s="8"/>
      <c r="K122" s="8">
        <v>7.79</v>
      </c>
      <c r="L122" s="8">
        <v>50.13</v>
      </c>
      <c r="M122" s="8">
        <v>279.04000000000002</v>
      </c>
      <c r="N122" s="8">
        <v>0</v>
      </c>
      <c r="O122" s="8">
        <v>2189.6999999999998</v>
      </c>
      <c r="P122" s="8"/>
      <c r="Q122" s="8"/>
      <c r="R122" s="8">
        <v>3431.37</v>
      </c>
      <c r="S122" s="9">
        <v>1934.21</v>
      </c>
      <c r="T122" s="10">
        <f t="shared" si="12"/>
        <v>24498.120000000003</v>
      </c>
    </row>
    <row r="123" spans="1:20" s="28" customFormat="1" x14ac:dyDescent="0.25">
      <c r="A123" s="21" t="s">
        <v>116</v>
      </c>
      <c r="B123" s="22">
        <v>44067</v>
      </c>
      <c r="C123" s="29">
        <v>65</v>
      </c>
      <c r="D123" s="24">
        <v>3058.07</v>
      </c>
      <c r="E123" s="24">
        <v>2005.29</v>
      </c>
      <c r="F123" s="24">
        <v>13811.63</v>
      </c>
      <c r="G123" s="24">
        <v>1203.2</v>
      </c>
      <c r="H123" s="24"/>
      <c r="I123" s="24"/>
      <c r="J123" s="24">
        <v>2506.66</v>
      </c>
      <c r="K123" s="24">
        <v>1520.22</v>
      </c>
      <c r="L123" s="24"/>
      <c r="M123" s="24"/>
      <c r="N123" s="24">
        <v>2506.66</v>
      </c>
      <c r="O123" s="24">
        <v>3540.61</v>
      </c>
      <c r="P123" s="24">
        <v>576</v>
      </c>
      <c r="Q123" s="24"/>
      <c r="R123" s="24">
        <v>5322.33</v>
      </c>
      <c r="S123" s="26">
        <v>5331.22</v>
      </c>
      <c r="T123" s="27">
        <f t="shared" si="12"/>
        <v>41381.89</v>
      </c>
    </row>
    <row r="124" spans="1:20" s="7" customFormat="1" x14ac:dyDescent="0.25">
      <c r="A124" s="12" t="s">
        <v>117</v>
      </c>
      <c r="B124" s="20">
        <v>44060</v>
      </c>
      <c r="C124" s="6">
        <v>23</v>
      </c>
      <c r="D124" s="8">
        <v>1750.22</v>
      </c>
      <c r="E124" s="8">
        <v>1118.98</v>
      </c>
      <c r="F124" s="8">
        <v>10831.24</v>
      </c>
      <c r="G124" s="8">
        <v>1692.82</v>
      </c>
      <c r="H124" s="8">
        <v>573.84</v>
      </c>
      <c r="I124" s="8">
        <v>633.97</v>
      </c>
      <c r="J124" s="8"/>
      <c r="K124" s="8"/>
      <c r="L124" s="8">
        <v>41.85</v>
      </c>
      <c r="M124" s="8"/>
      <c r="N124" s="8"/>
      <c r="O124" s="8">
        <v>2578.96</v>
      </c>
      <c r="P124" s="8">
        <v>230</v>
      </c>
      <c r="Q124" s="8">
        <v>2499.75</v>
      </c>
      <c r="R124" s="8">
        <v>3874.53</v>
      </c>
      <c r="S124" s="9">
        <v>2259.2600000000002</v>
      </c>
      <c r="T124" s="10">
        <f t="shared" si="12"/>
        <v>28085.42</v>
      </c>
    </row>
    <row r="125" spans="1:20" s="28" customFormat="1" x14ac:dyDescent="0.25">
      <c r="A125" s="21" t="s">
        <v>118</v>
      </c>
      <c r="B125" s="22">
        <v>44089</v>
      </c>
      <c r="C125" s="29">
        <v>45</v>
      </c>
      <c r="D125" s="24">
        <v>2053.11</v>
      </c>
      <c r="E125" s="24">
        <v>1733.38</v>
      </c>
      <c r="F125" s="24">
        <v>12167.27</v>
      </c>
      <c r="G125" s="24">
        <v>1363.16</v>
      </c>
      <c r="H125" s="24">
        <v>883.52</v>
      </c>
      <c r="I125" s="24">
        <v>420.73</v>
      </c>
      <c r="J125" s="24"/>
      <c r="K125" s="24"/>
      <c r="L125" s="24"/>
      <c r="M125" s="24"/>
      <c r="N125" s="24"/>
      <c r="O125" s="24">
        <v>2550.79</v>
      </c>
      <c r="P125" s="24">
        <v>270</v>
      </c>
      <c r="Q125" s="24">
        <v>3013.84</v>
      </c>
      <c r="R125" s="24">
        <v>4416.97</v>
      </c>
      <c r="S125" s="26">
        <v>2838.5</v>
      </c>
      <c r="T125" s="27">
        <f t="shared" si="12"/>
        <v>31711.270000000004</v>
      </c>
    </row>
    <row r="126" spans="1:20" s="28" customFormat="1" x14ac:dyDescent="0.25">
      <c r="A126" s="21" t="s">
        <v>119</v>
      </c>
      <c r="B126" s="22">
        <v>44061</v>
      </c>
      <c r="C126" s="29">
        <v>208</v>
      </c>
      <c r="D126" s="24">
        <v>21477.15</v>
      </c>
      <c r="E126" s="24">
        <v>25526.22</v>
      </c>
      <c r="F126" s="24">
        <v>54312.17</v>
      </c>
      <c r="G126" s="24">
        <v>6865.64</v>
      </c>
      <c r="H126" s="24">
        <v>4049.01</v>
      </c>
      <c r="I126" s="24">
        <v>1054.6199999999999</v>
      </c>
      <c r="J126" s="24"/>
      <c r="K126" s="24">
        <v>4445.3500000000004</v>
      </c>
      <c r="L126" s="24">
        <v>968.54</v>
      </c>
      <c r="M126" s="24">
        <v>440.04</v>
      </c>
      <c r="N126" s="24"/>
      <c r="O126" s="24">
        <v>17200.71</v>
      </c>
      <c r="P126" s="24">
        <v>6448</v>
      </c>
      <c r="Q126" s="24">
        <v>17850.740000000002</v>
      </c>
      <c r="R126" s="24">
        <v>27858.83</v>
      </c>
      <c r="S126" s="26">
        <v>16841.5</v>
      </c>
      <c r="T126" s="27">
        <f t="shared" si="12"/>
        <v>205338.51999999996</v>
      </c>
    </row>
    <row r="127" spans="1:20" s="7" customFormat="1" x14ac:dyDescent="0.25">
      <c r="A127" s="21" t="s">
        <v>120</v>
      </c>
      <c r="B127" s="20">
        <v>44075</v>
      </c>
      <c r="C127" s="6">
        <v>19</v>
      </c>
      <c r="D127" s="8">
        <v>1451.95</v>
      </c>
      <c r="E127" s="8">
        <v>999.7</v>
      </c>
      <c r="F127" s="8">
        <v>7164.55</v>
      </c>
      <c r="G127" s="8">
        <v>1035.4100000000001</v>
      </c>
      <c r="H127" s="8">
        <v>272.27999999999997</v>
      </c>
      <c r="I127" s="8">
        <v>1294.8699999999999</v>
      </c>
      <c r="J127" s="8"/>
      <c r="K127" s="8">
        <v>720</v>
      </c>
      <c r="L127" s="8">
        <v>1.7</v>
      </c>
      <c r="M127" s="8">
        <v>130.91999999999999</v>
      </c>
      <c r="N127" s="8"/>
      <c r="O127" s="8">
        <v>1930.71</v>
      </c>
      <c r="P127" s="8">
        <v>361</v>
      </c>
      <c r="Q127" s="8">
        <v>2122.59</v>
      </c>
      <c r="R127" s="8">
        <v>3076.8</v>
      </c>
      <c r="S127" s="9">
        <v>1804.4</v>
      </c>
      <c r="T127" s="10">
        <f t="shared" si="12"/>
        <v>22366.880000000005</v>
      </c>
    </row>
    <row r="128" spans="1:20" s="28" customFormat="1" x14ac:dyDescent="0.25">
      <c r="A128" s="21" t="s">
        <v>121</v>
      </c>
      <c r="B128" s="22">
        <v>44088</v>
      </c>
      <c r="C128" s="29">
        <v>58</v>
      </c>
      <c r="D128" s="24">
        <v>4660.84</v>
      </c>
      <c r="E128" s="24">
        <v>4813.63</v>
      </c>
      <c r="F128" s="24">
        <v>18791.5</v>
      </c>
      <c r="G128" s="24">
        <v>3476.73</v>
      </c>
      <c r="H128" s="24">
        <v>1336.63</v>
      </c>
      <c r="I128" s="24">
        <v>3438.62</v>
      </c>
      <c r="J128" s="24"/>
      <c r="K128" s="24">
        <v>1</v>
      </c>
      <c r="L128" s="24">
        <v>5.34</v>
      </c>
      <c r="M128" s="24">
        <v>573.03</v>
      </c>
      <c r="N128" s="24">
        <v>392.36</v>
      </c>
      <c r="O128" s="24">
        <v>5823.86</v>
      </c>
      <c r="P128" s="24">
        <v>232</v>
      </c>
      <c r="Q128" s="24">
        <v>6162.32</v>
      </c>
      <c r="R128" s="24">
        <v>8845.42</v>
      </c>
      <c r="S128" s="26">
        <v>5235.22</v>
      </c>
      <c r="T128" s="27">
        <f t="shared" ref="T128:T133" si="13">SUM(D128:S128)</f>
        <v>63788.5</v>
      </c>
    </row>
    <row r="129" spans="1:20" s="28" customFormat="1" x14ac:dyDescent="0.25">
      <c r="A129" s="21" t="s">
        <v>122</v>
      </c>
      <c r="B129" s="22">
        <v>44074</v>
      </c>
      <c r="C129" s="29">
        <v>25</v>
      </c>
      <c r="D129" s="24">
        <v>1220.3399999999999</v>
      </c>
      <c r="E129" s="24">
        <v>1880.53</v>
      </c>
      <c r="F129" s="24">
        <v>5561.55</v>
      </c>
      <c r="G129" s="24">
        <v>940.24</v>
      </c>
      <c r="H129" s="24">
        <v>500.15</v>
      </c>
      <c r="I129" s="24">
        <v>629.86</v>
      </c>
      <c r="J129" s="24"/>
      <c r="K129" s="24">
        <v>1.56</v>
      </c>
      <c r="L129" s="24">
        <v>50</v>
      </c>
      <c r="M129" s="24"/>
      <c r="N129" s="24">
        <v>631.59</v>
      </c>
      <c r="O129" s="24">
        <v>1733.98</v>
      </c>
      <c r="P129" s="24">
        <v>250</v>
      </c>
      <c r="Q129" s="24">
        <v>1706.04</v>
      </c>
      <c r="R129" s="24">
        <v>2614.39</v>
      </c>
      <c r="S129" s="26">
        <v>1682.17</v>
      </c>
      <c r="T129" s="27">
        <f t="shared" si="13"/>
        <v>19402.400000000001</v>
      </c>
    </row>
    <row r="130" spans="1:20" s="28" customFormat="1" x14ac:dyDescent="0.25">
      <c r="A130" s="21" t="s">
        <v>148</v>
      </c>
      <c r="B130" s="22">
        <v>44060</v>
      </c>
      <c r="C130" s="29">
        <v>22</v>
      </c>
      <c r="D130" s="24">
        <v>2115.66</v>
      </c>
      <c r="E130" s="24">
        <v>1352.64</v>
      </c>
      <c r="F130" s="24">
        <v>7279.5</v>
      </c>
      <c r="G130" s="24">
        <v>901.75</v>
      </c>
      <c r="H130" s="24">
        <v>693.66</v>
      </c>
      <c r="I130" s="24">
        <v>919.08</v>
      </c>
      <c r="J130" s="24"/>
      <c r="K130" s="24"/>
      <c r="L130" s="24">
        <v>3.34</v>
      </c>
      <c r="M130" s="24">
        <v>242.77</v>
      </c>
      <c r="N130" s="24"/>
      <c r="O130" s="24">
        <v>2097.4499999999998</v>
      </c>
      <c r="P130" s="24">
        <v>286</v>
      </c>
      <c r="Q130" s="24">
        <v>2029.11</v>
      </c>
      <c r="R130" s="24">
        <v>3151.49</v>
      </c>
      <c r="S130" s="26">
        <v>1883.75</v>
      </c>
      <c r="T130" s="27">
        <f t="shared" si="13"/>
        <v>22956.199999999997</v>
      </c>
    </row>
    <row r="131" spans="1:20" s="28" customFormat="1" x14ac:dyDescent="0.25">
      <c r="A131" s="21" t="s">
        <v>142</v>
      </c>
      <c r="B131" s="22">
        <v>44060</v>
      </c>
      <c r="C131" s="29">
        <v>91</v>
      </c>
      <c r="D131" s="34">
        <v>9321.81</v>
      </c>
      <c r="E131" s="24">
        <v>5959.89</v>
      </c>
      <c r="F131" s="24">
        <v>30811.47</v>
      </c>
      <c r="G131" s="24">
        <v>3973.21</v>
      </c>
      <c r="H131" s="24">
        <v>3056.34</v>
      </c>
      <c r="I131" s="24">
        <v>4049.65</v>
      </c>
      <c r="J131" s="24"/>
      <c r="K131" s="24"/>
      <c r="L131" s="24">
        <v>29.44</v>
      </c>
      <c r="M131" s="24">
        <v>1069.74</v>
      </c>
      <c r="N131" s="24"/>
      <c r="O131" s="24">
        <v>9049.2900000000009</v>
      </c>
      <c r="P131" s="24">
        <v>1183</v>
      </c>
      <c r="Q131" s="24">
        <v>8753.11</v>
      </c>
      <c r="R131" s="24">
        <v>13586.92</v>
      </c>
      <c r="S131" s="26">
        <v>8067.46</v>
      </c>
      <c r="T131" s="27">
        <f t="shared" si="13"/>
        <v>98911.33</v>
      </c>
    </row>
    <row r="132" spans="1:20" s="28" customFormat="1" x14ac:dyDescent="0.25">
      <c r="A132" s="21" t="s">
        <v>123</v>
      </c>
      <c r="B132" s="22">
        <v>44095</v>
      </c>
      <c r="C132" s="29">
        <v>4</v>
      </c>
      <c r="D132" s="24">
        <v>114.68</v>
      </c>
      <c r="E132" s="24">
        <v>72.72</v>
      </c>
      <c r="F132" s="24">
        <v>350.14</v>
      </c>
      <c r="G132" s="24">
        <v>131.6</v>
      </c>
      <c r="H132" s="24">
        <v>55.1</v>
      </c>
      <c r="I132" s="24">
        <v>121.2</v>
      </c>
      <c r="J132" s="24"/>
      <c r="K132" s="24">
        <v>1.5</v>
      </c>
      <c r="L132" s="24">
        <v>8</v>
      </c>
      <c r="M132" s="24">
        <v>43.11</v>
      </c>
      <c r="N132" s="24"/>
      <c r="O132" s="24">
        <v>141.13</v>
      </c>
      <c r="P132" s="24">
        <v>40</v>
      </c>
      <c r="Q132" s="24">
        <v>147.53</v>
      </c>
      <c r="R132" s="24">
        <v>210.75</v>
      </c>
      <c r="S132" s="26">
        <v>225.38</v>
      </c>
      <c r="T132" s="27">
        <f t="shared" si="13"/>
        <v>1662.8400000000001</v>
      </c>
    </row>
    <row r="133" spans="1:20" s="7" customFormat="1" x14ac:dyDescent="0.25">
      <c r="A133" s="12" t="s">
        <v>124</v>
      </c>
      <c r="B133" s="20">
        <v>44099</v>
      </c>
      <c r="C133" s="6">
        <v>10</v>
      </c>
      <c r="D133" s="8">
        <v>1705.67</v>
      </c>
      <c r="E133" s="8">
        <v>978.67</v>
      </c>
      <c r="F133" s="8">
        <v>9688.83</v>
      </c>
      <c r="G133" s="8">
        <v>880.8</v>
      </c>
      <c r="H133" s="8">
        <v>279.62</v>
      </c>
      <c r="I133" s="8">
        <v>243.85</v>
      </c>
      <c r="J133" s="8"/>
      <c r="K133" s="8">
        <v>325.33</v>
      </c>
      <c r="L133" s="8"/>
      <c r="M133" s="8"/>
      <c r="N133" s="8"/>
      <c r="O133" s="8">
        <v>1959.22</v>
      </c>
      <c r="P133" s="8">
        <v>160</v>
      </c>
      <c r="Q133" s="8">
        <v>2283.87</v>
      </c>
      <c r="R133" s="8">
        <v>3277.32</v>
      </c>
      <c r="S133" s="9">
        <v>1788.67</v>
      </c>
      <c r="T133" s="10">
        <f t="shared" si="13"/>
        <v>23571.85</v>
      </c>
    </row>
    <row r="135" spans="1:20" x14ac:dyDescent="0.25">
      <c r="A135" s="31" t="s">
        <v>138</v>
      </c>
      <c r="C135" s="6">
        <f>SUM(C2:C134)</f>
        <v>11885</v>
      </c>
      <c r="D135" s="43">
        <f t="shared" ref="D135:S135" si="14">SUM(D2:D134)</f>
        <v>1026394.59</v>
      </c>
      <c r="E135" s="43">
        <f t="shared" si="14"/>
        <v>1044459.3500000001</v>
      </c>
      <c r="F135" s="43">
        <f t="shared" si="14"/>
        <v>5073531.8100000005</v>
      </c>
      <c r="G135" s="43">
        <f t="shared" si="14"/>
        <v>454676.91999999993</v>
      </c>
      <c r="H135" s="43">
        <f t="shared" si="14"/>
        <v>263122.01999999996</v>
      </c>
      <c r="I135" s="43">
        <f t="shared" si="14"/>
        <v>206305.86999999985</v>
      </c>
      <c r="J135" s="43">
        <f t="shared" si="14"/>
        <v>21080.15</v>
      </c>
      <c r="K135" s="43">
        <f t="shared" si="14"/>
        <v>338949.72</v>
      </c>
      <c r="L135" s="43">
        <f t="shared" si="14"/>
        <v>403332.93000000011</v>
      </c>
      <c r="M135" s="43">
        <f t="shared" si="14"/>
        <v>39283.859999999986</v>
      </c>
      <c r="N135" s="43">
        <f t="shared" si="14"/>
        <v>98309.63</v>
      </c>
      <c r="O135" s="43">
        <f t="shared" si="14"/>
        <v>1160667.42</v>
      </c>
      <c r="P135" s="43">
        <f t="shared" si="14"/>
        <v>147114.41</v>
      </c>
      <c r="Q135" s="43">
        <f t="shared" si="14"/>
        <v>809463.77</v>
      </c>
      <c r="R135" s="43">
        <f t="shared" si="14"/>
        <v>1937782.76</v>
      </c>
      <c r="S135" s="43">
        <f t="shared" si="14"/>
        <v>1143428.0399999998</v>
      </c>
      <c r="T135" s="44">
        <f>SUM(D135:S135)</f>
        <v>14167903.249999998</v>
      </c>
    </row>
    <row r="138" spans="1:20" x14ac:dyDescent="0.25">
      <c r="A138" s="30" t="s">
        <v>140</v>
      </c>
    </row>
    <row r="139" spans="1:20" x14ac:dyDescent="0.25">
      <c r="A139" s="40"/>
    </row>
    <row r="140" spans="1:20" x14ac:dyDescent="0.25">
      <c r="A140" s="40"/>
    </row>
    <row r="141" spans="1:20" x14ac:dyDescent="0.25">
      <c r="A141" s="40"/>
    </row>
    <row r="142" spans="1:20" x14ac:dyDescent="0.25">
      <c r="A142" s="40"/>
    </row>
    <row r="143" spans="1:20" x14ac:dyDescent="0.25">
      <c r="A143" s="40"/>
    </row>
  </sheetData>
  <pageMargins left="0.7" right="0.7" top="0.75" bottom="0.75" header="0.3" footer="0.3"/>
  <pageSetup orientation="portrait" r:id="rId1"/>
  <headerFooter>
    <oddFooter>&amp;L_x000D_&amp;1#&amp;"Calibri"&amp;8&amp;K000000 Sensitivity: Internal</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U230"/>
  <sheetViews>
    <sheetView workbookViewId="0">
      <pane ySplit="1" topLeftCell="A107" activePane="bottomLeft" state="frozen"/>
      <selection pane="bottomLeft" activeCell="C127" sqref="C127"/>
    </sheetView>
  </sheetViews>
  <sheetFormatPr defaultColWidth="9.140625" defaultRowHeight="15" x14ac:dyDescent="0.25"/>
  <cols>
    <col min="1" max="1" width="23.28515625" style="13" customWidth="1"/>
    <col min="2" max="2" width="12.140625" style="14" customWidth="1"/>
    <col min="3" max="3" width="14.5703125" style="62" customWidth="1"/>
    <col min="4" max="4" width="12.42578125" style="4" customWidth="1"/>
    <col min="5" max="5" width="13.140625" style="4" customWidth="1"/>
    <col min="6" max="6" width="16.85546875" style="4" customWidth="1"/>
    <col min="7" max="7" width="14.28515625" style="4" customWidth="1"/>
    <col min="8" max="8" width="15.140625" style="4" customWidth="1"/>
    <col min="9" max="10" width="13.140625" style="4" customWidth="1"/>
    <col min="11" max="11" width="12.85546875" style="4" customWidth="1"/>
    <col min="12" max="12" width="13.140625" style="4" customWidth="1"/>
    <col min="13" max="13" width="11.5703125" style="4" customWidth="1"/>
    <col min="14" max="14" width="13.140625" style="4" customWidth="1"/>
    <col min="15" max="15" width="13.42578125" style="4" customWidth="1"/>
    <col min="16" max="16" width="13.5703125" style="4" customWidth="1"/>
    <col min="17" max="17" width="14.140625" style="4" customWidth="1"/>
    <col min="18" max="18" width="12.85546875" style="4" customWidth="1"/>
    <col min="19" max="19" width="14" style="4" customWidth="1"/>
    <col min="20" max="20" width="21.140625" style="3" customWidth="1"/>
    <col min="21" max="30" width="9.140625" style="4"/>
    <col min="31" max="16384" width="9.140625" style="2"/>
  </cols>
  <sheetData>
    <row r="1" spans="1:21" s="19" customFormat="1" ht="12.75" x14ac:dyDescent="0.2">
      <c r="A1" s="16" t="s">
        <v>0</v>
      </c>
      <c r="B1" s="17" t="s">
        <v>139</v>
      </c>
      <c r="C1" s="61" t="s">
        <v>136</v>
      </c>
      <c r="D1" s="17" t="s">
        <v>1</v>
      </c>
      <c r="E1" s="17" t="s">
        <v>2</v>
      </c>
      <c r="F1" s="17" t="s">
        <v>3</v>
      </c>
      <c r="G1" s="17" t="s">
        <v>128</v>
      </c>
      <c r="H1" s="17" t="s">
        <v>129</v>
      </c>
      <c r="I1" s="17" t="s">
        <v>130</v>
      </c>
      <c r="J1" s="17" t="s">
        <v>137</v>
      </c>
      <c r="K1" s="17" t="s">
        <v>132</v>
      </c>
      <c r="L1" s="17" t="s">
        <v>133</v>
      </c>
      <c r="M1" s="17" t="s">
        <v>134</v>
      </c>
      <c r="N1" s="17" t="s">
        <v>131</v>
      </c>
      <c r="O1" s="18" t="s">
        <v>4</v>
      </c>
      <c r="P1" s="18" t="s">
        <v>125</v>
      </c>
      <c r="Q1" s="18" t="s">
        <v>127</v>
      </c>
      <c r="R1" s="18" t="s">
        <v>5</v>
      </c>
      <c r="S1" s="18" t="s">
        <v>126</v>
      </c>
      <c r="T1" s="15" t="s">
        <v>135</v>
      </c>
    </row>
    <row r="2" spans="1:21" s="59" customFormat="1" ht="15.75" customHeight="1" x14ac:dyDescent="0.25">
      <c r="A2" s="21" t="s">
        <v>6</v>
      </c>
      <c r="B2" s="22">
        <v>44468</v>
      </c>
      <c r="C2" s="29">
        <v>29</v>
      </c>
      <c r="D2" s="24">
        <v>1663.3</v>
      </c>
      <c r="E2" s="24">
        <v>2237.91</v>
      </c>
      <c r="F2" s="24">
        <v>7307.67</v>
      </c>
      <c r="G2" s="24">
        <v>736.22</v>
      </c>
      <c r="H2" s="24">
        <v>409.01</v>
      </c>
      <c r="I2" s="24">
        <v>823.68</v>
      </c>
      <c r="J2" s="24">
        <v>1363.37</v>
      </c>
      <c r="K2" s="24">
        <v>767.81</v>
      </c>
      <c r="L2" s="24"/>
      <c r="M2" s="24">
        <v>245.42</v>
      </c>
      <c r="N2" s="24">
        <v>995.26</v>
      </c>
      <c r="O2" s="24">
        <v>2153.04</v>
      </c>
      <c r="P2" s="24"/>
      <c r="Q2" s="24"/>
      <c r="R2" s="24">
        <v>3315.77</v>
      </c>
      <c r="S2" s="26">
        <v>2063.89</v>
      </c>
      <c r="T2" s="27">
        <f t="shared" ref="T2:T7" si="0">SUM(D2:S2)</f>
        <v>24082.35</v>
      </c>
      <c r="U2" s="28"/>
    </row>
    <row r="3" spans="1:21" s="59" customFormat="1" x14ac:dyDescent="0.25">
      <c r="A3" s="21" t="s">
        <v>7</v>
      </c>
      <c r="B3" s="22">
        <v>44427</v>
      </c>
      <c r="C3" s="29">
        <v>55</v>
      </c>
      <c r="D3" s="24">
        <v>1572.24</v>
      </c>
      <c r="E3" s="24">
        <v>1143.78</v>
      </c>
      <c r="F3" s="24">
        <v>6912.42</v>
      </c>
      <c r="G3" s="24">
        <v>979</v>
      </c>
      <c r="H3" s="24">
        <v>709.63</v>
      </c>
      <c r="I3" s="24">
        <v>420.08</v>
      </c>
      <c r="J3" s="24"/>
      <c r="K3" s="24">
        <v>720</v>
      </c>
      <c r="L3" s="24">
        <v>1.18</v>
      </c>
      <c r="M3" s="24">
        <v>257.75</v>
      </c>
      <c r="N3" s="24">
        <v>1070.8599999999999</v>
      </c>
      <c r="O3" s="24">
        <v>2036.92</v>
      </c>
      <c r="P3" s="24">
        <v>369</v>
      </c>
      <c r="Q3" s="24">
        <v>3195.78</v>
      </c>
      <c r="R3" s="24">
        <v>3501.53</v>
      </c>
      <c r="S3" s="26">
        <v>2523.2800000000002</v>
      </c>
      <c r="T3" s="27">
        <f t="shared" si="0"/>
        <v>25413.449999999997</v>
      </c>
      <c r="U3" s="28"/>
    </row>
    <row r="4" spans="1:21" s="59" customFormat="1" x14ac:dyDescent="0.25">
      <c r="A4" s="21" t="s">
        <v>8</v>
      </c>
      <c r="B4" s="22">
        <v>44434</v>
      </c>
      <c r="C4" s="29">
        <v>35</v>
      </c>
      <c r="D4" s="24">
        <v>4230.33</v>
      </c>
      <c r="E4" s="24">
        <v>5055.1400000000003</v>
      </c>
      <c r="F4" s="24">
        <v>22261.42</v>
      </c>
      <c r="G4" s="24">
        <v>2739.29</v>
      </c>
      <c r="H4" s="24">
        <v>1040.25</v>
      </c>
      <c r="I4" s="24">
        <v>477.85</v>
      </c>
      <c r="J4" s="24">
        <v>0</v>
      </c>
      <c r="K4" s="24">
        <v>1963.57</v>
      </c>
      <c r="L4" s="24">
        <v>0</v>
      </c>
      <c r="M4" s="24">
        <v>0</v>
      </c>
      <c r="N4" s="24">
        <v>0</v>
      </c>
      <c r="O4" s="24">
        <v>4691.07</v>
      </c>
      <c r="P4" s="24">
        <v>0</v>
      </c>
      <c r="Q4" s="24">
        <v>0</v>
      </c>
      <c r="R4" s="24">
        <v>7445.22</v>
      </c>
      <c r="S4" s="26"/>
      <c r="T4" s="27">
        <f t="shared" si="0"/>
        <v>49904.14</v>
      </c>
      <c r="U4" s="28"/>
    </row>
    <row r="5" spans="1:21" s="59" customFormat="1" x14ac:dyDescent="0.25">
      <c r="A5" s="21" t="s">
        <v>9</v>
      </c>
      <c r="B5" s="22">
        <v>44418</v>
      </c>
      <c r="C5" s="29">
        <v>15</v>
      </c>
      <c r="D5" s="24">
        <v>1724.72</v>
      </c>
      <c r="E5" s="24">
        <v>3110.12</v>
      </c>
      <c r="F5" s="24">
        <v>7704.66</v>
      </c>
      <c r="G5" s="24">
        <v>0</v>
      </c>
      <c r="H5" s="24">
        <v>424.11</v>
      </c>
      <c r="I5" s="24">
        <v>504.69</v>
      </c>
      <c r="J5" s="24">
        <v>0</v>
      </c>
      <c r="K5" s="24">
        <v>0.44</v>
      </c>
      <c r="L5" s="24">
        <v>0</v>
      </c>
      <c r="M5" s="24">
        <v>226.19</v>
      </c>
      <c r="N5" s="24">
        <v>989.58</v>
      </c>
      <c r="O5" s="24">
        <v>1930.07</v>
      </c>
      <c r="P5" s="24">
        <v>30</v>
      </c>
      <c r="Q5" s="24"/>
      <c r="R5" s="24">
        <v>2936.9</v>
      </c>
      <c r="S5" s="26">
        <v>1618.46</v>
      </c>
      <c r="T5" s="27">
        <f t="shared" si="0"/>
        <v>21199.940000000002</v>
      </c>
      <c r="U5" s="28"/>
    </row>
    <row r="6" spans="1:21" s="59" customFormat="1" x14ac:dyDescent="0.25">
      <c r="A6" s="21" t="s">
        <v>10</v>
      </c>
      <c r="B6" s="22">
        <v>44461</v>
      </c>
      <c r="C6" s="29">
        <v>105</v>
      </c>
      <c r="D6" s="24">
        <v>3749.55</v>
      </c>
      <c r="E6" s="24">
        <v>4456.03</v>
      </c>
      <c r="F6" s="24">
        <v>21974.03</v>
      </c>
      <c r="G6" s="24">
        <v>891.27</v>
      </c>
      <c r="H6" s="24">
        <v>0</v>
      </c>
      <c r="I6" s="24">
        <v>496.09</v>
      </c>
      <c r="J6" s="24">
        <v>0</v>
      </c>
      <c r="K6" s="24">
        <v>1400</v>
      </c>
      <c r="L6" s="24">
        <v>912.32</v>
      </c>
      <c r="M6" s="24">
        <v>0</v>
      </c>
      <c r="N6" s="24">
        <v>736.18</v>
      </c>
      <c r="O6" s="24">
        <v>4996.3599999999997</v>
      </c>
      <c r="P6" s="24">
        <v>1156</v>
      </c>
      <c r="Q6" s="24">
        <v>6115.78</v>
      </c>
      <c r="R6" s="24">
        <v>8354.58</v>
      </c>
      <c r="S6" s="26">
        <v>5648.28</v>
      </c>
      <c r="T6" s="27">
        <f t="shared" si="0"/>
        <v>60886.47</v>
      </c>
      <c r="U6" s="28"/>
    </row>
    <row r="7" spans="1:21" s="59" customFormat="1" x14ac:dyDescent="0.25">
      <c r="A7" s="21" t="s">
        <v>11</v>
      </c>
      <c r="B7" s="22">
        <v>44396</v>
      </c>
      <c r="C7" s="29">
        <v>26</v>
      </c>
      <c r="D7" s="24">
        <v>1308.24</v>
      </c>
      <c r="E7" s="24">
        <v>1093.77</v>
      </c>
      <c r="F7" s="24">
        <v>5509.58</v>
      </c>
      <c r="G7" s="24">
        <v>965.12</v>
      </c>
      <c r="H7" s="24">
        <v>750.67</v>
      </c>
      <c r="I7" s="24">
        <v>646.64</v>
      </c>
      <c r="J7" s="24"/>
      <c r="K7" s="24">
        <v>750.67</v>
      </c>
      <c r="L7" s="24"/>
      <c r="M7" s="24">
        <v>225.2</v>
      </c>
      <c r="N7" s="24">
        <v>1008.04</v>
      </c>
      <c r="O7" s="24">
        <v>1527.32</v>
      </c>
      <c r="P7" s="24">
        <v>58</v>
      </c>
      <c r="Q7" s="24"/>
      <c r="R7" s="24">
        <v>2452.1999999999998</v>
      </c>
      <c r="S7" s="26">
        <v>1556.1</v>
      </c>
      <c r="T7" s="27">
        <f t="shared" si="0"/>
        <v>17851.55</v>
      </c>
      <c r="U7" s="28"/>
    </row>
    <row r="8" spans="1:21" s="59" customFormat="1" x14ac:dyDescent="0.25">
      <c r="A8" s="21" t="s">
        <v>12</v>
      </c>
      <c r="B8" s="22">
        <v>44418</v>
      </c>
      <c r="C8" s="29">
        <v>31</v>
      </c>
      <c r="D8" s="24">
        <v>3021.93</v>
      </c>
      <c r="E8" s="24">
        <v>3269.93</v>
      </c>
      <c r="F8" s="24">
        <v>14246.99</v>
      </c>
      <c r="G8" s="24">
        <v>2229.3000000000002</v>
      </c>
      <c r="H8" s="24">
        <v>1362.35</v>
      </c>
      <c r="I8" s="24">
        <v>1222.4000000000001</v>
      </c>
      <c r="J8" s="24">
        <v>0</v>
      </c>
      <c r="K8" s="24">
        <v>1.84</v>
      </c>
      <c r="L8" s="24">
        <v>1576.06</v>
      </c>
      <c r="M8" s="24">
        <v>941.27</v>
      </c>
      <c r="N8" s="24">
        <v>1.84</v>
      </c>
      <c r="O8" s="24">
        <v>3927.54</v>
      </c>
      <c r="P8" s="24">
        <v>248</v>
      </c>
      <c r="Q8" s="24">
        <v>4355.38</v>
      </c>
      <c r="R8" s="24">
        <v>6507.42</v>
      </c>
      <c r="S8" s="26">
        <v>3687.69</v>
      </c>
      <c r="T8" s="27">
        <f>SUM(C8:S8)</f>
        <v>46630.94</v>
      </c>
      <c r="U8" s="28"/>
    </row>
    <row r="9" spans="1:21" s="59" customFormat="1" x14ac:dyDescent="0.25">
      <c r="A9" s="21" t="s">
        <v>13</v>
      </c>
      <c r="B9" s="22">
        <v>44421</v>
      </c>
      <c r="C9" s="29">
        <v>64</v>
      </c>
      <c r="D9" s="24">
        <v>16253.6</v>
      </c>
      <c r="E9" s="24">
        <v>13455</v>
      </c>
      <c r="F9" s="24">
        <v>89264.37</v>
      </c>
      <c r="G9" s="24">
        <v>6526.12</v>
      </c>
      <c r="H9" s="24">
        <v>2837</v>
      </c>
      <c r="I9" s="24">
        <v>2331.5300000000002</v>
      </c>
      <c r="J9" s="24">
        <v>0</v>
      </c>
      <c r="K9" s="24">
        <v>14729.58</v>
      </c>
      <c r="L9" s="24">
        <v>0</v>
      </c>
      <c r="M9" s="24">
        <v>0</v>
      </c>
      <c r="N9" s="24">
        <v>0</v>
      </c>
      <c r="O9" s="24">
        <v>20055.650000000001</v>
      </c>
      <c r="P9" s="24"/>
      <c r="Q9" s="24">
        <v>23539.96</v>
      </c>
      <c r="R9" s="24">
        <v>33914.120000000003</v>
      </c>
      <c r="S9" s="26">
        <v>17839.07</v>
      </c>
      <c r="T9" s="27">
        <f>SUM(D9:S9)</f>
        <v>240745.99999999997</v>
      </c>
      <c r="U9" s="28"/>
    </row>
    <row r="10" spans="1:21" s="59" customFormat="1" x14ac:dyDescent="0.25">
      <c r="A10" s="21" t="s">
        <v>14</v>
      </c>
      <c r="B10" s="22">
        <v>44397</v>
      </c>
      <c r="C10" s="29">
        <v>63</v>
      </c>
      <c r="D10" s="24">
        <v>7213.2</v>
      </c>
      <c r="E10" s="24">
        <v>6353.5</v>
      </c>
      <c r="F10" s="46">
        <v>24729.56</v>
      </c>
      <c r="G10" s="24">
        <v>5107.3100000000004</v>
      </c>
      <c r="H10" s="24">
        <v>2657.74</v>
      </c>
      <c r="I10" s="24">
        <v>1583.69</v>
      </c>
      <c r="J10" s="24">
        <v>0</v>
      </c>
      <c r="K10" s="24"/>
      <c r="L10" s="24"/>
      <c r="M10" s="24">
        <v>400.98</v>
      </c>
      <c r="N10" s="24"/>
      <c r="O10" s="24">
        <v>6033.91</v>
      </c>
      <c r="P10" s="24">
        <v>133.68</v>
      </c>
      <c r="Q10" s="24"/>
      <c r="R10" s="24">
        <v>9669.27</v>
      </c>
      <c r="S10" s="26">
        <v>5533.27</v>
      </c>
      <c r="T10" s="27">
        <f>SUM(D10:S10)</f>
        <v>69416.11</v>
      </c>
      <c r="U10" s="28"/>
    </row>
    <row r="11" spans="1:21" s="59" customFormat="1" x14ac:dyDescent="0.25">
      <c r="A11" s="21" t="s">
        <v>15</v>
      </c>
      <c r="B11" s="22">
        <v>44483</v>
      </c>
      <c r="C11" s="29">
        <v>350</v>
      </c>
      <c r="D11" s="24">
        <v>35062.639999999999</v>
      </c>
      <c r="E11" s="24">
        <v>50016.22</v>
      </c>
      <c r="F11" s="24">
        <v>121379.25</v>
      </c>
      <c r="G11" s="24">
        <v>34497.82</v>
      </c>
      <c r="H11" s="24">
        <v>17244</v>
      </c>
      <c r="I11" s="24">
        <v>10686.06</v>
      </c>
      <c r="J11" s="24"/>
      <c r="K11" s="24">
        <v>14045.52</v>
      </c>
      <c r="L11" s="24">
        <v>10.71</v>
      </c>
      <c r="M11" s="24">
        <v>1432.24</v>
      </c>
      <c r="N11" s="24">
        <v>27571.87</v>
      </c>
      <c r="O11" s="24">
        <v>39939.53</v>
      </c>
      <c r="P11" s="24">
        <v>6263.68</v>
      </c>
      <c r="Q11" s="24"/>
      <c r="R11" s="24">
        <v>66710.64</v>
      </c>
      <c r="S11" s="26">
        <v>39406.230000000003</v>
      </c>
      <c r="T11" s="27">
        <f>SUM(D11:S11)</f>
        <v>464266.41</v>
      </c>
      <c r="U11" s="28"/>
    </row>
    <row r="12" spans="1:21" s="59" customFormat="1" x14ac:dyDescent="0.25">
      <c r="A12" s="21" t="s">
        <v>16</v>
      </c>
      <c r="B12" s="22">
        <v>44432</v>
      </c>
      <c r="C12" s="29">
        <v>35</v>
      </c>
      <c r="D12" s="24">
        <v>4208.7299999999996</v>
      </c>
      <c r="E12" s="24">
        <v>2311.37</v>
      </c>
      <c r="F12" s="24">
        <v>14849.1</v>
      </c>
      <c r="G12" s="24">
        <v>2725.32</v>
      </c>
      <c r="H12" s="24">
        <v>1276.43</v>
      </c>
      <c r="I12" s="24">
        <v>3469.9</v>
      </c>
      <c r="J12" s="24"/>
      <c r="K12" s="24">
        <v>619.6</v>
      </c>
      <c r="L12" s="24">
        <v>2257.1999999999998</v>
      </c>
      <c r="M12" s="24">
        <v>344.97</v>
      </c>
      <c r="N12" s="24"/>
      <c r="O12" s="24">
        <v>4723.24</v>
      </c>
      <c r="P12" s="24">
        <v>420</v>
      </c>
      <c r="Q12" s="24">
        <v>5205.8999999999996</v>
      </c>
      <c r="R12" s="24">
        <v>7488.79</v>
      </c>
      <c r="S12" s="26">
        <v>4251.92</v>
      </c>
      <c r="T12" s="27">
        <f>SUM(D12:S12)</f>
        <v>54152.47</v>
      </c>
      <c r="U12" s="28"/>
    </row>
    <row r="13" spans="1:21" s="59" customFormat="1" x14ac:dyDescent="0.25">
      <c r="A13" s="21" t="s">
        <v>17</v>
      </c>
      <c r="B13" s="22">
        <v>44417</v>
      </c>
      <c r="C13" s="29">
        <v>16</v>
      </c>
      <c r="D13" s="24">
        <v>621.83000000000004</v>
      </c>
      <c r="E13" s="24">
        <v>1977.64</v>
      </c>
      <c r="F13" s="24">
        <v>2437.63</v>
      </c>
      <c r="G13" s="24">
        <v>468.92</v>
      </c>
      <c r="H13" s="24">
        <v>432.6</v>
      </c>
      <c r="I13" s="24">
        <v>319.88</v>
      </c>
      <c r="J13" s="24">
        <v>0</v>
      </c>
      <c r="K13" s="24">
        <v>0</v>
      </c>
      <c r="L13" s="24"/>
      <c r="M13" s="24">
        <v>101.94</v>
      </c>
      <c r="N13" s="24">
        <v>499.51</v>
      </c>
      <c r="O13" s="24">
        <v>1031.01</v>
      </c>
      <c r="P13" s="24">
        <v>304</v>
      </c>
      <c r="Q13" s="24">
        <v>1105.46</v>
      </c>
      <c r="R13" s="24">
        <v>1580.98</v>
      </c>
      <c r="S13" s="26">
        <v>1030.5</v>
      </c>
      <c r="T13" s="47">
        <f>SUM(D13:S13)</f>
        <v>11911.900000000001</v>
      </c>
      <c r="U13" s="28"/>
    </row>
    <row r="14" spans="1:21" s="59" customFormat="1" x14ac:dyDescent="0.25">
      <c r="A14" s="21" t="s">
        <v>18</v>
      </c>
      <c r="B14" s="22">
        <v>44454</v>
      </c>
      <c r="C14" s="29">
        <v>11</v>
      </c>
      <c r="D14" s="24">
        <v>150.63</v>
      </c>
      <c r="E14" s="24">
        <v>210.4</v>
      </c>
      <c r="F14" s="24">
        <v>777.23</v>
      </c>
      <c r="G14" s="24">
        <v>189.66</v>
      </c>
      <c r="H14" s="24">
        <v>98.6</v>
      </c>
      <c r="I14" s="24">
        <v>187.19</v>
      </c>
      <c r="J14" s="24">
        <v>0</v>
      </c>
      <c r="K14" s="24">
        <v>3.94</v>
      </c>
      <c r="L14" s="24">
        <v>0</v>
      </c>
      <c r="M14" s="24">
        <v>32.229999999999997</v>
      </c>
      <c r="N14" s="24">
        <v>0</v>
      </c>
      <c r="O14" s="24">
        <v>256.45</v>
      </c>
      <c r="P14" s="24">
        <v>55</v>
      </c>
      <c r="Q14" s="24">
        <v>270.93</v>
      </c>
      <c r="R14" s="24">
        <v>396.28</v>
      </c>
      <c r="S14" s="26">
        <v>358.12</v>
      </c>
      <c r="T14" s="27">
        <f t="shared" ref="T14:T20" si="1">SUM(D14:S14)</f>
        <v>2986.66</v>
      </c>
      <c r="U14" s="28"/>
    </row>
    <row r="15" spans="1:21" s="59" customFormat="1" x14ac:dyDescent="0.25">
      <c r="A15" s="21" t="s">
        <v>19</v>
      </c>
      <c r="B15" s="22">
        <v>44396</v>
      </c>
      <c r="C15" s="29">
        <v>46</v>
      </c>
      <c r="D15" s="24">
        <v>2202.5100000000002</v>
      </c>
      <c r="E15" s="24">
        <v>2679.13</v>
      </c>
      <c r="F15" s="24">
        <v>10457.32</v>
      </c>
      <c r="G15" s="24">
        <v>1500.18</v>
      </c>
      <c r="H15" s="24">
        <v>559.64</v>
      </c>
      <c r="I15" s="24">
        <v>892.53</v>
      </c>
      <c r="J15" s="24"/>
      <c r="K15" s="24">
        <v>1902.81</v>
      </c>
      <c r="L15" s="24"/>
      <c r="M15" s="24">
        <v>180.55</v>
      </c>
      <c r="N15" s="24"/>
      <c r="O15" s="24">
        <v>2642.65</v>
      </c>
      <c r="P15" s="24"/>
      <c r="Q15" s="24"/>
      <c r="R15" s="24">
        <v>4039.73</v>
      </c>
      <c r="S15" s="26">
        <v>2663.9</v>
      </c>
      <c r="T15" s="27">
        <f t="shared" si="1"/>
        <v>29720.95</v>
      </c>
      <c r="U15" s="28"/>
    </row>
    <row r="16" spans="1:21" s="59" customFormat="1" x14ac:dyDescent="0.25">
      <c r="A16" s="21" t="s">
        <v>20</v>
      </c>
      <c r="B16" s="22">
        <v>44392</v>
      </c>
      <c r="C16" s="29">
        <v>161</v>
      </c>
      <c r="D16" s="24">
        <v>20505.03</v>
      </c>
      <c r="E16" s="24">
        <v>15798.9</v>
      </c>
      <c r="F16" s="24">
        <v>120341.02</v>
      </c>
      <c r="G16" s="24">
        <v>10420.59</v>
      </c>
      <c r="H16" s="24">
        <v>4033.74</v>
      </c>
      <c r="I16" s="24">
        <v>1495.9</v>
      </c>
      <c r="J16" s="24"/>
      <c r="K16" s="24">
        <v>18642.36</v>
      </c>
      <c r="L16" s="24">
        <v>3406.87</v>
      </c>
      <c r="M16" s="24">
        <v>4.4000000000000004</v>
      </c>
      <c r="N16" s="24"/>
      <c r="O16" s="24">
        <v>26555.71</v>
      </c>
      <c r="P16" s="24">
        <v>2080</v>
      </c>
      <c r="Q16" s="24">
        <v>28472.39</v>
      </c>
      <c r="R16" s="24">
        <v>43995.9</v>
      </c>
      <c r="S16" s="26">
        <v>24251.89</v>
      </c>
      <c r="T16" s="27">
        <f t="shared" si="1"/>
        <v>320004.7</v>
      </c>
      <c r="U16" s="28"/>
    </row>
    <row r="17" spans="1:21" s="59" customFormat="1" x14ac:dyDescent="0.25">
      <c r="A17" s="21" t="s">
        <v>21</v>
      </c>
      <c r="B17" s="22">
        <v>44435</v>
      </c>
      <c r="C17" s="29">
        <v>0</v>
      </c>
      <c r="D17" s="24">
        <v>1035.18</v>
      </c>
      <c r="E17" s="24">
        <v>670.35</v>
      </c>
      <c r="F17" s="24">
        <v>3538.39</v>
      </c>
      <c r="G17" s="24">
        <v>610.01</v>
      </c>
      <c r="H17" s="24">
        <v>212.21</v>
      </c>
      <c r="I17" s="24">
        <v>610.53</v>
      </c>
      <c r="J17" s="24"/>
      <c r="K17" s="24">
        <v>1632.74</v>
      </c>
      <c r="L17" s="24"/>
      <c r="M17" s="24"/>
      <c r="N17" s="24"/>
      <c r="O17" s="24">
        <v>1110.07</v>
      </c>
      <c r="P17" s="24"/>
      <c r="Q17" s="24"/>
      <c r="R17" s="24">
        <v>1714.04</v>
      </c>
      <c r="S17" s="26">
        <v>1091.07</v>
      </c>
      <c r="T17" s="27">
        <f t="shared" si="1"/>
        <v>12224.59</v>
      </c>
      <c r="U17" s="26"/>
    </row>
    <row r="18" spans="1:21" s="59" customFormat="1" x14ac:dyDescent="0.25">
      <c r="A18" s="21" t="s">
        <v>22</v>
      </c>
      <c r="B18" s="22">
        <v>44420</v>
      </c>
      <c r="C18" s="29">
        <v>38</v>
      </c>
      <c r="D18" s="24">
        <v>2240.0500000000002</v>
      </c>
      <c r="E18" s="24">
        <v>1781.02</v>
      </c>
      <c r="F18" s="24">
        <v>9440.92</v>
      </c>
      <c r="G18" s="24">
        <v>1083.31</v>
      </c>
      <c r="H18" s="24">
        <v>918.06</v>
      </c>
      <c r="I18" s="24">
        <v>816.69</v>
      </c>
      <c r="J18" s="24">
        <v>0</v>
      </c>
      <c r="K18" s="24">
        <v>2.7</v>
      </c>
      <c r="L18" s="24">
        <v>0</v>
      </c>
      <c r="M18" s="24">
        <v>187.16</v>
      </c>
      <c r="N18" s="24">
        <v>0</v>
      </c>
      <c r="O18" s="24">
        <v>2495.5100000000002</v>
      </c>
      <c r="P18" s="24">
        <v>228</v>
      </c>
      <c r="Q18" s="24">
        <v>2703.66</v>
      </c>
      <c r="R18" s="24">
        <v>3868.34</v>
      </c>
      <c r="S18" s="26">
        <v>2542.1799999999998</v>
      </c>
      <c r="T18" s="27">
        <f t="shared" si="1"/>
        <v>28307.599999999999</v>
      </c>
      <c r="U18" s="28"/>
    </row>
    <row r="19" spans="1:21" s="59" customFormat="1" x14ac:dyDescent="0.25">
      <c r="A19" s="21" t="s">
        <v>23</v>
      </c>
      <c r="B19" s="22">
        <v>44432</v>
      </c>
      <c r="C19" s="29">
        <v>112</v>
      </c>
      <c r="D19" s="24">
        <v>7822.24</v>
      </c>
      <c r="E19" s="24">
        <v>8655.91</v>
      </c>
      <c r="F19" s="24">
        <v>22000.41</v>
      </c>
      <c r="G19" s="24">
        <v>3718.82</v>
      </c>
      <c r="H19" s="24">
        <v>1795.31</v>
      </c>
      <c r="I19" s="24">
        <v>1112.5</v>
      </c>
      <c r="J19" s="24">
        <v>0</v>
      </c>
      <c r="K19" s="24">
        <v>3429.63</v>
      </c>
      <c r="L19" s="24">
        <v>8.5399999999999991</v>
      </c>
      <c r="M19" s="24">
        <v>320.70999999999998</v>
      </c>
      <c r="N19" s="24"/>
      <c r="O19" s="24">
        <v>7234.39</v>
      </c>
      <c r="P19" s="24">
        <v>1992.42</v>
      </c>
      <c r="Q19" s="24">
        <v>8545.51</v>
      </c>
      <c r="R19" s="24">
        <v>11503.29</v>
      </c>
      <c r="S19" s="26">
        <v>6847.84</v>
      </c>
      <c r="T19" s="27">
        <f t="shared" si="1"/>
        <v>84987.51999999999</v>
      </c>
      <c r="U19" s="28"/>
    </row>
    <row r="20" spans="1:21" s="59" customFormat="1" x14ac:dyDescent="0.25">
      <c r="A20" s="21" t="s">
        <v>24</v>
      </c>
      <c r="B20" s="22">
        <v>44412</v>
      </c>
      <c r="C20" s="29">
        <v>150</v>
      </c>
      <c r="D20" s="24">
        <v>18896.439999999999</v>
      </c>
      <c r="E20" s="24">
        <v>27570.22</v>
      </c>
      <c r="F20" s="24">
        <v>50234.67</v>
      </c>
      <c r="G20" s="24">
        <v>11461.78</v>
      </c>
      <c r="H20" s="24">
        <v>3872.18</v>
      </c>
      <c r="I20" s="24">
        <v>3639.91</v>
      </c>
      <c r="J20" s="24">
        <v>0</v>
      </c>
      <c r="K20" s="24">
        <v>5811.65</v>
      </c>
      <c r="L20" s="24">
        <v>0</v>
      </c>
      <c r="M20" s="24">
        <v>484.73</v>
      </c>
      <c r="N20" s="24">
        <v>0</v>
      </c>
      <c r="O20" s="24">
        <v>17388.560000000001</v>
      </c>
      <c r="P20" s="24">
        <v>4500</v>
      </c>
      <c r="Q20" s="24">
        <v>19771.87</v>
      </c>
      <c r="R20" s="24">
        <v>26644.720000000001</v>
      </c>
      <c r="S20" s="26">
        <v>18422.259999999998</v>
      </c>
      <c r="T20" s="27">
        <f t="shared" si="1"/>
        <v>208698.99</v>
      </c>
      <c r="U20" s="28"/>
    </row>
    <row r="21" spans="1:21" s="59" customFormat="1" x14ac:dyDescent="0.25">
      <c r="A21" s="21" t="s">
        <v>25</v>
      </c>
      <c r="B21" s="22">
        <v>44425</v>
      </c>
      <c r="C21" s="29">
        <v>0</v>
      </c>
      <c r="D21" s="24">
        <v>0</v>
      </c>
      <c r="E21" s="24">
        <v>0</v>
      </c>
      <c r="F21" s="24">
        <v>0</v>
      </c>
      <c r="G21" s="24">
        <v>0</v>
      </c>
      <c r="H21" s="24">
        <v>0</v>
      </c>
      <c r="I21" s="24">
        <v>0</v>
      </c>
      <c r="J21" s="24">
        <v>0</v>
      </c>
      <c r="K21" s="24">
        <v>0</v>
      </c>
      <c r="L21" s="24">
        <v>0</v>
      </c>
      <c r="M21" s="24">
        <v>0</v>
      </c>
      <c r="N21" s="24">
        <v>0</v>
      </c>
      <c r="O21" s="24">
        <v>0</v>
      </c>
      <c r="P21" s="24">
        <v>0</v>
      </c>
      <c r="Q21" s="24">
        <v>0</v>
      </c>
      <c r="R21" s="24">
        <v>0</v>
      </c>
      <c r="S21" s="26">
        <v>0</v>
      </c>
      <c r="T21" s="27">
        <v>0</v>
      </c>
      <c r="U21" s="26"/>
    </row>
    <row r="22" spans="1:21" s="59" customFormat="1" x14ac:dyDescent="0.25">
      <c r="A22" s="21" t="s">
        <v>26</v>
      </c>
      <c r="B22" s="22">
        <v>44424</v>
      </c>
      <c r="C22" s="29">
        <v>28</v>
      </c>
      <c r="D22" s="24">
        <v>5767.42</v>
      </c>
      <c r="E22" s="24">
        <v>1512.76</v>
      </c>
      <c r="F22" s="24">
        <v>29931.68</v>
      </c>
      <c r="G22" s="24">
        <v>5341.98</v>
      </c>
      <c r="H22" s="24">
        <v>2552.81</v>
      </c>
      <c r="I22" s="24">
        <v>2282.4</v>
      </c>
      <c r="J22" s="24"/>
      <c r="K22" s="24">
        <v>2732</v>
      </c>
      <c r="L22" s="24">
        <v>2298.9</v>
      </c>
      <c r="M22" s="24">
        <v>2.46</v>
      </c>
      <c r="N22" s="24"/>
      <c r="O22" s="24">
        <v>7564.88</v>
      </c>
      <c r="P22" s="24">
        <v>532</v>
      </c>
      <c r="Q22" s="24">
        <v>8348.73</v>
      </c>
      <c r="R22" s="24">
        <v>11954.22</v>
      </c>
      <c r="S22" s="26">
        <v>6397.12</v>
      </c>
      <c r="T22" s="27">
        <f>SUM(D22:S22)</f>
        <v>87219.359999999986</v>
      </c>
      <c r="U22" s="28"/>
    </row>
    <row r="23" spans="1:21" s="59" customFormat="1" x14ac:dyDescent="0.25">
      <c r="A23" s="21" t="s">
        <v>27</v>
      </c>
      <c r="B23" s="22">
        <v>44435</v>
      </c>
      <c r="C23" s="29">
        <v>96</v>
      </c>
      <c r="D23" s="24">
        <v>7233.6</v>
      </c>
      <c r="E23" s="24">
        <v>6631.91</v>
      </c>
      <c r="F23" s="24">
        <v>28519.34</v>
      </c>
      <c r="G23" s="24">
        <v>0</v>
      </c>
      <c r="H23" s="24">
        <v>3557.5</v>
      </c>
      <c r="I23" s="24">
        <v>2748.77</v>
      </c>
      <c r="J23" s="24">
        <v>0</v>
      </c>
      <c r="K23" s="24">
        <v>0</v>
      </c>
      <c r="L23" s="24"/>
      <c r="M23" s="24"/>
      <c r="N23" s="24">
        <v>5929.17</v>
      </c>
      <c r="O23" s="24">
        <v>6965.84</v>
      </c>
      <c r="P23" s="24">
        <v>190</v>
      </c>
      <c r="Q23" s="24"/>
      <c r="R23" s="24">
        <v>10487.09</v>
      </c>
      <c r="S23" s="26">
        <v>6668.49</v>
      </c>
      <c r="T23" s="27">
        <f>SUM(D23:S23)</f>
        <v>78931.709999999992</v>
      </c>
      <c r="U23" s="28"/>
    </row>
    <row r="24" spans="1:21" s="59" customFormat="1" x14ac:dyDescent="0.25">
      <c r="A24" s="21" t="s">
        <v>28</v>
      </c>
      <c r="B24" s="22">
        <v>44440</v>
      </c>
      <c r="C24" s="29">
        <v>34</v>
      </c>
      <c r="D24" s="24">
        <v>1356.14</v>
      </c>
      <c r="E24" s="24">
        <v>755.9</v>
      </c>
      <c r="F24" s="24">
        <v>5602.47</v>
      </c>
      <c r="G24" s="24">
        <v>1044.9100000000001</v>
      </c>
      <c r="H24" s="24">
        <v>477.29</v>
      </c>
      <c r="I24" s="24">
        <v>219</v>
      </c>
      <c r="J24" s="24">
        <v>689.18</v>
      </c>
      <c r="K24" s="24">
        <v>5.13</v>
      </c>
      <c r="L24" s="24"/>
      <c r="M24" s="24">
        <v>277.95</v>
      </c>
      <c r="N24" s="24">
        <v>655.83</v>
      </c>
      <c r="O24" s="24">
        <v>1720.31</v>
      </c>
      <c r="P24" s="24">
        <v>374</v>
      </c>
      <c r="Q24" s="24">
        <v>1943.32</v>
      </c>
      <c r="R24" s="24">
        <v>2605.6</v>
      </c>
      <c r="S24" s="26">
        <v>1642.8</v>
      </c>
      <c r="T24" s="27">
        <f t="shared" ref="T24:T29" si="2">SUM(D24:S24)</f>
        <v>19369.829999999998</v>
      </c>
      <c r="U24" s="28"/>
    </row>
    <row r="25" spans="1:21" s="59" customFormat="1" x14ac:dyDescent="0.25">
      <c r="A25" s="21" t="s">
        <v>29</v>
      </c>
      <c r="B25" s="22">
        <v>44439</v>
      </c>
      <c r="C25" s="29">
        <v>97</v>
      </c>
      <c r="D25" s="24">
        <v>7083.21</v>
      </c>
      <c r="E25" s="24">
        <v>10857.11</v>
      </c>
      <c r="F25" s="24">
        <v>24559.1</v>
      </c>
      <c r="G25" s="24">
        <v>0</v>
      </c>
      <c r="H25" s="24">
        <v>1857.88</v>
      </c>
      <c r="I25" s="24">
        <v>1393.46</v>
      </c>
      <c r="J25" s="24">
        <v>0</v>
      </c>
      <c r="K25" s="24">
        <v>2185.8000000000002</v>
      </c>
      <c r="L25" s="24"/>
      <c r="M25" s="24">
        <v>232.25</v>
      </c>
      <c r="N25" s="24"/>
      <c r="O25" s="24">
        <v>7167.16</v>
      </c>
      <c r="P25" s="24"/>
      <c r="Q25" s="24">
        <v>7824.55</v>
      </c>
      <c r="R25" s="24">
        <v>11380.7</v>
      </c>
      <c r="S25" s="26">
        <v>7151.32</v>
      </c>
      <c r="T25" s="27">
        <f t="shared" si="2"/>
        <v>81692.540000000008</v>
      </c>
      <c r="U25" s="64"/>
    </row>
    <row r="26" spans="1:21" s="59" customFormat="1" x14ac:dyDescent="0.25">
      <c r="A26" s="21" t="s">
        <v>30</v>
      </c>
      <c r="B26" s="22">
        <v>44431</v>
      </c>
      <c r="C26" s="29">
        <v>60</v>
      </c>
      <c r="D26" s="24">
        <v>12117.21</v>
      </c>
      <c r="E26" s="24">
        <v>8756.4</v>
      </c>
      <c r="F26" s="24">
        <v>62052.97</v>
      </c>
      <c r="G26" s="24">
        <v>6237.8</v>
      </c>
      <c r="H26" s="24">
        <v>4532.05</v>
      </c>
      <c r="I26" s="24">
        <v>3180.26</v>
      </c>
      <c r="J26" s="24">
        <v>0</v>
      </c>
      <c r="K26" s="24">
        <v>0</v>
      </c>
      <c r="L26" s="24">
        <v>0</v>
      </c>
      <c r="M26" s="24">
        <v>0</v>
      </c>
      <c r="N26" s="24">
        <v>0</v>
      </c>
      <c r="O26" s="24">
        <v>14064.42</v>
      </c>
      <c r="P26" s="24">
        <v>1408</v>
      </c>
      <c r="Q26" s="24">
        <v>16157.92</v>
      </c>
      <c r="R26" s="24">
        <v>26228.42</v>
      </c>
      <c r="S26" s="26">
        <v>15370.07</v>
      </c>
      <c r="T26" s="27">
        <f t="shared" si="2"/>
        <v>170105.52000000002</v>
      </c>
      <c r="U26" s="28"/>
    </row>
    <row r="27" spans="1:21" s="28" customFormat="1" x14ac:dyDescent="0.25">
      <c r="A27" s="21" t="s">
        <v>31</v>
      </c>
      <c r="B27" s="22">
        <v>44454</v>
      </c>
      <c r="C27" s="29">
        <v>61</v>
      </c>
      <c r="D27" s="24">
        <v>4051.83</v>
      </c>
      <c r="E27" s="24">
        <v>4375.16</v>
      </c>
      <c r="F27" s="24">
        <v>21787.07</v>
      </c>
      <c r="G27" s="24">
        <v>4051.83</v>
      </c>
      <c r="H27" s="24">
        <v>2324.84</v>
      </c>
      <c r="I27" s="24">
        <v>3096.73</v>
      </c>
      <c r="J27" s="24">
        <v>0</v>
      </c>
      <c r="K27" s="24">
        <v>56.84</v>
      </c>
      <c r="L27" s="24">
        <v>0</v>
      </c>
      <c r="M27" s="24">
        <v>531.88</v>
      </c>
      <c r="N27" s="24">
        <v>0</v>
      </c>
      <c r="O27" s="24">
        <v>5157.79</v>
      </c>
      <c r="P27" s="24"/>
      <c r="Q27" s="24">
        <v>0</v>
      </c>
      <c r="R27" s="24">
        <v>7933.17</v>
      </c>
      <c r="S27" s="26">
        <v>4820.5</v>
      </c>
      <c r="T27" s="27">
        <f t="shared" si="2"/>
        <v>58187.639999999992</v>
      </c>
    </row>
    <row r="28" spans="1:21" s="59" customFormat="1" x14ac:dyDescent="0.25">
      <c r="A28" s="21" t="s">
        <v>32</v>
      </c>
      <c r="B28" s="22">
        <v>44453</v>
      </c>
      <c r="C28" s="29">
        <v>25</v>
      </c>
      <c r="D28" s="24">
        <v>1582.83</v>
      </c>
      <c r="E28" s="24">
        <v>843.31</v>
      </c>
      <c r="F28" s="24">
        <v>5929.12</v>
      </c>
      <c r="G28" s="24">
        <v>635.73</v>
      </c>
      <c r="H28" s="24">
        <v>454.09</v>
      </c>
      <c r="I28" s="24">
        <v>1164.28</v>
      </c>
      <c r="J28" s="24">
        <v>0</v>
      </c>
      <c r="K28" s="24">
        <v>17.5</v>
      </c>
      <c r="L28" s="24">
        <v>50</v>
      </c>
      <c r="M28" s="24">
        <v>236.13</v>
      </c>
      <c r="N28" s="24">
        <v>0</v>
      </c>
      <c r="O28" s="24">
        <v>1684.77</v>
      </c>
      <c r="P28" s="24">
        <v>200</v>
      </c>
      <c r="Q28" s="24">
        <v>2194.44</v>
      </c>
      <c r="R28" s="24">
        <v>2553.4899999999998</v>
      </c>
      <c r="S28" s="26">
        <v>1637.06</v>
      </c>
      <c r="T28" s="27">
        <f t="shared" si="2"/>
        <v>19182.750000000004</v>
      </c>
      <c r="U28" s="28"/>
    </row>
    <row r="29" spans="1:21" s="59" customFormat="1" x14ac:dyDescent="0.25">
      <c r="A29" s="21" t="s">
        <v>33</v>
      </c>
      <c r="B29" s="22">
        <v>44434</v>
      </c>
      <c r="C29" s="29">
        <v>30</v>
      </c>
      <c r="D29" s="24">
        <v>2362.52</v>
      </c>
      <c r="E29" s="24">
        <v>2516.34</v>
      </c>
      <c r="F29" s="24">
        <v>9411.39</v>
      </c>
      <c r="G29" s="24">
        <v>968.25</v>
      </c>
      <c r="H29" s="24">
        <v>580.95000000000005</v>
      </c>
      <c r="I29" s="24">
        <v>747.71</v>
      </c>
      <c r="J29" s="24">
        <v>0</v>
      </c>
      <c r="K29" s="24" t="s">
        <v>164</v>
      </c>
      <c r="L29" s="24"/>
      <c r="M29" s="24"/>
      <c r="N29" s="24">
        <v>0</v>
      </c>
      <c r="O29" s="24">
        <v>2249.35</v>
      </c>
      <c r="P29" s="24">
        <v>60</v>
      </c>
      <c r="Q29" s="24"/>
      <c r="R29" s="24">
        <v>3389.78</v>
      </c>
      <c r="S29" s="26">
        <v>2144.89</v>
      </c>
      <c r="T29" s="27">
        <f t="shared" si="2"/>
        <v>24431.179999999997</v>
      </c>
      <c r="U29" s="28"/>
    </row>
    <row r="30" spans="1:21" s="60" customFormat="1" x14ac:dyDescent="0.25">
      <c r="A30" s="32" t="s">
        <v>34</v>
      </c>
      <c r="B30" s="33">
        <v>44412</v>
      </c>
      <c r="C30" s="29">
        <v>100</v>
      </c>
      <c r="D30" s="34">
        <v>1744.56</v>
      </c>
      <c r="E30" s="34">
        <v>864.59</v>
      </c>
      <c r="F30" s="34">
        <v>6048.74</v>
      </c>
      <c r="G30" s="34">
        <v>1058.18</v>
      </c>
      <c r="H30" s="34">
        <v>500.49</v>
      </c>
      <c r="I30" s="34">
        <v>945.18</v>
      </c>
      <c r="J30" s="34">
        <v>0</v>
      </c>
      <c r="K30" s="34">
        <v>12.19</v>
      </c>
      <c r="L30" s="34">
        <v>0</v>
      </c>
      <c r="M30" s="34">
        <v>343.2</v>
      </c>
      <c r="N30" s="34">
        <v>815.07</v>
      </c>
      <c r="O30" s="34">
        <v>0</v>
      </c>
      <c r="P30" s="34">
        <v>0</v>
      </c>
      <c r="Q30" s="34"/>
      <c r="R30" s="34">
        <v>2399.92</v>
      </c>
      <c r="S30" s="35">
        <v>1679.96</v>
      </c>
      <c r="T30" s="27">
        <f>SUM(D30:S30)</f>
        <v>16412.080000000002</v>
      </c>
      <c r="U30" s="36"/>
    </row>
    <row r="31" spans="1:21" s="59" customFormat="1" x14ac:dyDescent="0.25">
      <c r="A31" s="21" t="s">
        <v>35</v>
      </c>
      <c r="B31" s="22">
        <v>44424</v>
      </c>
      <c r="C31" s="29">
        <v>144</v>
      </c>
      <c r="D31" s="24">
        <v>12999.16</v>
      </c>
      <c r="E31" s="24">
        <v>14277.75</v>
      </c>
      <c r="F31" s="24">
        <v>44991.08</v>
      </c>
      <c r="G31" s="24">
        <v>6712.73</v>
      </c>
      <c r="H31" s="24">
        <v>4262.01</v>
      </c>
      <c r="I31" s="24">
        <v>915.29</v>
      </c>
      <c r="J31" s="24">
        <v>0</v>
      </c>
      <c r="K31" s="24">
        <v>1335</v>
      </c>
      <c r="L31" s="24">
        <v>129.5</v>
      </c>
      <c r="M31" s="24">
        <v>0</v>
      </c>
      <c r="N31" s="24">
        <v>0</v>
      </c>
      <c r="O31" s="24">
        <v>12020</v>
      </c>
      <c r="P31" s="24">
        <v>3725.28</v>
      </c>
      <c r="Q31" s="24">
        <v>12810.45</v>
      </c>
      <c r="R31" s="24">
        <v>19974.64</v>
      </c>
      <c r="S31" s="26">
        <v>12003.26</v>
      </c>
      <c r="T31" s="27">
        <f>SUM(D31:S31)</f>
        <v>146156.15</v>
      </c>
      <c r="U31" s="28"/>
    </row>
    <row r="32" spans="1:21" s="59" customFormat="1" x14ac:dyDescent="0.25">
      <c r="A32" s="21" t="s">
        <v>36</v>
      </c>
      <c r="B32" s="22">
        <v>44453</v>
      </c>
      <c r="C32" s="29">
        <v>58</v>
      </c>
      <c r="D32" s="24">
        <v>5370.04</v>
      </c>
      <c r="E32" s="24">
        <v>6118.32</v>
      </c>
      <c r="F32" s="24">
        <v>20203.740000000002</v>
      </c>
      <c r="G32" s="24">
        <v>3301.32</v>
      </c>
      <c r="H32" s="24">
        <v>1100.46</v>
      </c>
      <c r="I32" s="24">
        <v>790.56</v>
      </c>
      <c r="J32" s="24"/>
      <c r="K32" s="24">
        <v>1938.97</v>
      </c>
      <c r="L32" s="24"/>
      <c r="M32" s="24">
        <v>440.17</v>
      </c>
      <c r="N32" s="24"/>
      <c r="O32" s="24">
        <v>5560.32</v>
      </c>
      <c r="P32" s="24"/>
      <c r="Q32" s="24"/>
      <c r="R32" s="24">
        <v>8637.9</v>
      </c>
      <c r="S32" s="26">
        <v>4869.9799999999996</v>
      </c>
      <c r="T32" s="27">
        <f>SUM(D32:S32)</f>
        <v>58331.78</v>
      </c>
      <c r="U32" s="28"/>
    </row>
    <row r="33" spans="1:21" s="59" customFormat="1" x14ac:dyDescent="0.25">
      <c r="A33" s="21" t="s">
        <v>37</v>
      </c>
      <c r="B33" s="22">
        <v>44433</v>
      </c>
      <c r="C33" s="29">
        <v>7</v>
      </c>
      <c r="D33" s="24">
        <v>244.11</v>
      </c>
      <c r="E33" s="24">
        <v>221.18</v>
      </c>
      <c r="F33" s="24">
        <v>866.63</v>
      </c>
      <c r="G33" s="24">
        <v>0</v>
      </c>
      <c r="H33" s="24">
        <v>160.05000000000001</v>
      </c>
      <c r="I33" s="24">
        <v>150.19999999999999</v>
      </c>
      <c r="J33" s="24">
        <v>0</v>
      </c>
      <c r="K33" s="24">
        <v>0</v>
      </c>
      <c r="L33" s="24">
        <v>0.68</v>
      </c>
      <c r="M33" s="24">
        <v>124.7</v>
      </c>
      <c r="N33" s="24">
        <v>186.2</v>
      </c>
      <c r="O33" s="24">
        <v>303.35000000000002</v>
      </c>
      <c r="P33" s="24">
        <v>35</v>
      </c>
      <c r="Q33" s="24">
        <v>665</v>
      </c>
      <c r="R33" s="24">
        <v>524.96</v>
      </c>
      <c r="S33" s="26">
        <v>366.98</v>
      </c>
      <c r="T33" s="27">
        <f>SUM(D33:S33)</f>
        <v>3849.0400000000004</v>
      </c>
      <c r="U33" s="28"/>
    </row>
    <row r="34" spans="1:21" s="59" customFormat="1" x14ac:dyDescent="0.25">
      <c r="A34" s="21" t="s">
        <v>38</v>
      </c>
      <c r="B34" s="22">
        <v>44434</v>
      </c>
      <c r="C34" s="29">
        <v>34</v>
      </c>
      <c r="D34" s="24">
        <v>1824.07</v>
      </c>
      <c r="E34" s="24">
        <v>1315.71</v>
      </c>
      <c r="F34" s="24">
        <v>7640.18</v>
      </c>
      <c r="G34" s="24">
        <v>1958.65</v>
      </c>
      <c r="H34" s="24">
        <v>1196.1099999999999</v>
      </c>
      <c r="I34" s="24">
        <v>1016.68</v>
      </c>
      <c r="J34" s="24">
        <v>0</v>
      </c>
      <c r="K34" s="24">
        <v>17.010000000000002</v>
      </c>
      <c r="L34" s="24">
        <v>56.5</v>
      </c>
      <c r="M34" s="24">
        <v>224.26</v>
      </c>
      <c r="N34" s="24">
        <v>1495.14</v>
      </c>
      <c r="O34" s="24">
        <v>2578.52</v>
      </c>
      <c r="P34" s="24">
        <v>170</v>
      </c>
      <c r="Q34" s="24">
        <v>2724.28</v>
      </c>
      <c r="R34" s="24">
        <v>3961.71</v>
      </c>
      <c r="S34" s="26">
        <v>2456.88</v>
      </c>
      <c r="T34" s="27">
        <f t="shared" ref="T34:T42" si="3">SUM(D34:S34)</f>
        <v>28635.7</v>
      </c>
      <c r="U34" s="28"/>
    </row>
    <row r="35" spans="1:21" s="59" customFormat="1" x14ac:dyDescent="0.25">
      <c r="A35" s="21" t="s">
        <v>39</v>
      </c>
      <c r="B35" s="22">
        <v>44400</v>
      </c>
      <c r="C35" s="29">
        <v>229</v>
      </c>
      <c r="D35" s="24">
        <v>47400.29</v>
      </c>
      <c r="E35" s="24">
        <v>33591.160000000003</v>
      </c>
      <c r="F35" s="24">
        <v>314706.87</v>
      </c>
      <c r="G35" s="24">
        <v>0</v>
      </c>
      <c r="H35" s="24">
        <v>10878.76</v>
      </c>
      <c r="I35" s="24">
        <v>24836.63</v>
      </c>
      <c r="J35" s="24">
        <v>0</v>
      </c>
      <c r="K35" s="24">
        <v>0</v>
      </c>
      <c r="L35" s="24">
        <v>57274.1</v>
      </c>
      <c r="M35" s="24">
        <v>233.14</v>
      </c>
      <c r="N35" s="24"/>
      <c r="O35" s="24">
        <v>64441.29</v>
      </c>
      <c r="P35" s="24">
        <v>8736</v>
      </c>
      <c r="Q35" s="24">
        <v>72982.34</v>
      </c>
      <c r="R35" s="24">
        <v>112828.64</v>
      </c>
      <c r="S35" s="26">
        <v>59550.45</v>
      </c>
      <c r="T35" s="27">
        <f t="shared" si="3"/>
        <v>807459.66999999993</v>
      </c>
      <c r="U35" s="28"/>
    </row>
    <row r="36" spans="1:21" s="59" customFormat="1" x14ac:dyDescent="0.25">
      <c r="A36" s="21" t="s">
        <v>40</v>
      </c>
      <c r="B36" s="22">
        <v>44428</v>
      </c>
      <c r="C36" s="29">
        <v>47</v>
      </c>
      <c r="D36" s="24">
        <v>2240.79</v>
      </c>
      <c r="E36" s="24">
        <v>2938.72</v>
      </c>
      <c r="F36" s="24">
        <v>8430.43</v>
      </c>
      <c r="G36" s="24">
        <v>1653.03</v>
      </c>
      <c r="H36" s="24">
        <v>918.35</v>
      </c>
      <c r="I36" s="24">
        <v>854.62</v>
      </c>
      <c r="J36" s="24">
        <v>0</v>
      </c>
      <c r="K36" s="24">
        <v>0</v>
      </c>
      <c r="L36" s="24">
        <v>4.33</v>
      </c>
      <c r="M36" s="24">
        <v>275.47000000000003</v>
      </c>
      <c r="N36" s="24">
        <v>1616.29</v>
      </c>
      <c r="O36" s="24">
        <v>2726.6</v>
      </c>
      <c r="P36" s="24">
        <v>940</v>
      </c>
      <c r="Q36" s="24">
        <v>3089.05</v>
      </c>
      <c r="R36" s="24">
        <v>4427.79</v>
      </c>
      <c r="S36" s="26">
        <v>2918.86</v>
      </c>
      <c r="T36" s="27">
        <f t="shared" si="3"/>
        <v>33034.33</v>
      </c>
      <c r="U36" s="28"/>
    </row>
    <row r="37" spans="1:21" s="59" customFormat="1" x14ac:dyDescent="0.25">
      <c r="A37" s="21" t="s">
        <v>41</v>
      </c>
      <c r="B37" s="22">
        <v>44462</v>
      </c>
      <c r="C37" s="29">
        <v>203</v>
      </c>
      <c r="D37" s="24">
        <v>17061.41</v>
      </c>
      <c r="E37" s="24">
        <v>16921.77</v>
      </c>
      <c r="F37" s="24">
        <v>96634.81</v>
      </c>
      <c r="G37" s="24">
        <v>8670.49</v>
      </c>
      <c r="H37" s="24">
        <v>8390.91</v>
      </c>
      <c r="I37" s="24">
        <v>5732.36</v>
      </c>
      <c r="J37" s="24">
        <v>0</v>
      </c>
      <c r="K37" s="24">
        <v>9334.4500000000007</v>
      </c>
      <c r="L37" s="24"/>
      <c r="M37" s="24">
        <v>2656.98</v>
      </c>
      <c r="N37" s="24">
        <v>0</v>
      </c>
      <c r="O37" s="24">
        <v>24221</v>
      </c>
      <c r="P37" s="24">
        <v>2418.5</v>
      </c>
      <c r="Q37" s="24">
        <v>28864.19</v>
      </c>
      <c r="R37" s="24">
        <v>39196.04</v>
      </c>
      <c r="S37" s="26">
        <v>28433.33</v>
      </c>
      <c r="T37" s="27">
        <f t="shared" si="3"/>
        <v>288536.24</v>
      </c>
      <c r="U37" s="28"/>
    </row>
    <row r="38" spans="1:21" s="59" customFormat="1" x14ac:dyDescent="0.25">
      <c r="A38" s="21" t="s">
        <v>42</v>
      </c>
      <c r="B38" s="22">
        <v>44391</v>
      </c>
      <c r="C38" s="29">
        <v>115</v>
      </c>
      <c r="D38" s="24">
        <v>14813.61</v>
      </c>
      <c r="E38" s="24">
        <v>22706.16</v>
      </c>
      <c r="F38" s="24">
        <v>73086.58</v>
      </c>
      <c r="G38" s="24">
        <v>10199.57</v>
      </c>
      <c r="H38" s="24">
        <v>8803.2099999999991</v>
      </c>
      <c r="I38" s="24">
        <v>2041.05</v>
      </c>
      <c r="J38" s="24"/>
      <c r="K38" s="24"/>
      <c r="L38" s="24"/>
      <c r="M38" s="24">
        <v>1092.81</v>
      </c>
      <c r="N38" s="24"/>
      <c r="O38" s="24">
        <v>19400.509999999998</v>
      </c>
      <c r="P38" s="24">
        <v>690</v>
      </c>
      <c r="Q38" s="24">
        <v>19890.93</v>
      </c>
      <c r="R38" s="24">
        <v>30756.83</v>
      </c>
      <c r="S38" s="26">
        <v>16988.36</v>
      </c>
      <c r="T38" s="27">
        <f t="shared" si="3"/>
        <v>220469.62</v>
      </c>
      <c r="U38" s="28"/>
    </row>
    <row r="39" spans="1:21" s="59" customFormat="1" x14ac:dyDescent="0.25">
      <c r="A39" s="21" t="s">
        <v>43</v>
      </c>
      <c r="B39" s="22">
        <v>44425</v>
      </c>
      <c r="C39" s="29">
        <v>0</v>
      </c>
      <c r="D39" s="24">
        <v>0</v>
      </c>
      <c r="E39" s="24">
        <v>0</v>
      </c>
      <c r="F39" s="24">
        <v>0</v>
      </c>
      <c r="G39" s="24">
        <v>0</v>
      </c>
      <c r="H39" s="24">
        <v>0</v>
      </c>
      <c r="I39" s="24">
        <v>0</v>
      </c>
      <c r="J39" s="24">
        <v>0</v>
      </c>
      <c r="K39" s="24">
        <v>0</v>
      </c>
      <c r="L39" s="24">
        <v>0</v>
      </c>
      <c r="M39" s="24">
        <v>0</v>
      </c>
      <c r="N39" s="24">
        <v>0</v>
      </c>
      <c r="O39" s="24">
        <v>0</v>
      </c>
      <c r="P39" s="24">
        <v>0</v>
      </c>
      <c r="Q39" s="24">
        <v>0</v>
      </c>
      <c r="R39" s="24">
        <v>0</v>
      </c>
      <c r="S39" s="26">
        <v>0</v>
      </c>
      <c r="T39" s="27">
        <f t="shared" si="3"/>
        <v>0</v>
      </c>
      <c r="U39" s="26"/>
    </row>
    <row r="40" spans="1:21" s="59" customFormat="1" x14ac:dyDescent="0.25">
      <c r="A40" s="21" t="s">
        <v>44</v>
      </c>
      <c r="B40" s="22">
        <v>44391</v>
      </c>
      <c r="C40" s="29">
        <v>95</v>
      </c>
      <c r="D40" s="24">
        <v>3257.79</v>
      </c>
      <c r="E40" s="24">
        <v>2739.61</v>
      </c>
      <c r="F40" s="24">
        <v>17837.63</v>
      </c>
      <c r="G40" s="24">
        <v>2990.76</v>
      </c>
      <c r="H40" s="24">
        <v>1468.7</v>
      </c>
      <c r="I40" s="24">
        <v>1473.49</v>
      </c>
      <c r="J40" s="24"/>
      <c r="K40" s="24">
        <v>419.16</v>
      </c>
      <c r="L40" s="24">
        <v>2633.36</v>
      </c>
      <c r="M40" s="24">
        <v>240.35</v>
      </c>
      <c r="N40" s="24"/>
      <c r="O40" s="24">
        <v>4394.29</v>
      </c>
      <c r="P40" s="24"/>
      <c r="Q40" s="24"/>
      <c r="R40" s="24">
        <v>6572.57</v>
      </c>
      <c r="S40" s="26">
        <v>3599.8</v>
      </c>
      <c r="T40" s="27">
        <f t="shared" si="3"/>
        <v>47627.51</v>
      </c>
      <c r="U40" s="28"/>
    </row>
    <row r="41" spans="1:21" s="59" customFormat="1" x14ac:dyDescent="0.25">
      <c r="A41" s="21" t="s">
        <v>45</v>
      </c>
      <c r="B41" s="22">
        <v>44419</v>
      </c>
      <c r="C41" s="29">
        <v>44</v>
      </c>
      <c r="D41" s="24">
        <v>2818.13</v>
      </c>
      <c r="E41" s="24">
        <v>1847.97</v>
      </c>
      <c r="F41" s="24">
        <v>15407.45</v>
      </c>
      <c r="G41" s="24">
        <v>1547.57</v>
      </c>
      <c r="H41" s="24">
        <v>923.98</v>
      </c>
      <c r="I41" s="24">
        <v>1007.16</v>
      </c>
      <c r="J41" s="24">
        <v>0</v>
      </c>
      <c r="K41" s="24">
        <v>1303.8499999999999</v>
      </c>
      <c r="L41" s="24">
        <v>2360.02</v>
      </c>
      <c r="M41" s="24">
        <v>191.74</v>
      </c>
      <c r="N41" s="24">
        <v>0</v>
      </c>
      <c r="O41" s="24">
        <v>3909.57</v>
      </c>
      <c r="P41" s="24">
        <v>528</v>
      </c>
      <c r="Q41" s="24">
        <v>4443.6000000000004</v>
      </c>
      <c r="R41" s="24">
        <v>6458.29</v>
      </c>
      <c r="S41" s="26">
        <v>3845.15</v>
      </c>
      <c r="T41" s="27">
        <f t="shared" si="3"/>
        <v>46592.480000000003</v>
      </c>
      <c r="U41" s="28"/>
    </row>
    <row r="42" spans="1:21" s="59" customFormat="1" x14ac:dyDescent="0.25">
      <c r="A42" s="21" t="s">
        <v>46</v>
      </c>
      <c r="B42" s="22">
        <v>44410</v>
      </c>
      <c r="C42" s="29">
        <v>56</v>
      </c>
      <c r="D42" s="24">
        <v>5515.95</v>
      </c>
      <c r="E42" s="24">
        <v>5696.83</v>
      </c>
      <c r="F42" s="24">
        <v>28603.08</v>
      </c>
      <c r="G42" s="24">
        <v>4566.57</v>
      </c>
      <c r="H42" s="24">
        <v>1266</v>
      </c>
      <c r="I42" s="24">
        <v>3305.51</v>
      </c>
      <c r="J42" s="24"/>
      <c r="K42" s="24">
        <v>1350</v>
      </c>
      <c r="L42" s="24">
        <v>723.4</v>
      </c>
      <c r="M42" s="24">
        <v>452.13</v>
      </c>
      <c r="N42" s="24">
        <v>10.32</v>
      </c>
      <c r="O42" s="24">
        <v>7520.87</v>
      </c>
      <c r="P42" s="24">
        <v>392</v>
      </c>
      <c r="Q42" s="24">
        <v>8357.2099999999991</v>
      </c>
      <c r="R42" s="24">
        <v>12081.4</v>
      </c>
      <c r="S42" s="26">
        <v>6824.74</v>
      </c>
      <c r="T42" s="27">
        <f t="shared" si="3"/>
        <v>86666.01</v>
      </c>
      <c r="U42" s="28"/>
    </row>
    <row r="43" spans="1:21" s="59" customFormat="1" x14ac:dyDescent="0.25">
      <c r="A43" s="21" t="s">
        <v>47</v>
      </c>
      <c r="B43" s="22">
        <v>44418</v>
      </c>
      <c r="C43" s="29">
        <v>73</v>
      </c>
      <c r="D43" s="24">
        <v>4736.71</v>
      </c>
      <c r="E43" s="24">
        <v>3843.76</v>
      </c>
      <c r="F43" s="24">
        <v>14976.9</v>
      </c>
      <c r="G43" s="24">
        <v>2135.44</v>
      </c>
      <c r="H43" s="24">
        <v>1358.94</v>
      </c>
      <c r="I43" s="24">
        <v>1523.9</v>
      </c>
      <c r="J43" s="24"/>
      <c r="K43" s="24">
        <v>1964.7</v>
      </c>
      <c r="L43" s="24"/>
      <c r="M43" s="24">
        <v>950.79</v>
      </c>
      <c r="N43" s="24"/>
      <c r="O43" s="24">
        <v>4576.0200000000004</v>
      </c>
      <c r="P43" s="24">
        <v>511</v>
      </c>
      <c r="Q43" s="24">
        <v>5120.53</v>
      </c>
      <c r="R43" s="24">
        <v>7509.11</v>
      </c>
      <c r="S43" s="26">
        <v>4776.53</v>
      </c>
      <c r="T43" s="27">
        <f>SUM(C43:S43)</f>
        <v>54057.33</v>
      </c>
      <c r="U43" s="28"/>
    </row>
    <row r="44" spans="1:21" s="59" customFormat="1" x14ac:dyDescent="0.25">
      <c r="A44" s="21" t="s">
        <v>48</v>
      </c>
      <c r="B44" s="22">
        <v>44431</v>
      </c>
      <c r="C44" s="29">
        <v>49</v>
      </c>
      <c r="D44" s="24">
        <v>3301.8</v>
      </c>
      <c r="E44" s="24">
        <v>1813.3</v>
      </c>
      <c r="F44" s="24">
        <v>14235.66</v>
      </c>
      <c r="G44" s="24">
        <v>2598.13</v>
      </c>
      <c r="H44" s="24">
        <v>703.65</v>
      </c>
      <c r="I44" s="24">
        <v>1434.42</v>
      </c>
      <c r="J44" s="24">
        <v>1190.83</v>
      </c>
      <c r="K44" s="24">
        <v>1760</v>
      </c>
      <c r="L44" s="24"/>
      <c r="M44" s="24">
        <v>232.71</v>
      </c>
      <c r="N44" s="24">
        <v>0</v>
      </c>
      <c r="O44" s="24">
        <v>3959.73</v>
      </c>
      <c r="P44" s="24">
        <v>196</v>
      </c>
      <c r="Q44" s="24">
        <v>4240.18</v>
      </c>
      <c r="R44" s="24">
        <v>6392.11</v>
      </c>
      <c r="S44" s="26">
        <v>3886.06</v>
      </c>
      <c r="T44" s="27">
        <f>SUM(D44:S44)</f>
        <v>45944.58</v>
      </c>
      <c r="U44" s="28"/>
    </row>
    <row r="45" spans="1:21" s="63" customFormat="1" x14ac:dyDescent="0.25">
      <c r="A45" s="21" t="s">
        <v>49</v>
      </c>
      <c r="B45" s="22">
        <v>44462</v>
      </c>
      <c r="C45" s="29"/>
      <c r="D45" s="24"/>
      <c r="E45" s="24"/>
      <c r="F45" s="24"/>
      <c r="G45" s="24"/>
      <c r="H45" s="24"/>
      <c r="I45" s="24"/>
      <c r="J45" s="24"/>
      <c r="K45" s="24"/>
      <c r="L45" s="24"/>
      <c r="M45" s="24"/>
      <c r="N45" s="24"/>
      <c r="O45" s="24"/>
      <c r="P45" s="24"/>
      <c r="Q45" s="24"/>
      <c r="R45" s="24"/>
      <c r="S45" s="26"/>
      <c r="T45" s="27"/>
      <c r="U45" s="28" t="s">
        <v>168</v>
      </c>
    </row>
    <row r="46" spans="1:21" s="59" customFormat="1" x14ac:dyDescent="0.25">
      <c r="A46" s="21" t="s">
        <v>50</v>
      </c>
      <c r="B46" s="22">
        <v>44428</v>
      </c>
      <c r="C46" s="29">
        <v>122</v>
      </c>
      <c r="D46" s="24">
        <v>11973.94</v>
      </c>
      <c r="E46" s="24">
        <v>31407.22</v>
      </c>
      <c r="F46" s="24">
        <v>83027.92</v>
      </c>
      <c r="G46" s="24">
        <v>8637</v>
      </c>
      <c r="H46" s="24">
        <v>7851.8</v>
      </c>
      <c r="I46" s="24">
        <v>2210.31</v>
      </c>
      <c r="J46" s="24"/>
      <c r="K46" s="24">
        <v>3399.51</v>
      </c>
      <c r="L46" s="24">
        <v>1383.79</v>
      </c>
      <c r="M46" s="24">
        <v>15.54</v>
      </c>
      <c r="N46" s="24">
        <v>6722.41</v>
      </c>
      <c r="O46" s="24">
        <v>22667</v>
      </c>
      <c r="P46" s="24">
        <v>2562</v>
      </c>
      <c r="Q46" s="24">
        <v>25410.84</v>
      </c>
      <c r="R46" s="24">
        <v>36651.99</v>
      </c>
      <c r="S46" s="26">
        <v>20034.05</v>
      </c>
      <c r="T46" s="27">
        <f>SUM(D46:S46)</f>
        <v>263955.32</v>
      </c>
      <c r="U46" s="28"/>
    </row>
    <row r="47" spans="1:21" s="59" customFormat="1" x14ac:dyDescent="0.25">
      <c r="A47" s="21" t="s">
        <v>51</v>
      </c>
      <c r="B47" s="33">
        <v>44461</v>
      </c>
      <c r="C47" s="29">
        <v>134</v>
      </c>
      <c r="D47" s="24">
        <v>666.61</v>
      </c>
      <c r="E47" s="24">
        <v>229.49</v>
      </c>
      <c r="F47" s="24">
        <v>3764.7</v>
      </c>
      <c r="G47" s="24">
        <v>628.37</v>
      </c>
      <c r="H47" s="24">
        <v>232.22</v>
      </c>
      <c r="I47" s="24">
        <v>0</v>
      </c>
      <c r="J47" s="24">
        <v>0</v>
      </c>
      <c r="K47" s="24">
        <v>0</v>
      </c>
      <c r="L47" s="24">
        <v>0.45</v>
      </c>
      <c r="M47" s="24">
        <v>0</v>
      </c>
      <c r="N47" s="24">
        <v>0</v>
      </c>
      <c r="O47" s="24">
        <v>751.67</v>
      </c>
      <c r="P47" s="24">
        <v>961.72</v>
      </c>
      <c r="Q47" s="24">
        <v>91.17</v>
      </c>
      <c r="R47" s="24">
        <v>1296.72</v>
      </c>
      <c r="S47" s="26">
        <v>858.35</v>
      </c>
      <c r="T47" s="27">
        <f>SUM(D47:S47)</f>
        <v>9481.4700000000012</v>
      </c>
      <c r="U47" s="28"/>
    </row>
    <row r="48" spans="1:21" s="59" customFormat="1" x14ac:dyDescent="0.25">
      <c r="A48" s="21" t="s">
        <v>52</v>
      </c>
      <c r="B48" s="22">
        <v>44431</v>
      </c>
      <c r="C48" s="29">
        <v>244</v>
      </c>
      <c r="D48" s="24">
        <v>22310.48</v>
      </c>
      <c r="E48" s="24">
        <v>22952.97</v>
      </c>
      <c r="F48" s="24">
        <v>122350.03</v>
      </c>
      <c r="G48" s="24">
        <v>0</v>
      </c>
      <c r="H48" s="24">
        <v>4023.22</v>
      </c>
      <c r="I48" s="24">
        <v>3178.39</v>
      </c>
      <c r="J48" s="24">
        <v>0</v>
      </c>
      <c r="K48" s="24">
        <v>3990.84</v>
      </c>
      <c r="L48" s="24">
        <v>8758.51</v>
      </c>
      <c r="M48" s="24"/>
      <c r="N48" s="24"/>
      <c r="O48" s="24">
        <v>22010.59</v>
      </c>
      <c r="P48" s="24">
        <v>3185</v>
      </c>
      <c r="Q48" s="24"/>
      <c r="R48" s="24">
        <v>38002.93</v>
      </c>
      <c r="S48" s="26">
        <v>22431.51</v>
      </c>
      <c r="T48" s="27">
        <f>SUM(D48:S48)</f>
        <v>273194.46999999997</v>
      </c>
      <c r="U48" s="28"/>
    </row>
    <row r="49" spans="1:21" s="59" customFormat="1" x14ac:dyDescent="0.25">
      <c r="A49" s="21" t="s">
        <v>53</v>
      </c>
      <c r="B49" s="22">
        <v>44399</v>
      </c>
      <c r="C49" s="29">
        <v>126</v>
      </c>
      <c r="D49" s="24">
        <v>11286.13</v>
      </c>
      <c r="E49" s="24">
        <v>38748.28</v>
      </c>
      <c r="F49" s="24">
        <v>38192.71</v>
      </c>
      <c r="G49" s="24">
        <v>9250.9699999999993</v>
      </c>
      <c r="H49" s="24">
        <v>5088.16</v>
      </c>
      <c r="I49" s="24">
        <v>9250.9699999999993</v>
      </c>
      <c r="J49" s="24"/>
      <c r="K49" s="24">
        <v>356.82</v>
      </c>
      <c r="L49" s="24">
        <v>7512.69</v>
      </c>
      <c r="M49" s="24">
        <v>1572.69</v>
      </c>
      <c r="N49" s="24"/>
      <c r="O49" s="24"/>
      <c r="P49" s="24"/>
      <c r="Q49" s="24"/>
      <c r="R49" s="24"/>
      <c r="S49" s="26"/>
      <c r="T49" s="27">
        <f>SUM(D49:S49)</f>
        <v>121259.42000000001</v>
      </c>
      <c r="U49" s="28"/>
    </row>
    <row r="50" spans="1:21" s="59" customFormat="1" x14ac:dyDescent="0.25">
      <c r="A50" s="21" t="s">
        <v>54</v>
      </c>
      <c r="B50" s="22">
        <v>44426</v>
      </c>
      <c r="C50" s="29">
        <v>88</v>
      </c>
      <c r="D50" s="24"/>
      <c r="E50" s="24"/>
      <c r="F50" s="24"/>
      <c r="G50" s="24"/>
      <c r="H50" s="24"/>
      <c r="I50" s="24"/>
      <c r="J50" s="24"/>
      <c r="K50" s="24"/>
      <c r="L50" s="24"/>
      <c r="M50" s="24"/>
      <c r="N50" s="24"/>
      <c r="O50" s="24"/>
      <c r="P50" s="24"/>
      <c r="Q50" s="24"/>
      <c r="R50" s="24"/>
      <c r="S50" s="26"/>
      <c r="T50" s="27"/>
      <c r="U50" s="28"/>
    </row>
    <row r="51" spans="1:21" s="59" customFormat="1" x14ac:dyDescent="0.25">
      <c r="A51" s="21" t="s">
        <v>55</v>
      </c>
      <c r="B51" s="22">
        <v>44420</v>
      </c>
      <c r="C51" s="29">
        <v>43</v>
      </c>
      <c r="D51" s="24">
        <v>1875.26</v>
      </c>
      <c r="E51" s="24">
        <v>1583.26</v>
      </c>
      <c r="F51" s="24">
        <v>10710.49</v>
      </c>
      <c r="G51" s="24">
        <v>1460.25</v>
      </c>
      <c r="H51" s="24">
        <v>0</v>
      </c>
      <c r="I51" s="24">
        <v>0</v>
      </c>
      <c r="J51" s="24">
        <v>0</v>
      </c>
      <c r="K51" s="24">
        <v>1050</v>
      </c>
      <c r="L51" s="24">
        <v>7.28</v>
      </c>
      <c r="M51" s="24"/>
      <c r="N51" s="24">
        <v>1152.8399999999999</v>
      </c>
      <c r="O51" s="24">
        <v>2595.38</v>
      </c>
      <c r="P51" s="24">
        <v>440</v>
      </c>
      <c r="Q51" s="24">
        <v>2867.64</v>
      </c>
      <c r="R51" s="24">
        <v>4090.09</v>
      </c>
      <c r="S51" s="26">
        <v>2705.08</v>
      </c>
      <c r="T51" s="27">
        <f>SUM(D51:S51)</f>
        <v>30537.57</v>
      </c>
      <c r="U51" s="28"/>
    </row>
    <row r="52" spans="1:21" s="59" customFormat="1" x14ac:dyDescent="0.25">
      <c r="A52" s="21" t="s">
        <v>163</v>
      </c>
      <c r="B52" s="22">
        <v>44434</v>
      </c>
      <c r="C52" s="29">
        <v>55</v>
      </c>
      <c r="D52" s="24">
        <v>4025.54</v>
      </c>
      <c r="E52" s="24">
        <v>4224.6099999999997</v>
      </c>
      <c r="F52" s="24">
        <v>21117.68</v>
      </c>
      <c r="G52" s="24">
        <v>3662.61</v>
      </c>
      <c r="H52" s="24">
        <v>1649.82</v>
      </c>
      <c r="I52" s="24">
        <v>1018.66</v>
      </c>
      <c r="J52" s="24">
        <v>0</v>
      </c>
      <c r="K52" s="24">
        <v>1375.08</v>
      </c>
      <c r="L52" s="24">
        <v>22.9</v>
      </c>
      <c r="M52" s="24">
        <v>0</v>
      </c>
      <c r="N52" s="24">
        <v>0</v>
      </c>
      <c r="O52" s="24">
        <v>5267.54</v>
      </c>
      <c r="P52" s="24">
        <v>110</v>
      </c>
      <c r="Q52" s="24">
        <v>6023.68</v>
      </c>
      <c r="R52" s="24">
        <v>8745.98</v>
      </c>
      <c r="S52" s="26">
        <v>5143.72</v>
      </c>
      <c r="T52" s="27">
        <f>SUM(D52:S52)</f>
        <v>62387.820000000007</v>
      </c>
      <c r="U52" s="28"/>
    </row>
    <row r="53" spans="1:21" s="59" customFormat="1" x14ac:dyDescent="0.25">
      <c r="A53" s="21" t="s">
        <v>162</v>
      </c>
      <c r="B53" s="22">
        <v>44434</v>
      </c>
      <c r="C53" s="29">
        <v>16</v>
      </c>
      <c r="D53" s="24">
        <v>1928.41</v>
      </c>
      <c r="E53" s="24">
        <v>2023.24</v>
      </c>
      <c r="F53" s="24">
        <v>10125.129999999999</v>
      </c>
      <c r="G53" s="24">
        <v>1754.35</v>
      </c>
      <c r="H53" s="24">
        <v>789.83</v>
      </c>
      <c r="I53" s="24">
        <v>516.64</v>
      </c>
      <c r="J53" s="24">
        <v>0</v>
      </c>
      <c r="K53" s="24">
        <v>385</v>
      </c>
      <c r="L53" s="24">
        <v>0</v>
      </c>
      <c r="M53" s="24">
        <v>0</v>
      </c>
      <c r="N53" s="24">
        <v>0</v>
      </c>
      <c r="O53" s="24">
        <v>2484.67</v>
      </c>
      <c r="P53" s="24">
        <v>47</v>
      </c>
      <c r="Q53" s="24">
        <v>2850.34</v>
      </c>
      <c r="R53" s="24">
        <v>4114.5600000000004</v>
      </c>
      <c r="S53" s="26">
        <v>2351.2800000000002</v>
      </c>
      <c r="T53" s="27">
        <f>SUM(D53:S53)</f>
        <v>29370.449999999997</v>
      </c>
      <c r="U53" s="28"/>
    </row>
    <row r="54" spans="1:21" s="59" customFormat="1" x14ac:dyDescent="0.25">
      <c r="A54" s="21" t="s">
        <v>57</v>
      </c>
      <c r="B54" s="22">
        <v>44405</v>
      </c>
      <c r="C54" s="29">
        <v>20</v>
      </c>
      <c r="D54" s="24">
        <v>1623.33</v>
      </c>
      <c r="E54" s="24">
        <v>1610.04</v>
      </c>
      <c r="F54" s="24">
        <v>9980.41</v>
      </c>
      <c r="G54" s="24">
        <v>13439.92</v>
      </c>
      <c r="H54" s="24">
        <v>118.42</v>
      </c>
      <c r="I54" s="24">
        <v>601.32000000000005</v>
      </c>
      <c r="J54" s="24">
        <v>0</v>
      </c>
      <c r="K54" s="24">
        <v>490</v>
      </c>
      <c r="L54" s="24">
        <v>126.65</v>
      </c>
      <c r="M54" s="24">
        <v>118.42</v>
      </c>
      <c r="N54" s="24">
        <v>798.36</v>
      </c>
      <c r="O54" s="24">
        <v>2507.9</v>
      </c>
      <c r="P54" s="24">
        <v>220</v>
      </c>
      <c r="Q54" s="24">
        <v>2580.64</v>
      </c>
      <c r="R54" s="24">
        <v>4001.07</v>
      </c>
      <c r="S54" s="26">
        <v>2280.5300000000002</v>
      </c>
      <c r="T54" s="27">
        <f>SUM(D54:S54)</f>
        <v>40497.009999999995</v>
      </c>
      <c r="U54" s="28"/>
    </row>
    <row r="55" spans="1:21" s="59" customFormat="1" x14ac:dyDescent="0.25">
      <c r="A55" s="21" t="s">
        <v>58</v>
      </c>
      <c r="B55" s="22">
        <v>44417</v>
      </c>
      <c r="C55" s="29">
        <v>0</v>
      </c>
      <c r="D55" s="24">
        <v>0</v>
      </c>
      <c r="E55" s="24">
        <v>0</v>
      </c>
      <c r="F55" s="24">
        <v>0</v>
      </c>
      <c r="G55" s="24">
        <v>0</v>
      </c>
      <c r="H55" s="24">
        <v>0</v>
      </c>
      <c r="I55" s="24">
        <v>0</v>
      </c>
      <c r="J55" s="24">
        <v>0</v>
      </c>
      <c r="K55" s="24">
        <v>0</v>
      </c>
      <c r="L55" s="24">
        <v>0</v>
      </c>
      <c r="M55" s="24">
        <v>0</v>
      </c>
      <c r="N55" s="24">
        <v>0</v>
      </c>
      <c r="O55" s="24">
        <v>0</v>
      </c>
      <c r="P55" s="24">
        <v>0</v>
      </c>
      <c r="Q55" s="24">
        <v>0</v>
      </c>
      <c r="R55" s="24">
        <v>0</v>
      </c>
      <c r="S55" s="26">
        <v>0</v>
      </c>
      <c r="T55" s="27">
        <v>0</v>
      </c>
      <c r="U55" s="28"/>
    </row>
    <row r="56" spans="1:21" s="59" customFormat="1" x14ac:dyDescent="0.25">
      <c r="A56" s="21" t="s">
        <v>59</v>
      </c>
      <c r="B56" s="22">
        <v>44482</v>
      </c>
      <c r="C56" s="29">
        <v>99</v>
      </c>
      <c r="D56" s="24">
        <v>11207.31</v>
      </c>
      <c r="E56" s="24">
        <v>13320.39</v>
      </c>
      <c r="F56" s="24">
        <v>62887.48</v>
      </c>
      <c r="G56" s="24">
        <v>0</v>
      </c>
      <c r="H56" s="24">
        <v>3582.74</v>
      </c>
      <c r="I56" s="24">
        <v>2400.4699999999998</v>
      </c>
      <c r="J56" s="24"/>
      <c r="K56" s="24">
        <v>2317.46</v>
      </c>
      <c r="L56" s="24"/>
      <c r="M56" s="24"/>
      <c r="N56" s="24"/>
      <c r="O56" s="24">
        <v>11280.55</v>
      </c>
      <c r="P56" s="24">
        <v>1881</v>
      </c>
      <c r="Q56" s="24">
        <v>95715.86</v>
      </c>
      <c r="R56" s="24">
        <v>19367.66</v>
      </c>
      <c r="S56" s="26">
        <v>11069.93</v>
      </c>
      <c r="T56" s="27">
        <f>SUM(D56:S56)</f>
        <v>235030.85</v>
      </c>
      <c r="U56" s="28"/>
    </row>
    <row r="57" spans="1:21" s="59" customFormat="1" x14ac:dyDescent="0.25">
      <c r="A57" s="21" t="s">
        <v>60</v>
      </c>
      <c r="B57" s="22">
        <v>44410</v>
      </c>
      <c r="C57" s="29">
        <v>7</v>
      </c>
      <c r="D57" s="24">
        <v>159.21</v>
      </c>
      <c r="E57" s="24">
        <v>88.94</v>
      </c>
      <c r="F57" s="24">
        <v>805.88</v>
      </c>
      <c r="G57" s="24">
        <v>172.96</v>
      </c>
      <c r="H57" s="24">
        <v>97.88</v>
      </c>
      <c r="I57" s="24">
        <v>113.33</v>
      </c>
      <c r="J57" s="24"/>
      <c r="K57" s="24">
        <v>0.15</v>
      </c>
      <c r="L57" s="24"/>
      <c r="M57" s="24">
        <v>35.229999999999997</v>
      </c>
      <c r="N57" s="24">
        <v>86.33</v>
      </c>
      <c r="O57" s="24">
        <v>242.31</v>
      </c>
      <c r="P57" s="24">
        <v>35</v>
      </c>
      <c r="Q57" s="24">
        <v>280.02999999999997</v>
      </c>
      <c r="R57" s="24">
        <v>382.19</v>
      </c>
      <c r="S57" s="26">
        <v>310.08999999999997</v>
      </c>
      <c r="T57" s="27">
        <f>SUM(D57:S57)</f>
        <v>2809.53</v>
      </c>
      <c r="U57" s="28"/>
    </row>
    <row r="58" spans="1:21" s="59" customFormat="1" x14ac:dyDescent="0.25">
      <c r="A58" s="21" t="s">
        <v>61</v>
      </c>
      <c r="B58" s="22">
        <v>44393</v>
      </c>
      <c r="C58" s="29">
        <v>876</v>
      </c>
      <c r="D58" s="23">
        <v>165203.4</v>
      </c>
      <c r="E58" s="24">
        <v>176036.71</v>
      </c>
      <c r="F58" s="23">
        <v>1022365.41</v>
      </c>
      <c r="G58" s="24">
        <v>0</v>
      </c>
      <c r="H58" s="24">
        <v>0</v>
      </c>
      <c r="I58" s="24">
        <v>140703.31</v>
      </c>
      <c r="J58" s="24">
        <v>0</v>
      </c>
      <c r="K58" s="25">
        <v>147331.9</v>
      </c>
      <c r="L58" s="24">
        <v>0</v>
      </c>
      <c r="M58" s="24">
        <v>0</v>
      </c>
      <c r="N58" s="24">
        <v>0</v>
      </c>
      <c r="O58" s="24">
        <v>222853.59</v>
      </c>
      <c r="P58" s="24">
        <v>1752</v>
      </c>
      <c r="Q58" s="24">
        <v>246750.6</v>
      </c>
      <c r="R58" s="24">
        <v>381430.22</v>
      </c>
      <c r="S58" s="26">
        <v>229259.16</v>
      </c>
      <c r="T58" s="27">
        <f>SUM(D58:S58)</f>
        <v>2733686.3</v>
      </c>
      <c r="U58" s="28"/>
    </row>
    <row r="59" spans="1:21" s="28" customFormat="1" hidden="1" x14ac:dyDescent="0.25">
      <c r="A59" s="21" t="s">
        <v>158</v>
      </c>
      <c r="B59" s="22"/>
      <c r="C59" s="29"/>
      <c r="D59" s="23"/>
      <c r="E59" s="24"/>
      <c r="F59" s="23"/>
      <c r="G59" s="24"/>
      <c r="H59" s="24"/>
      <c r="I59" s="24"/>
      <c r="J59" s="24"/>
      <c r="K59" s="25"/>
      <c r="L59" s="24"/>
      <c r="M59" s="24"/>
      <c r="N59" s="24"/>
      <c r="O59" s="24"/>
      <c r="P59" s="24"/>
      <c r="Q59" s="24"/>
      <c r="R59" s="24"/>
      <c r="S59" s="26"/>
      <c r="T59" s="27"/>
    </row>
    <row r="60" spans="1:21" s="59" customFormat="1" x14ac:dyDescent="0.25">
      <c r="A60" s="21" t="s">
        <v>62</v>
      </c>
      <c r="B60" s="22">
        <v>44435</v>
      </c>
      <c r="C60" s="29">
        <v>41</v>
      </c>
      <c r="D60" s="24">
        <v>9575.75</v>
      </c>
      <c r="E60" s="24">
        <v>6907.1</v>
      </c>
      <c r="F60" s="24">
        <v>54157.919999999998</v>
      </c>
      <c r="G60" s="24">
        <v>9497.27</v>
      </c>
      <c r="H60" s="24">
        <v>2354.6999999999998</v>
      </c>
      <c r="I60" s="24">
        <v>1310.83</v>
      </c>
      <c r="J60" s="24">
        <v>0</v>
      </c>
      <c r="K60" s="24">
        <v>2293.08</v>
      </c>
      <c r="L60" s="24">
        <v>0</v>
      </c>
      <c r="M60" s="24">
        <v>0</v>
      </c>
      <c r="N60" s="24">
        <v>0</v>
      </c>
      <c r="O60" s="24">
        <v>11775.36</v>
      </c>
      <c r="P60" s="24">
        <v>656</v>
      </c>
      <c r="Q60" s="24">
        <v>13933.78</v>
      </c>
      <c r="R60" s="24">
        <v>20088.060000000001</v>
      </c>
      <c r="S60" s="26">
        <v>10618.04</v>
      </c>
      <c r="T60" s="27">
        <f>SUM(D60:S60)</f>
        <v>143167.89000000001</v>
      </c>
      <c r="U60" s="28"/>
    </row>
    <row r="61" spans="1:21" s="59" customFormat="1" x14ac:dyDescent="0.25">
      <c r="A61" s="21" t="s">
        <v>63</v>
      </c>
      <c r="B61" s="22">
        <v>44483</v>
      </c>
      <c r="C61" s="29">
        <v>650</v>
      </c>
      <c r="D61" s="24">
        <v>16536.150000000001</v>
      </c>
      <c r="E61" s="24">
        <v>12571.97</v>
      </c>
      <c r="F61" s="24">
        <v>77608.62</v>
      </c>
      <c r="G61" s="24">
        <v>11417.99</v>
      </c>
      <c r="H61" s="24">
        <v>7985.92</v>
      </c>
      <c r="I61" s="24">
        <v>5300.63</v>
      </c>
      <c r="J61" s="24"/>
      <c r="K61" s="24">
        <v>3285.63</v>
      </c>
      <c r="L61" s="24"/>
      <c r="M61" s="24">
        <v>1096.25</v>
      </c>
      <c r="N61" s="24"/>
      <c r="O61" s="24">
        <v>16547.66</v>
      </c>
      <c r="P61" s="24">
        <v>3697.98</v>
      </c>
      <c r="Q61" s="24">
        <v>24789.83</v>
      </c>
      <c r="R61" s="24">
        <v>25923.91</v>
      </c>
      <c r="S61" s="26">
        <v>21210.720000000001</v>
      </c>
      <c r="T61" s="27">
        <f>SUM(D61:S61)</f>
        <v>227973.26</v>
      </c>
      <c r="U61" s="28"/>
    </row>
    <row r="62" spans="1:21" s="59" customFormat="1" x14ac:dyDescent="0.25">
      <c r="A62" s="21" t="s">
        <v>167</v>
      </c>
      <c r="B62" s="22">
        <v>44483</v>
      </c>
      <c r="C62" s="29">
        <v>104</v>
      </c>
      <c r="D62" s="24">
        <v>4723.71</v>
      </c>
      <c r="E62" s="24">
        <v>3639.63</v>
      </c>
      <c r="F62" s="24">
        <v>23083.8</v>
      </c>
      <c r="G62" s="24">
        <v>3291.2</v>
      </c>
      <c r="H62" s="24">
        <v>2323.16</v>
      </c>
      <c r="I62" s="24">
        <v>1560.75</v>
      </c>
      <c r="J62" s="24"/>
      <c r="K62" s="24">
        <v>946.84</v>
      </c>
      <c r="L62" s="24"/>
      <c r="M62" s="24">
        <v>322.14999999999998</v>
      </c>
      <c r="N62" s="24"/>
      <c r="O62" s="24">
        <v>6156.63</v>
      </c>
      <c r="P62" s="24">
        <v>728</v>
      </c>
      <c r="Q62" s="24">
        <v>7396.51</v>
      </c>
      <c r="R62" s="24">
        <v>9457.56</v>
      </c>
      <c r="S62" s="26">
        <v>6288.79</v>
      </c>
      <c r="T62" s="27">
        <f>SUM(D62:S62)</f>
        <v>69918.73</v>
      </c>
      <c r="U62" s="28"/>
    </row>
    <row r="63" spans="1:21" s="59" customFormat="1" x14ac:dyDescent="0.25">
      <c r="A63" s="21" t="s">
        <v>64</v>
      </c>
      <c r="B63" s="22">
        <v>44404</v>
      </c>
      <c r="C63" s="29">
        <v>188</v>
      </c>
      <c r="D63" s="24">
        <v>22538.61</v>
      </c>
      <c r="E63" s="24">
        <v>30126.27</v>
      </c>
      <c r="F63" s="24">
        <v>154455.37</v>
      </c>
      <c r="G63" s="24">
        <v>20876.14</v>
      </c>
      <c r="H63" s="24">
        <v>4674.3100000000004</v>
      </c>
      <c r="I63" s="24">
        <v>6887.33</v>
      </c>
      <c r="J63" s="24"/>
      <c r="K63" s="24">
        <v>12882.74</v>
      </c>
      <c r="L63" s="24">
        <v>184.07</v>
      </c>
      <c r="M63" s="24">
        <v>396.56</v>
      </c>
      <c r="N63" s="24"/>
      <c r="O63" s="24">
        <v>30101.4</v>
      </c>
      <c r="P63" s="24"/>
      <c r="Q63" s="24"/>
      <c r="R63" s="24">
        <v>50829.94</v>
      </c>
      <c r="S63" s="26">
        <v>33686.949999999997</v>
      </c>
      <c r="T63" s="27">
        <f>SUM(D63:S63)</f>
        <v>367639.69</v>
      </c>
      <c r="U63" s="28"/>
    </row>
    <row r="64" spans="1:21" s="59" customFormat="1" x14ac:dyDescent="0.25">
      <c r="A64" s="21" t="s">
        <v>65</v>
      </c>
      <c r="B64" s="22">
        <v>44454</v>
      </c>
      <c r="C64" s="29">
        <v>54</v>
      </c>
      <c r="D64" s="24">
        <v>496.02</v>
      </c>
      <c r="E64" s="24">
        <v>699.81</v>
      </c>
      <c r="F64" s="24">
        <v>2636.57</v>
      </c>
      <c r="G64" s="24">
        <v>0</v>
      </c>
      <c r="H64" s="24">
        <v>235.63</v>
      </c>
      <c r="I64" s="24">
        <v>242.93</v>
      </c>
      <c r="J64" s="24">
        <v>0</v>
      </c>
      <c r="K64" s="24">
        <v>0</v>
      </c>
      <c r="L64" s="24"/>
      <c r="M64" s="24">
        <v>70.459999999999994</v>
      </c>
      <c r="N64" s="24">
        <v>0</v>
      </c>
      <c r="O64" s="24">
        <v>679.49</v>
      </c>
      <c r="P64" s="24">
        <v>594</v>
      </c>
      <c r="Q64" s="24">
        <v>1295.53</v>
      </c>
      <c r="R64" s="24">
        <v>1232.3</v>
      </c>
      <c r="S64" s="26">
        <v>1377.7</v>
      </c>
      <c r="T64" s="27">
        <f>SUM(D64:S64)</f>
        <v>9560.44</v>
      </c>
      <c r="U64" s="28"/>
    </row>
    <row r="65" spans="1:21" s="59" customFormat="1" x14ac:dyDescent="0.25">
      <c r="A65" s="21" t="s">
        <v>66</v>
      </c>
      <c r="B65" s="22">
        <v>44491</v>
      </c>
      <c r="C65" s="29">
        <v>111</v>
      </c>
      <c r="D65" s="24">
        <v>5886.31</v>
      </c>
      <c r="E65" s="24">
        <v>5259.07</v>
      </c>
      <c r="F65" s="24">
        <v>21789.69</v>
      </c>
      <c r="G65" s="24">
        <v>4294.1000000000004</v>
      </c>
      <c r="H65" s="24">
        <v>1929.94</v>
      </c>
      <c r="I65" s="24">
        <v>1688.67</v>
      </c>
      <c r="J65" s="24">
        <v>3377.4</v>
      </c>
      <c r="K65" s="24">
        <v>3588.78</v>
      </c>
      <c r="L65" s="24">
        <v>35.520000000000003</v>
      </c>
      <c r="M65" s="24">
        <v>1061.47</v>
      </c>
      <c r="N65" s="24">
        <v>2026.45</v>
      </c>
      <c r="O65" s="24">
        <v>7903.43</v>
      </c>
      <c r="P65" s="24">
        <v>555</v>
      </c>
      <c r="Q65" s="24">
        <v>9569.3700000000008</v>
      </c>
      <c r="R65" s="24">
        <v>12101.33</v>
      </c>
      <c r="S65" s="26">
        <v>7715.72</v>
      </c>
      <c r="T65" s="27">
        <f>SUM(C65:S65)</f>
        <v>88893.25</v>
      </c>
      <c r="U65" s="28"/>
    </row>
    <row r="66" spans="1:21" s="59" customFormat="1" ht="14.25" customHeight="1" x14ac:dyDescent="0.25">
      <c r="A66" s="21" t="s">
        <v>67</v>
      </c>
      <c r="B66" s="22">
        <v>44438</v>
      </c>
      <c r="C66" s="29">
        <v>18</v>
      </c>
      <c r="D66" s="24">
        <v>1031.74</v>
      </c>
      <c r="E66" s="24">
        <v>1919.72</v>
      </c>
      <c r="F66" s="24">
        <v>4397.6000000000004</v>
      </c>
      <c r="G66" s="24">
        <v>515.88</v>
      </c>
      <c r="H66" s="24">
        <v>236.19</v>
      </c>
      <c r="I66" s="24">
        <v>391.33</v>
      </c>
      <c r="J66" s="24">
        <v>0</v>
      </c>
      <c r="K66" s="24">
        <v>446.76</v>
      </c>
      <c r="L66" s="24">
        <v>0</v>
      </c>
      <c r="M66" s="24">
        <v>0</v>
      </c>
      <c r="N66" s="24">
        <v>0</v>
      </c>
      <c r="O66" s="24">
        <v>1389.27</v>
      </c>
      <c r="P66" s="24">
        <v>0</v>
      </c>
      <c r="Q66" s="24">
        <v>1455.15</v>
      </c>
      <c r="R66" s="24">
        <v>2115</v>
      </c>
      <c r="S66" s="26">
        <v>1219.51</v>
      </c>
      <c r="T66" s="27">
        <f>SUM(D66:S66)</f>
        <v>15118.150000000001</v>
      </c>
      <c r="U66" s="28"/>
    </row>
    <row r="67" spans="1:21" s="59" customFormat="1" x14ac:dyDescent="0.25">
      <c r="A67" s="21" t="s">
        <v>68</v>
      </c>
      <c r="B67" s="22">
        <v>44447</v>
      </c>
      <c r="C67" s="29">
        <v>142</v>
      </c>
      <c r="D67" s="24">
        <v>14899.61</v>
      </c>
      <c r="E67" s="24">
        <v>7083.59</v>
      </c>
      <c r="F67" s="24">
        <v>59524.81</v>
      </c>
      <c r="G67" s="24">
        <v>9770.4</v>
      </c>
      <c r="H67" s="24">
        <v>4885.2</v>
      </c>
      <c r="I67" s="24">
        <v>4661.7</v>
      </c>
      <c r="J67" s="24">
        <v>0</v>
      </c>
      <c r="K67" s="24">
        <v>422.62</v>
      </c>
      <c r="L67" s="24">
        <v>9.8800000000000008</v>
      </c>
      <c r="M67" s="24">
        <v>488.55</v>
      </c>
      <c r="N67" s="24"/>
      <c r="O67" s="24">
        <v>14463.35</v>
      </c>
      <c r="P67" s="24">
        <v>1644</v>
      </c>
      <c r="Q67" s="24">
        <v>17757.689999999999</v>
      </c>
      <c r="R67" s="24">
        <v>24174.83</v>
      </c>
      <c r="S67" s="26">
        <v>14005.44</v>
      </c>
      <c r="T67" s="27">
        <f>SUM(D67:S67)</f>
        <v>173791.66999999998</v>
      </c>
      <c r="U67" s="28"/>
    </row>
    <row r="68" spans="1:21" s="59" customFormat="1" x14ac:dyDescent="0.25">
      <c r="A68" s="21" t="s">
        <v>69</v>
      </c>
      <c r="B68" s="22">
        <v>44489</v>
      </c>
      <c r="C68" s="29">
        <v>70</v>
      </c>
      <c r="D68" s="24">
        <v>11196.7</v>
      </c>
      <c r="E68" s="24">
        <v>15051.43</v>
      </c>
      <c r="F68" s="24">
        <v>53230.66</v>
      </c>
      <c r="G68" s="24">
        <v>13124.12</v>
      </c>
      <c r="H68" s="24">
        <v>5506.62</v>
      </c>
      <c r="I68" s="24">
        <v>6947.49</v>
      </c>
      <c r="J68" s="24">
        <v>0</v>
      </c>
      <c r="K68" s="24">
        <v>1092.99</v>
      </c>
      <c r="L68" s="24">
        <v>0</v>
      </c>
      <c r="M68" s="24">
        <v>2202.65</v>
      </c>
      <c r="N68" s="24">
        <v>0</v>
      </c>
      <c r="O68" s="24">
        <v>16240.92</v>
      </c>
      <c r="P68" s="24">
        <v>630</v>
      </c>
      <c r="Q68" s="24">
        <v>20315.310000000001</v>
      </c>
      <c r="R68" s="24">
        <v>25873.63</v>
      </c>
      <c r="S68" s="26">
        <v>13916.78</v>
      </c>
      <c r="T68" s="27">
        <f>SUM(D68:S68)</f>
        <v>185329.30000000002</v>
      </c>
      <c r="U68" s="28"/>
    </row>
    <row r="69" spans="1:21" s="59" customFormat="1" x14ac:dyDescent="0.25">
      <c r="A69" s="21" t="s">
        <v>70</v>
      </c>
      <c r="B69" s="22">
        <v>44475</v>
      </c>
      <c r="C69" s="29">
        <v>40</v>
      </c>
      <c r="D69" s="24">
        <v>1158.25</v>
      </c>
      <c r="E69" s="24">
        <v>4010.87</v>
      </c>
      <c r="F69" s="24">
        <v>4513.34</v>
      </c>
      <c r="G69" s="24">
        <v>1462.94</v>
      </c>
      <c r="H69" s="24">
        <v>731.5</v>
      </c>
      <c r="I69" s="24">
        <v>703.95</v>
      </c>
      <c r="J69" s="24"/>
      <c r="K69" s="24"/>
      <c r="L69" s="24">
        <v>17.22</v>
      </c>
      <c r="M69" s="24">
        <v>264.82</v>
      </c>
      <c r="N69" s="24"/>
      <c r="O69" s="24">
        <v>2356.36</v>
      </c>
      <c r="P69" s="24">
        <v>390</v>
      </c>
      <c r="Q69" s="24">
        <v>3231.99</v>
      </c>
      <c r="R69" s="24">
        <v>3033.55</v>
      </c>
      <c r="S69" s="26">
        <v>2063.39</v>
      </c>
      <c r="T69" s="27">
        <f>SUM(D69:S69)</f>
        <v>23938.179999999997</v>
      </c>
      <c r="U69" s="28"/>
    </row>
    <row r="70" spans="1:21" s="59" customFormat="1" x14ac:dyDescent="0.25">
      <c r="A70" s="21" t="s">
        <v>71</v>
      </c>
      <c r="B70" s="22">
        <v>44459</v>
      </c>
      <c r="C70" s="29">
        <v>57</v>
      </c>
      <c r="D70" s="24">
        <v>3861.85</v>
      </c>
      <c r="E70" s="24">
        <v>6934.58</v>
      </c>
      <c r="F70" s="24">
        <v>22401.59</v>
      </c>
      <c r="G70" s="24">
        <v>5602.87</v>
      </c>
      <c r="H70" s="24">
        <v>1899.26</v>
      </c>
      <c r="I70" s="24">
        <v>3581.8</v>
      </c>
      <c r="J70" s="24">
        <v>0</v>
      </c>
      <c r="K70" s="24">
        <v>107.44</v>
      </c>
      <c r="L70" s="24">
        <v>107.44</v>
      </c>
      <c r="M70" s="24">
        <v>790.82</v>
      </c>
      <c r="N70" s="24">
        <v>0</v>
      </c>
      <c r="O70" s="24">
        <v>5905.4</v>
      </c>
      <c r="P70" s="24">
        <v>0</v>
      </c>
      <c r="Q70" s="24">
        <v>0</v>
      </c>
      <c r="R70" s="24">
        <v>9065.57</v>
      </c>
      <c r="S70" s="26">
        <v>6941.84</v>
      </c>
      <c r="T70" s="27">
        <f t="shared" ref="T70:T80" si="4">SUM(D70:S70)</f>
        <v>67200.460000000021</v>
      </c>
      <c r="U70" s="28"/>
    </row>
    <row r="71" spans="1:21" s="59" customFormat="1" x14ac:dyDescent="0.25">
      <c r="A71" s="32" t="s">
        <v>72</v>
      </c>
      <c r="B71" s="22">
        <v>44399</v>
      </c>
      <c r="C71" s="29">
        <v>2</v>
      </c>
      <c r="D71" s="24">
        <v>29.28</v>
      </c>
      <c r="E71" s="24">
        <v>54</v>
      </c>
      <c r="F71" s="24">
        <v>165.6</v>
      </c>
      <c r="G71" s="24">
        <v>29.52</v>
      </c>
      <c r="H71" s="24">
        <v>19.2</v>
      </c>
      <c r="I71" s="24">
        <v>36.24</v>
      </c>
      <c r="J71" s="24">
        <v>0</v>
      </c>
      <c r="K71" s="24">
        <v>0</v>
      </c>
      <c r="L71" s="24">
        <v>0</v>
      </c>
      <c r="M71" s="24">
        <v>7.44</v>
      </c>
      <c r="N71" s="24">
        <v>0</v>
      </c>
      <c r="O71" s="24">
        <v>51.22</v>
      </c>
      <c r="P71" s="24">
        <v>0</v>
      </c>
      <c r="Q71" s="24">
        <v>51.2</v>
      </c>
      <c r="R71" s="24">
        <v>39.25</v>
      </c>
      <c r="S71" s="26">
        <v>59.25</v>
      </c>
      <c r="T71" s="27">
        <f t="shared" si="4"/>
        <v>542.20000000000005</v>
      </c>
      <c r="U71" s="28"/>
    </row>
    <row r="72" spans="1:21" s="59" customFormat="1" x14ac:dyDescent="0.25">
      <c r="A72" s="21" t="s">
        <v>73</v>
      </c>
      <c r="B72" s="22">
        <v>44393</v>
      </c>
      <c r="C72" s="29">
        <v>105</v>
      </c>
      <c r="D72" s="24">
        <v>1039.46</v>
      </c>
      <c r="E72" s="24">
        <v>1558.16</v>
      </c>
      <c r="F72" s="24">
        <v>4004.39</v>
      </c>
      <c r="G72" s="24">
        <v>698.65</v>
      </c>
      <c r="H72" s="24">
        <v>553.79999999999995</v>
      </c>
      <c r="I72" s="24">
        <v>536.78</v>
      </c>
      <c r="J72" s="24"/>
      <c r="K72" s="24">
        <v>401.7</v>
      </c>
      <c r="L72" s="24"/>
      <c r="M72" s="24"/>
      <c r="N72" s="24"/>
      <c r="O72" s="24">
        <v>4500.3</v>
      </c>
      <c r="P72" s="24">
        <v>212</v>
      </c>
      <c r="Q72" s="24"/>
      <c r="R72" s="24">
        <v>6698.84</v>
      </c>
      <c r="S72" s="26">
        <v>4939.4399999999996</v>
      </c>
      <c r="T72" s="27">
        <f t="shared" si="4"/>
        <v>25143.52</v>
      </c>
      <c r="U72" s="28"/>
    </row>
    <row r="73" spans="1:21" s="59" customFormat="1" x14ac:dyDescent="0.25">
      <c r="A73" s="21" t="s">
        <v>74</v>
      </c>
      <c r="B73" s="22">
        <v>44432</v>
      </c>
      <c r="C73" s="29">
        <v>54</v>
      </c>
      <c r="D73" s="24">
        <v>3545.67</v>
      </c>
      <c r="E73" s="24"/>
      <c r="F73" s="24"/>
      <c r="G73" s="24"/>
      <c r="H73" s="24"/>
      <c r="I73" s="24"/>
      <c r="J73" s="24"/>
      <c r="K73" s="24"/>
      <c r="L73" s="24">
        <v>1680</v>
      </c>
      <c r="M73" s="24"/>
      <c r="N73" s="24"/>
      <c r="O73" s="24"/>
      <c r="P73" s="24">
        <v>2840</v>
      </c>
      <c r="Q73" s="24">
        <v>3020</v>
      </c>
      <c r="R73" s="24"/>
      <c r="S73" s="26">
        <v>3099.25</v>
      </c>
      <c r="T73" s="27">
        <f t="shared" si="4"/>
        <v>14184.92</v>
      </c>
      <c r="U73" s="28"/>
    </row>
    <row r="74" spans="1:21" s="59" customFormat="1" x14ac:dyDescent="0.25">
      <c r="A74" s="21" t="s">
        <v>75</v>
      </c>
      <c r="B74" s="22">
        <v>44463</v>
      </c>
      <c r="C74" s="29">
        <v>16</v>
      </c>
      <c r="D74" s="24">
        <v>1147.03</v>
      </c>
      <c r="E74" s="24">
        <v>1118.83</v>
      </c>
      <c r="F74" s="24">
        <v>4240.32</v>
      </c>
      <c r="G74" s="24">
        <v>0</v>
      </c>
      <c r="H74" s="24">
        <v>282.06</v>
      </c>
      <c r="I74" s="24">
        <v>479.52</v>
      </c>
      <c r="J74" s="24">
        <v>0</v>
      </c>
      <c r="K74" s="24">
        <v>845.2</v>
      </c>
      <c r="L74" s="24">
        <v>0</v>
      </c>
      <c r="M74" s="24">
        <v>146.66999999999999</v>
      </c>
      <c r="N74" s="24">
        <v>0</v>
      </c>
      <c r="O74" s="24">
        <v>1194.52</v>
      </c>
      <c r="P74" s="24">
        <v>128</v>
      </c>
      <c r="Q74" s="24">
        <v>1442.76</v>
      </c>
      <c r="R74" s="24">
        <v>1956.46</v>
      </c>
      <c r="S74" s="26">
        <v>1210.24</v>
      </c>
      <c r="T74" s="27">
        <f t="shared" si="4"/>
        <v>14191.609999999999</v>
      </c>
      <c r="U74" s="28"/>
    </row>
    <row r="75" spans="1:21" s="59" customFormat="1" x14ac:dyDescent="0.25">
      <c r="A75" s="21" t="s">
        <v>76</v>
      </c>
      <c r="B75" s="22">
        <v>44426</v>
      </c>
      <c r="C75" s="29">
        <v>37</v>
      </c>
      <c r="D75" s="24">
        <v>2834.75</v>
      </c>
      <c r="E75" s="24">
        <v>3020.66</v>
      </c>
      <c r="F75" s="24">
        <v>12863.46</v>
      </c>
      <c r="G75" s="24">
        <v>2137.6799999999998</v>
      </c>
      <c r="H75" s="24">
        <v>580.9</v>
      </c>
      <c r="I75" s="24">
        <v>1113.47</v>
      </c>
      <c r="J75" s="24">
        <v>0</v>
      </c>
      <c r="K75" s="24">
        <v>0</v>
      </c>
      <c r="L75" s="24">
        <v>154.28</v>
      </c>
      <c r="M75" s="24">
        <v>349.46</v>
      </c>
      <c r="N75" s="24">
        <v>0</v>
      </c>
      <c r="O75" s="24">
        <v>3330.81</v>
      </c>
      <c r="P75" s="24">
        <v>333</v>
      </c>
      <c r="Q75" s="24">
        <v>3740.05</v>
      </c>
      <c r="R75" s="24">
        <v>5432.95</v>
      </c>
      <c r="S75" s="26">
        <v>3234.46</v>
      </c>
      <c r="T75" s="27">
        <f t="shared" si="4"/>
        <v>39125.93</v>
      </c>
      <c r="U75" s="28"/>
    </row>
    <row r="76" spans="1:21" s="59" customFormat="1" x14ac:dyDescent="0.25">
      <c r="A76" s="21" t="s">
        <v>77</v>
      </c>
      <c r="B76" s="22">
        <v>44433</v>
      </c>
      <c r="C76" s="29">
        <v>11</v>
      </c>
      <c r="D76" s="24">
        <v>1419.27</v>
      </c>
      <c r="E76" s="24">
        <v>1337.84</v>
      </c>
      <c r="F76" s="24">
        <v>5200.13</v>
      </c>
      <c r="G76" s="24">
        <v>523.52</v>
      </c>
      <c r="H76" s="24">
        <v>349</v>
      </c>
      <c r="I76" s="24">
        <v>445.81</v>
      </c>
      <c r="J76" s="24">
        <v>0</v>
      </c>
      <c r="K76" s="24">
        <v>182.24</v>
      </c>
      <c r="L76" s="24"/>
      <c r="M76" s="24">
        <v>0</v>
      </c>
      <c r="N76" s="24">
        <v>872.52</v>
      </c>
      <c r="O76" s="24">
        <v>1593.02</v>
      </c>
      <c r="P76" s="24">
        <v>114</v>
      </c>
      <c r="Q76" s="24">
        <v>1676.92</v>
      </c>
      <c r="R76" s="24">
        <v>2396.34</v>
      </c>
      <c r="S76" s="26">
        <v>1388.2</v>
      </c>
      <c r="T76" s="27">
        <f t="shared" si="4"/>
        <v>17498.810000000001</v>
      </c>
      <c r="U76" s="28"/>
    </row>
    <row r="77" spans="1:21" s="59" customFormat="1" x14ac:dyDescent="0.25">
      <c r="A77" s="21" t="s">
        <v>78</v>
      </c>
      <c r="B77" s="22">
        <v>44420</v>
      </c>
      <c r="C77" s="29">
        <v>140</v>
      </c>
      <c r="D77" s="65">
        <v>21136.95</v>
      </c>
      <c r="E77" s="65">
        <v>22391.65</v>
      </c>
      <c r="F77" s="65">
        <v>65339.54</v>
      </c>
      <c r="G77" s="65">
        <v>10568.52</v>
      </c>
      <c r="H77" s="65">
        <v>4158.07</v>
      </c>
      <c r="I77" s="65">
        <v>7080.89</v>
      </c>
      <c r="J77" s="65">
        <v>2079.04</v>
      </c>
      <c r="K77" s="65">
        <v>7327.97</v>
      </c>
      <c r="L77" s="65"/>
      <c r="M77" s="65"/>
      <c r="N77" s="65"/>
      <c r="O77" s="65">
        <v>17042.82</v>
      </c>
      <c r="P77" s="65"/>
      <c r="Q77" s="65"/>
      <c r="R77" s="65">
        <v>27456.55</v>
      </c>
      <c r="S77" s="65">
        <v>15688.2</v>
      </c>
      <c r="T77" s="66">
        <f t="shared" si="4"/>
        <v>200270.2</v>
      </c>
      <c r="U77" s="28"/>
    </row>
    <row r="78" spans="1:21" s="59" customFormat="1" x14ac:dyDescent="0.25">
      <c r="A78" s="21" t="s">
        <v>79</v>
      </c>
      <c r="B78" s="22">
        <v>44439</v>
      </c>
      <c r="C78" s="29">
        <v>33</v>
      </c>
      <c r="D78" s="65">
        <v>1850.74</v>
      </c>
      <c r="E78" s="65">
        <v>1334.96</v>
      </c>
      <c r="F78" s="65">
        <v>6037.66</v>
      </c>
      <c r="G78" s="65">
        <v>1077.06</v>
      </c>
      <c r="H78" s="65">
        <v>606</v>
      </c>
      <c r="I78" s="65">
        <v>529.73</v>
      </c>
      <c r="J78" s="65"/>
      <c r="K78" s="65">
        <v>1517</v>
      </c>
      <c r="L78" s="65">
        <v>6.18</v>
      </c>
      <c r="M78" s="65">
        <v>257.89999999999998</v>
      </c>
      <c r="N78" s="65">
        <v>0</v>
      </c>
      <c r="O78" s="65">
        <v>1934.67</v>
      </c>
      <c r="P78" s="65">
        <v>330</v>
      </c>
      <c r="Q78" s="65">
        <v>2145.54</v>
      </c>
      <c r="R78" s="65">
        <v>3138.69</v>
      </c>
      <c r="S78" s="65">
        <v>2031.34</v>
      </c>
      <c r="T78" s="66">
        <f t="shared" si="4"/>
        <v>22797.469999999998</v>
      </c>
      <c r="U78" s="28"/>
    </row>
    <row r="79" spans="1:21" s="59" customFormat="1" x14ac:dyDescent="0.25">
      <c r="A79" s="21" t="s">
        <v>80</v>
      </c>
      <c r="B79" s="22">
        <v>44431</v>
      </c>
      <c r="C79" s="29">
        <v>9</v>
      </c>
      <c r="D79" s="65">
        <v>807.24</v>
      </c>
      <c r="E79" s="65">
        <v>1025</v>
      </c>
      <c r="F79" s="65">
        <v>3824.46</v>
      </c>
      <c r="G79" s="65">
        <v>251.43</v>
      </c>
      <c r="H79" s="65">
        <v>344.06</v>
      </c>
      <c r="I79" s="65">
        <v>223.11</v>
      </c>
      <c r="J79" s="65">
        <v>0</v>
      </c>
      <c r="K79" s="65">
        <v>160</v>
      </c>
      <c r="L79" s="65">
        <v>148.22</v>
      </c>
      <c r="M79" s="65">
        <v>86.02</v>
      </c>
      <c r="N79" s="65">
        <v>0</v>
      </c>
      <c r="O79" s="65">
        <v>1041.3699999999999</v>
      </c>
      <c r="P79" s="65">
        <v>162</v>
      </c>
      <c r="Q79" s="65">
        <v>1116.94</v>
      </c>
      <c r="R79" s="65">
        <v>1615.41</v>
      </c>
      <c r="S79" s="65">
        <v>933.71</v>
      </c>
      <c r="T79" s="66">
        <f t="shared" si="4"/>
        <v>11738.970000000001</v>
      </c>
      <c r="U79" s="28"/>
    </row>
    <row r="80" spans="1:21" s="59" customFormat="1" x14ac:dyDescent="0.25">
      <c r="A80" s="21" t="s">
        <v>81</v>
      </c>
      <c r="B80" s="22">
        <v>44419</v>
      </c>
      <c r="C80" s="29">
        <v>171</v>
      </c>
      <c r="D80" s="65">
        <v>13551.25</v>
      </c>
      <c r="E80" s="65">
        <v>8886.2000000000007</v>
      </c>
      <c r="F80" s="65">
        <v>76177.58</v>
      </c>
      <c r="G80" s="65">
        <v>6331.44</v>
      </c>
      <c r="H80" s="65">
        <v>5553.79</v>
      </c>
      <c r="I80" s="65">
        <v>1968.28</v>
      </c>
      <c r="J80" s="65"/>
      <c r="K80" s="65"/>
      <c r="L80" s="65"/>
      <c r="M80" s="65">
        <v>85</v>
      </c>
      <c r="N80" s="65">
        <v>5331.73</v>
      </c>
      <c r="O80" s="65">
        <v>16159.32</v>
      </c>
      <c r="P80" s="65">
        <v>1710</v>
      </c>
      <c r="Q80" s="65">
        <v>19080.03</v>
      </c>
      <c r="R80" s="65">
        <v>27734.9</v>
      </c>
      <c r="S80" s="65">
        <v>16261.71</v>
      </c>
      <c r="T80" s="66">
        <f t="shared" si="4"/>
        <v>198831.22999999998</v>
      </c>
      <c r="U80" s="28"/>
    </row>
    <row r="81" spans="1:21" s="59" customFormat="1" x14ac:dyDescent="0.25">
      <c r="A81" s="21" t="s">
        <v>82</v>
      </c>
      <c r="B81" s="22">
        <v>44428</v>
      </c>
      <c r="C81" s="29">
        <v>129</v>
      </c>
      <c r="D81" s="65">
        <v>2424.89</v>
      </c>
      <c r="E81" s="65">
        <v>9342.08</v>
      </c>
      <c r="F81" s="65">
        <v>12144.77</v>
      </c>
      <c r="G81" s="65">
        <v>2683.58</v>
      </c>
      <c r="H81" s="65">
        <v>1987.68</v>
      </c>
      <c r="I81" s="65">
        <v>2385.21</v>
      </c>
      <c r="J81" s="65">
        <v>0</v>
      </c>
      <c r="K81" s="65">
        <v>63.82</v>
      </c>
      <c r="L81" s="65"/>
      <c r="M81" s="65">
        <v>357.85</v>
      </c>
      <c r="N81" s="65">
        <v>0</v>
      </c>
      <c r="O81" s="65">
        <v>4887.1400000000003</v>
      </c>
      <c r="P81" s="65">
        <v>3741</v>
      </c>
      <c r="Q81" s="65">
        <v>5109.8599999999997</v>
      </c>
      <c r="R81" s="65">
        <v>7558</v>
      </c>
      <c r="S81" s="65">
        <v>4940.0200000000004</v>
      </c>
      <c r="T81" s="66">
        <f t="shared" ref="T81:T86" si="5">SUM(D81:S81)</f>
        <v>57625.899999999994</v>
      </c>
      <c r="U81" s="28"/>
    </row>
    <row r="82" spans="1:21" s="59" customFormat="1" x14ac:dyDescent="0.25">
      <c r="A82" s="21" t="s">
        <v>83</v>
      </c>
      <c r="B82" s="22">
        <v>44496</v>
      </c>
      <c r="C82" s="29">
        <v>33</v>
      </c>
      <c r="D82" s="65">
        <v>2460.08</v>
      </c>
      <c r="E82" s="65">
        <v>2198.44</v>
      </c>
      <c r="F82" s="65">
        <v>11937.57</v>
      </c>
      <c r="G82" s="65">
        <v>1048.55</v>
      </c>
      <c r="H82" s="65">
        <v>604.94000000000005</v>
      </c>
      <c r="I82" s="65">
        <v>682.18</v>
      </c>
      <c r="J82" s="65">
        <v>0</v>
      </c>
      <c r="K82" s="65">
        <v>2.2799999999999998</v>
      </c>
      <c r="L82" s="65">
        <v>221.84</v>
      </c>
      <c r="M82" s="65">
        <v>0</v>
      </c>
      <c r="N82" s="65">
        <v>0</v>
      </c>
      <c r="O82" s="65">
        <v>2411.5100000000002</v>
      </c>
      <c r="P82" s="65">
        <v>66</v>
      </c>
      <c r="Q82" s="65"/>
      <c r="R82" s="65">
        <v>3738.32</v>
      </c>
      <c r="S82" s="65">
        <v>2364.14</v>
      </c>
      <c r="T82" s="66">
        <f t="shared" si="5"/>
        <v>27735.85</v>
      </c>
      <c r="U82" s="28"/>
    </row>
    <row r="83" spans="1:21" s="59" customFormat="1" x14ac:dyDescent="0.25">
      <c r="A83" s="21" t="s">
        <v>84</v>
      </c>
      <c r="B83" s="22">
        <v>44399</v>
      </c>
      <c r="C83" s="29">
        <v>78</v>
      </c>
      <c r="D83" s="65">
        <v>7560.27</v>
      </c>
      <c r="E83" s="65">
        <v>5825.17</v>
      </c>
      <c r="F83" s="65">
        <v>29373.58</v>
      </c>
      <c r="G83" s="65">
        <v>5825.17</v>
      </c>
      <c r="H83" s="65">
        <v>4492.9399999999996</v>
      </c>
      <c r="I83" s="65">
        <v>1084.6199999999999</v>
      </c>
      <c r="J83" s="65">
        <v>2354.84</v>
      </c>
      <c r="K83" s="65">
        <v>3372.36</v>
      </c>
      <c r="L83" s="65"/>
      <c r="M83" s="65">
        <v>353.33</v>
      </c>
      <c r="N83" s="65">
        <v>423.74</v>
      </c>
      <c r="O83" s="65">
        <v>8538.6200000000008</v>
      </c>
      <c r="P83" s="65">
        <v>158</v>
      </c>
      <c r="Q83" s="65">
        <v>4442.78</v>
      </c>
      <c r="R83" s="65">
        <v>13021.73</v>
      </c>
      <c r="S83" s="65">
        <v>7300.93</v>
      </c>
      <c r="T83" s="66">
        <f t="shared" si="5"/>
        <v>94128.080000000016</v>
      </c>
      <c r="U83" s="28"/>
    </row>
    <row r="84" spans="1:21" s="59" customFormat="1" x14ac:dyDescent="0.25">
      <c r="A84" s="21" t="s">
        <v>85</v>
      </c>
      <c r="B84" s="22">
        <v>44454</v>
      </c>
      <c r="C84" s="29">
        <v>6</v>
      </c>
      <c r="D84" s="65">
        <v>1038.22</v>
      </c>
      <c r="E84" s="65">
        <v>978.65</v>
      </c>
      <c r="F84" s="65">
        <v>6884.54</v>
      </c>
      <c r="G84" s="65">
        <v>927.59</v>
      </c>
      <c r="H84" s="65">
        <v>340.4</v>
      </c>
      <c r="I84" s="65">
        <v>735.08</v>
      </c>
      <c r="J84" s="65">
        <v>0</v>
      </c>
      <c r="K84" s="65">
        <v>180</v>
      </c>
      <c r="L84" s="65">
        <v>255</v>
      </c>
      <c r="M84" s="65">
        <v>0</v>
      </c>
      <c r="N84" s="65">
        <v>0</v>
      </c>
      <c r="O84" s="65">
        <v>1673.95</v>
      </c>
      <c r="P84" s="65">
        <v>35</v>
      </c>
      <c r="Q84" s="65">
        <v>2171.83</v>
      </c>
      <c r="R84" s="65">
        <v>2663.27</v>
      </c>
      <c r="S84" s="65">
        <v>1430.64</v>
      </c>
      <c r="T84" s="66">
        <f t="shared" si="5"/>
        <v>19314.169999999998</v>
      </c>
      <c r="U84" s="28"/>
    </row>
    <row r="85" spans="1:21" s="59" customFormat="1" x14ac:dyDescent="0.25">
      <c r="A85" s="21" t="s">
        <v>86</v>
      </c>
      <c r="B85" s="22">
        <v>44407</v>
      </c>
      <c r="C85" s="29">
        <v>36</v>
      </c>
      <c r="D85" s="65">
        <v>2102.9499999999998</v>
      </c>
      <c r="E85" s="65">
        <v>3912.86</v>
      </c>
      <c r="F85" s="65">
        <v>9411.56</v>
      </c>
      <c r="G85" s="65">
        <v>1154.8900000000001</v>
      </c>
      <c r="H85" s="65">
        <v>1292.79</v>
      </c>
      <c r="I85" s="65">
        <v>682.61</v>
      </c>
      <c r="J85" s="65"/>
      <c r="K85" s="65"/>
      <c r="L85" s="65">
        <v>1716.78</v>
      </c>
      <c r="M85" s="65"/>
      <c r="N85" s="65"/>
      <c r="O85" s="65">
        <v>3043.89</v>
      </c>
      <c r="P85" s="65">
        <v>936</v>
      </c>
      <c r="Q85" s="65">
        <v>3041.28</v>
      </c>
      <c r="R85" s="65">
        <v>4702.75</v>
      </c>
      <c r="S85" s="65">
        <v>2871.57</v>
      </c>
      <c r="T85" s="66">
        <f t="shared" si="5"/>
        <v>34869.93</v>
      </c>
      <c r="U85" s="28"/>
    </row>
    <row r="86" spans="1:21" s="59" customFormat="1" x14ac:dyDescent="0.25">
      <c r="A86" s="21" t="s">
        <v>87</v>
      </c>
      <c r="B86" s="22">
        <v>44427</v>
      </c>
      <c r="C86" s="29">
        <v>67</v>
      </c>
      <c r="D86" s="65">
        <v>3855.46</v>
      </c>
      <c r="E86" s="65">
        <v>6826.02</v>
      </c>
      <c r="F86" s="65">
        <v>18803.2</v>
      </c>
      <c r="G86" s="65">
        <v>3096.98</v>
      </c>
      <c r="H86" s="65">
        <v>853.23</v>
      </c>
      <c r="I86" s="65">
        <v>979.64</v>
      </c>
      <c r="J86" s="65"/>
      <c r="K86" s="65">
        <v>2179.54</v>
      </c>
      <c r="L86" s="65">
        <v>942.8</v>
      </c>
      <c r="M86" s="65">
        <v>253.22</v>
      </c>
      <c r="N86" s="65">
        <v>1117.5</v>
      </c>
      <c r="O86" s="65">
        <v>5927.77</v>
      </c>
      <c r="P86" s="65">
        <v>603</v>
      </c>
      <c r="Q86" s="65">
        <v>6327.1</v>
      </c>
      <c r="R86" s="65">
        <v>9180.94</v>
      </c>
      <c r="S86" s="65">
        <v>5528.51</v>
      </c>
      <c r="T86" s="66">
        <f t="shared" si="5"/>
        <v>66474.91</v>
      </c>
      <c r="U86" s="28"/>
    </row>
    <row r="87" spans="1:21" s="59" customFormat="1" x14ac:dyDescent="0.25">
      <c r="A87" s="21" t="s">
        <v>88</v>
      </c>
      <c r="B87" s="22">
        <v>44439</v>
      </c>
      <c r="C87" s="29">
        <v>2</v>
      </c>
      <c r="D87" s="65">
        <v>124.68</v>
      </c>
      <c r="E87" s="65">
        <v>124.68</v>
      </c>
      <c r="F87" s="65">
        <v>554.94000000000005</v>
      </c>
      <c r="G87" s="65">
        <v>106.03</v>
      </c>
      <c r="H87" s="65">
        <v>81.760000000000005</v>
      </c>
      <c r="I87" s="65">
        <v>67.97</v>
      </c>
      <c r="J87" s="65">
        <v>0</v>
      </c>
      <c r="K87" s="65">
        <v>88.91</v>
      </c>
      <c r="L87" s="65">
        <v>0.2</v>
      </c>
      <c r="M87" s="65">
        <v>59.28</v>
      </c>
      <c r="N87" s="65">
        <v>94.02</v>
      </c>
      <c r="O87" s="65">
        <v>199.24</v>
      </c>
      <c r="P87" s="65">
        <v>12</v>
      </c>
      <c r="Q87" s="65">
        <v>211.88</v>
      </c>
      <c r="R87" s="65">
        <v>306.92</v>
      </c>
      <c r="S87" s="65">
        <v>181.46</v>
      </c>
      <c r="T87" s="66">
        <f>SUM(D87:S87)</f>
        <v>2213.9700000000003</v>
      </c>
      <c r="U87" s="28"/>
    </row>
    <row r="88" spans="1:21" s="59" customFormat="1" x14ac:dyDescent="0.25">
      <c r="A88" s="21" t="s">
        <v>89</v>
      </c>
      <c r="B88" s="22">
        <v>44398</v>
      </c>
      <c r="C88" s="29">
        <v>63</v>
      </c>
      <c r="D88" s="65">
        <v>9500.49</v>
      </c>
      <c r="E88" s="65">
        <v>9733.49</v>
      </c>
      <c r="F88" s="65">
        <v>50681</v>
      </c>
      <c r="G88" s="65">
        <v>6075.38</v>
      </c>
      <c r="H88" s="65">
        <v>3893.66</v>
      </c>
      <c r="I88" s="65">
        <v>3192.82</v>
      </c>
      <c r="J88" s="65"/>
      <c r="K88" s="65">
        <v>2441.34</v>
      </c>
      <c r="L88" s="65"/>
      <c r="M88" s="65">
        <v>545.11</v>
      </c>
      <c r="N88" s="65"/>
      <c r="O88" s="65">
        <v>12456.16</v>
      </c>
      <c r="P88" s="65">
        <v>1174</v>
      </c>
      <c r="Q88" s="65">
        <v>12986.03</v>
      </c>
      <c r="R88" s="65">
        <v>19977.400000000001</v>
      </c>
      <c r="S88" s="65">
        <v>11164.97</v>
      </c>
      <c r="T88" s="66">
        <f>SUM(D88:S88)</f>
        <v>143821.85</v>
      </c>
      <c r="U88" s="28"/>
    </row>
    <row r="89" spans="1:21" s="59" customFormat="1" x14ac:dyDescent="0.25">
      <c r="A89" s="21" t="s">
        <v>90</v>
      </c>
      <c r="B89" s="22">
        <v>44453</v>
      </c>
      <c r="C89" s="29">
        <v>80</v>
      </c>
      <c r="D89" s="65">
        <v>2316.77</v>
      </c>
      <c r="E89" s="65">
        <v>1709.07</v>
      </c>
      <c r="F89" s="65">
        <v>10102.61</v>
      </c>
      <c r="G89" s="65">
        <v>2411.71</v>
      </c>
      <c r="H89" s="65"/>
      <c r="I89" s="65">
        <v>2057.0100000000002</v>
      </c>
      <c r="J89" s="65">
        <v>0</v>
      </c>
      <c r="K89" s="65">
        <v>2030</v>
      </c>
      <c r="L89" s="65">
        <v>4.9400000000000004</v>
      </c>
      <c r="M89" s="65">
        <v>303.83999999999997</v>
      </c>
      <c r="N89" s="65">
        <v>1158.4000000000001</v>
      </c>
      <c r="O89" s="65">
        <v>3426.85</v>
      </c>
      <c r="P89" s="65">
        <v>1920</v>
      </c>
      <c r="Q89" s="65">
        <v>3873.28</v>
      </c>
      <c r="R89" s="65">
        <v>5193.51</v>
      </c>
      <c r="S89" s="65">
        <v>3796.82</v>
      </c>
      <c r="T89" s="66">
        <f>SUM(D89:S89)</f>
        <v>40304.81</v>
      </c>
      <c r="U89" s="28"/>
    </row>
    <row r="90" spans="1:21" s="59" customFormat="1" x14ac:dyDescent="0.25">
      <c r="A90" s="21" t="s">
        <v>91</v>
      </c>
      <c r="B90" s="22">
        <v>44447</v>
      </c>
      <c r="C90" s="29">
        <v>45</v>
      </c>
      <c r="D90" s="65">
        <v>1639.71</v>
      </c>
      <c r="E90" s="65">
        <v>943.29</v>
      </c>
      <c r="F90" s="65">
        <v>6100.08</v>
      </c>
      <c r="G90" s="65">
        <v>603.66999999999996</v>
      </c>
      <c r="H90" s="65">
        <v>537.62</v>
      </c>
      <c r="I90" s="65">
        <v>583.16</v>
      </c>
      <c r="J90" s="65"/>
      <c r="K90" s="65">
        <v>0</v>
      </c>
      <c r="L90" s="65">
        <v>2.1</v>
      </c>
      <c r="M90" s="65">
        <v>191.63</v>
      </c>
      <c r="N90" s="65">
        <v>787.81</v>
      </c>
      <c r="O90" s="65">
        <v>1732.72</v>
      </c>
      <c r="P90" s="65">
        <v>438</v>
      </c>
      <c r="Q90" s="65">
        <v>2708.78</v>
      </c>
      <c r="R90" s="65">
        <v>2903.58</v>
      </c>
      <c r="S90" s="65">
        <v>2084.79</v>
      </c>
      <c r="T90" s="66">
        <f>SUM(C90:S90)</f>
        <v>21301.940000000002</v>
      </c>
      <c r="U90" s="28"/>
    </row>
    <row r="91" spans="1:21" s="59" customFormat="1" x14ac:dyDescent="0.25">
      <c r="A91" s="21" t="s">
        <v>92</v>
      </c>
      <c r="B91" s="22">
        <v>44424</v>
      </c>
      <c r="C91" s="29">
        <v>72</v>
      </c>
      <c r="D91" s="65">
        <v>6388.14</v>
      </c>
      <c r="E91" s="65">
        <v>3717.75</v>
      </c>
      <c r="F91" s="65">
        <v>27385.34</v>
      </c>
      <c r="G91" s="65">
        <v>4293.66</v>
      </c>
      <c r="H91" s="65">
        <v>3141.72</v>
      </c>
      <c r="I91" s="65">
        <v>2722.8</v>
      </c>
      <c r="J91" s="65">
        <v>0</v>
      </c>
      <c r="K91" s="65">
        <v>3097.72</v>
      </c>
      <c r="L91" s="65">
        <v>1.2</v>
      </c>
      <c r="M91" s="65"/>
      <c r="N91" s="65">
        <v>4188.96</v>
      </c>
      <c r="O91" s="65">
        <v>8112.57</v>
      </c>
      <c r="P91" s="65">
        <v>360</v>
      </c>
      <c r="Q91" s="65">
        <v>8920.92</v>
      </c>
      <c r="R91" s="65">
        <v>12915.64</v>
      </c>
      <c r="S91" s="65">
        <v>7465.82</v>
      </c>
      <c r="T91" s="66">
        <f>SUM(D91:S91)</f>
        <v>92712.239999999991</v>
      </c>
      <c r="U91" s="28"/>
    </row>
    <row r="92" spans="1:21" s="59" customFormat="1" x14ac:dyDescent="0.25">
      <c r="A92" s="21" t="s">
        <v>93</v>
      </c>
      <c r="B92" s="22">
        <v>44419</v>
      </c>
      <c r="C92" s="29">
        <v>54</v>
      </c>
      <c r="D92" s="65">
        <v>2424.89</v>
      </c>
      <c r="E92" s="65">
        <v>1192.57</v>
      </c>
      <c r="F92" s="65">
        <v>12343.08</v>
      </c>
      <c r="G92" s="65">
        <v>2385.14</v>
      </c>
      <c r="H92" s="65">
        <v>1987.62</v>
      </c>
      <c r="I92" s="65">
        <v>2288.5500000000002</v>
      </c>
      <c r="J92" s="65"/>
      <c r="K92" s="65">
        <v>38.229999999999997</v>
      </c>
      <c r="L92" s="65"/>
      <c r="M92" s="65">
        <v>377.68</v>
      </c>
      <c r="N92" s="65">
        <v>1927.96</v>
      </c>
      <c r="O92" s="65">
        <v>2361.8200000000002</v>
      </c>
      <c r="P92" s="65"/>
      <c r="Q92" s="65"/>
      <c r="R92" s="65">
        <v>4993.1400000000003</v>
      </c>
      <c r="S92" s="65"/>
      <c r="T92" s="66"/>
      <c r="U92" s="28"/>
    </row>
    <row r="93" spans="1:21" s="59" customFormat="1" x14ac:dyDescent="0.25">
      <c r="A93" s="21" t="s">
        <v>94</v>
      </c>
      <c r="B93" s="22">
        <v>44425</v>
      </c>
      <c r="C93" s="29">
        <v>56</v>
      </c>
      <c r="D93" s="65">
        <v>6612.93</v>
      </c>
      <c r="E93" s="65">
        <v>6341.97</v>
      </c>
      <c r="F93" s="65">
        <v>29975.13</v>
      </c>
      <c r="G93" s="65">
        <v>6233.47</v>
      </c>
      <c r="H93" s="65">
        <v>2168.1799999999998</v>
      </c>
      <c r="I93" s="65">
        <v>1170.27</v>
      </c>
      <c r="J93" s="65"/>
      <c r="K93" s="65"/>
      <c r="L93" s="65">
        <v>851.66</v>
      </c>
      <c r="M93" s="65">
        <v>281.87</v>
      </c>
      <c r="N93" s="65"/>
      <c r="O93" s="65">
        <v>7912.75</v>
      </c>
      <c r="P93" s="65">
        <v>162</v>
      </c>
      <c r="Q93" s="65">
        <v>8683.4500000000007</v>
      </c>
      <c r="R93" s="65">
        <v>12483.78</v>
      </c>
      <c r="S93" s="65">
        <v>7059.74</v>
      </c>
      <c r="T93" s="66">
        <f t="shared" ref="T93:T98" si="6">SUM(D93:S93)</f>
        <v>89937.200000000012</v>
      </c>
      <c r="U93" s="28"/>
    </row>
    <row r="94" spans="1:21" s="59" customFormat="1" x14ac:dyDescent="0.25">
      <c r="A94" s="21" t="s">
        <v>95</v>
      </c>
      <c r="B94" s="22">
        <v>44399</v>
      </c>
      <c r="C94" s="29">
        <v>72</v>
      </c>
      <c r="D94" s="65">
        <v>7837.04</v>
      </c>
      <c r="E94" s="65">
        <v>8929.07</v>
      </c>
      <c r="F94" s="65">
        <v>28845.81</v>
      </c>
      <c r="G94" s="65">
        <v>4496.67</v>
      </c>
      <c r="H94" s="65">
        <v>0</v>
      </c>
      <c r="I94" s="65">
        <v>648.84</v>
      </c>
      <c r="J94" s="65"/>
      <c r="K94" s="65">
        <v>2030</v>
      </c>
      <c r="L94" s="65">
        <v>759.01</v>
      </c>
      <c r="M94" s="65">
        <v>334.02</v>
      </c>
      <c r="N94" s="65"/>
      <c r="O94" s="65">
        <v>7836.52</v>
      </c>
      <c r="P94" s="65">
        <v>1296</v>
      </c>
      <c r="Q94" s="65">
        <v>14455.08</v>
      </c>
      <c r="R94" s="65">
        <v>12700</v>
      </c>
      <c r="S94" s="65">
        <v>9128.33</v>
      </c>
      <c r="T94" s="66">
        <f t="shared" si="6"/>
        <v>99296.39</v>
      </c>
      <c r="U94" s="28"/>
    </row>
    <row r="95" spans="1:21" s="59" customFormat="1" x14ac:dyDescent="0.25">
      <c r="A95" s="21" t="s">
        <v>96</v>
      </c>
      <c r="B95" s="22">
        <v>44391</v>
      </c>
      <c r="C95" s="29">
        <v>12</v>
      </c>
      <c r="D95" s="65">
        <v>1008.88</v>
      </c>
      <c r="E95" s="65">
        <v>1223.3399999999999</v>
      </c>
      <c r="F95" s="65">
        <v>3315.08</v>
      </c>
      <c r="G95" s="65">
        <v>726.93</v>
      </c>
      <c r="H95" s="65">
        <v>413.47</v>
      </c>
      <c r="I95" s="65">
        <v>336.05</v>
      </c>
      <c r="J95" s="65"/>
      <c r="K95" s="65">
        <v>420.59</v>
      </c>
      <c r="L95" s="65"/>
      <c r="M95" s="65">
        <v>124.05</v>
      </c>
      <c r="N95" s="65"/>
      <c r="O95" s="65">
        <v>1162.2</v>
      </c>
      <c r="P95" s="65">
        <v>96</v>
      </c>
      <c r="Q95" s="65">
        <v>1166.43</v>
      </c>
      <c r="R95" s="65">
        <v>1746.98</v>
      </c>
      <c r="S95" s="65">
        <v>1053.48</v>
      </c>
      <c r="T95" s="66">
        <f t="shared" si="6"/>
        <v>12793.48</v>
      </c>
      <c r="U95" s="28"/>
    </row>
    <row r="96" spans="1:21" s="59" customFormat="1" x14ac:dyDescent="0.25">
      <c r="A96" s="21" t="s">
        <v>97</v>
      </c>
      <c r="B96" s="22">
        <v>44490</v>
      </c>
      <c r="C96" s="29">
        <v>36</v>
      </c>
      <c r="D96" s="65">
        <v>1963.31</v>
      </c>
      <c r="E96" s="65">
        <v>1223.07</v>
      </c>
      <c r="F96" s="65">
        <v>8786.75</v>
      </c>
      <c r="G96" s="65">
        <v>1544.92</v>
      </c>
      <c r="H96" s="65">
        <v>724.18</v>
      </c>
      <c r="I96" s="65">
        <v>705.51</v>
      </c>
      <c r="J96" s="65">
        <v>0</v>
      </c>
      <c r="K96" s="65">
        <v>0</v>
      </c>
      <c r="L96" s="65">
        <v>45.32</v>
      </c>
      <c r="M96" s="65">
        <v>144.82</v>
      </c>
      <c r="N96" s="65">
        <v>0</v>
      </c>
      <c r="O96" s="65">
        <v>2179.5100000000002</v>
      </c>
      <c r="P96" s="65">
        <v>180</v>
      </c>
      <c r="Q96" s="65">
        <v>2831.99</v>
      </c>
      <c r="R96" s="65">
        <v>3666.01</v>
      </c>
      <c r="S96" s="65">
        <v>2336.96</v>
      </c>
      <c r="T96" s="66">
        <f t="shared" si="6"/>
        <v>26332.35</v>
      </c>
      <c r="U96" s="28"/>
    </row>
    <row r="97" spans="1:21" s="59" customFormat="1" x14ac:dyDescent="0.25">
      <c r="A97" s="21" t="s">
        <v>98</v>
      </c>
      <c r="B97" s="22">
        <v>44406</v>
      </c>
      <c r="C97" s="29">
        <v>58</v>
      </c>
      <c r="D97" s="65">
        <v>17452.810000000001</v>
      </c>
      <c r="E97" s="65">
        <v>12447.58</v>
      </c>
      <c r="F97" s="65">
        <v>82325.05</v>
      </c>
      <c r="G97" s="65">
        <v>5865.3</v>
      </c>
      <c r="H97" s="65">
        <v>3576.39</v>
      </c>
      <c r="I97" s="65">
        <v>1949.12</v>
      </c>
      <c r="J97" s="65">
        <v>0</v>
      </c>
      <c r="K97" s="65">
        <v>14538.37</v>
      </c>
      <c r="L97" s="65">
        <v>32044.560000000001</v>
      </c>
      <c r="M97" s="65">
        <v>1664.74</v>
      </c>
      <c r="N97" s="65">
        <v>6780.86</v>
      </c>
      <c r="O97" s="65">
        <v>24004.54</v>
      </c>
      <c r="P97" s="65">
        <v>1373</v>
      </c>
      <c r="Q97" s="65">
        <v>27860.75</v>
      </c>
      <c r="R97" s="65">
        <v>41489.1</v>
      </c>
      <c r="S97" s="65">
        <v>22060.57</v>
      </c>
      <c r="T97" s="66">
        <f t="shared" si="6"/>
        <v>295432.74</v>
      </c>
      <c r="U97" s="28"/>
    </row>
    <row r="98" spans="1:21" s="59" customFormat="1" x14ac:dyDescent="0.25">
      <c r="A98" s="21" t="s">
        <v>99</v>
      </c>
      <c r="B98" s="22">
        <v>44398</v>
      </c>
      <c r="C98" s="29">
        <v>33</v>
      </c>
      <c r="D98" s="65">
        <v>6052.74</v>
      </c>
      <c r="E98" s="65">
        <v>6201.64</v>
      </c>
      <c r="F98" s="65">
        <v>34431.15</v>
      </c>
      <c r="G98" s="65">
        <v>5407.76</v>
      </c>
      <c r="H98" s="65">
        <v>2778.29</v>
      </c>
      <c r="I98" s="65">
        <v>2612.11</v>
      </c>
      <c r="J98" s="65"/>
      <c r="K98" s="65">
        <v>1285.48</v>
      </c>
      <c r="L98" s="65"/>
      <c r="M98" s="65">
        <v>793.79</v>
      </c>
      <c r="N98" s="65"/>
      <c r="O98" s="65"/>
      <c r="P98" s="65">
        <v>525</v>
      </c>
      <c r="Q98" s="65"/>
      <c r="R98" s="65">
        <v>11982.91</v>
      </c>
      <c r="S98" s="65">
        <v>14019.13</v>
      </c>
      <c r="T98" s="66">
        <f t="shared" si="6"/>
        <v>86090.000000000015</v>
      </c>
      <c r="U98" s="28" t="s">
        <v>161</v>
      </c>
    </row>
    <row r="99" spans="1:21" s="59" customFormat="1" x14ac:dyDescent="0.25">
      <c r="A99" s="21" t="s">
        <v>100</v>
      </c>
      <c r="B99" s="33">
        <v>44497</v>
      </c>
      <c r="C99" s="29">
        <v>0</v>
      </c>
      <c r="D99" s="65">
        <v>0</v>
      </c>
      <c r="E99" s="65">
        <v>0</v>
      </c>
      <c r="F99" s="65">
        <v>0</v>
      </c>
      <c r="G99" s="65">
        <v>0</v>
      </c>
      <c r="H99" s="65">
        <v>0</v>
      </c>
      <c r="I99" s="65">
        <v>0</v>
      </c>
      <c r="J99" s="65">
        <v>0</v>
      </c>
      <c r="K99" s="65">
        <v>0</v>
      </c>
      <c r="L99" s="65">
        <v>0</v>
      </c>
      <c r="M99" s="65">
        <v>0</v>
      </c>
      <c r="N99" s="65">
        <v>0</v>
      </c>
      <c r="O99" s="65">
        <v>0</v>
      </c>
      <c r="P99" s="65">
        <v>0</v>
      </c>
      <c r="Q99" s="65">
        <v>0</v>
      </c>
      <c r="R99" s="65">
        <v>0</v>
      </c>
      <c r="S99" s="65">
        <v>0</v>
      </c>
      <c r="T99" s="66">
        <v>0</v>
      </c>
      <c r="U99" s="26"/>
    </row>
    <row r="100" spans="1:21" s="59" customFormat="1" x14ac:dyDescent="0.25">
      <c r="A100" s="21" t="s">
        <v>101</v>
      </c>
      <c r="B100" s="22">
        <v>44392</v>
      </c>
      <c r="C100" s="29">
        <v>44</v>
      </c>
      <c r="D100" s="65">
        <v>2222.1799999999998</v>
      </c>
      <c r="E100" s="65">
        <v>3513.25</v>
      </c>
      <c r="F100" s="65">
        <v>12203.82</v>
      </c>
      <c r="G100" s="65">
        <v>2203.98</v>
      </c>
      <c r="H100" s="65">
        <v>1056.46</v>
      </c>
      <c r="I100" s="65">
        <v>1906.69</v>
      </c>
      <c r="J100" s="65"/>
      <c r="K100" s="65">
        <v>159.85</v>
      </c>
      <c r="L100" s="65">
        <v>364.29</v>
      </c>
      <c r="M100" s="65">
        <v>255.02</v>
      </c>
      <c r="N100" s="65">
        <v>1741.54</v>
      </c>
      <c r="O100" s="65">
        <v>3244.23</v>
      </c>
      <c r="P100" s="65">
        <v>92</v>
      </c>
      <c r="Q100" s="65"/>
      <c r="R100" s="65">
        <v>4987.41</v>
      </c>
      <c r="S100" s="65">
        <v>3183.69</v>
      </c>
      <c r="T100" s="66">
        <f>SUM(D100:S100)</f>
        <v>37134.410000000003</v>
      </c>
      <c r="U100" s="28"/>
    </row>
    <row r="101" spans="1:21" s="59" customFormat="1" ht="15.75" x14ac:dyDescent="0.25">
      <c r="A101" s="41" t="s">
        <v>143</v>
      </c>
      <c r="B101" s="22">
        <v>44460</v>
      </c>
      <c r="C101" s="29">
        <v>74</v>
      </c>
      <c r="D101" s="65">
        <v>5347.34</v>
      </c>
      <c r="E101" s="65">
        <v>4646.05</v>
      </c>
      <c r="F101" s="65">
        <v>25057.84</v>
      </c>
      <c r="G101" s="65">
        <v>7012.96</v>
      </c>
      <c r="H101" s="65">
        <v>2629.86</v>
      </c>
      <c r="I101" s="65">
        <v>1221.1500000000001</v>
      </c>
      <c r="J101" s="65"/>
      <c r="K101" s="65"/>
      <c r="L101" s="65">
        <v>5.58</v>
      </c>
      <c r="M101" s="65">
        <v>701.26</v>
      </c>
      <c r="N101" s="65"/>
      <c r="O101" s="65">
        <v>7134.24</v>
      </c>
      <c r="P101" s="65">
        <v>814</v>
      </c>
      <c r="Q101" s="65">
        <v>8167.29</v>
      </c>
      <c r="R101" s="65">
        <v>11105.87</v>
      </c>
      <c r="S101" s="65">
        <v>6588.95</v>
      </c>
      <c r="T101" s="66">
        <f>SUM(D101:S101)</f>
        <v>80432.39</v>
      </c>
      <c r="U101" s="28"/>
    </row>
    <row r="102" spans="1:21" s="59" customFormat="1" ht="15.75" customHeight="1" x14ac:dyDescent="0.25">
      <c r="A102" s="41" t="s">
        <v>103</v>
      </c>
      <c r="B102" s="22">
        <v>44482</v>
      </c>
      <c r="C102" s="29">
        <v>88</v>
      </c>
      <c r="D102" s="65">
        <v>13333.17</v>
      </c>
      <c r="E102" s="65">
        <v>19671.919999999998</v>
      </c>
      <c r="F102" s="65">
        <v>80023.92</v>
      </c>
      <c r="G102" s="65">
        <v>14753.97</v>
      </c>
      <c r="H102" s="65">
        <v>6557.31</v>
      </c>
      <c r="I102" s="65">
        <v>4233.8500000000004</v>
      </c>
      <c r="J102" s="65"/>
      <c r="K102" s="65">
        <v>46.22</v>
      </c>
      <c r="L102" s="65">
        <v>13611.6</v>
      </c>
      <c r="M102" s="65">
        <v>874.32</v>
      </c>
      <c r="N102" s="65">
        <v>0</v>
      </c>
      <c r="O102" s="65">
        <v>19488.98</v>
      </c>
      <c r="P102" s="65">
        <v>176</v>
      </c>
      <c r="Q102" s="65"/>
      <c r="R102" s="65">
        <v>30621.25</v>
      </c>
      <c r="S102" s="65">
        <v>16190.62</v>
      </c>
      <c r="T102" s="66">
        <f>SUM(D102:S102)</f>
        <v>219583.13000000003</v>
      </c>
      <c r="U102" s="28"/>
    </row>
    <row r="103" spans="1:21" s="59" customFormat="1" x14ac:dyDescent="0.25">
      <c r="A103" s="21" t="s">
        <v>104</v>
      </c>
      <c r="B103" s="22">
        <v>44482</v>
      </c>
      <c r="C103" s="29">
        <v>33</v>
      </c>
      <c r="D103" s="65">
        <v>2922.86</v>
      </c>
      <c r="E103" s="65">
        <v>2769.76</v>
      </c>
      <c r="F103" s="65">
        <v>12122.78</v>
      </c>
      <c r="G103" s="65">
        <v>1197.9000000000001</v>
      </c>
      <c r="H103" s="65">
        <v>1916.65</v>
      </c>
      <c r="I103" s="65">
        <v>833.76</v>
      </c>
      <c r="J103" s="65">
        <v>0</v>
      </c>
      <c r="K103" s="65">
        <v>5.16</v>
      </c>
      <c r="L103" s="67">
        <v>0</v>
      </c>
      <c r="M103" s="65">
        <v>0</v>
      </c>
      <c r="N103" s="65">
        <v>0</v>
      </c>
      <c r="O103" s="65">
        <v>2846.24</v>
      </c>
      <c r="P103" s="65">
        <v>0</v>
      </c>
      <c r="Q103" s="65"/>
      <c r="R103" s="65">
        <v>4425.1400000000003</v>
      </c>
      <c r="S103" s="65">
        <v>2243.54</v>
      </c>
      <c r="T103" s="66">
        <f>SUM(D103:S103)</f>
        <v>31283.79</v>
      </c>
      <c r="U103" s="28"/>
    </row>
    <row r="104" spans="1:21" s="59" customFormat="1" x14ac:dyDescent="0.25">
      <c r="A104" s="21" t="s">
        <v>105</v>
      </c>
      <c r="B104" s="22">
        <v>44427</v>
      </c>
      <c r="C104" s="29">
        <v>167</v>
      </c>
      <c r="D104" s="65">
        <v>19903.39</v>
      </c>
      <c r="E104" s="65">
        <v>7993.97</v>
      </c>
      <c r="F104" s="65">
        <v>79825.67</v>
      </c>
      <c r="G104" s="65">
        <v>10767.39</v>
      </c>
      <c r="H104" s="65">
        <v>4894.29</v>
      </c>
      <c r="I104" s="65">
        <v>2525.4499999999998</v>
      </c>
      <c r="J104" s="65"/>
      <c r="K104" s="65"/>
      <c r="L104" s="65"/>
      <c r="M104" s="65">
        <v>3.34</v>
      </c>
      <c r="N104" s="65"/>
      <c r="O104" s="65">
        <v>18419.68</v>
      </c>
      <c r="P104" s="65">
        <v>2338</v>
      </c>
      <c r="Q104" s="65">
        <v>20437.599999999999</v>
      </c>
      <c r="R104" s="65">
        <v>29604.15</v>
      </c>
      <c r="S104" s="65">
        <v>17140.05</v>
      </c>
      <c r="T104" s="66">
        <f>SUM(C104:S104)</f>
        <v>214019.97999999998</v>
      </c>
      <c r="U104" s="28"/>
    </row>
    <row r="105" spans="1:21" s="59" customFormat="1" x14ac:dyDescent="0.25">
      <c r="A105" s="21" t="s">
        <v>106</v>
      </c>
      <c r="B105" s="22">
        <v>44425</v>
      </c>
      <c r="C105" s="29">
        <v>4</v>
      </c>
      <c r="D105" s="65">
        <v>226.06</v>
      </c>
      <c r="E105" s="65">
        <v>255.71</v>
      </c>
      <c r="F105" s="65">
        <v>1260.03</v>
      </c>
      <c r="G105" s="65">
        <v>285.35000000000002</v>
      </c>
      <c r="H105" s="65">
        <v>138.97</v>
      </c>
      <c r="I105" s="65">
        <v>222.36</v>
      </c>
      <c r="J105" s="65">
        <v>0</v>
      </c>
      <c r="K105" s="65">
        <v>0</v>
      </c>
      <c r="L105" s="65">
        <v>0</v>
      </c>
      <c r="M105" s="65">
        <v>72.260000000000005</v>
      </c>
      <c r="N105" s="65">
        <v>0</v>
      </c>
      <c r="O105" s="65">
        <v>382.27</v>
      </c>
      <c r="P105" s="65">
        <v>141.75</v>
      </c>
      <c r="Q105" s="65">
        <v>400.53</v>
      </c>
      <c r="R105" s="65">
        <v>572.25</v>
      </c>
      <c r="S105" s="65">
        <v>361.13</v>
      </c>
      <c r="T105" s="66">
        <f t="shared" ref="T105:T113" si="7">SUM(D105:S105)</f>
        <v>4318.67</v>
      </c>
      <c r="U105" s="28"/>
    </row>
    <row r="106" spans="1:21" s="59" customFormat="1" x14ac:dyDescent="0.25">
      <c r="A106" s="21" t="s">
        <v>107</v>
      </c>
      <c r="B106" s="22">
        <v>44432</v>
      </c>
      <c r="C106" s="29">
        <v>50</v>
      </c>
      <c r="D106" s="65">
        <v>3000.75</v>
      </c>
      <c r="E106" s="65">
        <v>2031.98</v>
      </c>
      <c r="F106" s="65">
        <v>10526.81</v>
      </c>
      <c r="G106" s="65">
        <v>1992.29</v>
      </c>
      <c r="H106" s="65">
        <v>1721.71</v>
      </c>
      <c r="I106" s="65">
        <v>1096</v>
      </c>
      <c r="J106" s="65">
        <v>0</v>
      </c>
      <c r="K106" s="65">
        <v>12.03</v>
      </c>
      <c r="L106" s="65"/>
      <c r="M106" s="65">
        <v>221.37</v>
      </c>
      <c r="N106" s="65">
        <v>0</v>
      </c>
      <c r="O106" s="65">
        <v>2716.54</v>
      </c>
      <c r="P106" s="65">
        <v>104</v>
      </c>
      <c r="Q106" s="65"/>
      <c r="R106" s="65">
        <v>4068.4</v>
      </c>
      <c r="S106" s="65">
        <v>2814.16</v>
      </c>
      <c r="T106" s="66">
        <f t="shared" si="7"/>
        <v>30306.039999999997</v>
      </c>
      <c r="U106" s="28"/>
    </row>
    <row r="107" spans="1:21" s="59" customFormat="1" x14ac:dyDescent="0.25">
      <c r="A107" s="21" t="s">
        <v>108</v>
      </c>
      <c r="B107" s="22">
        <v>44433</v>
      </c>
      <c r="C107" s="29">
        <v>31</v>
      </c>
      <c r="D107" s="65">
        <v>3237.74</v>
      </c>
      <c r="E107" s="65">
        <v>1884.28</v>
      </c>
      <c r="F107" s="65">
        <v>14835.26</v>
      </c>
      <c r="G107" s="65">
        <v>2786.57</v>
      </c>
      <c r="H107" s="65">
        <v>1194.22</v>
      </c>
      <c r="I107" s="65">
        <v>0</v>
      </c>
      <c r="J107" s="65">
        <v>0</v>
      </c>
      <c r="K107" s="65">
        <v>0</v>
      </c>
      <c r="L107" s="65">
        <v>1.06</v>
      </c>
      <c r="M107" s="65">
        <v>0</v>
      </c>
      <c r="N107" s="65">
        <v>0</v>
      </c>
      <c r="O107" s="65">
        <v>3711.63</v>
      </c>
      <c r="P107" s="65">
        <v>310</v>
      </c>
      <c r="Q107" s="65">
        <v>3896.12</v>
      </c>
      <c r="R107" s="65">
        <v>5629.04</v>
      </c>
      <c r="S107" s="65">
        <v>3248.55</v>
      </c>
      <c r="T107" s="66">
        <f t="shared" si="7"/>
        <v>40734.47</v>
      </c>
      <c r="U107" s="28"/>
    </row>
    <row r="108" spans="1:21" s="59" customFormat="1" x14ac:dyDescent="0.25">
      <c r="A108" s="21" t="s">
        <v>109</v>
      </c>
      <c r="B108" s="22">
        <v>44397</v>
      </c>
      <c r="C108" s="29">
        <v>61</v>
      </c>
      <c r="D108" s="65">
        <v>3516.13</v>
      </c>
      <c r="E108" s="65">
        <v>2235.9499999999998</v>
      </c>
      <c r="F108" s="65">
        <v>15044.41</v>
      </c>
      <c r="G108" s="65">
        <v>1815.73</v>
      </c>
      <c r="H108" s="65">
        <v>1296.95</v>
      </c>
      <c r="I108" s="65">
        <v>1095.4000000000001</v>
      </c>
      <c r="J108" s="65">
        <v>1902.12</v>
      </c>
      <c r="K108" s="65">
        <v>1.79</v>
      </c>
      <c r="L108" s="65"/>
      <c r="M108" s="65">
        <v>259.36</v>
      </c>
      <c r="N108" s="65">
        <v>1930.95</v>
      </c>
      <c r="O108" s="65">
        <v>3883.38</v>
      </c>
      <c r="P108" s="65">
        <v>122</v>
      </c>
      <c r="Q108" s="65"/>
      <c r="R108" s="65">
        <v>5758.79</v>
      </c>
      <c r="S108" s="65">
        <v>3794.38</v>
      </c>
      <c r="T108" s="66">
        <f t="shared" si="7"/>
        <v>42657.34</v>
      </c>
      <c r="U108" s="28"/>
    </row>
    <row r="109" spans="1:21" s="59" customFormat="1" x14ac:dyDescent="0.25">
      <c r="A109" s="21" t="s">
        <v>110</v>
      </c>
      <c r="B109" s="22">
        <v>44424</v>
      </c>
      <c r="C109" s="29">
        <v>34</v>
      </c>
      <c r="D109" s="65">
        <v>9682.4500000000007</v>
      </c>
      <c r="E109" s="65">
        <v>4920.6000000000004</v>
      </c>
      <c r="F109" s="65">
        <v>45713.79</v>
      </c>
      <c r="G109" s="65">
        <v>4365.03</v>
      </c>
      <c r="H109" s="65">
        <v>3492.03</v>
      </c>
      <c r="I109" s="65">
        <v>1404.71</v>
      </c>
      <c r="J109" s="65">
        <v>0</v>
      </c>
      <c r="K109" s="65">
        <v>0</v>
      </c>
      <c r="L109" s="65"/>
      <c r="M109" s="65">
        <v>0</v>
      </c>
      <c r="N109" s="65">
        <v>0</v>
      </c>
      <c r="O109" s="65">
        <v>10026.450000000001</v>
      </c>
      <c r="P109" s="65">
        <v>714</v>
      </c>
      <c r="Q109" s="65">
        <v>11286.02</v>
      </c>
      <c r="R109" s="65">
        <v>16240.96</v>
      </c>
      <c r="S109" s="65">
        <v>8596.4500000000007</v>
      </c>
      <c r="T109" s="66">
        <f t="shared" si="7"/>
        <v>116442.49</v>
      </c>
      <c r="U109" s="28"/>
    </row>
    <row r="110" spans="1:21" s="59" customFormat="1" x14ac:dyDescent="0.25">
      <c r="A110" s="21" t="s">
        <v>111</v>
      </c>
      <c r="B110" s="22">
        <v>44391</v>
      </c>
      <c r="C110" s="29">
        <v>60</v>
      </c>
      <c r="D110" s="65">
        <v>12492.44</v>
      </c>
      <c r="E110" s="65">
        <v>10956.44</v>
      </c>
      <c r="F110" s="65">
        <v>74852.28</v>
      </c>
      <c r="G110" s="65">
        <v>3379.16</v>
      </c>
      <c r="H110" s="65">
        <v>3839.86</v>
      </c>
      <c r="I110" s="65">
        <v>2078.61</v>
      </c>
      <c r="J110" s="65"/>
      <c r="K110" s="65">
        <v>9600.4</v>
      </c>
      <c r="L110" s="65">
        <v>2867.13</v>
      </c>
      <c r="M110" s="65">
        <v>1023.97</v>
      </c>
      <c r="N110" s="65"/>
      <c r="O110" s="65">
        <v>16373.34</v>
      </c>
      <c r="P110" s="65">
        <v>780</v>
      </c>
      <c r="Q110" s="65">
        <v>18091.93</v>
      </c>
      <c r="R110" s="65">
        <v>27956.48</v>
      </c>
      <c r="S110" s="65">
        <v>14818.22</v>
      </c>
      <c r="T110" s="66">
        <f t="shared" si="7"/>
        <v>199110.26</v>
      </c>
      <c r="U110" s="28"/>
    </row>
    <row r="111" spans="1:21" s="59" customFormat="1" x14ac:dyDescent="0.25">
      <c r="A111" s="21" t="s">
        <v>112</v>
      </c>
      <c r="B111" s="22">
        <v>44426</v>
      </c>
      <c r="C111" s="29">
        <v>32</v>
      </c>
      <c r="D111" s="65">
        <v>3893</v>
      </c>
      <c r="E111" s="65">
        <v>3222.92</v>
      </c>
      <c r="F111" s="65">
        <v>17071.84</v>
      </c>
      <c r="G111" s="65">
        <v>1978.4</v>
      </c>
      <c r="H111" s="65"/>
      <c r="I111" s="65">
        <v>620.33000000000004</v>
      </c>
      <c r="J111" s="65"/>
      <c r="K111" s="65"/>
      <c r="L111" s="65"/>
      <c r="M111" s="65"/>
      <c r="N111" s="65">
        <v>1180.67</v>
      </c>
      <c r="O111" s="65">
        <v>4145.8599999999997</v>
      </c>
      <c r="P111" s="65">
        <v>320</v>
      </c>
      <c r="Q111" s="65">
        <v>4542.22</v>
      </c>
      <c r="R111" s="65">
        <v>6501.87</v>
      </c>
      <c r="S111" s="65">
        <v>3730.95</v>
      </c>
      <c r="T111" s="66">
        <f t="shared" si="7"/>
        <v>47208.060000000005</v>
      </c>
      <c r="U111" s="28"/>
    </row>
    <row r="112" spans="1:21" s="59" customFormat="1" x14ac:dyDescent="0.25">
      <c r="A112" s="21" t="s">
        <v>113</v>
      </c>
      <c r="B112" s="22">
        <v>44426</v>
      </c>
      <c r="C112" s="29">
        <v>18</v>
      </c>
      <c r="D112" s="65">
        <v>991.26</v>
      </c>
      <c r="E112" s="65">
        <v>617.5</v>
      </c>
      <c r="F112" s="65">
        <v>5070</v>
      </c>
      <c r="G112" s="65">
        <v>381.88</v>
      </c>
      <c r="H112" s="65">
        <v>325</v>
      </c>
      <c r="I112" s="65">
        <v>278.69</v>
      </c>
      <c r="J112" s="65"/>
      <c r="K112" s="65">
        <v>586.75</v>
      </c>
      <c r="L112" s="65">
        <v>4.2</v>
      </c>
      <c r="M112" s="65">
        <v>70.66</v>
      </c>
      <c r="N112" s="65">
        <v>0</v>
      </c>
      <c r="O112" s="65">
        <v>1212.24</v>
      </c>
      <c r="P112" s="65">
        <v>486</v>
      </c>
      <c r="Q112" s="65">
        <v>1348.35</v>
      </c>
      <c r="R112" s="65">
        <v>1931.26</v>
      </c>
      <c r="S112" s="65">
        <v>1235.6500000000001</v>
      </c>
      <c r="T112" s="66">
        <f t="shared" si="7"/>
        <v>14539.44</v>
      </c>
      <c r="U112" s="28"/>
    </row>
    <row r="113" spans="1:73" s="59" customFormat="1" x14ac:dyDescent="0.25">
      <c r="A113" s="21" t="s">
        <v>114</v>
      </c>
      <c r="B113" s="22">
        <v>44433</v>
      </c>
      <c r="C113" s="29">
        <v>24</v>
      </c>
      <c r="D113" s="65">
        <v>1278.25</v>
      </c>
      <c r="E113" s="65">
        <v>876.09</v>
      </c>
      <c r="F113" s="65">
        <v>4461.1000000000004</v>
      </c>
      <c r="G113" s="65">
        <v>819.1</v>
      </c>
      <c r="H113" s="65">
        <v>331.44</v>
      </c>
      <c r="I113" s="65">
        <v>450.27</v>
      </c>
      <c r="J113" s="65">
        <v>827.17</v>
      </c>
      <c r="K113" s="65">
        <v>0</v>
      </c>
      <c r="L113" s="65">
        <v>0</v>
      </c>
      <c r="M113" s="65">
        <v>0</v>
      </c>
      <c r="N113" s="65">
        <v>0</v>
      </c>
      <c r="O113" s="65">
        <v>1159</v>
      </c>
      <c r="P113" s="65"/>
      <c r="Q113" s="65"/>
      <c r="R113" s="65">
        <v>1829.29</v>
      </c>
      <c r="S113" s="65">
        <v>1151.1500000000001</v>
      </c>
      <c r="T113" s="66">
        <f t="shared" si="7"/>
        <v>13182.859999999999</v>
      </c>
      <c r="U113" s="28"/>
    </row>
    <row r="114" spans="1:73" s="59" customFormat="1" x14ac:dyDescent="0.25">
      <c r="A114" s="21" t="s">
        <v>115</v>
      </c>
      <c r="B114" s="22">
        <v>44413</v>
      </c>
      <c r="C114" s="29">
        <v>22</v>
      </c>
      <c r="D114" s="65">
        <v>1682.97</v>
      </c>
      <c r="E114" s="65">
        <v>1365.7</v>
      </c>
      <c r="F114" s="65">
        <v>6290.47</v>
      </c>
      <c r="G114" s="65">
        <v>841.48</v>
      </c>
      <c r="H114" s="65">
        <v>593</v>
      </c>
      <c r="I114" s="65">
        <v>524.20000000000005</v>
      </c>
      <c r="J114" s="65"/>
      <c r="K114" s="65">
        <v>2.35</v>
      </c>
      <c r="L114" s="65">
        <v>109.7</v>
      </c>
      <c r="M114" s="65">
        <v>137.97</v>
      </c>
      <c r="N114" s="65"/>
      <c r="O114" s="65">
        <v>1482.81</v>
      </c>
      <c r="P114" s="65">
        <v>44</v>
      </c>
      <c r="Q114" s="65"/>
      <c r="R114" s="65">
        <v>2309.6</v>
      </c>
      <c r="S114" s="65">
        <v>1374.79</v>
      </c>
      <c r="T114" s="68">
        <f t="shared" ref="T114:T121" si="8">SUM(D114:S114)</f>
        <v>16759.04</v>
      </c>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row>
    <row r="115" spans="1:73" s="59" customFormat="1" x14ac:dyDescent="0.25">
      <c r="A115" s="21" t="s">
        <v>116</v>
      </c>
      <c r="B115" s="22">
        <v>44397</v>
      </c>
      <c r="C115" s="29">
        <v>73</v>
      </c>
      <c r="D115" s="65">
        <v>1755.44</v>
      </c>
      <c r="E115" s="65">
        <v>1151.0999999999999</v>
      </c>
      <c r="F115" s="65">
        <v>7928.12</v>
      </c>
      <c r="G115" s="65">
        <v>705.05</v>
      </c>
      <c r="H115" s="65"/>
      <c r="I115" s="65"/>
      <c r="J115" s="65">
        <v>1438.84</v>
      </c>
      <c r="K115" s="65">
        <v>1311.94</v>
      </c>
      <c r="L115" s="65"/>
      <c r="M115" s="65"/>
      <c r="N115" s="65">
        <v>1439.7</v>
      </c>
      <c r="O115" s="65">
        <v>2080.54</v>
      </c>
      <c r="P115" s="65">
        <v>584</v>
      </c>
      <c r="Q115" s="65"/>
      <c r="R115" s="65">
        <v>3145</v>
      </c>
      <c r="S115" s="65">
        <v>4492.91</v>
      </c>
      <c r="T115" s="66">
        <f t="shared" si="8"/>
        <v>26032.639999999999</v>
      </c>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row>
    <row r="116" spans="1:73" s="59" customFormat="1" x14ac:dyDescent="0.25">
      <c r="A116" s="21" t="s">
        <v>117</v>
      </c>
      <c r="B116" s="22">
        <v>44397</v>
      </c>
      <c r="C116" s="29">
        <v>25</v>
      </c>
      <c r="D116" s="65">
        <v>1861.72</v>
      </c>
      <c r="E116" s="65">
        <v>1190.28</v>
      </c>
      <c r="F116" s="65">
        <v>11521.31</v>
      </c>
      <c r="G116" s="65">
        <v>1785.42</v>
      </c>
      <c r="H116" s="65">
        <v>510.4</v>
      </c>
      <c r="I116" s="65">
        <v>664.56</v>
      </c>
      <c r="J116" s="65"/>
      <c r="K116" s="65">
        <v>5.26</v>
      </c>
      <c r="L116" s="65"/>
      <c r="M116" s="65">
        <v>79.260000000000005</v>
      </c>
      <c r="N116" s="65"/>
      <c r="O116" s="65">
        <v>2745.67</v>
      </c>
      <c r="P116" s="65">
        <v>270</v>
      </c>
      <c r="Q116" s="65">
        <v>2060.85</v>
      </c>
      <c r="R116" s="65">
        <v>4075.89</v>
      </c>
      <c r="S116" s="65">
        <v>2442.9499999999998</v>
      </c>
      <c r="T116" s="66">
        <f t="shared" si="8"/>
        <v>29213.569999999996</v>
      </c>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row>
    <row r="117" spans="1:73" s="59" customFormat="1" x14ac:dyDescent="0.25">
      <c r="A117" s="21" t="s">
        <v>118</v>
      </c>
      <c r="B117" s="22">
        <v>44460</v>
      </c>
      <c r="C117" s="29">
        <v>43</v>
      </c>
      <c r="D117" s="65">
        <v>2214.1</v>
      </c>
      <c r="E117" s="65">
        <v>1814.82</v>
      </c>
      <c r="F117" s="65">
        <v>13121.26</v>
      </c>
      <c r="G117" s="65">
        <v>1197.79</v>
      </c>
      <c r="H117" s="65">
        <v>952.78</v>
      </c>
      <c r="I117" s="65">
        <v>408.35</v>
      </c>
      <c r="J117" s="65">
        <v>0</v>
      </c>
      <c r="K117" s="65">
        <v>0</v>
      </c>
      <c r="L117" s="65">
        <v>0</v>
      </c>
      <c r="M117" s="65">
        <v>16.62</v>
      </c>
      <c r="N117" s="65">
        <v>0</v>
      </c>
      <c r="O117" s="65">
        <v>2695.15</v>
      </c>
      <c r="P117" s="65">
        <v>258</v>
      </c>
      <c r="Q117" s="65">
        <v>3436.22</v>
      </c>
      <c r="R117" s="65">
        <v>4632.42</v>
      </c>
      <c r="S117" s="65">
        <v>2961.21</v>
      </c>
      <c r="T117" s="66">
        <f t="shared" si="8"/>
        <v>33708.720000000001</v>
      </c>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row>
    <row r="118" spans="1:73" s="59" customFormat="1" x14ac:dyDescent="0.25">
      <c r="A118" s="21" t="s">
        <v>119</v>
      </c>
      <c r="B118" s="22">
        <v>44428</v>
      </c>
      <c r="C118" s="29">
        <v>164</v>
      </c>
      <c r="D118" s="65">
        <v>21462.17</v>
      </c>
      <c r="E118" s="65">
        <v>25508.37</v>
      </c>
      <c r="F118" s="65">
        <v>55201.78</v>
      </c>
      <c r="G118" s="65">
        <v>6860.87</v>
      </c>
      <c r="H118" s="65">
        <v>4398</v>
      </c>
      <c r="I118" s="65">
        <v>1029.1300000000001</v>
      </c>
      <c r="J118" s="65">
        <v>0</v>
      </c>
      <c r="K118" s="65">
        <v>3170</v>
      </c>
      <c r="L118" s="65">
        <v>591.34</v>
      </c>
      <c r="M118" s="65">
        <v>442.52</v>
      </c>
      <c r="N118" s="65">
        <v>0</v>
      </c>
      <c r="O118" s="65">
        <v>17120.96</v>
      </c>
      <c r="P118" s="65">
        <v>5740</v>
      </c>
      <c r="Q118" s="65">
        <v>19249.009999999998</v>
      </c>
      <c r="R118" s="65">
        <v>27910.68</v>
      </c>
      <c r="S118" s="65">
        <v>16251.19</v>
      </c>
      <c r="T118" s="66">
        <f t="shared" si="8"/>
        <v>204936.02</v>
      </c>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row>
    <row r="119" spans="1:73" s="59" customFormat="1" x14ac:dyDescent="0.25">
      <c r="A119" s="21" t="s">
        <v>120</v>
      </c>
      <c r="B119" s="22">
        <v>44411</v>
      </c>
      <c r="C119" s="29">
        <v>23</v>
      </c>
      <c r="D119" s="65">
        <v>1447.55</v>
      </c>
      <c r="E119" s="65">
        <v>996.67</v>
      </c>
      <c r="F119" s="65">
        <v>7095.44</v>
      </c>
      <c r="G119" s="65">
        <v>1008.56</v>
      </c>
      <c r="H119" s="65">
        <v>271.45999999999998</v>
      </c>
      <c r="I119" s="65">
        <v>1291.8699999999999</v>
      </c>
      <c r="J119" s="65">
        <v>0</v>
      </c>
      <c r="K119" s="65">
        <v>945</v>
      </c>
      <c r="L119" s="65">
        <v>9.75</v>
      </c>
      <c r="M119" s="65">
        <v>132.38</v>
      </c>
      <c r="N119" s="65">
        <v>0</v>
      </c>
      <c r="O119" s="65">
        <v>1951.81</v>
      </c>
      <c r="P119" s="65">
        <v>437</v>
      </c>
      <c r="Q119" s="65">
        <v>2143.37</v>
      </c>
      <c r="R119" s="65">
        <v>3114.39</v>
      </c>
      <c r="S119" s="65">
        <v>1879.21</v>
      </c>
      <c r="T119" s="66">
        <f t="shared" si="8"/>
        <v>22724.459999999995</v>
      </c>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row>
    <row r="120" spans="1:73" s="59" customFormat="1" x14ac:dyDescent="0.25">
      <c r="A120" s="21" t="s">
        <v>121</v>
      </c>
      <c r="B120" s="33">
        <v>44460</v>
      </c>
      <c r="C120" s="29">
        <v>41</v>
      </c>
      <c r="D120" s="65">
        <v>3648.44</v>
      </c>
      <c r="E120" s="65">
        <v>3768.04</v>
      </c>
      <c r="F120" s="65">
        <v>14713.33</v>
      </c>
      <c r="G120" s="65">
        <v>2691.45</v>
      </c>
      <c r="H120" s="65">
        <v>1046.68</v>
      </c>
      <c r="I120" s="65">
        <v>2691.46</v>
      </c>
      <c r="J120" s="65"/>
      <c r="K120" s="65"/>
      <c r="L120" s="65">
        <v>6.33</v>
      </c>
      <c r="M120" s="65">
        <v>448.57</v>
      </c>
      <c r="N120" s="65">
        <v>367.96</v>
      </c>
      <c r="O120" s="65">
        <v>4564.2299999999996</v>
      </c>
      <c r="P120" s="65">
        <v>164</v>
      </c>
      <c r="Q120" s="65">
        <v>5151.22</v>
      </c>
      <c r="R120" s="65">
        <v>6906.72</v>
      </c>
      <c r="S120" s="65">
        <v>4068.35</v>
      </c>
      <c r="T120" s="66">
        <f t="shared" si="8"/>
        <v>50236.78</v>
      </c>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row>
    <row r="121" spans="1:73" s="59" customFormat="1" x14ac:dyDescent="0.25">
      <c r="A121" s="21" t="s">
        <v>122</v>
      </c>
      <c r="B121" s="22">
        <v>44439</v>
      </c>
      <c r="C121" s="29">
        <v>27</v>
      </c>
      <c r="D121" s="65">
        <v>2448.31</v>
      </c>
      <c r="E121" s="65">
        <v>4017.04</v>
      </c>
      <c r="F121" s="65">
        <v>11541.18</v>
      </c>
      <c r="G121" s="65">
        <v>1840.96</v>
      </c>
      <c r="H121" s="65">
        <v>969.34</v>
      </c>
      <c r="I121" s="65">
        <v>1257.6600000000001</v>
      </c>
      <c r="J121" s="65"/>
      <c r="K121" s="65">
        <v>2.4300000000000002</v>
      </c>
      <c r="L121" s="65"/>
      <c r="M121" s="65"/>
      <c r="N121" s="65">
        <v>1103.6500000000001</v>
      </c>
      <c r="O121" s="65">
        <v>2872.05</v>
      </c>
      <c r="P121" s="65">
        <v>54</v>
      </c>
      <c r="Q121" s="65"/>
      <c r="R121" s="65">
        <v>4582.1099999999997</v>
      </c>
      <c r="S121" s="65">
        <v>2691.05</v>
      </c>
      <c r="T121" s="66">
        <f t="shared" si="8"/>
        <v>33379.78</v>
      </c>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row>
    <row r="122" spans="1:73" s="59" customFormat="1" x14ac:dyDescent="0.25">
      <c r="A122" s="21" t="s">
        <v>142</v>
      </c>
      <c r="B122" s="22">
        <v>44419</v>
      </c>
      <c r="C122" s="29">
        <v>70</v>
      </c>
      <c r="D122" s="67">
        <v>7283.78</v>
      </c>
      <c r="E122" s="65">
        <v>4656.87</v>
      </c>
      <c r="F122" s="65">
        <v>21367.39</v>
      </c>
      <c r="G122" s="65">
        <v>3104.55</v>
      </c>
      <c r="H122" s="65">
        <v>2388.13</v>
      </c>
      <c r="I122" s="65">
        <v>3164.27</v>
      </c>
      <c r="J122" s="65"/>
      <c r="K122" s="65"/>
      <c r="L122" s="65">
        <v>61.5</v>
      </c>
      <c r="M122" s="65">
        <v>835.87</v>
      </c>
      <c r="N122" s="65"/>
      <c r="O122" s="65">
        <v>6659.9</v>
      </c>
      <c r="P122" s="65">
        <v>910</v>
      </c>
      <c r="Q122" s="65">
        <v>6976.62</v>
      </c>
      <c r="R122" s="65">
        <v>10107.780000000001</v>
      </c>
      <c r="S122" s="65">
        <v>6033.88</v>
      </c>
      <c r="T122" s="66">
        <f>SUM(D122:S122)</f>
        <v>73550.540000000008</v>
      </c>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row>
    <row r="123" spans="1:73" s="59" customFormat="1" x14ac:dyDescent="0.25">
      <c r="A123" s="21" t="s">
        <v>166</v>
      </c>
      <c r="B123" s="22">
        <v>44418</v>
      </c>
      <c r="C123" s="29">
        <v>40</v>
      </c>
      <c r="D123" s="67">
        <v>4608.62</v>
      </c>
      <c r="E123" s="65">
        <v>2946.54</v>
      </c>
      <c r="F123" s="65">
        <v>11281.08</v>
      </c>
      <c r="G123" s="65">
        <v>1964.32</v>
      </c>
      <c r="H123" s="65">
        <v>1511.03</v>
      </c>
      <c r="I123" s="65">
        <v>2002.13</v>
      </c>
      <c r="J123" s="65">
        <v>8.0399999999999991</v>
      </c>
      <c r="K123" s="65"/>
      <c r="L123" s="65"/>
      <c r="M123" s="65">
        <v>528.87</v>
      </c>
      <c r="N123" s="65"/>
      <c r="O123" s="65">
        <v>3864.26</v>
      </c>
      <c r="P123" s="65">
        <v>520</v>
      </c>
      <c r="Q123" s="65">
        <v>4045.06</v>
      </c>
      <c r="R123" s="65">
        <v>5859.13</v>
      </c>
      <c r="S123" s="65">
        <v>3489.56</v>
      </c>
      <c r="T123" s="66">
        <f>SUM(D123:S123)</f>
        <v>42628.639999999992</v>
      </c>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row>
    <row r="124" spans="1:73" s="59" customFormat="1" x14ac:dyDescent="0.25">
      <c r="A124" s="21" t="s">
        <v>123</v>
      </c>
      <c r="B124" s="22">
        <v>44453</v>
      </c>
      <c r="C124" s="29">
        <v>25</v>
      </c>
      <c r="D124" s="65">
        <v>2057.2199999999998</v>
      </c>
      <c r="E124" s="65">
        <v>1685.26</v>
      </c>
      <c r="F124" s="65">
        <v>6324.36</v>
      </c>
      <c r="G124" s="65">
        <v>2355.0500000000002</v>
      </c>
      <c r="H124" s="65">
        <v>1091.8800000000001</v>
      </c>
      <c r="I124" s="65">
        <v>2335.17</v>
      </c>
      <c r="J124" s="65">
        <v>0</v>
      </c>
      <c r="K124" s="65">
        <v>24.65</v>
      </c>
      <c r="L124" s="65">
        <v>0</v>
      </c>
      <c r="M124" s="65">
        <v>784.1</v>
      </c>
      <c r="N124" s="65">
        <v>0</v>
      </c>
      <c r="O124" s="65">
        <v>2110.9699999999998</v>
      </c>
      <c r="P124" s="65">
        <v>74</v>
      </c>
      <c r="Q124" s="65">
        <v>0</v>
      </c>
      <c r="R124" s="65">
        <v>3257.56</v>
      </c>
      <c r="S124" s="65">
        <v>2573.79</v>
      </c>
      <c r="T124" s="66">
        <f>SUM(D124:S124)</f>
        <v>24674.010000000002</v>
      </c>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row>
    <row r="125" spans="1:73" s="59" customFormat="1" x14ac:dyDescent="0.25">
      <c r="A125" s="21" t="s">
        <v>124</v>
      </c>
      <c r="B125" s="22">
        <v>44435</v>
      </c>
      <c r="C125" s="29">
        <v>35</v>
      </c>
      <c r="D125" s="65">
        <v>2393.38</v>
      </c>
      <c r="E125" s="65">
        <v>1373.26</v>
      </c>
      <c r="F125" s="65">
        <v>13693.38</v>
      </c>
      <c r="G125" s="65">
        <v>1235.94</v>
      </c>
      <c r="H125" s="65">
        <v>392.36</v>
      </c>
      <c r="I125" s="65">
        <v>342.15</v>
      </c>
      <c r="J125" s="65">
        <v>0</v>
      </c>
      <c r="K125" s="65">
        <v>545.83000000000004</v>
      </c>
      <c r="L125" s="65"/>
      <c r="M125" s="65"/>
      <c r="N125" s="65">
        <v>0</v>
      </c>
      <c r="O125" s="65">
        <v>2772.97</v>
      </c>
      <c r="P125" s="65">
        <v>240</v>
      </c>
      <c r="Q125" s="65">
        <v>3482.44</v>
      </c>
      <c r="R125" s="65">
        <v>4691.76</v>
      </c>
      <c r="S125" s="65">
        <v>2570.88</v>
      </c>
      <c r="T125" s="66">
        <f>SUM(D125:S125)</f>
        <v>33734.35</v>
      </c>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row>
    <row r="126" spans="1:73" x14ac:dyDescent="0.25">
      <c r="A126" s="30" t="s">
        <v>165</v>
      </c>
      <c r="B126" s="58"/>
      <c r="C126" s="104"/>
    </row>
    <row r="127" spans="1:73" x14ac:dyDescent="0.25">
      <c r="A127" s="31" t="s">
        <v>138</v>
      </c>
      <c r="C127" s="29">
        <f>SUM(C2:C126)</f>
        <v>9150</v>
      </c>
      <c r="D127" s="43">
        <f t="shared" ref="D127:O127" si="9">SUM(D2:D126)</f>
        <v>887566.51</v>
      </c>
      <c r="E127" s="43">
        <f t="shared" si="9"/>
        <v>929089.65999999945</v>
      </c>
      <c r="F127" s="43">
        <f t="shared" si="9"/>
        <v>4409360.3999999976</v>
      </c>
      <c r="G127" s="43">
        <f t="shared" si="9"/>
        <v>427218.68999999994</v>
      </c>
      <c r="H127" s="43">
        <f t="shared" si="9"/>
        <v>239940.64</v>
      </c>
      <c r="I127" s="43">
        <f t="shared" si="9"/>
        <v>356843.81000000006</v>
      </c>
      <c r="J127" s="43">
        <f t="shared" si="9"/>
        <v>15230.83</v>
      </c>
      <c r="K127" s="43">
        <f t="shared" si="9"/>
        <v>335243.50999999989</v>
      </c>
      <c r="L127" s="43">
        <f t="shared" si="9"/>
        <v>148336.63999999998</v>
      </c>
      <c r="M127" s="43">
        <f t="shared" si="9"/>
        <v>36165.910000000003</v>
      </c>
      <c r="N127" s="43">
        <f t="shared" si="9"/>
        <v>84815.519999999975</v>
      </c>
      <c r="O127" s="43">
        <f t="shared" si="9"/>
        <v>1049477.2700000003</v>
      </c>
      <c r="P127" s="43">
        <f>SUM(P2:P126)</f>
        <v>93629.010000000009</v>
      </c>
      <c r="Q127" s="43">
        <f>SUM(Q2:Q126)</f>
        <v>1037035.0300000003</v>
      </c>
      <c r="R127" s="43">
        <f>SUM(R2:R126)</f>
        <v>1745791.7599999995</v>
      </c>
      <c r="S127" s="43">
        <f>SUM(S2:S126)</f>
        <v>1044418.0599999995</v>
      </c>
      <c r="T127" s="44">
        <f>SUM(D127:S127)</f>
        <v>12840163.249999994</v>
      </c>
    </row>
    <row r="128" spans="1:73" x14ac:dyDescent="0.25">
      <c r="C128" s="104"/>
    </row>
    <row r="129" spans="1:20" x14ac:dyDescent="0.25">
      <c r="C129" s="104"/>
    </row>
    <row r="130" spans="1:20" x14ac:dyDescent="0.25">
      <c r="A130" s="112"/>
      <c r="C130" s="104"/>
      <c r="S130" s="105"/>
      <c r="T130" s="44"/>
    </row>
    <row r="131" spans="1:20" x14ac:dyDescent="0.25">
      <c r="A131" s="40"/>
      <c r="C131" s="104"/>
    </row>
    <row r="132" spans="1:20" x14ac:dyDescent="0.25">
      <c r="A132" s="40"/>
      <c r="C132" s="104"/>
    </row>
    <row r="133" spans="1:20" x14ac:dyDescent="0.25">
      <c r="A133" s="40"/>
      <c r="C133" s="104"/>
    </row>
    <row r="134" spans="1:20" x14ac:dyDescent="0.25">
      <c r="A134" s="40"/>
      <c r="C134" s="104"/>
    </row>
    <row r="135" spans="1:20" x14ac:dyDescent="0.25">
      <c r="A135" s="40"/>
      <c r="C135" s="104"/>
    </row>
    <row r="136" spans="1:20" x14ac:dyDescent="0.25">
      <c r="A136" s="40"/>
      <c r="C136" s="104"/>
    </row>
    <row r="137" spans="1:20" x14ac:dyDescent="0.25">
      <c r="C137" s="104"/>
    </row>
    <row r="138" spans="1:20" x14ac:dyDescent="0.25">
      <c r="C138" s="104"/>
    </row>
    <row r="139" spans="1:20" x14ac:dyDescent="0.25">
      <c r="C139" s="104"/>
    </row>
    <row r="140" spans="1:20" x14ac:dyDescent="0.25">
      <c r="C140" s="104"/>
    </row>
    <row r="141" spans="1:20" x14ac:dyDescent="0.25">
      <c r="C141" s="104"/>
    </row>
    <row r="142" spans="1:20" x14ac:dyDescent="0.25">
      <c r="C142" s="104"/>
    </row>
    <row r="143" spans="1:20" x14ac:dyDescent="0.25">
      <c r="C143" s="104"/>
    </row>
    <row r="144" spans="1:20" x14ac:dyDescent="0.25">
      <c r="C144" s="104"/>
    </row>
    <row r="145" spans="3:3" x14ac:dyDescent="0.25">
      <c r="C145" s="104"/>
    </row>
    <row r="146" spans="3:3" x14ac:dyDescent="0.25">
      <c r="C146" s="104"/>
    </row>
    <row r="147" spans="3:3" x14ac:dyDescent="0.25">
      <c r="C147" s="104"/>
    </row>
    <row r="148" spans="3:3" x14ac:dyDescent="0.25">
      <c r="C148" s="104"/>
    </row>
    <row r="149" spans="3:3" x14ac:dyDescent="0.25">
      <c r="C149" s="104"/>
    </row>
    <row r="150" spans="3:3" x14ac:dyDescent="0.25">
      <c r="C150" s="104"/>
    </row>
    <row r="151" spans="3:3" x14ac:dyDescent="0.25">
      <c r="C151" s="104"/>
    </row>
    <row r="152" spans="3:3" x14ac:dyDescent="0.25">
      <c r="C152" s="104"/>
    </row>
    <row r="153" spans="3:3" x14ac:dyDescent="0.25">
      <c r="C153" s="104"/>
    </row>
    <row r="154" spans="3:3" x14ac:dyDescent="0.25">
      <c r="C154" s="104"/>
    </row>
    <row r="155" spans="3:3" x14ac:dyDescent="0.25">
      <c r="C155" s="104"/>
    </row>
    <row r="156" spans="3:3" x14ac:dyDescent="0.25">
      <c r="C156" s="104"/>
    </row>
    <row r="157" spans="3:3" x14ac:dyDescent="0.25">
      <c r="C157" s="104"/>
    </row>
    <row r="158" spans="3:3" x14ac:dyDescent="0.25">
      <c r="C158" s="104"/>
    </row>
    <row r="159" spans="3:3" x14ac:dyDescent="0.25">
      <c r="C159" s="104"/>
    </row>
    <row r="160" spans="3:3" x14ac:dyDescent="0.25">
      <c r="C160" s="104"/>
    </row>
    <row r="161" spans="3:3" x14ac:dyDescent="0.25">
      <c r="C161" s="104"/>
    </row>
    <row r="162" spans="3:3" x14ac:dyDescent="0.25">
      <c r="C162" s="104"/>
    </row>
    <row r="163" spans="3:3" x14ac:dyDescent="0.25">
      <c r="C163" s="104"/>
    </row>
    <row r="164" spans="3:3" x14ac:dyDescent="0.25">
      <c r="C164" s="104"/>
    </row>
    <row r="165" spans="3:3" x14ac:dyDescent="0.25">
      <c r="C165" s="104"/>
    </row>
    <row r="166" spans="3:3" x14ac:dyDescent="0.25">
      <c r="C166" s="104"/>
    </row>
    <row r="167" spans="3:3" x14ac:dyDescent="0.25">
      <c r="C167" s="104"/>
    </row>
    <row r="168" spans="3:3" x14ac:dyDescent="0.25">
      <c r="C168" s="104"/>
    </row>
    <row r="169" spans="3:3" x14ac:dyDescent="0.25">
      <c r="C169" s="104"/>
    </row>
    <row r="170" spans="3:3" x14ac:dyDescent="0.25">
      <c r="C170" s="104"/>
    </row>
    <row r="171" spans="3:3" x14ac:dyDescent="0.25">
      <c r="C171" s="104"/>
    </row>
    <row r="172" spans="3:3" x14ac:dyDescent="0.25">
      <c r="C172" s="104"/>
    </row>
    <row r="173" spans="3:3" x14ac:dyDescent="0.25">
      <c r="C173" s="104"/>
    </row>
    <row r="174" spans="3:3" x14ac:dyDescent="0.25">
      <c r="C174" s="104"/>
    </row>
    <row r="175" spans="3:3" x14ac:dyDescent="0.25">
      <c r="C175" s="104"/>
    </row>
    <row r="176" spans="3:3" x14ac:dyDescent="0.25">
      <c r="C176" s="104"/>
    </row>
    <row r="177" spans="3:3" x14ac:dyDescent="0.25">
      <c r="C177" s="104"/>
    </row>
    <row r="178" spans="3:3" x14ac:dyDescent="0.25">
      <c r="C178" s="104"/>
    </row>
    <row r="179" spans="3:3" x14ac:dyDescent="0.25">
      <c r="C179" s="104"/>
    </row>
    <row r="180" spans="3:3" x14ac:dyDescent="0.25">
      <c r="C180" s="104"/>
    </row>
    <row r="181" spans="3:3" x14ac:dyDescent="0.25">
      <c r="C181" s="104"/>
    </row>
    <row r="182" spans="3:3" x14ac:dyDescent="0.25">
      <c r="C182" s="104"/>
    </row>
    <row r="183" spans="3:3" x14ac:dyDescent="0.25">
      <c r="C183" s="104"/>
    </row>
    <row r="184" spans="3:3" x14ac:dyDescent="0.25">
      <c r="C184" s="104"/>
    </row>
    <row r="185" spans="3:3" x14ac:dyDescent="0.25">
      <c r="C185" s="104"/>
    </row>
    <row r="186" spans="3:3" x14ac:dyDescent="0.25">
      <c r="C186" s="104"/>
    </row>
    <row r="187" spans="3:3" x14ac:dyDescent="0.25">
      <c r="C187" s="104"/>
    </row>
    <row r="188" spans="3:3" x14ac:dyDescent="0.25">
      <c r="C188" s="104"/>
    </row>
    <row r="189" spans="3:3" x14ac:dyDescent="0.25">
      <c r="C189" s="104"/>
    </row>
    <row r="190" spans="3:3" x14ac:dyDescent="0.25">
      <c r="C190" s="104"/>
    </row>
    <row r="191" spans="3:3" x14ac:dyDescent="0.25">
      <c r="C191" s="104"/>
    </row>
    <row r="192" spans="3:3" x14ac:dyDescent="0.25">
      <c r="C192" s="104"/>
    </row>
    <row r="193" spans="3:3" x14ac:dyDescent="0.25">
      <c r="C193" s="104"/>
    </row>
    <row r="194" spans="3:3" x14ac:dyDescent="0.25">
      <c r="C194" s="104"/>
    </row>
    <row r="195" spans="3:3" x14ac:dyDescent="0.25">
      <c r="C195" s="104"/>
    </row>
    <row r="196" spans="3:3" x14ac:dyDescent="0.25">
      <c r="C196" s="104"/>
    </row>
    <row r="197" spans="3:3" x14ac:dyDescent="0.25">
      <c r="C197" s="104"/>
    </row>
    <row r="198" spans="3:3" x14ac:dyDescent="0.25">
      <c r="C198" s="104"/>
    </row>
    <row r="199" spans="3:3" x14ac:dyDescent="0.25">
      <c r="C199" s="104"/>
    </row>
    <row r="200" spans="3:3" x14ac:dyDescent="0.25">
      <c r="C200" s="104"/>
    </row>
    <row r="201" spans="3:3" x14ac:dyDescent="0.25">
      <c r="C201" s="104"/>
    </row>
    <row r="202" spans="3:3" x14ac:dyDescent="0.25">
      <c r="C202" s="104"/>
    </row>
    <row r="203" spans="3:3" x14ac:dyDescent="0.25">
      <c r="C203" s="104"/>
    </row>
    <row r="204" spans="3:3" x14ac:dyDescent="0.25">
      <c r="C204" s="104"/>
    </row>
    <row r="205" spans="3:3" x14ac:dyDescent="0.25">
      <c r="C205" s="104"/>
    </row>
    <row r="206" spans="3:3" x14ac:dyDescent="0.25">
      <c r="C206" s="104"/>
    </row>
    <row r="207" spans="3:3" x14ac:dyDescent="0.25">
      <c r="C207" s="104"/>
    </row>
    <row r="208" spans="3:3" x14ac:dyDescent="0.25">
      <c r="C208" s="104"/>
    </row>
    <row r="209" spans="3:3" x14ac:dyDescent="0.25">
      <c r="C209" s="104"/>
    </row>
    <row r="210" spans="3:3" x14ac:dyDescent="0.25">
      <c r="C210" s="104"/>
    </row>
    <row r="211" spans="3:3" x14ac:dyDescent="0.25">
      <c r="C211" s="104"/>
    </row>
    <row r="212" spans="3:3" x14ac:dyDescent="0.25">
      <c r="C212" s="104"/>
    </row>
    <row r="213" spans="3:3" x14ac:dyDescent="0.25">
      <c r="C213" s="104"/>
    </row>
    <row r="214" spans="3:3" x14ac:dyDescent="0.25">
      <c r="C214" s="104"/>
    </row>
    <row r="215" spans="3:3" x14ac:dyDescent="0.25">
      <c r="C215" s="104"/>
    </row>
    <row r="216" spans="3:3" x14ac:dyDescent="0.25">
      <c r="C216" s="104"/>
    </row>
    <row r="217" spans="3:3" x14ac:dyDescent="0.25">
      <c r="C217" s="104"/>
    </row>
    <row r="218" spans="3:3" x14ac:dyDescent="0.25">
      <c r="C218" s="104"/>
    </row>
    <row r="219" spans="3:3" x14ac:dyDescent="0.25">
      <c r="C219" s="104"/>
    </row>
    <row r="220" spans="3:3" x14ac:dyDescent="0.25">
      <c r="C220" s="104"/>
    </row>
    <row r="221" spans="3:3" x14ac:dyDescent="0.25">
      <c r="C221" s="104"/>
    </row>
    <row r="222" spans="3:3" x14ac:dyDescent="0.25">
      <c r="C222" s="104"/>
    </row>
    <row r="223" spans="3:3" x14ac:dyDescent="0.25">
      <c r="C223" s="104"/>
    </row>
    <row r="224" spans="3:3" x14ac:dyDescent="0.25">
      <c r="C224" s="104"/>
    </row>
    <row r="225" spans="3:3" x14ac:dyDescent="0.25">
      <c r="C225" s="104"/>
    </row>
    <row r="226" spans="3:3" x14ac:dyDescent="0.25">
      <c r="C226" s="104"/>
    </row>
    <row r="227" spans="3:3" x14ac:dyDescent="0.25">
      <c r="C227" s="104"/>
    </row>
    <row r="228" spans="3:3" x14ac:dyDescent="0.25">
      <c r="C228" s="104"/>
    </row>
    <row r="229" spans="3:3" x14ac:dyDescent="0.25">
      <c r="C229" s="104"/>
    </row>
    <row r="230" spans="3:3" x14ac:dyDescent="0.25">
      <c r="C230" s="104"/>
    </row>
  </sheetData>
  <pageMargins left="0.7" right="0.7" top="0.75" bottom="0.75" header="0.3" footer="0.3"/>
  <pageSetup paperSize="5" orientation="portrait" r:id="rId1"/>
  <headerFooter>
    <oddFooter>&amp;L_x000D_&amp;1#&amp;"Calibri"&amp;8&amp;K000000 Sensitivity: Internal</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998"/>
  <sheetViews>
    <sheetView tabSelected="1" zoomScale="85" zoomScaleNormal="85" workbookViewId="0">
      <pane xSplit="7" ySplit="11" topLeftCell="N12" activePane="bottomRight" state="frozen"/>
      <selection pane="topRight" activeCell="H1" sqref="H1"/>
      <selection pane="bottomLeft" activeCell="A12" sqref="A12"/>
      <selection pane="bottomRight" activeCell="V118" sqref="V118"/>
    </sheetView>
  </sheetViews>
  <sheetFormatPr defaultColWidth="9.140625" defaultRowHeight="15.75" x14ac:dyDescent="0.25"/>
  <cols>
    <col min="1" max="1" width="21.85546875" style="101" customWidth="1"/>
    <col min="2" max="2" width="12.7109375" style="98" customWidth="1"/>
    <col min="3" max="3" width="14.5703125" style="102" customWidth="1"/>
    <col min="4" max="4" width="19.85546875" style="37" customWidth="1"/>
    <col min="5" max="5" width="13.7109375" style="37" customWidth="1"/>
    <col min="6" max="6" width="18.85546875" style="37" customWidth="1"/>
    <col min="7" max="7" width="15" style="37" customWidth="1"/>
    <col min="8" max="8" width="14.140625" style="37" customWidth="1"/>
    <col min="9" max="9" width="15.28515625" style="37" customWidth="1"/>
    <col min="10" max="10" width="15.85546875" style="37" customWidth="1"/>
    <col min="11" max="11" width="14.5703125" style="37" customWidth="1"/>
    <col min="12" max="12" width="15.85546875" style="37" customWidth="1"/>
    <col min="13" max="13" width="15" style="37" customWidth="1"/>
    <col min="14" max="14" width="14.140625" style="37" customWidth="1"/>
    <col min="15" max="15" width="14.42578125" style="37" customWidth="1"/>
    <col min="16" max="16" width="17.42578125" style="37" customWidth="1"/>
    <col min="17" max="17" width="15.28515625" style="37" customWidth="1"/>
    <col min="18" max="18" width="16.5703125" style="37" customWidth="1"/>
    <col min="19" max="19" width="13.7109375" style="37" customWidth="1"/>
    <col min="20" max="20" width="20.28515625" style="96" customWidth="1"/>
    <col min="21" max="21" width="10.85546875" style="37" customWidth="1"/>
    <col min="22" max="23" width="9.140625" style="37"/>
    <col min="24" max="60" width="9.140625" style="75"/>
    <col min="61" max="16384" width="9.140625" style="37"/>
  </cols>
  <sheetData>
    <row r="1" spans="1:60" x14ac:dyDescent="0.25">
      <c r="A1" s="69" t="s">
        <v>0</v>
      </c>
      <c r="B1" s="70" t="s">
        <v>139</v>
      </c>
      <c r="C1" s="71" t="s">
        <v>136</v>
      </c>
      <c r="D1" s="72" t="s">
        <v>1</v>
      </c>
      <c r="E1" s="72" t="s">
        <v>2</v>
      </c>
      <c r="F1" s="72" t="s">
        <v>3</v>
      </c>
      <c r="G1" s="72" t="s">
        <v>128</v>
      </c>
      <c r="H1" s="72" t="s">
        <v>129</v>
      </c>
      <c r="I1" s="72" t="s">
        <v>130</v>
      </c>
      <c r="J1" s="72" t="s">
        <v>137</v>
      </c>
      <c r="K1" s="72" t="s">
        <v>132</v>
      </c>
      <c r="L1" s="72" t="s">
        <v>133</v>
      </c>
      <c r="M1" s="72" t="s">
        <v>134</v>
      </c>
      <c r="N1" s="72" t="s">
        <v>131</v>
      </c>
      <c r="O1" s="73" t="s">
        <v>4</v>
      </c>
      <c r="P1" s="73" t="s">
        <v>125</v>
      </c>
      <c r="Q1" s="73" t="s">
        <v>127</v>
      </c>
      <c r="R1" s="73" t="s">
        <v>5</v>
      </c>
      <c r="S1" s="73" t="s">
        <v>126</v>
      </c>
      <c r="T1" s="74" t="s">
        <v>135</v>
      </c>
    </row>
    <row r="2" spans="1:60" s="76" customFormat="1" ht="17.25" customHeight="1" x14ac:dyDescent="0.25">
      <c r="A2" s="41" t="s">
        <v>6</v>
      </c>
      <c r="B2" s="77">
        <v>44825</v>
      </c>
      <c r="C2" s="78">
        <v>40</v>
      </c>
      <c r="D2" s="79">
        <v>1936.02</v>
      </c>
      <c r="E2" s="79">
        <v>2679.04</v>
      </c>
      <c r="F2" s="79">
        <v>8720.15</v>
      </c>
      <c r="G2" s="79">
        <v>862.25</v>
      </c>
      <c r="H2" s="79">
        <v>488.97</v>
      </c>
      <c r="I2" s="79">
        <v>1024.95</v>
      </c>
      <c r="J2" s="79">
        <v>1626.89</v>
      </c>
      <c r="K2" s="79">
        <v>961.7</v>
      </c>
      <c r="L2" s="79">
        <v>0</v>
      </c>
      <c r="M2" s="79">
        <v>292.83</v>
      </c>
      <c r="N2" s="106">
        <v>1155.0899999999999</v>
      </c>
      <c r="O2" s="106">
        <v>2772.79</v>
      </c>
      <c r="P2" s="106">
        <v>80</v>
      </c>
      <c r="Q2" s="106"/>
      <c r="R2" s="79">
        <v>4195.53</v>
      </c>
      <c r="S2" s="80">
        <v>2697.78</v>
      </c>
      <c r="T2" s="81">
        <f t="shared" ref="T2:T9" si="0">SUM(D2:S2)</f>
        <v>29493.99</v>
      </c>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row>
    <row r="3" spans="1:60" s="76" customFormat="1" x14ac:dyDescent="0.25">
      <c r="A3" s="41" t="s">
        <v>7</v>
      </c>
      <c r="B3" s="77">
        <v>44791</v>
      </c>
      <c r="C3" s="78">
        <v>39</v>
      </c>
      <c r="D3" s="79">
        <v>1802</v>
      </c>
      <c r="E3" s="79">
        <v>1332.55</v>
      </c>
      <c r="F3" s="79">
        <v>8025.67</v>
      </c>
      <c r="G3" s="79">
        <v>1090.28</v>
      </c>
      <c r="H3" s="79">
        <v>832.87</v>
      </c>
      <c r="I3" s="79">
        <v>499.71</v>
      </c>
      <c r="J3" s="79"/>
      <c r="K3" s="79">
        <v>742.18</v>
      </c>
      <c r="L3" s="79">
        <v>1.1200000000000001</v>
      </c>
      <c r="M3" s="79">
        <v>302.85000000000002</v>
      </c>
      <c r="N3" s="79">
        <v>1196.3</v>
      </c>
      <c r="O3" s="79">
        <v>2367.36</v>
      </c>
      <c r="P3" s="79">
        <v>273</v>
      </c>
      <c r="Q3" s="79">
        <v>2581.34</v>
      </c>
      <c r="R3" s="79">
        <v>3799.38</v>
      </c>
      <c r="S3" s="80">
        <v>2445.67</v>
      </c>
      <c r="T3" s="81">
        <f t="shared" si="0"/>
        <v>27292.280000000006</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row>
    <row r="4" spans="1:60" s="76" customFormat="1" x14ac:dyDescent="0.25">
      <c r="A4" s="41" t="s">
        <v>8</v>
      </c>
      <c r="B4" s="77">
        <v>44795</v>
      </c>
      <c r="C4" s="78">
        <v>29</v>
      </c>
      <c r="D4" s="79">
        <v>3736</v>
      </c>
      <c r="E4" s="79">
        <v>5165.8999999999996</v>
      </c>
      <c r="F4" s="79">
        <v>19558.939999999999</v>
      </c>
      <c r="G4" s="79">
        <v>2354.63</v>
      </c>
      <c r="H4" s="79">
        <v>941.84</v>
      </c>
      <c r="I4" s="79">
        <v>439.53</v>
      </c>
      <c r="J4" s="79">
        <v>0</v>
      </c>
      <c r="K4" s="79">
        <v>1644.13</v>
      </c>
      <c r="L4" s="79">
        <v>0</v>
      </c>
      <c r="M4" s="79">
        <v>0</v>
      </c>
      <c r="N4" s="79">
        <v>0</v>
      </c>
      <c r="O4" s="79">
        <v>4131.25</v>
      </c>
      <c r="P4" s="79">
        <v>0</v>
      </c>
      <c r="Q4" s="79">
        <v>0</v>
      </c>
      <c r="R4" s="79">
        <v>6617</v>
      </c>
      <c r="S4" s="80">
        <v>0</v>
      </c>
      <c r="T4" s="81">
        <f t="shared" si="0"/>
        <v>44589.219999999994</v>
      </c>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row>
    <row r="5" spans="1:60" s="76" customFormat="1" x14ac:dyDescent="0.25">
      <c r="A5" s="41" t="s">
        <v>9</v>
      </c>
      <c r="B5" s="77">
        <v>44783</v>
      </c>
      <c r="C5" s="78">
        <v>20</v>
      </c>
      <c r="D5" s="79">
        <v>1397.91</v>
      </c>
      <c r="E5" s="79">
        <v>2631.35</v>
      </c>
      <c r="F5" s="79">
        <v>6507.89</v>
      </c>
      <c r="G5" s="79">
        <v>0</v>
      </c>
      <c r="H5" s="79">
        <v>352.41</v>
      </c>
      <c r="I5" s="79">
        <v>364.16</v>
      </c>
      <c r="J5" s="79">
        <v>0</v>
      </c>
      <c r="K5" s="79">
        <v>0.32</v>
      </c>
      <c r="L5" s="79"/>
      <c r="M5" s="79">
        <v>187.95</v>
      </c>
      <c r="N5" s="79">
        <v>822.29</v>
      </c>
      <c r="O5" s="79">
        <v>1873.63</v>
      </c>
      <c r="P5" s="79">
        <v>20</v>
      </c>
      <c r="Q5" s="79">
        <v>1996.68</v>
      </c>
      <c r="R5" s="79">
        <v>2851.78</v>
      </c>
      <c r="S5" s="80">
        <v>1625.88</v>
      </c>
      <c r="T5" s="81">
        <f t="shared" si="0"/>
        <v>20632.250000000004</v>
      </c>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row>
    <row r="6" spans="1:60" s="76" customFormat="1" x14ac:dyDescent="0.25">
      <c r="A6" s="41" t="s">
        <v>10</v>
      </c>
      <c r="B6" s="77">
        <v>44832</v>
      </c>
      <c r="C6" s="78">
        <v>90</v>
      </c>
      <c r="D6" s="79">
        <v>776.52</v>
      </c>
      <c r="E6" s="79">
        <v>9475.6299999999992</v>
      </c>
      <c r="F6" s="79">
        <v>49844.74</v>
      </c>
      <c r="G6" s="79">
        <v>1895.14</v>
      </c>
      <c r="H6" s="79">
        <v>0</v>
      </c>
      <c r="I6" s="79">
        <v>1045.58</v>
      </c>
      <c r="J6" s="79"/>
      <c r="K6" s="79">
        <v>1365</v>
      </c>
      <c r="L6" s="79">
        <v>1383.74</v>
      </c>
      <c r="M6" s="79"/>
      <c r="N6" s="79">
        <v>1568.38</v>
      </c>
      <c r="O6" s="79">
        <v>10764.52</v>
      </c>
      <c r="P6" s="79">
        <v>990</v>
      </c>
      <c r="Q6" s="79">
        <v>10084.32</v>
      </c>
      <c r="R6" s="79">
        <v>17648.68</v>
      </c>
      <c r="S6" s="80">
        <v>10084.32</v>
      </c>
      <c r="T6" s="81">
        <f t="shared" si="0"/>
        <v>116926.57</v>
      </c>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row>
    <row r="7" spans="1:60" s="76" customFormat="1" x14ac:dyDescent="0.25">
      <c r="A7" s="41" t="s">
        <v>11</v>
      </c>
      <c r="B7" s="77">
        <v>44760</v>
      </c>
      <c r="C7" s="78">
        <v>44</v>
      </c>
      <c r="D7" s="79">
        <v>2124.17</v>
      </c>
      <c r="E7" s="79">
        <v>1802.92</v>
      </c>
      <c r="F7" s="79">
        <v>9353.5400000000009</v>
      </c>
      <c r="G7" s="79">
        <v>1588.71</v>
      </c>
      <c r="H7" s="79">
        <v>1249.52</v>
      </c>
      <c r="I7" s="79">
        <v>1076.3800000000001</v>
      </c>
      <c r="J7" s="79">
        <v>0</v>
      </c>
      <c r="K7" s="79">
        <v>1174.67</v>
      </c>
      <c r="L7" s="79">
        <v>24.13</v>
      </c>
      <c r="M7" s="79">
        <v>374.84</v>
      </c>
      <c r="N7" s="79">
        <v>1660.09</v>
      </c>
      <c r="O7" s="79">
        <v>2543.39</v>
      </c>
      <c r="P7" s="79">
        <v>44</v>
      </c>
      <c r="Q7" s="79"/>
      <c r="R7" s="79">
        <v>4085.78</v>
      </c>
      <c r="S7" s="80">
        <v>2702.91</v>
      </c>
      <c r="T7" s="81">
        <f t="shared" si="0"/>
        <v>29805.050000000003</v>
      </c>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row>
    <row r="8" spans="1:60" s="76" customFormat="1" ht="13.5" customHeight="1" x14ac:dyDescent="0.25">
      <c r="A8" s="41" t="s">
        <v>12</v>
      </c>
      <c r="B8" s="77">
        <v>44783</v>
      </c>
      <c r="C8" s="78">
        <v>90</v>
      </c>
      <c r="D8" s="79">
        <v>5544.62</v>
      </c>
      <c r="E8" s="79">
        <v>6147.95</v>
      </c>
      <c r="F8" s="79">
        <v>28750</v>
      </c>
      <c r="G8" s="79">
        <v>4192.5200000000004</v>
      </c>
      <c r="H8" s="79">
        <v>2562.2600000000002</v>
      </c>
      <c r="I8" s="79">
        <v>2325.16</v>
      </c>
      <c r="J8" s="79"/>
      <c r="K8" s="79">
        <v>31.82</v>
      </c>
      <c r="L8" s="79">
        <v>2922.16</v>
      </c>
      <c r="M8" s="79">
        <v>1769.97</v>
      </c>
      <c r="N8" s="79">
        <v>0</v>
      </c>
      <c r="O8" s="79">
        <v>8049.93</v>
      </c>
      <c r="P8" s="79">
        <v>705</v>
      </c>
      <c r="Q8" s="79">
        <v>8929.1299999999992</v>
      </c>
      <c r="R8" s="79">
        <v>12931.34</v>
      </c>
      <c r="S8" s="80">
        <v>7700.76</v>
      </c>
      <c r="T8" s="81">
        <f t="shared" si="0"/>
        <v>92562.619999999981</v>
      </c>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row>
    <row r="9" spans="1:60" s="76" customFormat="1" x14ac:dyDescent="0.25">
      <c r="A9" s="41" t="s">
        <v>13</v>
      </c>
      <c r="B9" s="77">
        <v>44775</v>
      </c>
      <c r="C9" s="78">
        <v>80</v>
      </c>
      <c r="D9" s="79">
        <v>13512.35</v>
      </c>
      <c r="E9" s="79">
        <v>11127.83</v>
      </c>
      <c r="F9" s="79">
        <v>78014.789999999994</v>
      </c>
      <c r="G9" s="79">
        <v>5223.29</v>
      </c>
      <c r="H9" s="79">
        <v>2384.59</v>
      </c>
      <c r="I9" s="79">
        <v>1930.37</v>
      </c>
      <c r="J9" s="79">
        <v>0</v>
      </c>
      <c r="K9" s="79">
        <v>14748.53</v>
      </c>
      <c r="L9" s="79">
        <v>0</v>
      </c>
      <c r="M9" s="79">
        <v>0</v>
      </c>
      <c r="N9" s="79">
        <v>0</v>
      </c>
      <c r="O9" s="79">
        <v>17191.53</v>
      </c>
      <c r="P9" s="79">
        <v>160</v>
      </c>
      <c r="Q9" s="79">
        <v>20217.080000000002</v>
      </c>
      <c r="R9" s="79">
        <v>29180.77</v>
      </c>
      <c r="S9" s="80">
        <v>15710.43</v>
      </c>
      <c r="T9" s="81">
        <f t="shared" si="0"/>
        <v>209401.55999999997</v>
      </c>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row>
    <row r="10" spans="1:60" s="76" customFormat="1" x14ac:dyDescent="0.25">
      <c r="A10" s="41" t="s">
        <v>14</v>
      </c>
      <c r="B10" s="77">
        <v>44756</v>
      </c>
      <c r="C10" s="78">
        <v>52</v>
      </c>
      <c r="D10" s="79">
        <v>4670.03</v>
      </c>
      <c r="E10" s="79">
        <v>3924.36</v>
      </c>
      <c r="F10" s="107">
        <v>15161.86</v>
      </c>
      <c r="G10" s="79">
        <v>3335.72</v>
      </c>
      <c r="H10" s="79">
        <v>1805.21</v>
      </c>
      <c r="I10" s="79">
        <v>1059.58</v>
      </c>
      <c r="J10" s="79">
        <v>0</v>
      </c>
      <c r="K10" s="79"/>
      <c r="L10" s="79"/>
      <c r="M10" s="79">
        <v>274.72000000000003</v>
      </c>
      <c r="N10" s="79">
        <v>0</v>
      </c>
      <c r="O10" s="79">
        <v>4363.53</v>
      </c>
      <c r="P10" s="79">
        <v>1352</v>
      </c>
      <c r="Q10" s="79">
        <v>4516.8</v>
      </c>
      <c r="R10" s="79">
        <v>6951.58</v>
      </c>
      <c r="S10" s="80">
        <v>780</v>
      </c>
      <c r="T10" s="81">
        <f>SUM(D10:S10)</f>
        <v>48195.390000000007</v>
      </c>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row>
    <row r="11" spans="1:60" s="76" customFormat="1" x14ac:dyDescent="0.25">
      <c r="A11" s="41" t="s">
        <v>15</v>
      </c>
      <c r="B11" s="77">
        <v>44791</v>
      </c>
      <c r="C11" s="78">
        <v>442</v>
      </c>
      <c r="D11" s="79">
        <v>36489.54</v>
      </c>
      <c r="E11" s="79">
        <v>51384.6</v>
      </c>
      <c r="F11" s="79">
        <v>116402.48</v>
      </c>
      <c r="G11" s="79">
        <v>35289.870000000003</v>
      </c>
      <c r="H11" s="79">
        <v>18217.89</v>
      </c>
      <c r="I11" s="79">
        <v>10952.03</v>
      </c>
      <c r="J11" s="79"/>
      <c r="K11" s="79">
        <v>14367.54</v>
      </c>
      <c r="L11" s="79">
        <v>9.2200000000000006</v>
      </c>
      <c r="M11" s="79">
        <v>1485.02</v>
      </c>
      <c r="N11" s="79">
        <v>29095.64</v>
      </c>
      <c r="O11" s="79">
        <v>48139.17</v>
      </c>
      <c r="P11" s="79">
        <v>7467.1</v>
      </c>
      <c r="Q11" s="79">
        <v>54789.87</v>
      </c>
      <c r="R11" s="79">
        <v>76070.97</v>
      </c>
      <c r="S11" s="80">
        <v>46339.79</v>
      </c>
      <c r="T11" s="81">
        <f>SUM(D11:S11)</f>
        <v>546500.73</v>
      </c>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row>
    <row r="12" spans="1:60" s="76" customFormat="1" x14ac:dyDescent="0.25">
      <c r="A12" s="41" t="s">
        <v>16</v>
      </c>
      <c r="B12" s="77">
        <v>44795</v>
      </c>
      <c r="C12" s="78">
        <v>41</v>
      </c>
      <c r="D12" s="79"/>
      <c r="E12" s="79"/>
      <c r="F12" s="79"/>
      <c r="G12" s="79"/>
      <c r="H12" s="79"/>
      <c r="I12" s="79"/>
      <c r="J12" s="79"/>
      <c r="K12" s="79"/>
      <c r="L12" s="79"/>
      <c r="M12" s="79"/>
      <c r="N12" s="79"/>
      <c r="O12" s="79"/>
      <c r="P12" s="79"/>
      <c r="Q12" s="79"/>
      <c r="R12" s="79"/>
      <c r="S12" s="80"/>
      <c r="T12" s="81">
        <v>85969.82</v>
      </c>
      <c r="U12" s="75" t="s">
        <v>176</v>
      </c>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row>
    <row r="13" spans="1:60" s="76" customFormat="1" x14ac:dyDescent="0.25">
      <c r="A13" s="41" t="s">
        <v>17</v>
      </c>
      <c r="B13" s="77">
        <v>44816</v>
      </c>
      <c r="C13" s="78"/>
      <c r="D13" s="79"/>
      <c r="E13" s="79"/>
      <c r="F13" s="79"/>
      <c r="G13" s="79"/>
      <c r="H13" s="79"/>
      <c r="I13" s="79"/>
      <c r="J13" s="79"/>
      <c r="K13" s="79"/>
      <c r="L13" s="79"/>
      <c r="M13" s="79"/>
      <c r="N13" s="79"/>
      <c r="O13" s="79"/>
      <c r="P13" s="79"/>
      <c r="Q13" s="79"/>
      <c r="R13" s="79"/>
      <c r="S13" s="80"/>
      <c r="T13" s="81"/>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row>
    <row r="14" spans="1:60" s="76" customFormat="1" x14ac:dyDescent="0.25">
      <c r="A14" s="41" t="s">
        <v>18</v>
      </c>
      <c r="B14" s="77">
        <v>44840</v>
      </c>
      <c r="C14" s="78"/>
      <c r="D14" s="79"/>
      <c r="E14" s="79"/>
      <c r="F14" s="79"/>
      <c r="G14" s="79"/>
      <c r="H14" s="79"/>
      <c r="I14" s="79"/>
      <c r="J14" s="79"/>
      <c r="K14" s="79"/>
      <c r="L14" s="79"/>
      <c r="M14" s="79"/>
      <c r="N14" s="79"/>
      <c r="O14" s="79"/>
      <c r="P14" s="79"/>
      <c r="Q14" s="79"/>
      <c r="R14" s="79"/>
      <c r="S14" s="80"/>
      <c r="T14" s="81"/>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row>
    <row r="15" spans="1:60" s="76" customFormat="1" x14ac:dyDescent="0.25">
      <c r="A15" s="41" t="s">
        <v>19</v>
      </c>
      <c r="B15" s="77">
        <v>44760</v>
      </c>
      <c r="C15" s="78">
        <v>55</v>
      </c>
      <c r="D15" s="79">
        <v>3297.89</v>
      </c>
      <c r="E15" s="79">
        <v>4073.82</v>
      </c>
      <c r="F15" s="79">
        <v>15676.48</v>
      </c>
      <c r="G15" s="79">
        <v>2217.08</v>
      </c>
      <c r="H15" s="79">
        <v>859.09</v>
      </c>
      <c r="I15" s="79">
        <v>1376.75</v>
      </c>
      <c r="J15" s="79"/>
      <c r="K15" s="79">
        <v>2162.41</v>
      </c>
      <c r="L15" s="79"/>
      <c r="M15" s="79">
        <v>277.16000000000003</v>
      </c>
      <c r="N15" s="79">
        <v>1660.09</v>
      </c>
      <c r="O15" s="79">
        <v>4043.69</v>
      </c>
      <c r="P15" s="79">
        <v>941.56</v>
      </c>
      <c r="Q15" s="79"/>
      <c r="R15" s="79">
        <v>5099.46</v>
      </c>
      <c r="S15" s="80">
        <v>3819.69</v>
      </c>
      <c r="T15" s="81">
        <f>SUM(D15:S15)</f>
        <v>45505.17</v>
      </c>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row>
    <row r="16" spans="1:60" s="76" customFormat="1" x14ac:dyDescent="0.25">
      <c r="A16" s="41" t="s">
        <v>20</v>
      </c>
      <c r="B16" s="77">
        <v>44784</v>
      </c>
      <c r="C16" s="78">
        <v>130</v>
      </c>
      <c r="D16" s="79">
        <v>17501.54</v>
      </c>
      <c r="E16" s="79">
        <v>13824.76</v>
      </c>
      <c r="F16" s="79">
        <v>109715.51</v>
      </c>
      <c r="G16" s="79">
        <v>9118.41</v>
      </c>
      <c r="H16" s="79">
        <v>3529.77</v>
      </c>
      <c r="I16" s="79">
        <v>1323.64</v>
      </c>
      <c r="J16" s="79"/>
      <c r="K16" s="79">
        <v>16015.4</v>
      </c>
      <c r="L16" s="79">
        <v>4237.5600000000004</v>
      </c>
      <c r="M16" s="79">
        <v>3.98</v>
      </c>
      <c r="N16" s="79"/>
      <c r="O16" s="79">
        <v>24426.91</v>
      </c>
      <c r="P16" s="79">
        <v>1690</v>
      </c>
      <c r="Q16" s="79">
        <v>28387.119999999999</v>
      </c>
      <c r="R16" s="79">
        <v>40861.54</v>
      </c>
      <c r="S16" s="80">
        <v>22315.81</v>
      </c>
      <c r="T16" s="81">
        <f>SUM(D16:S16)</f>
        <v>292951.95</v>
      </c>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row>
    <row r="17" spans="1:60" s="76" customFormat="1" x14ac:dyDescent="0.25">
      <c r="A17" s="41" t="s">
        <v>21</v>
      </c>
      <c r="B17" s="77">
        <v>44795</v>
      </c>
      <c r="C17" s="78">
        <v>33</v>
      </c>
      <c r="D17" s="79">
        <v>1610.25</v>
      </c>
      <c r="E17" s="79">
        <v>1069.01</v>
      </c>
      <c r="F17" s="79">
        <v>5696.66</v>
      </c>
      <c r="G17" s="79">
        <v>1028.3499999999999</v>
      </c>
      <c r="H17" s="79">
        <v>338.35</v>
      </c>
      <c r="I17" s="79">
        <v>987.83</v>
      </c>
      <c r="J17" s="79">
        <v>0</v>
      </c>
      <c r="K17" s="79">
        <v>153.97999999999999</v>
      </c>
      <c r="L17" s="79"/>
      <c r="M17" s="79">
        <v>1028.3499999999999</v>
      </c>
      <c r="N17" s="79">
        <v>1217.8</v>
      </c>
      <c r="O17" s="79">
        <v>1753.79</v>
      </c>
      <c r="P17" s="79">
        <v>66</v>
      </c>
      <c r="Q17" s="79"/>
      <c r="R17" s="79">
        <v>2626.16</v>
      </c>
      <c r="S17" s="80">
        <v>1643.03</v>
      </c>
      <c r="T17" s="81">
        <f>SUM(D17:S17)</f>
        <v>19219.559999999998</v>
      </c>
      <c r="U17" s="80"/>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row>
    <row r="18" spans="1:60" s="76" customFormat="1" x14ac:dyDescent="0.25">
      <c r="A18" s="41" t="s">
        <v>22</v>
      </c>
      <c r="B18" s="77">
        <v>44788</v>
      </c>
      <c r="C18" s="78"/>
      <c r="D18" s="79"/>
      <c r="E18" s="79"/>
      <c r="F18" s="79"/>
      <c r="G18" s="79"/>
      <c r="H18" s="79"/>
      <c r="I18" s="79"/>
      <c r="J18" s="79"/>
      <c r="K18" s="79"/>
      <c r="L18" s="79"/>
      <c r="M18" s="79"/>
      <c r="N18" s="79"/>
      <c r="O18" s="79"/>
      <c r="P18" s="79"/>
      <c r="Q18" s="79"/>
      <c r="R18" s="79"/>
      <c r="S18" s="80"/>
      <c r="T18" s="81"/>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row>
    <row r="19" spans="1:60" s="76" customFormat="1" x14ac:dyDescent="0.25">
      <c r="A19" s="41" t="s">
        <v>23</v>
      </c>
      <c r="B19" s="77">
        <v>44789</v>
      </c>
      <c r="C19" s="78">
        <v>151</v>
      </c>
      <c r="D19" s="79">
        <v>11752.3</v>
      </c>
      <c r="E19" s="79">
        <v>13823.6</v>
      </c>
      <c r="F19" s="79">
        <v>39708.449999999997</v>
      </c>
      <c r="G19" s="79">
        <v>5727.49</v>
      </c>
      <c r="H19" s="79">
        <v>2765.12</v>
      </c>
      <c r="I19" s="79">
        <v>1777.29</v>
      </c>
      <c r="J19" s="79">
        <v>0</v>
      </c>
      <c r="K19" s="79">
        <v>5948.81</v>
      </c>
      <c r="L19" s="79"/>
      <c r="M19" s="79">
        <v>493.95</v>
      </c>
      <c r="N19" s="79">
        <v>0</v>
      </c>
      <c r="O19" s="79">
        <v>10391.02</v>
      </c>
      <c r="P19" s="79">
        <v>284.33999999999997</v>
      </c>
      <c r="Q19" s="79"/>
      <c r="R19" s="79">
        <v>16399.41</v>
      </c>
      <c r="S19" s="80">
        <v>12318.2</v>
      </c>
      <c r="T19" s="81">
        <f>SUM(D19:S19)</f>
        <v>121389.97999999998</v>
      </c>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row>
    <row r="20" spans="1:60" s="76" customFormat="1" x14ac:dyDescent="0.25">
      <c r="A20" s="41" t="s">
        <v>24</v>
      </c>
      <c r="B20" s="77">
        <v>44783</v>
      </c>
      <c r="C20" s="78">
        <v>128</v>
      </c>
      <c r="D20" s="79">
        <v>14910.27</v>
      </c>
      <c r="E20" s="79">
        <v>22177.42</v>
      </c>
      <c r="F20" s="79">
        <v>49474.36</v>
      </c>
      <c r="G20" s="79">
        <v>9271.9500000000007</v>
      </c>
      <c r="H20" s="79">
        <v>3007.13</v>
      </c>
      <c r="I20" s="79">
        <v>2505.92</v>
      </c>
      <c r="J20" s="79">
        <v>0</v>
      </c>
      <c r="K20" s="79">
        <v>8744.99</v>
      </c>
      <c r="L20" s="79">
        <v>0</v>
      </c>
      <c r="M20" s="79">
        <v>375</v>
      </c>
      <c r="N20" s="79">
        <v>0</v>
      </c>
      <c r="O20" s="79">
        <v>15506.67</v>
      </c>
      <c r="P20" s="79">
        <v>3840</v>
      </c>
      <c r="Q20" s="79">
        <v>17897.98</v>
      </c>
      <c r="R20" s="79">
        <v>25929.17</v>
      </c>
      <c r="S20" s="80">
        <v>14756.65</v>
      </c>
      <c r="T20" s="81">
        <f>SUM(D20:S20)</f>
        <v>188397.50999999998</v>
      </c>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row>
    <row r="21" spans="1:60" s="76" customFormat="1" x14ac:dyDescent="0.25">
      <c r="A21" s="41" t="s">
        <v>25</v>
      </c>
      <c r="B21" s="77">
        <v>44798</v>
      </c>
      <c r="C21" s="78">
        <v>27</v>
      </c>
      <c r="D21" s="79">
        <v>137.24</v>
      </c>
      <c r="E21" s="79">
        <v>223.82</v>
      </c>
      <c r="F21" s="79">
        <v>631.39</v>
      </c>
      <c r="G21" s="79">
        <v>0</v>
      </c>
      <c r="H21" s="79">
        <v>36.18</v>
      </c>
      <c r="I21" s="79">
        <v>89.1</v>
      </c>
      <c r="J21" s="79">
        <v>0</v>
      </c>
      <c r="K21" s="79" t="s">
        <v>173</v>
      </c>
      <c r="L21" s="79">
        <v>0</v>
      </c>
      <c r="M21" s="79">
        <v>22.73</v>
      </c>
      <c r="N21" s="79">
        <v>96.41</v>
      </c>
      <c r="O21" s="79">
        <v>191.9</v>
      </c>
      <c r="P21" s="79">
        <v>662.3</v>
      </c>
      <c r="Q21" s="79">
        <v>710.25</v>
      </c>
      <c r="R21" s="79">
        <v>409.43</v>
      </c>
      <c r="S21" s="80">
        <v>599.71</v>
      </c>
      <c r="T21" s="81">
        <f>SUM(D21:S21)</f>
        <v>3810.46</v>
      </c>
      <c r="U21" s="80"/>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row>
    <row r="22" spans="1:60" s="76" customFormat="1" x14ac:dyDescent="0.25">
      <c r="A22" s="41" t="s">
        <v>26</v>
      </c>
      <c r="B22" s="77">
        <v>44781</v>
      </c>
      <c r="C22" s="78">
        <v>26</v>
      </c>
      <c r="D22" s="79">
        <v>2965.37</v>
      </c>
      <c r="E22" s="79">
        <v>797.41</v>
      </c>
      <c r="F22" s="79">
        <v>15574.38</v>
      </c>
      <c r="G22" s="79">
        <v>2766.01</v>
      </c>
      <c r="H22" s="79">
        <v>1345.62</v>
      </c>
      <c r="I22" s="79">
        <v>1196.1099999999999</v>
      </c>
      <c r="J22" s="79">
        <v>0</v>
      </c>
      <c r="K22" s="79">
        <v>217</v>
      </c>
      <c r="L22" s="79">
        <v>2599.3000000000002</v>
      </c>
      <c r="M22" s="79">
        <v>1.44</v>
      </c>
      <c r="N22" s="79">
        <v>0</v>
      </c>
      <c r="O22" s="79">
        <v>4082.84</v>
      </c>
      <c r="P22" s="79">
        <v>286</v>
      </c>
      <c r="Q22" s="79">
        <v>4460.84</v>
      </c>
      <c r="R22" s="79">
        <v>6384.67</v>
      </c>
      <c r="S22" s="80">
        <v>3582.36</v>
      </c>
      <c r="T22" s="81">
        <f>SUM(D22:S22)</f>
        <v>46259.349999999991</v>
      </c>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row>
    <row r="23" spans="1:60" s="76" customFormat="1" x14ac:dyDescent="0.25">
      <c r="A23" s="41" t="s">
        <v>27</v>
      </c>
      <c r="B23" s="77">
        <v>44799</v>
      </c>
      <c r="C23" s="78">
        <v>91</v>
      </c>
      <c r="D23" s="79"/>
      <c r="E23" s="79"/>
      <c r="F23" s="79"/>
      <c r="G23" s="79"/>
      <c r="H23" s="79"/>
      <c r="I23" s="79"/>
      <c r="J23" s="79"/>
      <c r="K23" s="79"/>
      <c r="L23" s="79"/>
      <c r="M23" s="79"/>
      <c r="N23" s="79" t="s">
        <v>175</v>
      </c>
      <c r="O23" s="79"/>
      <c r="P23" s="79"/>
      <c r="Q23" s="79"/>
      <c r="R23" s="79"/>
      <c r="S23" s="80"/>
      <c r="T23" s="81"/>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row>
    <row r="24" spans="1:60" s="76" customFormat="1" x14ac:dyDescent="0.25">
      <c r="A24" s="41" t="s">
        <v>28</v>
      </c>
      <c r="B24" s="77">
        <v>44803</v>
      </c>
      <c r="C24" s="78">
        <v>32</v>
      </c>
      <c r="D24" s="79">
        <v>2456.0300000000002</v>
      </c>
      <c r="E24" s="79">
        <v>1400.14</v>
      </c>
      <c r="F24" s="79">
        <v>10360.77</v>
      </c>
      <c r="G24" s="79">
        <v>1857.51</v>
      </c>
      <c r="H24" s="79">
        <v>763.63</v>
      </c>
      <c r="I24" s="79">
        <v>392.13</v>
      </c>
      <c r="J24" s="79">
        <v>1258.97</v>
      </c>
      <c r="K24" s="79">
        <v>0</v>
      </c>
      <c r="L24" s="79"/>
      <c r="M24" s="79">
        <v>495.34</v>
      </c>
      <c r="N24" s="79">
        <v>1176.4000000000001</v>
      </c>
      <c r="O24" s="79">
        <v>2690.61</v>
      </c>
      <c r="P24" s="79">
        <v>0</v>
      </c>
      <c r="Q24" s="79">
        <v>0</v>
      </c>
      <c r="R24" s="79">
        <v>4032.2</v>
      </c>
      <c r="S24" s="80">
        <v>2336.09</v>
      </c>
      <c r="T24" s="81">
        <f>SUM(D24:S24)</f>
        <v>29219.820000000007</v>
      </c>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row>
    <row r="25" spans="1:60" s="76" customFormat="1" x14ac:dyDescent="0.25">
      <c r="A25" s="41" t="s">
        <v>29</v>
      </c>
      <c r="B25" s="77">
        <v>44796</v>
      </c>
      <c r="C25" s="78">
        <v>116</v>
      </c>
      <c r="D25" s="79">
        <v>10416.35</v>
      </c>
      <c r="E25" s="79">
        <v>16281.14</v>
      </c>
      <c r="F25" s="79">
        <v>37026.46</v>
      </c>
      <c r="G25" s="79"/>
      <c r="H25" s="79">
        <v>3256.05</v>
      </c>
      <c r="I25" s="79">
        <v>2442.0700000000002</v>
      </c>
      <c r="J25" s="79">
        <v>0</v>
      </c>
      <c r="K25" s="79">
        <v>2890</v>
      </c>
      <c r="L25" s="79" t="s">
        <v>173</v>
      </c>
      <c r="M25" s="79">
        <v>407.02</v>
      </c>
      <c r="N25" s="79"/>
      <c r="O25" s="79">
        <v>10787.18</v>
      </c>
      <c r="P25" s="79">
        <v>220</v>
      </c>
      <c r="Q25" s="79">
        <v>10062.049999999999</v>
      </c>
      <c r="R25" s="79">
        <v>16826.25</v>
      </c>
      <c r="S25" s="80">
        <v>10402.11</v>
      </c>
      <c r="T25" s="81">
        <f t="shared" ref="T25:T31" si="1">SUM(D25:S25)</f>
        <v>121016.68000000002</v>
      </c>
      <c r="U25" s="82"/>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row>
    <row r="26" spans="1:60" s="76" customFormat="1" x14ac:dyDescent="0.25">
      <c r="A26" s="41" t="s">
        <v>30</v>
      </c>
      <c r="B26" s="77">
        <v>44777</v>
      </c>
      <c r="C26" s="78">
        <v>126</v>
      </c>
      <c r="D26" s="79">
        <v>8236.26</v>
      </c>
      <c r="E26" s="79">
        <v>5773.04</v>
      </c>
      <c r="F26" s="79">
        <v>45082.5</v>
      </c>
      <c r="G26" s="79">
        <v>3921.87</v>
      </c>
      <c r="H26" s="79">
        <v>3200.45</v>
      </c>
      <c r="I26" s="79">
        <v>2203.66</v>
      </c>
      <c r="J26" s="79">
        <v>0</v>
      </c>
      <c r="K26" s="79">
        <v>0</v>
      </c>
      <c r="L26" s="79">
        <v>0</v>
      </c>
      <c r="M26" s="79">
        <v>0</v>
      </c>
      <c r="N26" s="79">
        <v>0</v>
      </c>
      <c r="O26" s="79">
        <v>9619.35</v>
      </c>
      <c r="P26" s="79">
        <v>1007</v>
      </c>
      <c r="Q26" s="79">
        <v>12327.54</v>
      </c>
      <c r="R26" s="79">
        <v>15381.18</v>
      </c>
      <c r="S26" s="80">
        <v>9213.0300000000007</v>
      </c>
      <c r="T26" s="81">
        <f t="shared" si="1"/>
        <v>115965.88</v>
      </c>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row>
    <row r="27" spans="1:60" s="75" customFormat="1" x14ac:dyDescent="0.25">
      <c r="A27" s="41" t="s">
        <v>31</v>
      </c>
      <c r="B27" s="77">
        <v>44818</v>
      </c>
      <c r="C27" s="78">
        <v>59</v>
      </c>
      <c r="D27" s="79">
        <v>3691.23</v>
      </c>
      <c r="E27" s="79">
        <v>4949.8100000000004</v>
      </c>
      <c r="F27" s="79">
        <v>20348.54</v>
      </c>
      <c r="G27" s="79">
        <v>3486.36</v>
      </c>
      <c r="H27" s="79">
        <v>2171.34</v>
      </c>
      <c r="I27" s="79">
        <v>3163.94</v>
      </c>
      <c r="J27" s="79"/>
      <c r="K27" s="79">
        <v>32.54</v>
      </c>
      <c r="L27" s="79"/>
      <c r="M27" s="79">
        <v>496.31</v>
      </c>
      <c r="N27" s="79">
        <v>0</v>
      </c>
      <c r="O27" s="79">
        <v>4882.3599999999997</v>
      </c>
      <c r="P27" s="79">
        <v>118</v>
      </c>
      <c r="Q27" s="79"/>
      <c r="R27" s="79">
        <v>7391</v>
      </c>
      <c r="S27" s="80">
        <v>4580.53</v>
      </c>
      <c r="T27" s="81">
        <f t="shared" si="1"/>
        <v>55311.96</v>
      </c>
      <c r="BF27" s="75">
        <v>0</v>
      </c>
    </row>
    <row r="28" spans="1:60" s="76" customFormat="1" x14ac:dyDescent="0.25">
      <c r="A28" s="41" t="s">
        <v>32</v>
      </c>
      <c r="B28" s="77">
        <v>44817</v>
      </c>
      <c r="C28" s="78">
        <v>24</v>
      </c>
      <c r="D28" s="79">
        <v>1352.2</v>
      </c>
      <c r="E28" s="79">
        <v>738.57</v>
      </c>
      <c r="F28" s="79">
        <v>5192.87</v>
      </c>
      <c r="G28" s="79">
        <v>556.79</v>
      </c>
      <c r="H28" s="79">
        <v>397.73</v>
      </c>
      <c r="I28" s="79">
        <v>1034.02</v>
      </c>
      <c r="J28" s="79">
        <v>0</v>
      </c>
      <c r="K28" s="79">
        <v>21.16</v>
      </c>
      <c r="L28" s="79"/>
      <c r="M28" s="79">
        <v>206.82</v>
      </c>
      <c r="N28" s="79">
        <v>0</v>
      </c>
      <c r="O28" s="79">
        <v>1254.9100000000001</v>
      </c>
      <c r="P28" s="79">
        <v>24</v>
      </c>
      <c r="Q28" s="79">
        <v>0</v>
      </c>
      <c r="R28" s="79">
        <v>1900.01</v>
      </c>
      <c r="S28" s="80">
        <v>1189.99</v>
      </c>
      <c r="T28" s="81">
        <f t="shared" si="1"/>
        <v>13869.07</v>
      </c>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row>
    <row r="29" spans="1:60" s="76" customFormat="1" x14ac:dyDescent="0.25">
      <c r="A29" s="41" t="s">
        <v>33</v>
      </c>
      <c r="B29" s="77">
        <v>44784</v>
      </c>
      <c r="C29" s="78">
        <v>28</v>
      </c>
      <c r="D29" s="79">
        <v>1583.68</v>
      </c>
      <c r="E29" s="79">
        <v>1547.24</v>
      </c>
      <c r="F29" s="79">
        <v>6507.76</v>
      </c>
      <c r="G29" s="79">
        <v>665.41</v>
      </c>
      <c r="H29" s="79">
        <v>399.25</v>
      </c>
      <c r="I29" s="79">
        <v>532.33000000000004</v>
      </c>
      <c r="J29" s="79"/>
      <c r="K29" s="79">
        <v>423.48</v>
      </c>
      <c r="L29" s="79">
        <v>1543.76</v>
      </c>
      <c r="M29" s="79"/>
      <c r="N29" s="79"/>
      <c r="O29" s="79"/>
      <c r="P29" s="79">
        <v>56</v>
      </c>
      <c r="Q29" s="79">
        <v>1896.6</v>
      </c>
      <c r="R29" s="79">
        <v>2766.47</v>
      </c>
      <c r="S29" s="80">
        <v>2475.2399999999998</v>
      </c>
      <c r="T29" s="81">
        <f t="shared" si="1"/>
        <v>20397.22</v>
      </c>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row>
    <row r="30" spans="1:60" s="84" customFormat="1" x14ac:dyDescent="0.25">
      <c r="A30" s="103" t="s">
        <v>34</v>
      </c>
      <c r="B30" s="108">
        <v>44764</v>
      </c>
      <c r="C30" s="78">
        <v>27</v>
      </c>
      <c r="D30" s="109">
        <v>1522.45</v>
      </c>
      <c r="E30" s="109">
        <v>740.55</v>
      </c>
      <c r="F30" s="109">
        <v>524.54999999999995</v>
      </c>
      <c r="G30" s="109">
        <v>933.95</v>
      </c>
      <c r="H30" s="109">
        <v>447.76</v>
      </c>
      <c r="I30" s="109">
        <v>845.69</v>
      </c>
      <c r="J30" s="109">
        <v>0</v>
      </c>
      <c r="K30" s="109">
        <v>9.75</v>
      </c>
      <c r="L30" s="109"/>
      <c r="M30" s="109">
        <v>307.06</v>
      </c>
      <c r="N30" s="109">
        <v>729.25</v>
      </c>
      <c r="O30" s="109">
        <v>1449.61</v>
      </c>
      <c r="P30" s="109"/>
      <c r="Q30" s="109"/>
      <c r="R30" s="109">
        <v>2149.0100000000002</v>
      </c>
      <c r="S30" s="110">
        <v>1479.49</v>
      </c>
      <c r="T30" s="81">
        <f t="shared" si="1"/>
        <v>11139.12</v>
      </c>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row>
    <row r="31" spans="1:60" s="76" customFormat="1" x14ac:dyDescent="0.25">
      <c r="A31" s="41" t="s">
        <v>35</v>
      </c>
      <c r="B31" s="77" t="s">
        <v>169</v>
      </c>
      <c r="C31" s="78">
        <v>299</v>
      </c>
      <c r="D31" s="79">
        <v>9584.17</v>
      </c>
      <c r="E31" s="79">
        <v>10792.25</v>
      </c>
      <c r="F31" s="79">
        <v>41571.269999999997</v>
      </c>
      <c r="G31" s="79">
        <v>4993.46</v>
      </c>
      <c r="H31" s="79">
        <v>3221.56</v>
      </c>
      <c r="I31" s="79">
        <v>691.85</v>
      </c>
      <c r="J31" s="79">
        <v>0</v>
      </c>
      <c r="K31" s="79">
        <v>885</v>
      </c>
      <c r="L31" s="79">
        <v>82.29</v>
      </c>
      <c r="M31" s="79">
        <v>0</v>
      </c>
      <c r="N31" s="79">
        <v>0</v>
      </c>
      <c r="O31" s="79">
        <v>9973.85</v>
      </c>
      <c r="P31" s="79">
        <v>2525.25</v>
      </c>
      <c r="Q31" s="79">
        <v>11631.11</v>
      </c>
      <c r="R31" s="79">
        <v>16872.64</v>
      </c>
      <c r="S31" s="80">
        <v>9710.26</v>
      </c>
      <c r="T31" s="81">
        <f t="shared" si="1"/>
        <v>122534.95999999999</v>
      </c>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row>
    <row r="32" spans="1:60" s="76" customFormat="1" x14ac:dyDescent="0.25">
      <c r="A32" s="41" t="s">
        <v>36</v>
      </c>
      <c r="B32" s="77">
        <v>44817</v>
      </c>
      <c r="C32" s="78"/>
      <c r="D32" s="79"/>
      <c r="E32" s="79"/>
      <c r="F32" s="79"/>
      <c r="G32" s="79"/>
      <c r="H32" s="79"/>
      <c r="I32" s="79"/>
      <c r="J32" s="79"/>
      <c r="K32" s="79"/>
      <c r="L32" s="79"/>
      <c r="M32" s="79"/>
      <c r="N32" s="79"/>
      <c r="O32" s="79"/>
      <c r="P32" s="79"/>
      <c r="Q32" s="79"/>
      <c r="R32" s="79"/>
      <c r="S32" s="80"/>
      <c r="T32" s="81"/>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row>
    <row r="33" spans="1:60" s="76" customFormat="1" x14ac:dyDescent="0.25">
      <c r="A33" s="41" t="s">
        <v>37</v>
      </c>
      <c r="B33" s="77">
        <v>44803</v>
      </c>
      <c r="C33" s="78"/>
      <c r="D33" s="79"/>
      <c r="E33" s="79"/>
      <c r="F33" s="79"/>
      <c r="G33" s="79"/>
      <c r="H33" s="79"/>
      <c r="I33" s="79"/>
      <c r="J33" s="79"/>
      <c r="K33" s="79"/>
      <c r="L33" s="79"/>
      <c r="M33" s="79"/>
      <c r="N33" s="79"/>
      <c r="O33" s="79"/>
      <c r="P33" s="79"/>
      <c r="Q33" s="79"/>
      <c r="R33" s="79"/>
      <c r="S33" s="80"/>
      <c r="T33" s="81"/>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row>
    <row r="34" spans="1:60" s="76" customFormat="1" x14ac:dyDescent="0.25">
      <c r="A34" s="41" t="s">
        <v>38</v>
      </c>
      <c r="B34" s="77">
        <v>44799</v>
      </c>
      <c r="C34" s="78">
        <v>44</v>
      </c>
      <c r="D34" s="79">
        <v>2472.75</v>
      </c>
      <c r="E34" s="79">
        <v>1828.59</v>
      </c>
      <c r="F34" s="79">
        <v>10618.33</v>
      </c>
      <c r="G34" s="79">
        <v>2659.77</v>
      </c>
      <c r="H34" s="79">
        <v>1662.36</v>
      </c>
      <c r="I34" s="79">
        <v>1412.99</v>
      </c>
      <c r="J34" s="79">
        <v>0</v>
      </c>
      <c r="K34" s="79">
        <v>27.63</v>
      </c>
      <c r="L34" s="79">
        <v>75.739999999999995</v>
      </c>
      <c r="M34" s="79">
        <v>311.69</v>
      </c>
      <c r="N34" s="79">
        <v>2077.9499999999998</v>
      </c>
      <c r="O34" s="79">
        <v>3564.33</v>
      </c>
      <c r="P34" s="79">
        <v>220</v>
      </c>
      <c r="Q34" s="79">
        <v>3766.1</v>
      </c>
      <c r="R34" s="79">
        <v>5426.6</v>
      </c>
      <c r="S34" s="80">
        <v>3351.41</v>
      </c>
      <c r="T34" s="81">
        <f>SUM(D34:S34)</f>
        <v>39476.240000000005</v>
      </c>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row>
    <row r="35" spans="1:60" s="76" customFormat="1" x14ac:dyDescent="0.25">
      <c r="A35" s="41" t="s">
        <v>39</v>
      </c>
      <c r="B35" s="77">
        <v>44764</v>
      </c>
      <c r="C35" s="78">
        <v>218</v>
      </c>
      <c r="D35" s="79">
        <v>44161.35</v>
      </c>
      <c r="E35" s="79">
        <v>31971.16</v>
      </c>
      <c r="F35" s="79">
        <v>299850.42</v>
      </c>
      <c r="G35" s="79">
        <v>53951.14</v>
      </c>
      <c r="H35" s="79">
        <v>10390.959999999999</v>
      </c>
      <c r="I35" s="79">
        <v>1484.42</v>
      </c>
      <c r="J35" s="79">
        <v>0</v>
      </c>
      <c r="K35" s="79">
        <v>0</v>
      </c>
      <c r="L35" s="79">
        <v>24356.12</v>
      </c>
      <c r="M35" s="79">
        <v>222.68</v>
      </c>
      <c r="N35" s="79"/>
      <c r="O35" s="79">
        <v>61514.19</v>
      </c>
      <c r="P35" s="79">
        <v>8680</v>
      </c>
      <c r="Q35" s="79">
        <v>69619.259999999995</v>
      </c>
      <c r="R35" s="79">
        <v>107635.8</v>
      </c>
      <c r="S35" s="80">
        <v>56855.89</v>
      </c>
      <c r="T35" s="81">
        <f>SUM(D35:S35)</f>
        <v>770693.39</v>
      </c>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row>
    <row r="36" spans="1:60" s="76" customFormat="1" x14ac:dyDescent="0.25">
      <c r="A36" s="41" t="s">
        <v>40</v>
      </c>
      <c r="B36" s="77">
        <v>44792</v>
      </c>
      <c r="C36" s="78">
        <v>57</v>
      </c>
      <c r="D36" s="79">
        <v>2085.92</v>
      </c>
      <c r="E36" s="79">
        <v>2804.64</v>
      </c>
      <c r="F36" s="79">
        <v>8045.78</v>
      </c>
      <c r="G36" s="79">
        <v>1595.14</v>
      </c>
      <c r="H36" s="79">
        <v>876.45</v>
      </c>
      <c r="I36" s="79">
        <v>823.85</v>
      </c>
      <c r="J36" s="79"/>
      <c r="K36" s="79">
        <v>0</v>
      </c>
      <c r="L36" s="79">
        <v>83.65</v>
      </c>
      <c r="M36" s="79">
        <v>262.93</v>
      </c>
      <c r="N36" s="79">
        <v>1542.56</v>
      </c>
      <c r="O36" s="79">
        <v>2692.85</v>
      </c>
      <c r="P36" s="79">
        <v>1140</v>
      </c>
      <c r="Q36" s="79">
        <v>2938.41</v>
      </c>
      <c r="R36" s="79">
        <v>4211.8900000000003</v>
      </c>
      <c r="S36" s="80">
        <v>2960.9</v>
      </c>
      <c r="T36" s="81">
        <f>SUM(D36:S36)</f>
        <v>32064.97</v>
      </c>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row>
    <row r="37" spans="1:60" s="76" customFormat="1" x14ac:dyDescent="0.25">
      <c r="A37" s="41" t="s">
        <v>41</v>
      </c>
      <c r="B37" s="77">
        <v>44812</v>
      </c>
      <c r="C37" s="78">
        <v>215</v>
      </c>
      <c r="D37" s="79">
        <v>17046.27</v>
      </c>
      <c r="E37" s="79">
        <v>17331.86</v>
      </c>
      <c r="F37" s="79">
        <v>98836.02</v>
      </c>
      <c r="G37" s="79">
        <v>8880.66</v>
      </c>
      <c r="H37" s="79">
        <v>8594.39</v>
      </c>
      <c r="I37" s="79">
        <v>6442.5</v>
      </c>
      <c r="J37" s="79"/>
      <c r="K37" s="79"/>
      <c r="L37" s="79"/>
      <c r="M37" s="79">
        <v>2720.85</v>
      </c>
      <c r="N37" s="79">
        <v>12000.54</v>
      </c>
      <c r="O37" s="79">
        <v>21387.81</v>
      </c>
      <c r="P37" s="79">
        <v>1661.72</v>
      </c>
      <c r="Q37" s="79"/>
      <c r="R37" s="79">
        <v>34576.410000000003</v>
      </c>
      <c r="S37" s="80">
        <v>26335.24</v>
      </c>
      <c r="T37" s="81">
        <f>SUM(D37:S37)</f>
        <v>255814.27000000002</v>
      </c>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row>
    <row r="38" spans="1:60" s="76" customFormat="1" x14ac:dyDescent="0.25">
      <c r="A38" s="41" t="s">
        <v>42</v>
      </c>
      <c r="B38" s="77">
        <v>44762</v>
      </c>
      <c r="C38" s="78">
        <v>109</v>
      </c>
      <c r="D38" s="79">
        <v>12220.91</v>
      </c>
      <c r="E38" s="79">
        <v>18998.87</v>
      </c>
      <c r="F38" s="79">
        <v>50761.06</v>
      </c>
      <c r="G38" s="79">
        <v>8421.1200000000008</v>
      </c>
      <c r="H38" s="79">
        <v>7445.52</v>
      </c>
      <c r="I38" s="79">
        <v>1848.54</v>
      </c>
      <c r="J38" s="79">
        <v>0</v>
      </c>
      <c r="K38" s="79">
        <v>0</v>
      </c>
      <c r="L38" s="79">
        <v>924.26</v>
      </c>
      <c r="M38" s="79">
        <v>0</v>
      </c>
      <c r="N38" s="79"/>
      <c r="O38" s="79">
        <v>14794.99</v>
      </c>
      <c r="P38" s="79">
        <v>654</v>
      </c>
      <c r="Q38" s="79">
        <v>15081.14</v>
      </c>
      <c r="R38" s="79">
        <v>23358.25</v>
      </c>
      <c r="S38" s="80">
        <v>13205.09</v>
      </c>
      <c r="T38" s="81">
        <f>SUM(D38:S38)</f>
        <v>167713.74999999997</v>
      </c>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row>
    <row r="39" spans="1:60" s="76" customFormat="1" x14ac:dyDescent="0.25">
      <c r="A39" s="41" t="s">
        <v>43</v>
      </c>
      <c r="B39" s="77">
        <v>44789</v>
      </c>
      <c r="C39" s="78">
        <v>0</v>
      </c>
      <c r="D39" s="79">
        <v>0</v>
      </c>
      <c r="E39" s="79">
        <v>0</v>
      </c>
      <c r="F39" s="79">
        <v>0</v>
      </c>
      <c r="G39" s="79">
        <v>0</v>
      </c>
      <c r="H39" s="79">
        <v>0</v>
      </c>
      <c r="I39" s="79">
        <v>0</v>
      </c>
      <c r="J39" s="79">
        <v>0</v>
      </c>
      <c r="K39" s="79">
        <v>0</v>
      </c>
      <c r="L39" s="79">
        <v>0</v>
      </c>
      <c r="M39" s="79">
        <v>0</v>
      </c>
      <c r="N39" s="79">
        <v>0</v>
      </c>
      <c r="O39" s="79">
        <v>0</v>
      </c>
      <c r="P39" s="79">
        <v>0</v>
      </c>
      <c r="Q39" s="79">
        <v>0</v>
      </c>
      <c r="R39" s="79">
        <v>0</v>
      </c>
      <c r="S39" s="80">
        <v>0</v>
      </c>
      <c r="T39" s="81">
        <v>0</v>
      </c>
      <c r="U39" s="80">
        <v>0</v>
      </c>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row>
    <row r="40" spans="1:60" s="85" customFormat="1" x14ac:dyDescent="0.25">
      <c r="A40" s="41" t="s">
        <v>44</v>
      </c>
      <c r="B40" s="77">
        <v>44756</v>
      </c>
      <c r="C40" s="78">
        <v>18</v>
      </c>
      <c r="D40" s="79">
        <v>1917.62</v>
      </c>
      <c r="E40" s="79">
        <v>1632.11</v>
      </c>
      <c r="F40" s="79">
        <v>10457.67</v>
      </c>
      <c r="G40" s="79">
        <v>1756.4</v>
      </c>
      <c r="H40" s="79">
        <v>886.26</v>
      </c>
      <c r="I40" s="79">
        <v>870.14</v>
      </c>
      <c r="J40" s="79">
        <v>0</v>
      </c>
      <c r="K40" s="79">
        <v>427.17</v>
      </c>
      <c r="L40" s="79">
        <v>1978.29</v>
      </c>
      <c r="M40" s="79">
        <v>145.05000000000001</v>
      </c>
      <c r="N40" s="79">
        <v>0</v>
      </c>
      <c r="O40" s="79">
        <v>2665.39</v>
      </c>
      <c r="P40" s="79">
        <v>0</v>
      </c>
      <c r="Q40" s="79"/>
      <c r="R40" s="79">
        <v>4010.53</v>
      </c>
      <c r="S40" s="80">
        <v>2167.2600000000002</v>
      </c>
      <c r="T40" s="81">
        <f>SUM(D40:S40)</f>
        <v>28913.889999999992</v>
      </c>
      <c r="U40" s="75"/>
      <c r="V40" s="75"/>
      <c r="W40" s="75"/>
      <c r="X40" s="75"/>
      <c r="Y40" s="75"/>
      <c r="Z40" s="75"/>
      <c r="AA40" s="75"/>
      <c r="AB40" s="75"/>
    </row>
    <row r="41" spans="1:60" s="76" customFormat="1" x14ac:dyDescent="0.25">
      <c r="A41" s="41" t="s">
        <v>45</v>
      </c>
      <c r="B41" s="77">
        <v>44776</v>
      </c>
      <c r="C41" s="75"/>
      <c r="D41" s="75"/>
      <c r="E41" s="75"/>
      <c r="F41" s="75"/>
      <c r="G41" s="75"/>
      <c r="H41" s="75"/>
      <c r="I41" s="75"/>
      <c r="J41" s="75"/>
      <c r="K41" s="75"/>
      <c r="L41" s="75"/>
      <c r="M41" s="75"/>
      <c r="N41" s="75"/>
      <c r="O41" s="75"/>
      <c r="P41" s="75"/>
      <c r="Q41" s="75"/>
      <c r="R41" s="75"/>
      <c r="S41" s="75"/>
      <c r="T41" s="81"/>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row>
    <row r="42" spans="1:60" s="76" customFormat="1" x14ac:dyDescent="0.25">
      <c r="A42" s="41" t="s">
        <v>46</v>
      </c>
      <c r="B42" s="77">
        <v>44781</v>
      </c>
      <c r="C42" s="78">
        <v>63</v>
      </c>
      <c r="D42" s="79">
        <v>5032.71</v>
      </c>
      <c r="E42" s="79">
        <v>5201.8500000000004</v>
      </c>
      <c r="F42" s="79">
        <v>25523.02</v>
      </c>
      <c r="G42" s="79">
        <v>4355.97</v>
      </c>
      <c r="H42" s="79">
        <v>1141.9000000000001</v>
      </c>
      <c r="I42" s="79">
        <v>3298.63</v>
      </c>
      <c r="J42" s="79">
        <v>0</v>
      </c>
      <c r="K42" s="79">
        <v>1325</v>
      </c>
      <c r="L42" s="79">
        <v>686.75</v>
      </c>
      <c r="M42" s="79">
        <v>422.91</v>
      </c>
      <c r="N42" s="79">
        <v>0</v>
      </c>
      <c r="O42" s="79">
        <v>6874.69</v>
      </c>
      <c r="P42" s="79">
        <v>441</v>
      </c>
      <c r="Q42" s="79">
        <v>7633.09</v>
      </c>
      <c r="R42" s="79">
        <v>10926.34</v>
      </c>
      <c r="S42" s="80">
        <v>6407.15</v>
      </c>
      <c r="T42" s="81">
        <f>SUM(D42:S42)</f>
        <v>79271.009999999995</v>
      </c>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row>
    <row r="43" spans="1:60" s="76" customFormat="1" x14ac:dyDescent="0.25">
      <c r="A43" s="41" t="s">
        <v>47</v>
      </c>
      <c r="B43" s="77">
        <v>44831</v>
      </c>
      <c r="C43" s="78">
        <v>89</v>
      </c>
      <c r="D43" s="79">
        <v>4643.6499999999996</v>
      </c>
      <c r="E43" s="79">
        <v>3863.2</v>
      </c>
      <c r="F43" s="79">
        <v>14822.33</v>
      </c>
      <c r="G43" s="79">
        <v>2146.21</v>
      </c>
      <c r="H43" s="79">
        <v>1365.76</v>
      </c>
      <c r="I43" s="79">
        <v>1521.85</v>
      </c>
      <c r="J43" s="79"/>
      <c r="K43" s="79">
        <v>2647.9</v>
      </c>
      <c r="L43" s="79">
        <v>187.33</v>
      </c>
      <c r="M43" s="79">
        <v>819.5</v>
      </c>
      <c r="N43" s="79"/>
      <c r="O43" s="79">
        <v>4628.59</v>
      </c>
      <c r="P43" s="79">
        <v>534</v>
      </c>
      <c r="Q43" s="79">
        <v>5194.1499999999996</v>
      </c>
      <c r="R43" s="79">
        <v>7620.36</v>
      </c>
      <c r="S43" s="80">
        <v>5056.17</v>
      </c>
      <c r="T43" s="81">
        <f>SUM(D43:S43)</f>
        <v>55051</v>
      </c>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row>
    <row r="44" spans="1:60" s="76" customFormat="1" x14ac:dyDescent="0.25">
      <c r="A44" s="41" t="s">
        <v>48</v>
      </c>
      <c r="B44" s="77">
        <v>44761</v>
      </c>
      <c r="C44" s="78">
        <v>39</v>
      </c>
      <c r="D44" s="79">
        <v>4377.07</v>
      </c>
      <c r="E44" s="79">
        <v>2464.4499999999998</v>
      </c>
      <c r="F44" s="79">
        <v>19347.53</v>
      </c>
      <c r="G44" s="79">
        <v>0</v>
      </c>
      <c r="H44" s="79">
        <v>0</v>
      </c>
      <c r="I44" s="79">
        <v>2059.81</v>
      </c>
      <c r="J44" s="79">
        <v>1618.43</v>
      </c>
      <c r="K44" s="79">
        <v>4703.05</v>
      </c>
      <c r="L44" s="79">
        <v>3420.67</v>
      </c>
      <c r="M44" s="79">
        <v>354.51</v>
      </c>
      <c r="N44" s="79"/>
      <c r="O44" s="79">
        <v>4703.05</v>
      </c>
      <c r="P44" s="79">
        <v>355</v>
      </c>
      <c r="Q44" s="79">
        <v>85.24</v>
      </c>
      <c r="R44" s="79">
        <v>7628.12</v>
      </c>
      <c r="S44" s="80">
        <v>4808.1000000000004</v>
      </c>
      <c r="T44" s="81">
        <f>SUM(D44:S44)</f>
        <v>55925.030000000006</v>
      </c>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row>
    <row r="45" spans="1:60" s="86" customFormat="1" x14ac:dyDescent="0.25">
      <c r="A45" s="41" t="s">
        <v>49</v>
      </c>
      <c r="B45" s="77">
        <v>44833</v>
      </c>
      <c r="C45" s="78"/>
      <c r="D45" s="79"/>
      <c r="E45" s="79"/>
      <c r="F45" s="79"/>
      <c r="G45" s="79"/>
      <c r="H45" s="79"/>
      <c r="I45" s="79"/>
      <c r="J45" s="79"/>
      <c r="K45" s="79"/>
      <c r="L45" s="79"/>
      <c r="M45" s="79"/>
      <c r="N45" s="79"/>
      <c r="O45" s="79"/>
      <c r="P45" s="79"/>
      <c r="Q45" s="79"/>
      <c r="R45" s="79"/>
      <c r="S45" s="80"/>
      <c r="T45" s="81"/>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row>
    <row r="46" spans="1:60" s="76" customFormat="1" x14ac:dyDescent="0.25">
      <c r="A46" s="41" t="s">
        <v>50</v>
      </c>
      <c r="B46" s="77">
        <v>44791</v>
      </c>
      <c r="C46" s="78">
        <v>159</v>
      </c>
      <c r="D46" s="79">
        <v>12043.7</v>
      </c>
      <c r="E46" s="79">
        <v>32386.48</v>
      </c>
      <c r="F46" s="79">
        <v>86553.74</v>
      </c>
      <c r="G46" s="79">
        <v>8906.24</v>
      </c>
      <c r="H46" s="79">
        <v>8096.62</v>
      </c>
      <c r="I46" s="79">
        <v>2327.81</v>
      </c>
      <c r="J46" s="79">
        <v>0</v>
      </c>
      <c r="K46" s="79">
        <v>3987.48</v>
      </c>
      <c r="L46" s="79">
        <v>4283.0600000000004</v>
      </c>
      <c r="M46" s="79">
        <v>21.16</v>
      </c>
      <c r="N46" s="79">
        <v>6331.09</v>
      </c>
      <c r="O46" s="79">
        <v>23976.44</v>
      </c>
      <c r="P46" s="79">
        <v>2004</v>
      </c>
      <c r="Q46" s="79">
        <v>26763.99</v>
      </c>
      <c r="R46" s="79">
        <v>38518.239999999998</v>
      </c>
      <c r="S46" s="80">
        <v>21555</v>
      </c>
      <c r="T46" s="81">
        <f>SUM(D46:S46)</f>
        <v>277755.05</v>
      </c>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row>
    <row r="47" spans="1:60" s="76" customFormat="1" x14ac:dyDescent="0.25">
      <c r="A47" s="41" t="s">
        <v>51</v>
      </c>
      <c r="B47" s="108">
        <v>44825</v>
      </c>
      <c r="C47" s="78">
        <v>7</v>
      </c>
      <c r="D47" s="79">
        <v>647.25</v>
      </c>
      <c r="E47" s="79">
        <v>228.44</v>
      </c>
      <c r="F47" s="79">
        <v>3965.04</v>
      </c>
      <c r="G47" s="79">
        <v>625.49</v>
      </c>
      <c r="H47" s="79">
        <v>231.15</v>
      </c>
      <c r="I47" s="79">
        <v>0</v>
      </c>
      <c r="J47" s="79">
        <v>0</v>
      </c>
      <c r="K47" s="79">
        <v>0</v>
      </c>
      <c r="L47" s="79">
        <v>0.45</v>
      </c>
      <c r="M47" s="79">
        <v>0</v>
      </c>
      <c r="N47" s="79">
        <v>0</v>
      </c>
      <c r="O47" s="79">
        <v>773.19</v>
      </c>
      <c r="P47" s="79">
        <v>98</v>
      </c>
      <c r="Q47" s="79">
        <v>992.25</v>
      </c>
      <c r="R47" s="79">
        <v>1338.01</v>
      </c>
      <c r="S47" s="80">
        <v>774.02</v>
      </c>
      <c r="T47" s="81">
        <f>SUM(D47:S47)</f>
        <v>9673.2899999999991</v>
      </c>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row>
    <row r="48" spans="1:60" s="76" customFormat="1" x14ac:dyDescent="0.25">
      <c r="A48" s="41" t="s">
        <v>52</v>
      </c>
      <c r="B48" s="77">
        <v>44781</v>
      </c>
      <c r="C48" s="78">
        <v>217</v>
      </c>
      <c r="D48" s="79">
        <v>19232.82</v>
      </c>
      <c r="E48" s="79">
        <v>22028.31</v>
      </c>
      <c r="F48" s="79">
        <v>108000.47</v>
      </c>
      <c r="G48" s="79">
        <v>0</v>
      </c>
      <c r="H48" s="79">
        <v>3555.67</v>
      </c>
      <c r="I48" s="79">
        <v>2909.11</v>
      </c>
      <c r="J48" s="79">
        <v>0</v>
      </c>
      <c r="K48" s="79">
        <v>7987.31</v>
      </c>
      <c r="L48" s="79"/>
      <c r="M48" s="79"/>
      <c r="N48" s="79"/>
      <c r="O48" s="79">
        <v>18871.669999999998</v>
      </c>
      <c r="P48" s="79"/>
      <c r="Q48" s="79"/>
      <c r="R48" s="79">
        <v>32699.32</v>
      </c>
      <c r="S48" s="80">
        <v>19387.73</v>
      </c>
      <c r="T48" s="81">
        <f>SUM(D48:S48)</f>
        <v>234672.41</v>
      </c>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row>
    <row r="49" spans="1:60" s="87" customFormat="1" x14ac:dyDescent="0.25">
      <c r="A49" s="41" t="s">
        <v>53</v>
      </c>
      <c r="B49" s="77">
        <v>44769</v>
      </c>
      <c r="C49" s="78">
        <v>175</v>
      </c>
      <c r="D49" s="79">
        <v>8789.1299999999992</v>
      </c>
      <c r="E49" s="79">
        <v>30651.06</v>
      </c>
      <c r="F49" s="79">
        <v>51026.3</v>
      </c>
      <c r="G49" s="79">
        <v>7385.79</v>
      </c>
      <c r="H49" s="79">
        <v>4062.19</v>
      </c>
      <c r="I49" s="79">
        <v>7385.79</v>
      </c>
      <c r="J49" s="79"/>
      <c r="K49" s="79"/>
      <c r="L49" s="79">
        <v>6646.08</v>
      </c>
      <c r="M49" s="79">
        <v>1255.57</v>
      </c>
      <c r="N49" s="79"/>
      <c r="O49" s="79">
        <v>15117.57</v>
      </c>
      <c r="P49" s="79">
        <v>1890</v>
      </c>
      <c r="Q49" s="79">
        <v>17259.14</v>
      </c>
      <c r="R49" s="79">
        <v>22511.97</v>
      </c>
      <c r="S49" s="80">
        <v>15874.87</v>
      </c>
      <c r="T49" s="81">
        <f>SUM(D49:S49)</f>
        <v>189855.46</v>
      </c>
      <c r="U49" s="75"/>
      <c r="V49" s="75"/>
      <c r="W49" s="75"/>
      <c r="X49" s="75"/>
      <c r="Y49" s="75"/>
      <c r="Z49" s="75"/>
      <c r="AA49" s="75"/>
      <c r="AB49" s="75"/>
      <c r="AC49" s="75"/>
      <c r="AD49" s="75"/>
      <c r="AE49" s="75"/>
      <c r="AF49" s="75"/>
      <c r="AG49" s="75"/>
    </row>
    <row r="50" spans="1:60" s="76" customFormat="1" x14ac:dyDescent="0.25">
      <c r="A50" s="41" t="s">
        <v>54</v>
      </c>
      <c r="B50" s="77">
        <v>44812</v>
      </c>
      <c r="C50" s="78"/>
      <c r="D50" s="79"/>
      <c r="E50" s="79"/>
      <c r="F50" s="79"/>
      <c r="G50" s="79"/>
      <c r="H50" s="79"/>
      <c r="I50" s="79"/>
      <c r="J50" s="79"/>
      <c r="K50" s="79"/>
      <c r="L50" s="79"/>
      <c r="M50" s="79"/>
      <c r="N50" s="79"/>
      <c r="O50" s="79"/>
      <c r="P50" s="79"/>
      <c r="Q50" s="79"/>
      <c r="R50" s="79"/>
      <c r="S50" s="80"/>
      <c r="T50" s="81"/>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row>
    <row r="51" spans="1:60" s="76" customFormat="1" x14ac:dyDescent="0.25">
      <c r="A51" s="41" t="s">
        <v>174</v>
      </c>
      <c r="B51" s="77">
        <v>44825</v>
      </c>
      <c r="C51" s="78">
        <v>23</v>
      </c>
      <c r="D51" s="79">
        <v>663.62</v>
      </c>
      <c r="E51" s="79">
        <v>574.38</v>
      </c>
      <c r="F51" s="79">
        <v>3864.47</v>
      </c>
      <c r="G51" s="79">
        <v>529.78</v>
      </c>
      <c r="H51" s="79"/>
      <c r="I51" s="79">
        <v>0</v>
      </c>
      <c r="J51" s="79">
        <v>0</v>
      </c>
      <c r="K51" s="79">
        <v>560</v>
      </c>
      <c r="L51" s="79">
        <v>1.54</v>
      </c>
      <c r="M51" s="79">
        <v>0</v>
      </c>
      <c r="N51" s="79">
        <v>418.25</v>
      </c>
      <c r="O51" s="79">
        <v>952.19</v>
      </c>
      <c r="P51" s="79">
        <v>230</v>
      </c>
      <c r="Q51" s="79">
        <v>1154.73</v>
      </c>
      <c r="R51" s="79">
        <v>1553.35</v>
      </c>
      <c r="S51" s="80">
        <v>1121.69</v>
      </c>
      <c r="T51" s="81">
        <f>SUM(D51:S51)</f>
        <v>11624</v>
      </c>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row>
    <row r="52" spans="1:60" s="76" customFormat="1" x14ac:dyDescent="0.25">
      <c r="A52" s="41" t="s">
        <v>55</v>
      </c>
      <c r="B52" s="77">
        <v>44825</v>
      </c>
      <c r="C52" s="78">
        <v>29</v>
      </c>
      <c r="D52" s="79">
        <v>1338.76</v>
      </c>
      <c r="E52" s="79">
        <v>1158.77</v>
      </c>
      <c r="F52" s="79">
        <v>7117.14</v>
      </c>
      <c r="G52" s="79">
        <v>1066.77</v>
      </c>
      <c r="H52" s="79">
        <v>0</v>
      </c>
      <c r="I52" s="79">
        <v>0</v>
      </c>
      <c r="J52" s="79">
        <v>0</v>
      </c>
      <c r="K52" s="79">
        <v>770</v>
      </c>
      <c r="L52" s="79">
        <v>2.86</v>
      </c>
      <c r="M52" s="79">
        <v>0</v>
      </c>
      <c r="N52" s="79">
        <v>843.77</v>
      </c>
      <c r="O52" s="79">
        <v>1815.33</v>
      </c>
      <c r="P52" s="79">
        <v>290</v>
      </c>
      <c r="Q52" s="79">
        <v>2150.75</v>
      </c>
      <c r="R52" s="79">
        <v>2890.15</v>
      </c>
      <c r="S52" s="80">
        <v>1880.06</v>
      </c>
      <c r="T52" s="81">
        <f>SUM(D52:S52)</f>
        <v>21324.360000000004</v>
      </c>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row>
    <row r="53" spans="1:60" s="76" customFormat="1" x14ac:dyDescent="0.25">
      <c r="A53" s="41" t="s">
        <v>163</v>
      </c>
      <c r="B53" s="77">
        <v>44796</v>
      </c>
      <c r="C53" s="78">
        <v>54</v>
      </c>
      <c r="D53" s="79">
        <v>6781.89</v>
      </c>
      <c r="E53" s="79">
        <v>7299.01</v>
      </c>
      <c r="F53" s="79">
        <v>38013.019999999997</v>
      </c>
      <c r="G53" s="79">
        <v>6383</v>
      </c>
      <c r="H53" s="79">
        <v>3311.41</v>
      </c>
      <c r="I53" s="79">
        <v>1880.71</v>
      </c>
      <c r="J53" s="79"/>
      <c r="K53" s="79">
        <v>1375</v>
      </c>
      <c r="L53" s="79"/>
      <c r="M53" s="79">
        <v>20.48</v>
      </c>
      <c r="N53" s="79"/>
      <c r="O53" s="79">
        <v>9151.66</v>
      </c>
      <c r="P53" s="79">
        <v>108</v>
      </c>
      <c r="Q53" s="79">
        <v>10470.99</v>
      </c>
      <c r="R53" s="79">
        <v>15014.69</v>
      </c>
      <c r="S53" s="80">
        <v>8317.3799999999992</v>
      </c>
      <c r="T53" s="81">
        <f>SUM(D53:S53)</f>
        <v>108127.24000000002</v>
      </c>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row>
    <row r="54" spans="1:60" s="76" customFormat="1" x14ac:dyDescent="0.25">
      <c r="A54" s="41" t="s">
        <v>162</v>
      </c>
      <c r="B54" s="77">
        <v>44796</v>
      </c>
      <c r="C54" s="78">
        <v>19</v>
      </c>
      <c r="D54" s="79">
        <v>1127.6300000000001</v>
      </c>
      <c r="E54" s="79">
        <v>1213.28</v>
      </c>
      <c r="F54" s="79">
        <v>6320.51</v>
      </c>
      <c r="G54" s="79">
        <v>1061.31</v>
      </c>
      <c r="H54" s="79">
        <v>473.8</v>
      </c>
      <c r="I54" s="79">
        <v>312.7</v>
      </c>
      <c r="J54" s="79"/>
      <c r="K54" s="79"/>
      <c r="L54" s="79"/>
      <c r="M54" s="79">
        <v>312.89</v>
      </c>
      <c r="N54" s="79">
        <v>0</v>
      </c>
      <c r="O54" s="79">
        <v>1527.26</v>
      </c>
      <c r="P54" s="79">
        <v>38</v>
      </c>
      <c r="Q54" s="79">
        <v>1748.04</v>
      </c>
      <c r="R54" s="79">
        <v>2506.44</v>
      </c>
      <c r="S54" s="80">
        <v>1538.23</v>
      </c>
      <c r="T54" s="81">
        <f>SUM(D54:S54)</f>
        <v>18180.089999999997</v>
      </c>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row>
    <row r="55" spans="1:60" s="76" customFormat="1" x14ac:dyDescent="0.25">
      <c r="A55" s="41" t="s">
        <v>57</v>
      </c>
      <c r="B55" s="77">
        <v>44769</v>
      </c>
      <c r="C55" s="78">
        <v>24</v>
      </c>
      <c r="D55" s="79">
        <v>1746.92</v>
      </c>
      <c r="E55" s="79">
        <v>1776.28</v>
      </c>
      <c r="F55" s="79">
        <v>10654.87</v>
      </c>
      <c r="G55" s="79">
        <v>1453.32</v>
      </c>
      <c r="H55" s="79">
        <v>587.20000000000005</v>
      </c>
      <c r="I55" s="79">
        <v>660.6</v>
      </c>
      <c r="J55" s="79">
        <v>880.8</v>
      </c>
      <c r="K55" s="79">
        <v>630</v>
      </c>
      <c r="L55" s="79">
        <v>38.4</v>
      </c>
      <c r="M55" s="79">
        <v>130.66999999999999</v>
      </c>
      <c r="N55" s="79">
        <v>0</v>
      </c>
      <c r="O55" s="79">
        <v>2737.7</v>
      </c>
      <c r="P55" s="79">
        <v>288</v>
      </c>
      <c r="Q55" s="79">
        <v>2782.03</v>
      </c>
      <c r="R55" s="79">
        <v>4316.21</v>
      </c>
      <c r="S55" s="80">
        <v>2494.1</v>
      </c>
      <c r="T55" s="81">
        <f>SUM(D55:S55)</f>
        <v>31177.099999999995</v>
      </c>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row>
    <row r="56" spans="1:60" s="76" customFormat="1" x14ac:dyDescent="0.25">
      <c r="A56" s="41" t="s">
        <v>58</v>
      </c>
      <c r="B56" s="77">
        <v>44781</v>
      </c>
      <c r="C56" s="78"/>
      <c r="D56" s="79"/>
      <c r="E56" s="79"/>
      <c r="F56" s="79"/>
      <c r="G56" s="79"/>
      <c r="H56" s="79"/>
      <c r="I56" s="79"/>
      <c r="J56" s="79"/>
      <c r="K56" s="79"/>
      <c r="L56" s="79"/>
      <c r="M56" s="79"/>
      <c r="N56" s="79"/>
      <c r="O56" s="79"/>
      <c r="P56" s="79"/>
      <c r="Q56" s="79"/>
      <c r="R56" s="79"/>
      <c r="S56" s="80"/>
      <c r="T56" s="81"/>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row>
    <row r="57" spans="1:60" s="76" customFormat="1" x14ac:dyDescent="0.25">
      <c r="A57" s="41" t="s">
        <v>59</v>
      </c>
      <c r="B57" s="77">
        <v>44819</v>
      </c>
      <c r="C57" s="78"/>
      <c r="D57" s="79"/>
      <c r="E57" s="79"/>
      <c r="F57" s="79"/>
      <c r="G57" s="79"/>
      <c r="H57" s="79"/>
      <c r="I57" s="79"/>
      <c r="J57" s="79"/>
      <c r="K57" s="79"/>
      <c r="L57" s="79"/>
      <c r="M57" s="79"/>
      <c r="N57" s="79"/>
      <c r="O57" s="79"/>
      <c r="P57" s="79"/>
      <c r="Q57" s="79"/>
      <c r="R57" s="79"/>
      <c r="S57" s="80"/>
      <c r="T57" s="81"/>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row>
    <row r="58" spans="1:60" s="76" customFormat="1" x14ac:dyDescent="0.25">
      <c r="A58" s="41" t="s">
        <v>60</v>
      </c>
      <c r="B58" s="77">
        <v>44790</v>
      </c>
      <c r="C58" s="78">
        <v>6</v>
      </c>
      <c r="D58" s="79">
        <v>187.74</v>
      </c>
      <c r="E58" s="79">
        <v>106.43</v>
      </c>
      <c r="F58" s="79">
        <v>963.6</v>
      </c>
      <c r="G58" s="79">
        <v>209.87</v>
      </c>
      <c r="H58" s="79">
        <v>147.55000000000001</v>
      </c>
      <c r="I58" s="79"/>
      <c r="J58" s="79">
        <v>0</v>
      </c>
      <c r="K58" s="79">
        <v>4.3499999999999996</v>
      </c>
      <c r="L58" s="79"/>
      <c r="M58" s="79">
        <v>42.12</v>
      </c>
      <c r="N58" s="79">
        <v>103.31</v>
      </c>
      <c r="O58" s="79">
        <v>291.04000000000002</v>
      </c>
      <c r="P58" s="79">
        <v>10</v>
      </c>
      <c r="Q58" s="79">
        <v>489.14</v>
      </c>
      <c r="R58" s="79">
        <v>484.51</v>
      </c>
      <c r="S58" s="80">
        <v>464.27</v>
      </c>
      <c r="T58" s="81">
        <f>SUM(D58:S58)</f>
        <v>3503.93</v>
      </c>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row>
    <row r="59" spans="1:60" s="76" customFormat="1" x14ac:dyDescent="0.25">
      <c r="A59" s="41" t="s">
        <v>61</v>
      </c>
      <c r="B59" s="77">
        <v>44764</v>
      </c>
      <c r="C59" s="78">
        <v>860</v>
      </c>
      <c r="D59" s="88">
        <v>166739.15</v>
      </c>
      <c r="E59" s="79">
        <v>180610.35</v>
      </c>
      <c r="F59" s="88">
        <v>1182016.46</v>
      </c>
      <c r="G59" s="79"/>
      <c r="H59" s="79"/>
      <c r="I59" s="79">
        <v>125063.32</v>
      </c>
      <c r="J59" s="79"/>
      <c r="K59" s="89">
        <v>151504.88</v>
      </c>
      <c r="L59" s="79"/>
      <c r="M59" s="79"/>
      <c r="N59" s="79"/>
      <c r="O59" s="79">
        <v>210204.31</v>
      </c>
      <c r="P59" s="79">
        <v>1718</v>
      </c>
      <c r="Q59" s="79">
        <v>234670.43</v>
      </c>
      <c r="R59" s="79">
        <v>362904.94</v>
      </c>
      <c r="S59" s="80">
        <v>219288.4</v>
      </c>
      <c r="T59" s="81">
        <f>SUM(D59:S59)</f>
        <v>2834720.24</v>
      </c>
      <c r="U59" s="75" t="s">
        <v>171</v>
      </c>
      <c r="V59" s="75" t="s">
        <v>172</v>
      </c>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row>
    <row r="60" spans="1:60" s="75" customFormat="1" x14ac:dyDescent="0.25">
      <c r="A60" s="41" t="s">
        <v>158</v>
      </c>
      <c r="B60" s="77"/>
      <c r="C60" s="78"/>
      <c r="D60" s="88"/>
      <c r="E60" s="79"/>
      <c r="F60" s="88"/>
      <c r="G60" s="79"/>
      <c r="H60" s="79"/>
      <c r="I60" s="79"/>
      <c r="J60" s="79"/>
      <c r="K60" s="89"/>
      <c r="L60" s="79"/>
      <c r="M60" s="79"/>
      <c r="N60" s="79"/>
      <c r="O60" s="79"/>
      <c r="P60" s="79"/>
      <c r="Q60" s="79"/>
      <c r="R60" s="79"/>
      <c r="S60" s="80"/>
      <c r="T60" s="81"/>
    </row>
    <row r="61" spans="1:60" s="76" customFormat="1" x14ac:dyDescent="0.25">
      <c r="A61" s="41" t="s">
        <v>62</v>
      </c>
      <c r="B61" s="77">
        <v>44792</v>
      </c>
      <c r="C61" s="78">
        <v>55</v>
      </c>
      <c r="D61" s="79">
        <v>6873.4</v>
      </c>
      <c r="E61" s="79">
        <v>5429.37</v>
      </c>
      <c r="F61" s="79">
        <v>39680.6</v>
      </c>
      <c r="G61" s="79">
        <v>6931.09</v>
      </c>
      <c r="H61" s="79">
        <v>1732.78</v>
      </c>
      <c r="I61" s="79">
        <v>964.59</v>
      </c>
      <c r="J61" s="79">
        <v>0</v>
      </c>
      <c r="K61" s="79">
        <v>2622.54</v>
      </c>
      <c r="L61" s="79">
        <v>0</v>
      </c>
      <c r="M61" s="79">
        <v>0</v>
      </c>
      <c r="N61" s="79">
        <v>0</v>
      </c>
      <c r="O61" s="79">
        <v>8774.7999999999993</v>
      </c>
      <c r="P61" s="79">
        <v>880</v>
      </c>
      <c r="Q61" s="79">
        <v>10395.07</v>
      </c>
      <c r="R61" s="79">
        <v>15035.89</v>
      </c>
      <c r="S61" s="80">
        <v>8287.9599999999991</v>
      </c>
      <c r="T61" s="81">
        <f>SUM(D61:S61)</f>
        <v>107608.09</v>
      </c>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row>
    <row r="62" spans="1:60" s="76" customFormat="1" x14ac:dyDescent="0.25">
      <c r="A62" s="41" t="s">
        <v>63</v>
      </c>
      <c r="B62" s="77">
        <v>44854</v>
      </c>
      <c r="C62" s="78"/>
      <c r="D62" s="79"/>
      <c r="E62" s="79"/>
      <c r="F62" s="79"/>
      <c r="G62" s="79"/>
      <c r="H62" s="79"/>
      <c r="I62" s="79"/>
      <c r="J62" s="79"/>
      <c r="K62" s="79"/>
      <c r="L62" s="79"/>
      <c r="M62" s="79"/>
      <c r="N62" s="79"/>
      <c r="O62" s="79"/>
      <c r="P62" s="79"/>
      <c r="Q62" s="79"/>
      <c r="R62" s="79"/>
      <c r="S62" s="80"/>
      <c r="T62" s="81"/>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60" s="76" customFormat="1" x14ac:dyDescent="0.25">
      <c r="A63" s="41" t="s">
        <v>167</v>
      </c>
      <c r="B63" s="77">
        <v>44854</v>
      </c>
      <c r="C63" s="78"/>
      <c r="D63" s="79"/>
      <c r="E63" s="79"/>
      <c r="F63" s="79"/>
      <c r="G63" s="79"/>
      <c r="H63" s="79"/>
      <c r="I63" s="79"/>
      <c r="J63" s="79"/>
      <c r="K63" s="79"/>
      <c r="L63" s="79"/>
      <c r="M63" s="79"/>
      <c r="N63" s="79"/>
      <c r="O63" s="79"/>
      <c r="P63" s="79"/>
      <c r="Q63" s="79"/>
      <c r="R63" s="79"/>
      <c r="S63" s="80"/>
      <c r="T63" s="81"/>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row>
    <row r="64" spans="1:60" s="76" customFormat="1" x14ac:dyDescent="0.25">
      <c r="A64" s="41" t="s">
        <v>64</v>
      </c>
      <c r="B64" s="77">
        <v>44769</v>
      </c>
      <c r="C64" s="78">
        <v>137</v>
      </c>
      <c r="D64" s="79">
        <v>383296</v>
      </c>
      <c r="E64" s="79">
        <v>51240.71</v>
      </c>
      <c r="F64" s="79">
        <v>253004.19</v>
      </c>
      <c r="G64" s="79">
        <v>36397.06</v>
      </c>
      <c r="H64" s="79">
        <v>8052.73</v>
      </c>
      <c r="I64" s="79">
        <v>3543.32</v>
      </c>
      <c r="J64" s="79">
        <v>0</v>
      </c>
      <c r="K64" s="79">
        <v>19957.66</v>
      </c>
      <c r="L64" s="79">
        <v>2009.97</v>
      </c>
      <c r="M64" s="79">
        <v>7247.7</v>
      </c>
      <c r="N64" s="79">
        <v>98.49</v>
      </c>
      <c r="O64" s="79">
        <v>49877.22</v>
      </c>
      <c r="P64" s="79">
        <v>0</v>
      </c>
      <c r="Q64" s="79">
        <v>417703.19</v>
      </c>
      <c r="R64" s="79">
        <v>84086.64</v>
      </c>
      <c r="S64" s="80">
        <v>62162.22</v>
      </c>
      <c r="T64" s="81">
        <f>SUM(D64:S64)</f>
        <v>1378677.0999999996</v>
      </c>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row>
    <row r="65" spans="1:60" s="76" customFormat="1" x14ac:dyDescent="0.25">
      <c r="A65" s="41" t="s">
        <v>65</v>
      </c>
      <c r="B65" s="77">
        <v>44782</v>
      </c>
      <c r="C65" s="78">
        <v>7</v>
      </c>
      <c r="D65" s="79">
        <v>60.17</v>
      </c>
      <c r="E65" s="79">
        <v>87.97</v>
      </c>
      <c r="F65" s="79">
        <v>345.85</v>
      </c>
      <c r="G65" s="79">
        <v>0</v>
      </c>
      <c r="H65" s="79">
        <v>30.34</v>
      </c>
      <c r="I65" s="79">
        <v>30.34</v>
      </c>
      <c r="J65" s="79">
        <v>0</v>
      </c>
      <c r="K65" s="79"/>
      <c r="L65" s="79"/>
      <c r="M65" s="79">
        <v>10.119999999999999</v>
      </c>
      <c r="N65" s="79">
        <v>0</v>
      </c>
      <c r="O65" s="79">
        <v>87.72</v>
      </c>
      <c r="P65" s="79">
        <v>77</v>
      </c>
      <c r="Q65" s="79">
        <v>99.19</v>
      </c>
      <c r="R65" s="79">
        <v>132.99</v>
      </c>
      <c r="S65" s="80">
        <v>171.5</v>
      </c>
      <c r="T65" s="81">
        <f>SUM(D65:S65)</f>
        <v>1133.19</v>
      </c>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s="76" customFormat="1" x14ac:dyDescent="0.25">
      <c r="A66" s="41" t="s">
        <v>66</v>
      </c>
      <c r="B66" s="77">
        <v>44854</v>
      </c>
      <c r="C66" s="78">
        <v>108</v>
      </c>
      <c r="D66" s="79">
        <v>6344.4</v>
      </c>
      <c r="E66" s="79">
        <v>5811.32</v>
      </c>
      <c r="F66" s="79">
        <v>26873.18</v>
      </c>
      <c r="G66" s="79">
        <v>4745.07</v>
      </c>
      <c r="H66" s="79">
        <v>2132.59</v>
      </c>
      <c r="I66" s="79">
        <v>0</v>
      </c>
      <c r="J66" s="79">
        <v>3732.04</v>
      </c>
      <c r="K66" s="79">
        <v>3667.5</v>
      </c>
      <c r="L66" s="79">
        <v>1906.57</v>
      </c>
      <c r="M66" s="79">
        <v>1172.93</v>
      </c>
      <c r="N66" s="79">
        <v>2612.4299999999998</v>
      </c>
      <c r="O66" s="79">
        <v>9148.35</v>
      </c>
      <c r="P66" s="79">
        <v>540</v>
      </c>
      <c r="Q66" s="79">
        <v>11083</v>
      </c>
      <c r="R66" s="79">
        <v>14016.17</v>
      </c>
      <c r="S66" s="80">
        <v>8628.09</v>
      </c>
      <c r="T66" s="81">
        <f>SUM(D66:S66)</f>
        <v>102413.64</v>
      </c>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s="76" customFormat="1" ht="14.25" customHeight="1" x14ac:dyDescent="0.25">
      <c r="A67" s="41" t="s">
        <v>67</v>
      </c>
      <c r="B67" s="77">
        <v>44782</v>
      </c>
      <c r="C67" s="78">
        <v>43</v>
      </c>
      <c r="D67" s="79">
        <v>3058.48</v>
      </c>
      <c r="E67" s="79">
        <v>5654.32</v>
      </c>
      <c r="F67" s="79">
        <v>13184.86</v>
      </c>
      <c r="G67" s="79">
        <v>1490.67</v>
      </c>
      <c r="H67" s="79">
        <v>719.64</v>
      </c>
      <c r="I67" s="79">
        <v>1156.57</v>
      </c>
      <c r="J67" s="79">
        <v>0</v>
      </c>
      <c r="K67" s="79">
        <v>1106.8499999999999</v>
      </c>
      <c r="L67" s="79">
        <v>0</v>
      </c>
      <c r="M67" s="79">
        <v>0</v>
      </c>
      <c r="N67" s="79">
        <v>0</v>
      </c>
      <c r="O67" s="79">
        <v>4097.55</v>
      </c>
      <c r="P67" s="79">
        <v>0</v>
      </c>
      <c r="Q67" s="79">
        <v>4292.45</v>
      </c>
      <c r="R67" s="79">
        <v>6132.78</v>
      </c>
      <c r="S67" s="80">
        <v>3496.41</v>
      </c>
      <c r="T67" s="81">
        <f>SUM(D67:S67)</f>
        <v>44390.58</v>
      </c>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s="76" customFormat="1" x14ac:dyDescent="0.25">
      <c r="A68" s="41" t="s">
        <v>68</v>
      </c>
      <c r="B68" s="77">
        <v>44811</v>
      </c>
      <c r="C68" s="78"/>
      <c r="D68" s="79"/>
      <c r="E68" s="79"/>
      <c r="F68" s="79"/>
      <c r="G68" s="79"/>
      <c r="H68" s="79"/>
      <c r="I68" s="79"/>
      <c r="J68" s="79"/>
      <c r="K68" s="79"/>
      <c r="L68" s="79"/>
      <c r="M68" s="79"/>
      <c r="N68" s="79"/>
      <c r="O68" s="79"/>
      <c r="P68" s="79"/>
      <c r="Q68" s="79"/>
      <c r="R68" s="79"/>
      <c r="S68" s="80"/>
      <c r="T68" s="81"/>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s="76" customFormat="1" x14ac:dyDescent="0.25">
      <c r="A69" s="41" t="s">
        <v>69</v>
      </c>
      <c r="B69" s="77">
        <v>44832</v>
      </c>
      <c r="C69" s="78">
        <v>79</v>
      </c>
      <c r="D69" s="79">
        <v>8989.9699999999993</v>
      </c>
      <c r="E69" s="79">
        <v>12313.99</v>
      </c>
      <c r="F69" s="79">
        <v>43438.96</v>
      </c>
      <c r="G69" s="79">
        <v>9972.09</v>
      </c>
      <c r="H69" s="79">
        <v>4532.76</v>
      </c>
      <c r="I69" s="79">
        <v>6119.23</v>
      </c>
      <c r="J69" s="79">
        <v>0</v>
      </c>
      <c r="K69" s="79">
        <v>1237.74</v>
      </c>
      <c r="L69" s="79">
        <v>0</v>
      </c>
      <c r="M69" s="79">
        <v>1813.11</v>
      </c>
      <c r="N69" s="79">
        <v>0</v>
      </c>
      <c r="O69" s="79">
        <v>13246.74</v>
      </c>
      <c r="P69" s="79">
        <v>711</v>
      </c>
      <c r="Q69" s="79">
        <v>15472.2</v>
      </c>
      <c r="R69" s="79">
        <v>20778</v>
      </c>
      <c r="S69" s="80">
        <v>11573.99</v>
      </c>
      <c r="T69" s="81">
        <f>SUM(D69:S69)</f>
        <v>150199.77999999997</v>
      </c>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s="76" customFormat="1" x14ac:dyDescent="0.25">
      <c r="A70" s="41" t="s">
        <v>70</v>
      </c>
      <c r="B70" s="77">
        <v>44818</v>
      </c>
      <c r="C70" s="78">
        <v>29</v>
      </c>
      <c r="D70" s="79">
        <v>1629.16</v>
      </c>
      <c r="E70" s="79">
        <v>5477.54</v>
      </c>
      <c r="F70" s="79">
        <v>6733.01</v>
      </c>
      <c r="G70" s="79">
        <v>1922</v>
      </c>
      <c r="H70" s="79">
        <v>1094.8599999999999</v>
      </c>
      <c r="I70" s="79">
        <v>1012.73</v>
      </c>
      <c r="J70" s="79">
        <v>0</v>
      </c>
      <c r="K70" s="79">
        <v>17.489999999999998</v>
      </c>
      <c r="L70" s="79">
        <v>0</v>
      </c>
      <c r="M70" s="79">
        <v>369.72</v>
      </c>
      <c r="N70" s="79">
        <v>0</v>
      </c>
      <c r="O70" s="79">
        <v>3121.54</v>
      </c>
      <c r="P70" s="79">
        <v>280</v>
      </c>
      <c r="Q70" s="79">
        <v>3141.52</v>
      </c>
      <c r="R70" s="79">
        <v>4161.37</v>
      </c>
      <c r="S70" s="80">
        <v>2574.81</v>
      </c>
      <c r="T70" s="81">
        <f>SUM(D70:S70)</f>
        <v>31535.750000000004</v>
      </c>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s="76" customFormat="1" x14ac:dyDescent="0.25">
      <c r="A71" s="41" t="s">
        <v>71</v>
      </c>
      <c r="B71" s="77">
        <v>44861</v>
      </c>
      <c r="C71" s="78">
        <v>39</v>
      </c>
      <c r="D71" s="79">
        <v>2872.94</v>
      </c>
      <c r="E71" s="79">
        <v>5191.93</v>
      </c>
      <c r="F71" s="79">
        <v>17370.04</v>
      </c>
      <c r="G71" s="79">
        <v>4270.17</v>
      </c>
      <c r="H71" s="79">
        <v>1447.5</v>
      </c>
      <c r="I71" s="79">
        <v>2798.5</v>
      </c>
      <c r="J71" s="79">
        <v>0</v>
      </c>
      <c r="K71" s="79">
        <v>39.409999999999997</v>
      </c>
      <c r="L71" s="79">
        <v>50.73</v>
      </c>
      <c r="M71" s="79">
        <v>603.22</v>
      </c>
      <c r="N71" s="79">
        <v>0</v>
      </c>
      <c r="O71" s="79">
        <v>4357.46</v>
      </c>
      <c r="P71" s="79">
        <v>0</v>
      </c>
      <c r="Q71" s="79">
        <v>0</v>
      </c>
      <c r="R71" s="79">
        <v>6927.67</v>
      </c>
      <c r="S71" s="80">
        <v>4010.35</v>
      </c>
      <c r="T71" s="81">
        <f>SUM(D71:S71)</f>
        <v>49939.920000000006</v>
      </c>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s="76" customFormat="1" x14ac:dyDescent="0.25">
      <c r="A72" s="103" t="s">
        <v>72</v>
      </c>
      <c r="B72" s="77">
        <v>44768</v>
      </c>
      <c r="C72" s="78"/>
      <c r="D72" s="79"/>
      <c r="E72" s="79"/>
      <c r="F72" s="79"/>
      <c r="G72" s="79"/>
      <c r="H72" s="79"/>
      <c r="I72" s="79"/>
      <c r="J72" s="79"/>
      <c r="K72" s="79"/>
      <c r="L72" s="79"/>
      <c r="M72" s="79"/>
      <c r="N72" s="79"/>
      <c r="O72" s="79"/>
      <c r="P72" s="79"/>
      <c r="Q72" s="79"/>
      <c r="R72" s="79"/>
      <c r="S72" s="80"/>
      <c r="T72" s="81"/>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s="76" customFormat="1" x14ac:dyDescent="0.25">
      <c r="A73" s="41" t="s">
        <v>73</v>
      </c>
      <c r="B73" s="77">
        <v>44764</v>
      </c>
      <c r="C73" s="78">
        <v>65</v>
      </c>
      <c r="D73" s="79">
        <v>35105.56</v>
      </c>
      <c r="E73" s="79">
        <v>10717.56</v>
      </c>
      <c r="F73" s="79">
        <v>37246.699999999997</v>
      </c>
      <c r="G73" s="79">
        <v>1337.4</v>
      </c>
      <c r="H73" s="79">
        <v>5241.18</v>
      </c>
      <c r="I73" s="79">
        <v>2439.63</v>
      </c>
      <c r="J73" s="79">
        <v>0</v>
      </c>
      <c r="K73" s="79">
        <v>4411.87</v>
      </c>
      <c r="L73" s="79">
        <v>840.69</v>
      </c>
      <c r="M73" s="79"/>
      <c r="N73" s="79"/>
      <c r="O73" s="79"/>
      <c r="P73" s="79"/>
      <c r="Q73" s="79"/>
      <c r="R73" s="79">
        <v>4411.87</v>
      </c>
      <c r="S73" s="80">
        <v>4123.83</v>
      </c>
      <c r="T73" s="81">
        <f t="shared" ref="T73:T78" si="2">SUM(D73:S73)</f>
        <v>105876.29</v>
      </c>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s="76" customFormat="1" x14ac:dyDescent="0.25">
      <c r="A74" s="41" t="s">
        <v>74</v>
      </c>
      <c r="B74" s="77">
        <v>45161</v>
      </c>
      <c r="C74" s="78">
        <v>64</v>
      </c>
      <c r="D74" s="79">
        <v>4533.96</v>
      </c>
      <c r="E74" s="79" t="s">
        <v>175</v>
      </c>
      <c r="F74" s="79">
        <v>20261.830000000002</v>
      </c>
      <c r="G74" s="79">
        <v>2593.02</v>
      </c>
      <c r="H74" s="79">
        <v>1523.76</v>
      </c>
      <c r="I74" s="79">
        <v>1675.87</v>
      </c>
      <c r="J74" s="79">
        <v>0</v>
      </c>
      <c r="K74" s="79">
        <v>1895.83</v>
      </c>
      <c r="L74" s="79">
        <v>0</v>
      </c>
      <c r="M74" s="79">
        <v>0</v>
      </c>
      <c r="N74" s="79">
        <v>3544.05</v>
      </c>
      <c r="O74" s="79">
        <v>5048.7700000000004</v>
      </c>
      <c r="P74" s="79">
        <v>134</v>
      </c>
      <c r="Q74" s="79">
        <v>0</v>
      </c>
      <c r="R74" s="79">
        <v>7975.39</v>
      </c>
      <c r="S74" s="80">
        <v>4662.72</v>
      </c>
      <c r="T74" s="81">
        <f t="shared" si="2"/>
        <v>53849.2</v>
      </c>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s="76" customFormat="1" x14ac:dyDescent="0.25">
      <c r="A75" s="41" t="s">
        <v>75</v>
      </c>
      <c r="B75" s="77">
        <v>44792</v>
      </c>
      <c r="C75" s="78">
        <v>20</v>
      </c>
      <c r="D75" s="79">
        <v>1338.15</v>
      </c>
      <c r="E75" s="79">
        <v>1338.15</v>
      </c>
      <c r="F75" s="79">
        <v>4992.79</v>
      </c>
      <c r="G75" s="79">
        <v>0</v>
      </c>
      <c r="H75" s="79">
        <v>337.35</v>
      </c>
      <c r="I75" s="79">
        <v>573.47</v>
      </c>
      <c r="J75" s="79">
        <v>0</v>
      </c>
      <c r="K75" s="79">
        <v>1092.2</v>
      </c>
      <c r="L75" s="79">
        <v>2.36</v>
      </c>
      <c r="M75" s="79">
        <v>175.43</v>
      </c>
      <c r="N75" s="79">
        <v>0</v>
      </c>
      <c r="O75" s="79">
        <v>1422.51</v>
      </c>
      <c r="P75" s="79">
        <v>0</v>
      </c>
      <c r="Q75" s="79"/>
      <c r="R75" s="79">
        <v>612.86</v>
      </c>
      <c r="S75" s="80">
        <v>1144.8</v>
      </c>
      <c r="T75" s="81">
        <f t="shared" si="2"/>
        <v>13030.070000000002</v>
      </c>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s="76" customFormat="1" x14ac:dyDescent="0.25">
      <c r="A76" s="41" t="s">
        <v>76</v>
      </c>
      <c r="B76" s="77">
        <v>44790</v>
      </c>
      <c r="C76" s="78">
        <v>94</v>
      </c>
      <c r="D76" s="79">
        <v>7319.58</v>
      </c>
      <c r="E76" s="79">
        <v>7996.19</v>
      </c>
      <c r="F76" s="79">
        <v>33650.519999999997</v>
      </c>
      <c r="G76" s="79">
        <v>5597.35</v>
      </c>
      <c r="H76" s="79">
        <v>1537.7</v>
      </c>
      <c r="I76" s="79">
        <v>2767.89</v>
      </c>
      <c r="J76" s="79">
        <v>0</v>
      </c>
      <c r="K76" s="79">
        <v>0</v>
      </c>
      <c r="L76" s="79">
        <v>493.73</v>
      </c>
      <c r="M76" s="79">
        <v>922.65</v>
      </c>
      <c r="N76" s="79">
        <v>0</v>
      </c>
      <c r="O76" s="79">
        <v>8712.4599999999991</v>
      </c>
      <c r="P76" s="79">
        <v>846</v>
      </c>
      <c r="Q76" s="79">
        <v>9782.7900000000009</v>
      </c>
      <c r="R76" s="79">
        <v>1138</v>
      </c>
      <c r="S76" s="80">
        <v>8418.76</v>
      </c>
      <c r="T76" s="81">
        <f t="shared" si="2"/>
        <v>89183.619999999981</v>
      </c>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s="76" customFormat="1" x14ac:dyDescent="0.25">
      <c r="A77" s="41" t="s">
        <v>77</v>
      </c>
      <c r="B77" s="77">
        <v>44797</v>
      </c>
      <c r="C77" s="78">
        <v>275</v>
      </c>
      <c r="D77" s="79">
        <v>2830.41</v>
      </c>
      <c r="E77" s="79">
        <v>2901.75</v>
      </c>
      <c r="F77" s="79">
        <v>10631.8</v>
      </c>
      <c r="G77" s="79">
        <v>1216.8</v>
      </c>
      <c r="H77" s="79">
        <v>829.44</v>
      </c>
      <c r="I77" s="79">
        <v>1106.18</v>
      </c>
      <c r="J77" s="79"/>
      <c r="K77" s="79">
        <v>1202.78</v>
      </c>
      <c r="L77" s="79"/>
      <c r="M77" s="79">
        <v>0</v>
      </c>
      <c r="N77" s="79">
        <v>2046.43</v>
      </c>
      <c r="O77" s="79">
        <v>3357.09</v>
      </c>
      <c r="P77" s="79">
        <v>180</v>
      </c>
      <c r="Q77" s="79">
        <v>3557.74</v>
      </c>
      <c r="R77" s="79">
        <v>5085.54</v>
      </c>
      <c r="S77" s="80">
        <v>2842.77</v>
      </c>
      <c r="T77" s="81">
        <f t="shared" si="2"/>
        <v>37788.729999999996</v>
      </c>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s="76" customFormat="1" x14ac:dyDescent="0.25">
      <c r="A78" s="41" t="s">
        <v>78</v>
      </c>
      <c r="B78" s="77">
        <v>44798</v>
      </c>
      <c r="C78" s="78">
        <v>149</v>
      </c>
      <c r="D78" s="90">
        <v>17042.900000000001</v>
      </c>
      <c r="E78" s="90">
        <v>19793.86</v>
      </c>
      <c r="F78" s="90">
        <v>45944.06</v>
      </c>
      <c r="G78" s="90">
        <v>8736.06</v>
      </c>
      <c r="H78" s="90">
        <v>3437.13</v>
      </c>
      <c r="I78" s="90">
        <v>5857.43</v>
      </c>
      <c r="J78" s="90"/>
      <c r="K78" s="90">
        <v>7539.62</v>
      </c>
      <c r="L78" s="90"/>
      <c r="M78" s="90">
        <v>209</v>
      </c>
      <c r="N78" s="90">
        <v>12.33</v>
      </c>
      <c r="O78" s="90">
        <v>13125.6</v>
      </c>
      <c r="P78" s="90"/>
      <c r="Q78" s="90"/>
      <c r="R78" s="90">
        <v>21118.39</v>
      </c>
      <c r="S78" s="90">
        <v>12645.3</v>
      </c>
      <c r="T78" s="91">
        <f t="shared" si="2"/>
        <v>155461.68</v>
      </c>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s="76" customFormat="1" x14ac:dyDescent="0.25">
      <c r="A79" s="41" t="s">
        <v>79</v>
      </c>
      <c r="B79" s="77">
        <v>44796</v>
      </c>
      <c r="C79" s="78"/>
      <c r="D79" s="90"/>
      <c r="E79" s="90"/>
      <c r="F79" s="90"/>
      <c r="G79" s="90"/>
      <c r="H79" s="90"/>
      <c r="I79" s="90"/>
      <c r="J79" s="90"/>
      <c r="K79" s="90"/>
      <c r="L79" s="90"/>
      <c r="M79" s="90"/>
      <c r="N79" s="90"/>
      <c r="O79" s="90"/>
      <c r="P79" s="90"/>
      <c r="Q79" s="90"/>
      <c r="R79" s="90"/>
      <c r="S79" s="90"/>
      <c r="T79" s="91"/>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s="76" customFormat="1" x14ac:dyDescent="0.25">
      <c r="A80" s="41" t="s">
        <v>80</v>
      </c>
      <c r="B80" s="77">
        <v>44795</v>
      </c>
      <c r="C80" s="78">
        <v>8</v>
      </c>
      <c r="D80" s="90">
        <v>480.22</v>
      </c>
      <c r="E80" s="90">
        <v>702.17</v>
      </c>
      <c r="F80" s="90">
        <v>2489.91</v>
      </c>
      <c r="G80" s="90">
        <v>165.46</v>
      </c>
      <c r="H80" s="90">
        <v>209.85</v>
      </c>
      <c r="I80" s="90">
        <v>145.28</v>
      </c>
      <c r="J80" s="90"/>
      <c r="K80" s="90">
        <v>160</v>
      </c>
      <c r="L80" s="90">
        <v>0.3</v>
      </c>
      <c r="M80" s="90">
        <v>52.47</v>
      </c>
      <c r="N80" s="90">
        <v>0</v>
      </c>
      <c r="O80" s="90">
        <v>666.07</v>
      </c>
      <c r="P80" s="90">
        <v>144</v>
      </c>
      <c r="Q80" s="90">
        <v>716.18</v>
      </c>
      <c r="R80" s="90">
        <v>1024.3599999999999</v>
      </c>
      <c r="S80" s="90">
        <v>632.19000000000005</v>
      </c>
      <c r="T80" s="91">
        <f>SUM(D80:S80)</f>
        <v>7588.4599999999991</v>
      </c>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s="76" customFormat="1" x14ac:dyDescent="0.25">
      <c r="A81" s="41" t="s">
        <v>81</v>
      </c>
      <c r="B81" s="77">
        <v>44798</v>
      </c>
      <c r="C81" s="78">
        <v>117</v>
      </c>
      <c r="D81" s="90">
        <v>12454.93</v>
      </c>
      <c r="E81" s="90">
        <v>7954.37</v>
      </c>
      <c r="F81" s="90">
        <v>66959.42</v>
      </c>
      <c r="G81" s="90">
        <v>6566.66</v>
      </c>
      <c r="H81" s="90">
        <v>6080.21</v>
      </c>
      <c r="I81" s="90">
        <v>2188.84</v>
      </c>
      <c r="J81" s="90">
        <v>0</v>
      </c>
      <c r="K81" s="90">
        <v>0</v>
      </c>
      <c r="L81" s="90"/>
      <c r="M81" s="90">
        <v>146.01</v>
      </c>
      <c r="N81" s="90">
        <v>5593.79</v>
      </c>
      <c r="O81" s="90">
        <v>14432.23</v>
      </c>
      <c r="P81" s="90">
        <v>1170</v>
      </c>
      <c r="Q81" s="90">
        <v>17008.62</v>
      </c>
      <c r="R81" s="90">
        <v>24651.25</v>
      </c>
      <c r="S81" s="90">
        <v>13963.6</v>
      </c>
      <c r="T81" s="91">
        <f>SUM(D81:S81)</f>
        <v>179169.93</v>
      </c>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s="76" customFormat="1" x14ac:dyDescent="0.25">
      <c r="A82" s="41" t="s">
        <v>82</v>
      </c>
      <c r="B82" s="77">
        <v>44768</v>
      </c>
      <c r="C82" s="78">
        <v>88</v>
      </c>
      <c r="D82" s="90">
        <v>3022.23</v>
      </c>
      <c r="E82" s="90">
        <v>11682.62</v>
      </c>
      <c r="F82" s="90">
        <v>15010.2</v>
      </c>
      <c r="G82" s="90">
        <v>3829.04</v>
      </c>
      <c r="H82" s="90">
        <v>2514.1999999999998</v>
      </c>
      <c r="I82" s="90">
        <v>3507.16</v>
      </c>
      <c r="J82" s="90"/>
      <c r="K82" s="90">
        <v>42.82</v>
      </c>
      <c r="L82" s="90"/>
      <c r="M82" s="90">
        <v>526.13</v>
      </c>
      <c r="N82" s="90">
        <v>0</v>
      </c>
      <c r="O82" s="90">
        <v>6088.28</v>
      </c>
      <c r="P82" s="90">
        <v>2406.7600000000002</v>
      </c>
      <c r="Q82" s="90">
        <v>5899.06</v>
      </c>
      <c r="R82" s="90">
        <v>9172.4</v>
      </c>
      <c r="S82" s="90">
        <v>5359.51</v>
      </c>
      <c r="T82" s="91">
        <f>SUM(D82:S82)</f>
        <v>69060.409999999989</v>
      </c>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s="76" customFormat="1" x14ac:dyDescent="0.25">
      <c r="A83" s="41" t="s">
        <v>83</v>
      </c>
      <c r="B83" s="77">
        <v>44860</v>
      </c>
      <c r="C83" s="78">
        <v>47</v>
      </c>
      <c r="D83" s="90">
        <v>3527.79</v>
      </c>
      <c r="E83" s="90">
        <v>3249.49</v>
      </c>
      <c r="F83" s="90">
        <v>17490.73</v>
      </c>
      <c r="G83" s="90">
        <v>1482.27</v>
      </c>
      <c r="H83" s="90">
        <v>889.36</v>
      </c>
      <c r="I83" s="90">
        <v>10007.950000000001</v>
      </c>
      <c r="J83" s="90"/>
      <c r="K83" s="90">
        <v>0</v>
      </c>
      <c r="L83" s="90">
        <v>326.10000000000002</v>
      </c>
      <c r="M83" s="90">
        <v>0</v>
      </c>
      <c r="N83" s="90">
        <v>0</v>
      </c>
      <c r="O83" s="90">
        <v>7037.02</v>
      </c>
      <c r="P83" s="90">
        <v>100</v>
      </c>
      <c r="Q83" s="90"/>
      <c r="R83" s="90">
        <v>11009.48</v>
      </c>
      <c r="S83" s="90">
        <v>6454.72</v>
      </c>
      <c r="T83" s="91">
        <f>SUM(D83:S83)</f>
        <v>61574.909999999989</v>
      </c>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s="76" customFormat="1" x14ac:dyDescent="0.25">
      <c r="A84" s="41" t="s">
        <v>84</v>
      </c>
      <c r="B84" s="77">
        <v>44770</v>
      </c>
      <c r="C84" s="78"/>
      <c r="D84" s="90"/>
      <c r="E84" s="90"/>
      <c r="F84" s="90"/>
      <c r="G84" s="90"/>
      <c r="H84" s="90"/>
      <c r="I84" s="90"/>
      <c r="J84" s="90"/>
      <c r="K84" s="90"/>
      <c r="L84" s="90"/>
      <c r="M84" s="90"/>
      <c r="N84" s="90"/>
      <c r="O84" s="90"/>
      <c r="P84" s="90"/>
      <c r="Q84" s="90"/>
      <c r="R84" s="90"/>
      <c r="S84" s="90"/>
      <c r="T84" s="91"/>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s="76" customFormat="1" x14ac:dyDescent="0.25">
      <c r="A85" s="41" t="s">
        <v>85</v>
      </c>
      <c r="B85" s="77">
        <v>44840</v>
      </c>
      <c r="C85" s="78">
        <v>1</v>
      </c>
      <c r="D85" s="90">
        <v>32.72</v>
      </c>
      <c r="E85" s="90">
        <v>35.479999999999997</v>
      </c>
      <c r="F85" s="90">
        <v>222.48</v>
      </c>
      <c r="G85" s="90">
        <v>29.98</v>
      </c>
      <c r="H85" s="90">
        <v>11</v>
      </c>
      <c r="I85" s="90">
        <v>30.25</v>
      </c>
      <c r="J85" s="90">
        <v>0</v>
      </c>
      <c r="K85" s="90">
        <v>30</v>
      </c>
      <c r="L85" s="90">
        <v>25.3</v>
      </c>
      <c r="M85" s="90">
        <v>0</v>
      </c>
      <c r="N85" s="90">
        <v>98.04</v>
      </c>
      <c r="O85" s="90">
        <v>62.49</v>
      </c>
      <c r="P85" s="90">
        <v>5</v>
      </c>
      <c r="Q85" s="90"/>
      <c r="R85" s="90">
        <v>98.04</v>
      </c>
      <c r="S85" s="90">
        <v>64.02</v>
      </c>
      <c r="T85" s="91">
        <f>SUM(D85:S85)</f>
        <v>744.8</v>
      </c>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s="85" customFormat="1" x14ac:dyDescent="0.25">
      <c r="A86" s="41" t="s">
        <v>86</v>
      </c>
      <c r="B86" s="77">
        <v>44760</v>
      </c>
      <c r="C86" s="78">
        <v>43</v>
      </c>
      <c r="D86" s="90">
        <v>3248.78</v>
      </c>
      <c r="E86" s="90">
        <v>6197.3</v>
      </c>
      <c r="F86" s="90">
        <v>14933.62</v>
      </c>
      <c r="G86" s="90">
        <v>1829.14</v>
      </c>
      <c r="H86" s="90">
        <v>2047.54</v>
      </c>
      <c r="I86" s="90">
        <v>1092.04</v>
      </c>
      <c r="J86" s="90"/>
      <c r="K86" s="90"/>
      <c r="L86" s="90">
        <v>36616.43</v>
      </c>
      <c r="M86" s="90">
        <v>0</v>
      </c>
      <c r="N86" s="90">
        <v>0</v>
      </c>
      <c r="O86" s="90">
        <v>10033.98</v>
      </c>
      <c r="P86" s="90">
        <v>1333</v>
      </c>
      <c r="Q86" s="90">
        <v>9900.31</v>
      </c>
      <c r="R86" s="90">
        <v>15313.1</v>
      </c>
      <c r="S86" s="90">
        <v>8231.51</v>
      </c>
      <c r="T86" s="91">
        <f>SUM(D86:S86)</f>
        <v>110776.75</v>
      </c>
      <c r="U86" s="75"/>
      <c r="V86" s="75"/>
      <c r="W86" s="75"/>
      <c r="X86" s="75"/>
      <c r="Y86" s="75"/>
      <c r="Z86" s="75"/>
      <c r="AA86" s="75"/>
      <c r="AB86" s="75"/>
      <c r="AC86" s="75"/>
      <c r="AD86" s="75"/>
      <c r="AE86" s="75"/>
      <c r="AF86" s="75"/>
      <c r="AG86" s="75"/>
    </row>
    <row r="87" spans="1:60" s="76" customFormat="1" x14ac:dyDescent="0.25">
      <c r="A87" s="41" t="s">
        <v>87</v>
      </c>
      <c r="B87" s="77">
        <v>44798</v>
      </c>
      <c r="C87" s="78">
        <v>58</v>
      </c>
      <c r="D87" s="90">
        <v>4483.1000000000004</v>
      </c>
      <c r="E87" s="90">
        <v>8137.36</v>
      </c>
      <c r="F87" s="90">
        <v>22415.42</v>
      </c>
      <c r="G87" s="90">
        <v>3691.95</v>
      </c>
      <c r="H87" s="90">
        <v>1017.15</v>
      </c>
      <c r="I87" s="90">
        <v>1167.83</v>
      </c>
      <c r="J87" s="90">
        <v>0</v>
      </c>
      <c r="K87" s="90">
        <v>1966.32</v>
      </c>
      <c r="L87" s="90">
        <v>2533.0700000000002</v>
      </c>
      <c r="M87" s="90">
        <v>301.38</v>
      </c>
      <c r="N87" s="90">
        <v>0</v>
      </c>
      <c r="O87" s="90">
        <v>6984.46</v>
      </c>
      <c r="P87" s="90">
        <v>522</v>
      </c>
      <c r="Q87" s="90">
        <v>7518.18</v>
      </c>
      <c r="R87" s="90">
        <v>10646.57</v>
      </c>
      <c r="S87" s="90">
        <v>6193.25</v>
      </c>
      <c r="T87" s="91">
        <f>SUM(D87:S87)</f>
        <v>77578.039999999994</v>
      </c>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s="76" customFormat="1" x14ac:dyDescent="0.25">
      <c r="A88" s="41" t="s">
        <v>88</v>
      </c>
      <c r="B88" s="77">
        <v>44804</v>
      </c>
      <c r="C88" s="78"/>
      <c r="D88" s="90"/>
      <c r="E88" s="90"/>
      <c r="F88" s="90"/>
      <c r="G88" s="90"/>
      <c r="H88" s="90"/>
      <c r="I88" s="90"/>
      <c r="J88" s="90"/>
      <c r="K88" s="90"/>
      <c r="L88" s="90"/>
      <c r="M88" s="90"/>
      <c r="N88" s="90"/>
      <c r="O88" s="90"/>
      <c r="P88" s="90"/>
      <c r="Q88" s="90"/>
      <c r="R88" s="90"/>
      <c r="S88" s="90"/>
      <c r="T88" s="91"/>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s="76" customFormat="1" x14ac:dyDescent="0.25">
      <c r="A89" s="41" t="s">
        <v>89</v>
      </c>
      <c r="B89" s="77">
        <v>44762</v>
      </c>
      <c r="C89" s="78">
        <v>52</v>
      </c>
      <c r="D89" s="90">
        <v>4770.05</v>
      </c>
      <c r="E89" s="90">
        <v>5210.97</v>
      </c>
      <c r="F89" s="90">
        <v>20847.009999999998</v>
      </c>
      <c r="G89" s="90">
        <v>3046</v>
      </c>
      <c r="H89" s="90">
        <v>2004.24</v>
      </c>
      <c r="I89" s="90">
        <v>1643.44</v>
      </c>
      <c r="J89" s="90">
        <v>0</v>
      </c>
      <c r="K89" s="90">
        <v>1581.07</v>
      </c>
      <c r="L89" s="90">
        <v>0</v>
      </c>
      <c r="M89" s="90">
        <v>280.56</v>
      </c>
      <c r="N89" s="90">
        <v>0</v>
      </c>
      <c r="O89" s="90">
        <v>5658.24</v>
      </c>
      <c r="P89" s="90">
        <v>468</v>
      </c>
      <c r="Q89" s="90">
        <v>5897.65</v>
      </c>
      <c r="R89" s="90">
        <v>9160.27</v>
      </c>
      <c r="S89" s="90">
        <v>5308.14</v>
      </c>
      <c r="T89" s="91">
        <f>SUM(D89:S89)</f>
        <v>65875.64</v>
      </c>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s="76" customFormat="1" x14ac:dyDescent="0.25">
      <c r="A90" s="41" t="s">
        <v>90</v>
      </c>
      <c r="B90" s="77">
        <v>44824</v>
      </c>
      <c r="C90" s="78">
        <v>92</v>
      </c>
      <c r="D90" s="90">
        <v>2162.54</v>
      </c>
      <c r="E90" s="90">
        <v>3494.81</v>
      </c>
      <c r="F90" s="90">
        <v>9778.4500000000007</v>
      </c>
      <c r="G90" s="90">
        <v>2331.77</v>
      </c>
      <c r="H90" s="90">
        <v>0</v>
      </c>
      <c r="I90" s="90">
        <v>1993.31</v>
      </c>
      <c r="J90" s="90"/>
      <c r="K90" s="90">
        <v>2925.02</v>
      </c>
      <c r="L90" s="90">
        <v>0</v>
      </c>
      <c r="M90" s="90">
        <v>300.88</v>
      </c>
      <c r="N90" s="90">
        <v>1128.28</v>
      </c>
      <c r="O90" s="90">
        <v>2938.52</v>
      </c>
      <c r="P90" s="90">
        <v>184</v>
      </c>
      <c r="Q90" s="90">
        <v>0</v>
      </c>
      <c r="R90" s="90">
        <v>4455.01</v>
      </c>
      <c r="S90" s="90">
        <v>3147.49</v>
      </c>
      <c r="T90" s="91">
        <f>SUM(D90:S90)</f>
        <v>34840.080000000002</v>
      </c>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s="76" customFormat="1" x14ac:dyDescent="0.25">
      <c r="A91" s="41" t="s">
        <v>91</v>
      </c>
      <c r="B91" s="77">
        <v>44799</v>
      </c>
      <c r="C91" s="78">
        <v>38</v>
      </c>
      <c r="D91" s="90">
        <v>2291.2600000000002</v>
      </c>
      <c r="E91" s="90">
        <v>1328.59</v>
      </c>
      <c r="F91" s="90">
        <v>9742.77</v>
      </c>
      <c r="G91" s="90">
        <v>924.21</v>
      </c>
      <c r="H91" s="90">
        <v>770.18</v>
      </c>
      <c r="I91" s="90">
        <v>847.2</v>
      </c>
      <c r="J91" s="90">
        <v>0</v>
      </c>
      <c r="K91" s="90">
        <v>0</v>
      </c>
      <c r="L91" s="90">
        <v>8.06</v>
      </c>
      <c r="M91" s="90">
        <v>269.57</v>
      </c>
      <c r="N91" s="90">
        <v>1309.3</v>
      </c>
      <c r="O91" s="90">
        <v>2657.76</v>
      </c>
      <c r="P91" s="90">
        <v>380</v>
      </c>
      <c r="Q91" s="90">
        <v>3062.96</v>
      </c>
      <c r="R91" s="90">
        <v>4186.84</v>
      </c>
      <c r="S91" s="90">
        <v>2625.42</v>
      </c>
      <c r="T91" s="91">
        <f>SUM(D91:S91)</f>
        <v>30404.120000000003</v>
      </c>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s="76" customFormat="1" x14ac:dyDescent="0.25">
      <c r="A92" s="41" t="s">
        <v>92</v>
      </c>
      <c r="B92" s="77">
        <v>44782</v>
      </c>
      <c r="C92" s="78">
        <v>84</v>
      </c>
      <c r="D92" s="90">
        <v>6501.1</v>
      </c>
      <c r="E92" s="90">
        <v>3824.14</v>
      </c>
      <c r="F92" s="90">
        <v>28571.81</v>
      </c>
      <c r="G92" s="90">
        <v>4534.3999999999996</v>
      </c>
      <c r="H92" s="90">
        <v>3277.83</v>
      </c>
      <c r="I92" s="90">
        <v>2840.79</v>
      </c>
      <c r="J92" s="90">
        <v>0</v>
      </c>
      <c r="K92" s="90">
        <v>4184.0200000000004</v>
      </c>
      <c r="L92" s="90">
        <v>4.5</v>
      </c>
      <c r="M92" s="90">
        <v>0</v>
      </c>
      <c r="N92" s="90">
        <v>4425.1499999999996</v>
      </c>
      <c r="O92" s="90">
        <v>8576.17</v>
      </c>
      <c r="P92" s="90">
        <v>420</v>
      </c>
      <c r="Q92" s="90">
        <v>9447.7099999999991</v>
      </c>
      <c r="R92" s="90">
        <v>13710.35</v>
      </c>
      <c r="S92" s="90">
        <v>8031.17</v>
      </c>
      <c r="T92" s="91">
        <f>SUM(D92:S92)</f>
        <v>98349.140000000029</v>
      </c>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s="76" customFormat="1" x14ac:dyDescent="0.25">
      <c r="A93" s="41" t="s">
        <v>93</v>
      </c>
      <c r="B93" s="77">
        <v>44799</v>
      </c>
      <c r="C93" s="78"/>
      <c r="D93" s="90"/>
      <c r="E93" s="90"/>
      <c r="F93" s="90"/>
      <c r="G93" s="90"/>
      <c r="H93" s="90"/>
      <c r="I93" s="90"/>
      <c r="J93" s="90"/>
      <c r="K93" s="90"/>
      <c r="L93" s="90"/>
      <c r="M93" s="90"/>
      <c r="N93" s="90"/>
      <c r="O93" s="90"/>
      <c r="P93" s="90"/>
      <c r="Q93" s="90"/>
      <c r="R93" s="90"/>
      <c r="S93" s="90"/>
      <c r="T93" s="91"/>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s="76" customFormat="1" x14ac:dyDescent="0.25">
      <c r="A94" s="41" t="s">
        <v>94</v>
      </c>
      <c r="B94" s="77">
        <v>44790</v>
      </c>
      <c r="C94" s="78"/>
      <c r="D94" s="90"/>
      <c r="E94" s="90"/>
      <c r="F94" s="90"/>
      <c r="G94" s="90"/>
      <c r="H94" s="90"/>
      <c r="I94" s="90"/>
      <c r="J94" s="90"/>
      <c r="K94" s="90"/>
      <c r="L94" s="90"/>
      <c r="M94" s="90"/>
      <c r="N94" s="90"/>
      <c r="O94" s="90"/>
      <c r="P94" s="90"/>
      <c r="Q94" s="90"/>
      <c r="R94" s="90"/>
      <c r="S94" s="90"/>
      <c r="T94" s="91"/>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s="76" customFormat="1" x14ac:dyDescent="0.25">
      <c r="A95" s="41" t="s">
        <v>95</v>
      </c>
      <c r="B95" s="77">
        <v>44763</v>
      </c>
      <c r="C95" s="78"/>
      <c r="D95" s="90"/>
      <c r="E95" s="90"/>
      <c r="F95" s="90"/>
      <c r="G95" s="90"/>
      <c r="H95" s="90"/>
      <c r="I95" s="90"/>
      <c r="J95" s="90"/>
      <c r="K95" s="90"/>
      <c r="L95" s="90"/>
      <c r="M95" s="90"/>
      <c r="N95" s="90"/>
      <c r="O95" s="90"/>
      <c r="P95" s="90"/>
      <c r="Q95" s="90"/>
      <c r="R95" s="90"/>
      <c r="S95" s="90"/>
      <c r="T95" s="91"/>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s="76" customFormat="1" x14ac:dyDescent="0.25">
      <c r="A96" s="41" t="s">
        <v>96</v>
      </c>
      <c r="B96" s="77">
        <v>44778</v>
      </c>
      <c r="C96" s="78">
        <v>20</v>
      </c>
      <c r="D96" s="90">
        <v>1604.94</v>
      </c>
      <c r="E96" s="90">
        <v>1996.08</v>
      </c>
      <c r="F96" s="90">
        <v>5421.77</v>
      </c>
      <c r="G96" s="90">
        <v>1254.3</v>
      </c>
      <c r="H96" s="90">
        <v>674.35</v>
      </c>
      <c r="I96" s="90">
        <v>548.91</v>
      </c>
      <c r="J96" s="90">
        <v>0</v>
      </c>
      <c r="K96" s="90">
        <v>476.24</v>
      </c>
      <c r="L96" s="90">
        <v>0</v>
      </c>
      <c r="M96" s="90">
        <v>202.29</v>
      </c>
      <c r="N96" s="90">
        <v>0</v>
      </c>
      <c r="O96" s="90">
        <v>1877.11</v>
      </c>
      <c r="P96" s="90">
        <v>180</v>
      </c>
      <c r="Q96" s="90">
        <v>1981.58</v>
      </c>
      <c r="R96" s="90">
        <v>2832.1</v>
      </c>
      <c r="S96" s="90">
        <v>1716.03</v>
      </c>
      <c r="T96" s="91">
        <f>SUM(D96:S96)</f>
        <v>20765.7</v>
      </c>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s="76" customFormat="1" x14ac:dyDescent="0.25">
      <c r="A97" s="41" t="s">
        <v>97</v>
      </c>
      <c r="B97" s="77">
        <v>44861</v>
      </c>
      <c r="C97" s="78">
        <v>40</v>
      </c>
      <c r="D97" s="90">
        <v>1698.42</v>
      </c>
      <c r="E97" s="90">
        <v>1084.71</v>
      </c>
      <c r="F97" s="90">
        <v>7792.82</v>
      </c>
      <c r="G97" s="90">
        <v>1398.72</v>
      </c>
      <c r="H97" s="90">
        <v>642.27</v>
      </c>
      <c r="I97" s="90">
        <v>699.37</v>
      </c>
      <c r="J97" s="90">
        <v>0</v>
      </c>
      <c r="K97" s="90">
        <v>0</v>
      </c>
      <c r="L97" s="90">
        <v>24.76</v>
      </c>
      <c r="M97" s="90">
        <v>128.47</v>
      </c>
      <c r="N97" s="90">
        <v>0</v>
      </c>
      <c r="O97" s="90">
        <v>1939.9</v>
      </c>
      <c r="P97" s="90">
        <v>0</v>
      </c>
      <c r="Q97" s="90">
        <v>2352.36</v>
      </c>
      <c r="R97" s="90">
        <v>3244.39</v>
      </c>
      <c r="S97" s="90">
        <v>1982.23</v>
      </c>
      <c r="T97" s="91">
        <f>SUM(D97:S97)</f>
        <v>22988.42</v>
      </c>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s="76" customFormat="1" x14ac:dyDescent="0.25">
      <c r="A98" s="41" t="s">
        <v>98</v>
      </c>
      <c r="B98" s="77">
        <v>44756</v>
      </c>
      <c r="C98" s="78"/>
      <c r="D98" s="90"/>
      <c r="E98" s="90"/>
      <c r="F98" s="90"/>
      <c r="G98" s="90"/>
      <c r="H98" s="90"/>
      <c r="I98" s="90"/>
      <c r="J98" s="90"/>
      <c r="K98" s="90"/>
      <c r="L98" s="90"/>
      <c r="M98" s="90"/>
      <c r="N98" s="90"/>
      <c r="O98" s="90"/>
      <c r="P98" s="90"/>
      <c r="Q98" s="90"/>
      <c r="R98" s="90"/>
      <c r="S98" s="90"/>
      <c r="T98" s="91"/>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s="76" customFormat="1" x14ac:dyDescent="0.25">
      <c r="A99" s="41" t="s">
        <v>99</v>
      </c>
      <c r="B99" s="77">
        <v>44769</v>
      </c>
      <c r="C99" s="78">
        <v>39</v>
      </c>
      <c r="D99" s="90">
        <v>5112.6099999999997</v>
      </c>
      <c r="E99" s="90">
        <v>5370.43</v>
      </c>
      <c r="F99" s="90">
        <v>28914.07</v>
      </c>
      <c r="G99" s="90">
        <v>4639.99</v>
      </c>
      <c r="H99" s="90">
        <v>2405.92</v>
      </c>
      <c r="I99" s="90">
        <v>2277.0500000000002</v>
      </c>
      <c r="J99" s="90">
        <v>0</v>
      </c>
      <c r="K99" s="90">
        <v>1506.58</v>
      </c>
      <c r="L99" s="90"/>
      <c r="M99" s="90">
        <v>687.4</v>
      </c>
      <c r="N99" s="90">
        <v>0</v>
      </c>
      <c r="O99" s="90">
        <v>6713.11</v>
      </c>
      <c r="P99" s="90">
        <v>585</v>
      </c>
      <c r="Q99" s="90"/>
      <c r="R99" s="90">
        <v>10260.83</v>
      </c>
      <c r="S99" s="90">
        <v>5676.43</v>
      </c>
      <c r="T99" s="91">
        <f>SUM(D99:S99)</f>
        <v>74149.420000000013</v>
      </c>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s="76" customFormat="1" x14ac:dyDescent="0.25">
      <c r="A100" s="41" t="s">
        <v>100</v>
      </c>
      <c r="B100" s="108">
        <v>44854</v>
      </c>
      <c r="C100" s="78">
        <v>0</v>
      </c>
      <c r="D100" s="90">
        <v>0</v>
      </c>
      <c r="E100" s="90">
        <v>0</v>
      </c>
      <c r="F100" s="90">
        <v>0</v>
      </c>
      <c r="G100" s="90">
        <v>0</v>
      </c>
      <c r="H100" s="90">
        <v>0</v>
      </c>
      <c r="I100" s="90">
        <v>0</v>
      </c>
      <c r="J100" s="90">
        <v>0</v>
      </c>
      <c r="K100" s="90">
        <v>0</v>
      </c>
      <c r="L100" s="90">
        <v>0</v>
      </c>
      <c r="M100" s="90">
        <v>0</v>
      </c>
      <c r="N100" s="90">
        <v>0</v>
      </c>
      <c r="O100" s="90">
        <v>0</v>
      </c>
      <c r="P100" s="90">
        <v>0</v>
      </c>
      <c r="Q100" s="90">
        <v>0</v>
      </c>
      <c r="R100" s="90">
        <v>0</v>
      </c>
      <c r="S100" s="90">
        <v>0</v>
      </c>
      <c r="T100" s="91">
        <v>0</v>
      </c>
      <c r="U100" s="80"/>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s="76" customFormat="1" x14ac:dyDescent="0.25">
      <c r="A101" s="41" t="s">
        <v>101</v>
      </c>
      <c r="B101" s="77">
        <v>44763</v>
      </c>
      <c r="C101" s="78">
        <v>41</v>
      </c>
      <c r="D101" s="90">
        <v>2082.52</v>
      </c>
      <c r="E101" s="90">
        <v>3292</v>
      </c>
      <c r="F101" s="90">
        <v>11548.24</v>
      </c>
      <c r="G101" s="90">
        <v>2116.65</v>
      </c>
      <c r="H101" s="90">
        <v>1014.58</v>
      </c>
      <c r="I101" s="90">
        <v>1831.13</v>
      </c>
      <c r="J101" s="90">
        <v>349.86</v>
      </c>
      <c r="K101" s="90">
        <v>248.94</v>
      </c>
      <c r="L101" s="90"/>
      <c r="M101" s="90">
        <v>244.92</v>
      </c>
      <c r="N101" s="90">
        <v>1624.83</v>
      </c>
      <c r="O101" s="90">
        <v>3078.34</v>
      </c>
      <c r="P101" s="90">
        <v>82</v>
      </c>
      <c r="Q101" s="90"/>
      <c r="R101" s="90">
        <v>4747.74</v>
      </c>
      <c r="S101" s="90">
        <v>2988.87</v>
      </c>
      <c r="T101" s="91">
        <f>SUM(D101:S101)</f>
        <v>35250.62000000001</v>
      </c>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s="76" customFormat="1" x14ac:dyDescent="0.25">
      <c r="A102" s="41" t="s">
        <v>143</v>
      </c>
      <c r="B102" s="77">
        <v>44861</v>
      </c>
      <c r="C102" s="78"/>
      <c r="D102" s="90"/>
      <c r="E102" s="90"/>
      <c r="F102" s="90"/>
      <c r="G102" s="90"/>
      <c r="H102" s="90"/>
      <c r="I102" s="90"/>
      <c r="J102" s="90"/>
      <c r="K102" s="90"/>
      <c r="L102" s="90"/>
      <c r="M102" s="90"/>
      <c r="N102" s="90"/>
      <c r="O102" s="90"/>
      <c r="P102" s="90"/>
      <c r="Q102" s="90"/>
      <c r="R102" s="90"/>
      <c r="S102" s="90"/>
      <c r="T102" s="91"/>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s="76" customFormat="1" ht="15.75" customHeight="1" x14ac:dyDescent="0.25">
      <c r="A103" s="41" t="s">
        <v>103</v>
      </c>
      <c r="B103" s="77">
        <v>44840</v>
      </c>
      <c r="C103" s="78"/>
      <c r="D103" s="90"/>
      <c r="E103" s="90"/>
      <c r="F103" s="90"/>
      <c r="G103" s="90"/>
      <c r="H103" s="90"/>
      <c r="I103" s="90"/>
      <c r="J103" s="90"/>
      <c r="K103" s="90"/>
      <c r="L103" s="90"/>
      <c r="M103" s="90"/>
      <c r="N103" s="90"/>
      <c r="O103" s="90"/>
      <c r="P103" s="90"/>
      <c r="Q103" s="90"/>
      <c r="R103" s="90"/>
      <c r="S103" s="90"/>
      <c r="T103" s="91"/>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s="76" customFormat="1" x14ac:dyDescent="0.25">
      <c r="A104" s="41" t="s">
        <v>104</v>
      </c>
      <c r="B104" s="77">
        <v>44846</v>
      </c>
      <c r="C104" s="78"/>
      <c r="D104" s="90"/>
      <c r="E104" s="90"/>
      <c r="F104" s="90"/>
      <c r="G104" s="90"/>
      <c r="H104" s="90"/>
      <c r="I104" s="90"/>
      <c r="J104" s="90"/>
      <c r="K104" s="90"/>
      <c r="L104" s="92"/>
      <c r="M104" s="90"/>
      <c r="N104" s="90"/>
      <c r="O104" s="90"/>
      <c r="P104" s="90"/>
      <c r="Q104" s="90"/>
      <c r="R104" s="90"/>
      <c r="S104" s="90"/>
      <c r="T104" s="91"/>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s="76" customFormat="1" x14ac:dyDescent="0.25">
      <c r="A105" s="41" t="s">
        <v>105</v>
      </c>
      <c r="B105" s="77">
        <v>44791</v>
      </c>
      <c r="C105" s="78">
        <v>138</v>
      </c>
      <c r="D105" s="90">
        <v>13034.13</v>
      </c>
      <c r="E105" s="90">
        <v>5257.44</v>
      </c>
      <c r="F105" s="90">
        <v>52104.1</v>
      </c>
      <c r="G105" s="90">
        <v>7228.98</v>
      </c>
      <c r="H105" s="90">
        <v>3285.9</v>
      </c>
      <c r="I105" s="90">
        <v>1752.48</v>
      </c>
      <c r="J105" s="90">
        <v>0</v>
      </c>
      <c r="K105" s="90">
        <v>0</v>
      </c>
      <c r="L105" s="90">
        <v>0</v>
      </c>
      <c r="M105" s="90">
        <v>0</v>
      </c>
      <c r="N105" s="90">
        <v>0</v>
      </c>
      <c r="O105" s="90">
        <v>12097.7</v>
      </c>
      <c r="P105" s="90">
        <v>1932</v>
      </c>
      <c r="Q105" s="90">
        <v>13417.54</v>
      </c>
      <c r="R105" s="90">
        <v>19216.09</v>
      </c>
      <c r="S105" s="90">
        <v>11678.08</v>
      </c>
      <c r="T105" s="91">
        <f>SUM(D105:S105)</f>
        <v>141004.43999999997</v>
      </c>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s="76" customFormat="1" x14ac:dyDescent="0.25">
      <c r="A106" s="41" t="s">
        <v>106</v>
      </c>
      <c r="B106" s="77">
        <v>44789</v>
      </c>
      <c r="C106" s="78">
        <v>3</v>
      </c>
      <c r="D106" s="90">
        <v>151.88</v>
      </c>
      <c r="E106" s="90">
        <v>181.24</v>
      </c>
      <c r="F106" s="90">
        <v>864.08</v>
      </c>
      <c r="G106" s="90">
        <v>201.66</v>
      </c>
      <c r="H106" s="90">
        <v>95.72</v>
      </c>
      <c r="I106" s="90">
        <v>153.16</v>
      </c>
      <c r="J106" s="90">
        <v>0</v>
      </c>
      <c r="K106" s="90">
        <v>0</v>
      </c>
      <c r="L106" s="90">
        <v>0</v>
      </c>
      <c r="M106" s="90">
        <v>49.77</v>
      </c>
      <c r="N106" s="90">
        <v>0</v>
      </c>
      <c r="O106" s="90">
        <v>263.70999999999998</v>
      </c>
      <c r="P106" s="90">
        <v>85.05</v>
      </c>
      <c r="Q106" s="90">
        <v>254.99</v>
      </c>
      <c r="R106" s="90">
        <v>390.5</v>
      </c>
      <c r="S106" s="90">
        <v>240.25</v>
      </c>
      <c r="T106" s="91">
        <f>SUM(D106:S106)</f>
        <v>2932.01</v>
      </c>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s="76" customFormat="1" x14ac:dyDescent="0.25">
      <c r="A107" s="41" t="s">
        <v>107</v>
      </c>
      <c r="B107" s="77">
        <v>44789</v>
      </c>
      <c r="C107" s="78">
        <v>66</v>
      </c>
      <c r="D107" s="90">
        <v>4271.1000000000004</v>
      </c>
      <c r="E107" s="90">
        <v>2842.41</v>
      </c>
      <c r="F107" s="90">
        <v>15505.19</v>
      </c>
      <c r="G107" s="90">
        <v>2907.23</v>
      </c>
      <c r="H107" s="90">
        <v>2512.41</v>
      </c>
      <c r="I107" s="90">
        <v>1651.01</v>
      </c>
      <c r="J107" s="90"/>
      <c r="K107" s="90">
        <v>11.72</v>
      </c>
      <c r="L107" s="90">
        <v>0</v>
      </c>
      <c r="M107" s="90">
        <v>277.81</v>
      </c>
      <c r="N107" s="90">
        <v>0</v>
      </c>
      <c r="O107" s="90">
        <v>3966.54</v>
      </c>
      <c r="P107" s="90">
        <v>330</v>
      </c>
      <c r="Q107" s="90">
        <v>4156.3999999999996</v>
      </c>
      <c r="R107" s="90">
        <v>5938.64</v>
      </c>
      <c r="S107" s="90">
        <v>3869.39</v>
      </c>
      <c r="T107" s="91">
        <f>SUM(D107:S107)</f>
        <v>48239.85</v>
      </c>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s="76" customFormat="1" x14ac:dyDescent="0.25">
      <c r="A108" s="41" t="s">
        <v>108</v>
      </c>
      <c r="B108" s="77">
        <v>44797</v>
      </c>
      <c r="C108" s="78">
        <v>27</v>
      </c>
      <c r="D108" s="90">
        <v>1894.51</v>
      </c>
      <c r="E108" s="90">
        <v>1114.45</v>
      </c>
      <c r="F108" s="90">
        <v>8740.25</v>
      </c>
      <c r="G108" s="90">
        <v>1639.79</v>
      </c>
      <c r="H108" s="90">
        <v>716.39</v>
      </c>
      <c r="I108" s="90"/>
      <c r="J108" s="90"/>
      <c r="K108" s="90"/>
      <c r="L108" s="90">
        <v>0.52</v>
      </c>
      <c r="M108" s="90">
        <v>0</v>
      </c>
      <c r="N108" s="90">
        <v>0</v>
      </c>
      <c r="O108" s="90">
        <v>2187.0700000000002</v>
      </c>
      <c r="P108" s="90">
        <v>270</v>
      </c>
      <c r="Q108" s="90">
        <v>2126.63</v>
      </c>
      <c r="R108" s="90">
        <v>3300.51</v>
      </c>
      <c r="S108" s="90">
        <v>2028.25</v>
      </c>
      <c r="T108" s="91">
        <f>SUM(D108:S108)</f>
        <v>24018.370000000003</v>
      </c>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s="76" customFormat="1" x14ac:dyDescent="0.25">
      <c r="A109" s="41" t="s">
        <v>109</v>
      </c>
      <c r="B109" s="77">
        <v>44768</v>
      </c>
      <c r="C109" s="78"/>
      <c r="D109" s="90"/>
      <c r="E109" s="90"/>
      <c r="F109" s="90"/>
      <c r="G109" s="90"/>
      <c r="H109" s="90"/>
      <c r="I109" s="90"/>
      <c r="J109" s="90"/>
      <c r="K109" s="90"/>
      <c r="L109" s="90"/>
      <c r="M109" s="90"/>
      <c r="N109" s="90"/>
      <c r="O109" s="90"/>
      <c r="P109" s="90"/>
      <c r="Q109" s="90"/>
      <c r="R109" s="90"/>
      <c r="S109" s="90"/>
      <c r="T109" s="91"/>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s="76" customFormat="1" x14ac:dyDescent="0.25">
      <c r="A110" s="41" t="s">
        <v>110</v>
      </c>
      <c r="B110" s="77">
        <v>44788</v>
      </c>
      <c r="C110" s="78">
        <v>74</v>
      </c>
      <c r="D110" s="90">
        <v>11391.95</v>
      </c>
      <c r="E110" s="90">
        <v>5935.3</v>
      </c>
      <c r="F110" s="90">
        <v>55619.55</v>
      </c>
      <c r="G110" s="90">
        <v>5073.71</v>
      </c>
      <c r="H110" s="90">
        <v>4212.18</v>
      </c>
      <c r="I110" s="90">
        <v>1723.12</v>
      </c>
      <c r="J110" s="90">
        <v>0</v>
      </c>
      <c r="K110" s="90">
        <v>0</v>
      </c>
      <c r="L110" s="90"/>
      <c r="M110" s="90"/>
      <c r="N110" s="90"/>
      <c r="O110" s="90">
        <v>12089.43</v>
      </c>
      <c r="P110" s="90">
        <v>1554</v>
      </c>
      <c r="Q110" s="90">
        <v>13617.56</v>
      </c>
      <c r="R110" s="90">
        <v>19662.7</v>
      </c>
      <c r="S110" s="90">
        <v>10867.35</v>
      </c>
      <c r="T110" s="91">
        <f t="shared" ref="T110:T117" si="3">SUM(D110:S110)</f>
        <v>141746.84999999998</v>
      </c>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s="76" customFormat="1" x14ac:dyDescent="0.25">
      <c r="A111" s="41" t="s">
        <v>111</v>
      </c>
      <c r="B111" s="77">
        <v>44804</v>
      </c>
      <c r="C111" s="78">
        <v>48</v>
      </c>
      <c r="D111" s="90">
        <v>5945.58</v>
      </c>
      <c r="E111" s="90">
        <v>5346.02</v>
      </c>
      <c r="F111" s="90">
        <v>36522.620000000003</v>
      </c>
      <c r="G111" s="90">
        <v>1648.74</v>
      </c>
      <c r="H111" s="90">
        <v>1873.56</v>
      </c>
      <c r="I111" s="90">
        <v>999.25</v>
      </c>
      <c r="J111" s="90"/>
      <c r="K111" s="90">
        <v>2966.55</v>
      </c>
      <c r="L111" s="90">
        <v>1398.64</v>
      </c>
      <c r="M111" s="90">
        <v>499.63</v>
      </c>
      <c r="N111" s="90"/>
      <c r="O111" s="90">
        <v>7755.38</v>
      </c>
      <c r="P111" s="90">
        <v>768</v>
      </c>
      <c r="Q111" s="90">
        <v>8547.15</v>
      </c>
      <c r="R111" s="90">
        <v>13245.62</v>
      </c>
      <c r="S111" s="90">
        <v>7294.79</v>
      </c>
      <c r="T111" s="91">
        <f t="shared" si="3"/>
        <v>94811.529999999984</v>
      </c>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s="76" customFormat="1" x14ac:dyDescent="0.25">
      <c r="A112" s="41" t="s">
        <v>112</v>
      </c>
      <c r="B112" s="77">
        <v>44818</v>
      </c>
      <c r="C112" s="78">
        <v>25</v>
      </c>
      <c r="D112" s="90">
        <v>2654.89</v>
      </c>
      <c r="E112" s="90">
        <v>2231</v>
      </c>
      <c r="F112" s="90">
        <v>11913.54</v>
      </c>
      <c r="G112" s="90">
        <v>1338.6</v>
      </c>
      <c r="H112" s="90">
        <v>0</v>
      </c>
      <c r="I112" s="90">
        <v>423.89</v>
      </c>
      <c r="J112" s="90">
        <v>0</v>
      </c>
      <c r="K112" s="90">
        <v>0</v>
      </c>
      <c r="L112" s="90">
        <v>0</v>
      </c>
      <c r="M112" s="90">
        <v>0</v>
      </c>
      <c r="N112" s="90">
        <v>803.16</v>
      </c>
      <c r="O112" s="90">
        <v>2869.46</v>
      </c>
      <c r="P112" s="90">
        <v>250</v>
      </c>
      <c r="Q112" s="90">
        <v>3145.18</v>
      </c>
      <c r="R112" s="90">
        <v>4552.0600000000004</v>
      </c>
      <c r="S112" s="90">
        <v>2626.01</v>
      </c>
      <c r="T112" s="91">
        <f t="shared" si="3"/>
        <v>32807.79</v>
      </c>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8" s="76" customFormat="1" x14ac:dyDescent="0.25">
      <c r="A113" s="41" t="s">
        <v>113</v>
      </c>
      <c r="B113" s="77">
        <v>44817</v>
      </c>
      <c r="C113" s="78">
        <v>19</v>
      </c>
      <c r="D113" s="90">
        <v>2363.73</v>
      </c>
      <c r="E113" s="90">
        <v>1450.02</v>
      </c>
      <c r="F113" s="90">
        <v>12295.41</v>
      </c>
      <c r="G113" s="90">
        <v>913.72</v>
      </c>
      <c r="H113" s="90">
        <v>794.53</v>
      </c>
      <c r="I113" s="90">
        <v>681.35</v>
      </c>
      <c r="J113" s="90">
        <v>0</v>
      </c>
      <c r="K113" s="90">
        <v>1418.31</v>
      </c>
      <c r="L113" s="90"/>
      <c r="M113" s="90">
        <v>172.83</v>
      </c>
      <c r="N113" s="90">
        <v>0</v>
      </c>
      <c r="O113" s="90">
        <v>2930.63</v>
      </c>
      <c r="P113" s="90">
        <v>513</v>
      </c>
      <c r="Q113" s="90">
        <v>3512.15</v>
      </c>
      <c r="R113" s="90">
        <v>4722.07</v>
      </c>
      <c r="S113" s="90">
        <v>2646.02</v>
      </c>
      <c r="T113" s="91">
        <f t="shared" si="3"/>
        <v>34413.770000000004</v>
      </c>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8" s="87" customFormat="1" x14ac:dyDescent="0.25">
      <c r="A114" s="41" t="s">
        <v>114</v>
      </c>
      <c r="B114" s="77">
        <v>44797</v>
      </c>
      <c r="C114" s="78">
        <v>34</v>
      </c>
      <c r="D114" s="90">
        <v>7278.4</v>
      </c>
      <c r="E114" s="90">
        <v>5314.72</v>
      </c>
      <c r="F114" s="90">
        <v>33447.54</v>
      </c>
      <c r="G114" s="90">
        <v>4831.68</v>
      </c>
      <c r="H114" s="90">
        <v>1987.81</v>
      </c>
      <c r="I114" s="90">
        <v>2691.17</v>
      </c>
      <c r="J114" s="90">
        <v>4709.53</v>
      </c>
      <c r="K114" s="90">
        <v>1.33</v>
      </c>
      <c r="L114" s="90">
        <v>0</v>
      </c>
      <c r="M114" s="90">
        <v>0</v>
      </c>
      <c r="N114" s="90">
        <v>0</v>
      </c>
      <c r="O114" s="90">
        <v>7657.03</v>
      </c>
      <c r="P114" s="90">
        <v>68</v>
      </c>
      <c r="Q114" s="90">
        <v>0</v>
      </c>
      <c r="R114" s="90">
        <v>11943.69</v>
      </c>
      <c r="S114" s="90">
        <v>681.81</v>
      </c>
      <c r="T114" s="91">
        <f t="shared" si="3"/>
        <v>80612.710000000006</v>
      </c>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row>
    <row r="115" spans="1:68" s="87" customFormat="1" x14ac:dyDescent="0.25">
      <c r="A115" s="41" t="s">
        <v>115</v>
      </c>
      <c r="B115" s="77">
        <v>44812</v>
      </c>
      <c r="C115" s="78">
        <v>14</v>
      </c>
      <c r="D115" s="90">
        <v>901</v>
      </c>
      <c r="E115" s="90">
        <v>749.57</v>
      </c>
      <c r="F115" s="90">
        <v>3452.56</v>
      </c>
      <c r="G115" s="90">
        <v>477.01</v>
      </c>
      <c r="H115" s="90">
        <v>325.58</v>
      </c>
      <c r="I115" s="90">
        <v>287.73</v>
      </c>
      <c r="J115" s="90">
        <v>0</v>
      </c>
      <c r="K115" s="90">
        <v>2.98</v>
      </c>
      <c r="L115" s="90">
        <v>148.05000000000001</v>
      </c>
      <c r="M115" s="75">
        <v>170.14</v>
      </c>
      <c r="N115" s="90">
        <v>0</v>
      </c>
      <c r="O115" s="90">
        <v>828.67</v>
      </c>
      <c r="P115" s="90">
        <v>14</v>
      </c>
      <c r="Q115" s="90"/>
      <c r="R115" s="90">
        <v>1302.93</v>
      </c>
      <c r="S115" s="90">
        <v>791.47</v>
      </c>
      <c r="T115" s="111">
        <f t="shared" si="3"/>
        <v>9451.69</v>
      </c>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row>
    <row r="116" spans="1:68" s="76" customFormat="1" x14ac:dyDescent="0.25">
      <c r="A116" s="41" t="s">
        <v>116</v>
      </c>
      <c r="B116" s="77">
        <v>44761</v>
      </c>
      <c r="C116" s="78">
        <v>54</v>
      </c>
      <c r="D116" s="90">
        <v>4571.66</v>
      </c>
      <c r="E116" s="90">
        <v>2672.13</v>
      </c>
      <c r="F116" s="90">
        <v>18304.060000000001</v>
      </c>
      <c r="G116" s="90">
        <v>1636.72</v>
      </c>
      <c r="H116" s="90">
        <v>0</v>
      </c>
      <c r="I116" s="90">
        <v>0</v>
      </c>
      <c r="J116" s="90">
        <v>3340.17</v>
      </c>
      <c r="K116" s="90">
        <v>8.76</v>
      </c>
      <c r="L116" s="90"/>
      <c r="M116" s="90"/>
      <c r="N116" s="90">
        <v>3841.7</v>
      </c>
      <c r="O116" s="90">
        <v>5290.3</v>
      </c>
      <c r="P116" s="90"/>
      <c r="Q116" s="90">
        <v>5162.6000000000004</v>
      </c>
      <c r="R116" s="90">
        <v>7909.04</v>
      </c>
      <c r="S116" s="90">
        <v>6114.56</v>
      </c>
      <c r="T116" s="91">
        <f t="shared" si="3"/>
        <v>58851.700000000004</v>
      </c>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8" s="76" customFormat="1" x14ac:dyDescent="0.25">
      <c r="A117" s="41" t="s">
        <v>117</v>
      </c>
      <c r="B117" s="77">
        <v>44761</v>
      </c>
      <c r="C117" s="78">
        <v>21</v>
      </c>
      <c r="D117" s="90">
        <v>1054.58</v>
      </c>
      <c r="E117" s="90">
        <v>6690.82</v>
      </c>
      <c r="F117" s="90">
        <v>974.82</v>
      </c>
      <c r="G117" s="90">
        <v>354.48</v>
      </c>
      <c r="H117" s="90">
        <v>385.95</v>
      </c>
      <c r="I117" s="90">
        <v>0</v>
      </c>
      <c r="J117" s="90"/>
      <c r="K117" s="90">
        <v>3.27</v>
      </c>
      <c r="L117" s="90">
        <v>15.29</v>
      </c>
      <c r="M117" s="90">
        <v>0</v>
      </c>
      <c r="N117" s="90">
        <v>1575.81</v>
      </c>
      <c r="O117" s="90">
        <v>210</v>
      </c>
      <c r="P117" s="90">
        <v>1399.98</v>
      </c>
      <c r="Q117" s="90">
        <v>2314.0700000000002</v>
      </c>
      <c r="R117" s="90">
        <v>1472.04</v>
      </c>
      <c r="S117" s="91"/>
      <c r="T117" s="111">
        <f t="shared" si="3"/>
        <v>16451.11</v>
      </c>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row>
    <row r="118" spans="1:68" s="76" customFormat="1" x14ac:dyDescent="0.25">
      <c r="A118" s="41" t="s">
        <v>118</v>
      </c>
      <c r="B118" s="77">
        <v>44824</v>
      </c>
      <c r="C118" s="78"/>
      <c r="D118" s="90"/>
      <c r="E118" s="90"/>
      <c r="F118" s="90"/>
      <c r="G118" s="90"/>
      <c r="H118" s="90"/>
      <c r="I118" s="90"/>
      <c r="J118" s="90"/>
      <c r="K118" s="90"/>
      <c r="L118" s="90"/>
      <c r="M118" s="90"/>
      <c r="N118" s="90"/>
      <c r="O118" s="90"/>
      <c r="P118" s="90"/>
      <c r="Q118" s="90"/>
      <c r="R118" s="90"/>
      <c r="S118" s="90"/>
      <c r="T118" s="91"/>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8" s="76" customFormat="1" x14ac:dyDescent="0.25">
      <c r="A119" s="41" t="s">
        <v>119</v>
      </c>
      <c r="B119" s="77">
        <v>44825</v>
      </c>
      <c r="C119" s="78">
        <v>142</v>
      </c>
      <c r="D119" s="90">
        <v>19668.77</v>
      </c>
      <c r="E119" s="90">
        <v>23966.27</v>
      </c>
      <c r="F119" s="90">
        <v>56737.24</v>
      </c>
      <c r="G119" s="90">
        <v>6446.03</v>
      </c>
      <c r="H119" s="90">
        <v>4132.1499999999996</v>
      </c>
      <c r="I119" s="90">
        <v>991.7</v>
      </c>
      <c r="J119" s="90"/>
      <c r="K119" s="90">
        <v>3300</v>
      </c>
      <c r="L119" s="90">
        <v>1112.53</v>
      </c>
      <c r="M119" s="90">
        <v>417.82</v>
      </c>
      <c r="N119" s="90"/>
      <c r="O119" s="90">
        <v>16781.88</v>
      </c>
      <c r="P119" s="90">
        <v>4686</v>
      </c>
      <c r="Q119" s="90">
        <v>17486.52</v>
      </c>
      <c r="R119" s="90">
        <v>27135.85</v>
      </c>
      <c r="S119" s="90">
        <v>15555.95</v>
      </c>
      <c r="T119" s="91">
        <f>SUM(D119:S119)</f>
        <v>198418.71</v>
      </c>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8" s="76" customFormat="1" x14ac:dyDescent="0.25">
      <c r="A120" s="41" t="s">
        <v>120</v>
      </c>
      <c r="B120" s="77">
        <v>44789</v>
      </c>
      <c r="C120" s="78">
        <v>21</v>
      </c>
      <c r="D120" s="90">
        <v>989.59</v>
      </c>
      <c r="E120" s="90">
        <v>698.52</v>
      </c>
      <c r="F120" s="90">
        <v>4923.0200000000004</v>
      </c>
      <c r="G120" s="90">
        <v>690.22</v>
      </c>
      <c r="H120" s="90">
        <v>190.24</v>
      </c>
      <c r="I120" s="90">
        <v>905.41</v>
      </c>
      <c r="J120" s="90">
        <v>0</v>
      </c>
      <c r="K120" s="90">
        <v>765</v>
      </c>
      <c r="L120" s="90">
        <v>93.04</v>
      </c>
      <c r="M120" s="90">
        <v>0</v>
      </c>
      <c r="N120" s="90">
        <v>0</v>
      </c>
      <c r="O120" s="90">
        <v>1369.49</v>
      </c>
      <c r="P120" s="90">
        <v>399</v>
      </c>
      <c r="Q120" s="90">
        <v>1387.5</v>
      </c>
      <c r="R120" s="90">
        <v>2170.5100000000002</v>
      </c>
      <c r="S120" s="90">
        <v>1379.24</v>
      </c>
      <c r="T120" s="91">
        <f>SUM(D120:S120)</f>
        <v>15960.780000000002</v>
      </c>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8" s="76" customFormat="1" x14ac:dyDescent="0.25">
      <c r="A121" s="41" t="s">
        <v>121</v>
      </c>
      <c r="B121" s="108">
        <v>44824</v>
      </c>
      <c r="C121" s="78">
        <v>38</v>
      </c>
      <c r="D121" s="90">
        <v>2986.45</v>
      </c>
      <c r="E121" s="90">
        <v>3162.14</v>
      </c>
      <c r="F121" s="90">
        <v>12171.69</v>
      </c>
      <c r="G121" s="90">
        <v>2233.56</v>
      </c>
      <c r="H121" s="90">
        <v>878.38</v>
      </c>
      <c r="I121" s="90">
        <v>2258.66</v>
      </c>
      <c r="J121" s="90">
        <v>0</v>
      </c>
      <c r="K121" s="90"/>
      <c r="L121" s="90">
        <v>5.55</v>
      </c>
      <c r="M121" s="90">
        <v>376.45</v>
      </c>
      <c r="N121" s="90">
        <v>50</v>
      </c>
      <c r="O121" s="90">
        <v>3747.63</v>
      </c>
      <c r="P121" s="90">
        <v>152</v>
      </c>
      <c r="Q121" s="90">
        <v>3926.42</v>
      </c>
      <c r="R121" s="90">
        <v>5685.85</v>
      </c>
      <c r="S121" s="90">
        <v>3374.92</v>
      </c>
      <c r="T121" s="91">
        <f>SUM(D121:S121)</f>
        <v>41009.699999999997</v>
      </c>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8" s="76" customFormat="1" x14ac:dyDescent="0.25">
      <c r="A122" s="41" t="s">
        <v>122</v>
      </c>
      <c r="B122" s="77">
        <v>44790</v>
      </c>
      <c r="C122" s="78"/>
      <c r="D122" s="90"/>
      <c r="E122" s="90"/>
      <c r="F122" s="90"/>
      <c r="G122" s="90"/>
      <c r="H122" s="90"/>
      <c r="I122" s="90"/>
      <c r="J122" s="90"/>
      <c r="K122" s="90"/>
      <c r="L122" s="90"/>
      <c r="M122" s="90"/>
      <c r="N122" s="90"/>
      <c r="O122" s="90"/>
      <c r="P122" s="90"/>
      <c r="Q122" s="90"/>
      <c r="R122" s="90"/>
      <c r="S122" s="90"/>
      <c r="T122" s="91"/>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8" s="76" customFormat="1" x14ac:dyDescent="0.25">
      <c r="A123" s="41" t="s">
        <v>142</v>
      </c>
      <c r="B123" s="77">
        <v>44783</v>
      </c>
      <c r="C123" s="78">
        <v>95</v>
      </c>
      <c r="D123" s="92">
        <v>8505.2900000000009</v>
      </c>
      <c r="E123" s="90">
        <v>5574.87</v>
      </c>
      <c r="F123" s="90">
        <v>27705.69</v>
      </c>
      <c r="G123" s="90">
        <v>3573.67</v>
      </c>
      <c r="H123" s="90">
        <v>2858.92</v>
      </c>
      <c r="I123" s="90">
        <v>3788.09</v>
      </c>
      <c r="J123" s="90">
        <v>0</v>
      </c>
      <c r="K123" s="90">
        <v>0</v>
      </c>
      <c r="L123" s="90">
        <v>19.98</v>
      </c>
      <c r="M123" s="90">
        <v>1000.62</v>
      </c>
      <c r="N123" s="90">
        <v>0</v>
      </c>
      <c r="O123" s="90">
        <v>8235.81</v>
      </c>
      <c r="P123" s="90">
        <v>1235</v>
      </c>
      <c r="Q123" s="90">
        <v>8631.01</v>
      </c>
      <c r="R123" s="90">
        <v>12521.61</v>
      </c>
      <c r="S123" s="90">
        <v>7590.8</v>
      </c>
      <c r="T123" s="91">
        <f>SUM(D123:S123)</f>
        <v>91241.36</v>
      </c>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8" s="76" customFormat="1" x14ac:dyDescent="0.25">
      <c r="A124" s="41" t="s">
        <v>166</v>
      </c>
      <c r="B124" s="77">
        <v>44783</v>
      </c>
      <c r="C124" s="78">
        <v>46</v>
      </c>
      <c r="D124" s="92">
        <v>5606.99</v>
      </c>
      <c r="E124" s="90">
        <v>3675.18</v>
      </c>
      <c r="F124" s="90">
        <v>17836.78</v>
      </c>
      <c r="G124" s="90">
        <v>2355.88</v>
      </c>
      <c r="H124" s="90">
        <v>1884.7</v>
      </c>
      <c r="I124" s="90">
        <v>2497.23</v>
      </c>
      <c r="J124" s="90">
        <v>0</v>
      </c>
      <c r="K124" s="90">
        <v>0</v>
      </c>
      <c r="L124" s="90">
        <v>18.14</v>
      </c>
      <c r="M124" s="90">
        <v>659.66</v>
      </c>
      <c r="N124" s="90">
        <v>0</v>
      </c>
      <c r="O124" s="90">
        <v>5364.26</v>
      </c>
      <c r="P124" s="90">
        <v>598</v>
      </c>
      <c r="Q124" s="90">
        <v>5621.06</v>
      </c>
      <c r="R124" s="90">
        <v>8123.14</v>
      </c>
      <c r="S124" s="90">
        <v>4705.59</v>
      </c>
      <c r="T124" s="91">
        <f>SUM(D124:S124)</f>
        <v>58946.61</v>
      </c>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8" s="76" customFormat="1" x14ac:dyDescent="0.25">
      <c r="A125" s="41" t="s">
        <v>123</v>
      </c>
      <c r="B125" s="77">
        <v>44824</v>
      </c>
      <c r="C125" s="78">
        <v>32</v>
      </c>
      <c r="D125" s="90">
        <v>896.52</v>
      </c>
      <c r="E125" s="90">
        <v>587.65</v>
      </c>
      <c r="F125" s="90">
        <v>2757.44</v>
      </c>
      <c r="G125" s="90">
        <v>1054.76</v>
      </c>
      <c r="H125" s="90">
        <v>489.73</v>
      </c>
      <c r="I125" s="90">
        <v>1054.76</v>
      </c>
      <c r="J125" s="90">
        <v>0</v>
      </c>
      <c r="K125" s="90">
        <v>14.25</v>
      </c>
      <c r="L125" s="90"/>
      <c r="M125" s="90">
        <v>346.56</v>
      </c>
      <c r="N125" s="90">
        <v>0</v>
      </c>
      <c r="O125" s="90">
        <v>954.08</v>
      </c>
      <c r="P125" s="90">
        <v>64</v>
      </c>
      <c r="Q125" s="90">
        <v>0</v>
      </c>
      <c r="R125" s="90">
        <v>1440.31</v>
      </c>
      <c r="S125" s="90">
        <v>1680</v>
      </c>
      <c r="T125" s="91">
        <f>SUM(D125:S125)</f>
        <v>11340.06</v>
      </c>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8" s="76" customFormat="1" x14ac:dyDescent="0.25">
      <c r="A126" s="41" t="s">
        <v>124</v>
      </c>
      <c r="B126" s="77">
        <v>44799</v>
      </c>
      <c r="C126" s="78">
        <v>18</v>
      </c>
      <c r="D126" s="90">
        <v>4360.0600000000004</v>
      </c>
      <c r="E126" s="90">
        <v>2564.73</v>
      </c>
      <c r="F126" s="90">
        <v>25574.02</v>
      </c>
      <c r="G126" s="90">
        <v>2308.2800000000002</v>
      </c>
      <c r="H126" s="90">
        <v>732.78</v>
      </c>
      <c r="I126" s="90">
        <v>659.5</v>
      </c>
      <c r="J126" s="90">
        <v>0</v>
      </c>
      <c r="K126" s="90">
        <v>1419.08</v>
      </c>
      <c r="L126" s="90"/>
      <c r="M126" s="90">
        <v>0</v>
      </c>
      <c r="N126" s="90">
        <v>0</v>
      </c>
      <c r="O126" s="90">
        <v>5007.3100000000004</v>
      </c>
      <c r="P126" s="90">
        <v>272</v>
      </c>
      <c r="Q126" s="90">
        <v>5404.64</v>
      </c>
      <c r="R126" s="90">
        <v>8343.2000000000007</v>
      </c>
      <c r="S126" s="90">
        <v>4409.6000000000004</v>
      </c>
      <c r="T126" s="91">
        <f>SUM(D126:S126)</f>
        <v>61055.200000000004</v>
      </c>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8" x14ac:dyDescent="0.25">
      <c r="A127" s="93" t="s">
        <v>170</v>
      </c>
      <c r="B127" s="94"/>
      <c r="C127" s="95"/>
      <c r="R127" s="90"/>
    </row>
    <row r="128" spans="1:68" x14ac:dyDescent="0.25">
      <c r="A128" s="97" t="s">
        <v>138</v>
      </c>
      <c r="C128" s="78">
        <f>SUM(C2:C127)</f>
        <v>7591</v>
      </c>
      <c r="D128" s="99">
        <f t="shared" ref="D128:S128" si="4">SUM(D2:D127)</f>
        <v>1109558.6200000001</v>
      </c>
      <c r="E128" s="99">
        <f t="shared" si="4"/>
        <v>835543.89</v>
      </c>
      <c r="F128" s="99">
        <f t="shared" si="4"/>
        <v>3993136.5000000005</v>
      </c>
      <c r="G128" s="99">
        <f t="shared" si="4"/>
        <v>383729.06999999989</v>
      </c>
      <c r="H128" s="99">
        <f t="shared" si="4"/>
        <v>190969.15</v>
      </c>
      <c r="I128" s="99">
        <f t="shared" si="4"/>
        <v>284967.35999999993</v>
      </c>
      <c r="J128" s="99">
        <f t="shared" si="4"/>
        <v>17516.690000000002</v>
      </c>
      <c r="K128" s="99">
        <f t="shared" si="4"/>
        <v>316313.93000000005</v>
      </c>
      <c r="L128" s="99">
        <f t="shared" si="4"/>
        <v>103142.79000000001</v>
      </c>
      <c r="M128" s="99">
        <f t="shared" si="4"/>
        <v>35481.600000000013</v>
      </c>
      <c r="N128" s="99">
        <f t="shared" si="4"/>
        <v>92458.999999999971</v>
      </c>
      <c r="O128" s="99">
        <f t="shared" si="4"/>
        <v>914223.90999999992</v>
      </c>
      <c r="P128" s="99">
        <f t="shared" si="4"/>
        <v>69389.060000000012</v>
      </c>
      <c r="Q128" s="99">
        <f t="shared" si="4"/>
        <v>1231310.7699999998</v>
      </c>
      <c r="R128" s="99">
        <f t="shared" si="4"/>
        <v>1494696.1900000006</v>
      </c>
      <c r="S128" s="99">
        <f t="shared" si="4"/>
        <v>899004.8600000001</v>
      </c>
      <c r="T128" s="100">
        <f>SUM(D128:S128)</f>
        <v>11971443.390000002</v>
      </c>
    </row>
    <row r="129" spans="1:20" x14ac:dyDescent="0.25">
      <c r="C129" s="95"/>
    </row>
    <row r="130" spans="1:20" x14ac:dyDescent="0.25">
      <c r="C130" s="95"/>
    </row>
    <row r="131" spans="1:20" x14ac:dyDescent="0.25">
      <c r="A131" s="113"/>
      <c r="C131" s="95"/>
      <c r="S131" s="75"/>
      <c r="T131" s="100"/>
    </row>
    <row r="132" spans="1:20" x14ac:dyDescent="0.25">
      <c r="A132" s="41"/>
      <c r="C132" s="95"/>
    </row>
    <row r="133" spans="1:20" x14ac:dyDescent="0.25">
      <c r="A133" s="41"/>
      <c r="C133" s="95"/>
    </row>
    <row r="134" spans="1:20" x14ac:dyDescent="0.25">
      <c r="A134" s="41"/>
      <c r="C134" s="95"/>
    </row>
    <row r="135" spans="1:20" x14ac:dyDescent="0.25">
      <c r="A135" s="41"/>
      <c r="C135" s="95"/>
    </row>
    <row r="136" spans="1:20" x14ac:dyDescent="0.25">
      <c r="A136" s="41"/>
      <c r="C136" s="95"/>
    </row>
    <row r="137" spans="1:20" x14ac:dyDescent="0.25">
      <c r="A137" s="41"/>
      <c r="C137" s="95"/>
    </row>
    <row r="138" spans="1:20" x14ac:dyDescent="0.25">
      <c r="C138" s="95"/>
    </row>
    <row r="139" spans="1:20" x14ac:dyDescent="0.25">
      <c r="C139" s="95"/>
    </row>
    <row r="140" spans="1:20" x14ac:dyDescent="0.25">
      <c r="C140" s="95"/>
    </row>
    <row r="141" spans="1:20" x14ac:dyDescent="0.25">
      <c r="C141" s="95"/>
    </row>
    <row r="142" spans="1:20" x14ac:dyDescent="0.25">
      <c r="C142" s="95"/>
    </row>
    <row r="143" spans="1:20" x14ac:dyDescent="0.25">
      <c r="C143" s="95"/>
    </row>
    <row r="144" spans="1:20" x14ac:dyDescent="0.25">
      <c r="C144" s="95"/>
    </row>
    <row r="145" spans="3:3" x14ac:dyDescent="0.25">
      <c r="C145" s="95"/>
    </row>
    <row r="146" spans="3:3" x14ac:dyDescent="0.25">
      <c r="C146" s="95"/>
    </row>
    <row r="147" spans="3:3" x14ac:dyDescent="0.25">
      <c r="C147" s="95"/>
    </row>
    <row r="148" spans="3:3" x14ac:dyDescent="0.25">
      <c r="C148" s="95"/>
    </row>
    <row r="149" spans="3:3" x14ac:dyDescent="0.25">
      <c r="C149" s="95"/>
    </row>
    <row r="150" spans="3:3" x14ac:dyDescent="0.25">
      <c r="C150" s="95"/>
    </row>
    <row r="151" spans="3:3" x14ac:dyDescent="0.25">
      <c r="C151" s="95"/>
    </row>
    <row r="152" spans="3:3" x14ac:dyDescent="0.25">
      <c r="C152" s="95"/>
    </row>
    <row r="153" spans="3:3" x14ac:dyDescent="0.25">
      <c r="C153" s="95"/>
    </row>
    <row r="154" spans="3:3" x14ac:dyDescent="0.25">
      <c r="C154" s="95"/>
    </row>
    <row r="155" spans="3:3" x14ac:dyDescent="0.25">
      <c r="C155" s="95"/>
    </row>
    <row r="156" spans="3:3" x14ac:dyDescent="0.25">
      <c r="C156" s="95"/>
    </row>
    <row r="157" spans="3:3" x14ac:dyDescent="0.25">
      <c r="C157" s="95"/>
    </row>
    <row r="158" spans="3:3" x14ac:dyDescent="0.25">
      <c r="C158" s="95"/>
    </row>
    <row r="159" spans="3:3" x14ac:dyDescent="0.25">
      <c r="C159" s="95"/>
    </row>
    <row r="160" spans="3:3" x14ac:dyDescent="0.25">
      <c r="C160" s="95"/>
    </row>
    <row r="161" spans="3:3" x14ac:dyDescent="0.25">
      <c r="C161" s="95"/>
    </row>
    <row r="162" spans="3:3" x14ac:dyDescent="0.25">
      <c r="C162" s="95"/>
    </row>
    <row r="163" spans="3:3" x14ac:dyDescent="0.25">
      <c r="C163" s="95"/>
    </row>
    <row r="164" spans="3:3" x14ac:dyDescent="0.25">
      <c r="C164" s="95"/>
    </row>
    <row r="165" spans="3:3" x14ac:dyDescent="0.25">
      <c r="C165" s="95"/>
    </row>
    <row r="166" spans="3:3" x14ac:dyDescent="0.25">
      <c r="C166" s="95"/>
    </row>
    <row r="167" spans="3:3" x14ac:dyDescent="0.25">
      <c r="C167" s="95"/>
    </row>
    <row r="168" spans="3:3" x14ac:dyDescent="0.25">
      <c r="C168" s="95"/>
    </row>
    <row r="169" spans="3:3" x14ac:dyDescent="0.25">
      <c r="C169" s="95"/>
    </row>
    <row r="170" spans="3:3" x14ac:dyDescent="0.25">
      <c r="C170" s="95"/>
    </row>
    <row r="171" spans="3:3" x14ac:dyDescent="0.25">
      <c r="C171" s="95"/>
    </row>
    <row r="172" spans="3:3" x14ac:dyDescent="0.25">
      <c r="C172" s="95"/>
    </row>
    <row r="173" spans="3:3" x14ac:dyDescent="0.25">
      <c r="C173" s="95"/>
    </row>
    <row r="174" spans="3:3" x14ac:dyDescent="0.25">
      <c r="C174" s="95"/>
    </row>
    <row r="175" spans="3:3" x14ac:dyDescent="0.25">
      <c r="C175" s="95"/>
    </row>
    <row r="176" spans="3:3" x14ac:dyDescent="0.25">
      <c r="C176" s="95"/>
    </row>
    <row r="177" spans="3:3" x14ac:dyDescent="0.25">
      <c r="C177" s="95"/>
    </row>
    <row r="178" spans="3:3" x14ac:dyDescent="0.25">
      <c r="C178" s="95"/>
    </row>
    <row r="179" spans="3:3" x14ac:dyDescent="0.25">
      <c r="C179" s="95"/>
    </row>
    <row r="180" spans="3:3" x14ac:dyDescent="0.25">
      <c r="C180" s="95"/>
    </row>
    <row r="181" spans="3:3" x14ac:dyDescent="0.25">
      <c r="C181" s="95"/>
    </row>
    <row r="182" spans="3:3" x14ac:dyDescent="0.25">
      <c r="C182" s="95"/>
    </row>
    <row r="183" spans="3:3" x14ac:dyDescent="0.25">
      <c r="C183" s="95"/>
    </row>
    <row r="184" spans="3:3" x14ac:dyDescent="0.25">
      <c r="C184" s="95"/>
    </row>
    <row r="185" spans="3:3" x14ac:dyDescent="0.25">
      <c r="C185" s="95"/>
    </row>
    <row r="186" spans="3:3" x14ac:dyDescent="0.25">
      <c r="C186" s="95"/>
    </row>
    <row r="187" spans="3:3" x14ac:dyDescent="0.25">
      <c r="C187" s="95"/>
    </row>
    <row r="188" spans="3:3" x14ac:dyDescent="0.25">
      <c r="C188" s="95"/>
    </row>
    <row r="189" spans="3:3" x14ac:dyDescent="0.25">
      <c r="C189" s="95"/>
    </row>
    <row r="190" spans="3:3" x14ac:dyDescent="0.25">
      <c r="C190" s="95"/>
    </row>
    <row r="191" spans="3:3" x14ac:dyDescent="0.25">
      <c r="C191" s="95"/>
    </row>
    <row r="192" spans="3:3" x14ac:dyDescent="0.25">
      <c r="C192" s="95"/>
    </row>
    <row r="193" spans="3:3" x14ac:dyDescent="0.25">
      <c r="C193" s="95"/>
    </row>
    <row r="194" spans="3:3" x14ac:dyDescent="0.25">
      <c r="C194" s="95"/>
    </row>
    <row r="195" spans="3:3" x14ac:dyDescent="0.25">
      <c r="C195" s="95"/>
    </row>
    <row r="196" spans="3:3" x14ac:dyDescent="0.25">
      <c r="C196" s="95"/>
    </row>
    <row r="197" spans="3:3" x14ac:dyDescent="0.25">
      <c r="C197" s="95"/>
    </row>
    <row r="198" spans="3:3" x14ac:dyDescent="0.25">
      <c r="C198" s="95"/>
    </row>
    <row r="199" spans="3:3" x14ac:dyDescent="0.25">
      <c r="C199" s="95"/>
    </row>
    <row r="200" spans="3:3" x14ac:dyDescent="0.25">
      <c r="C200" s="95"/>
    </row>
    <row r="201" spans="3:3" x14ac:dyDescent="0.25">
      <c r="C201" s="95"/>
    </row>
    <row r="202" spans="3:3" x14ac:dyDescent="0.25">
      <c r="C202" s="95"/>
    </row>
    <row r="203" spans="3:3" x14ac:dyDescent="0.25">
      <c r="C203" s="95"/>
    </row>
    <row r="204" spans="3:3" x14ac:dyDescent="0.25">
      <c r="C204" s="95"/>
    </row>
    <row r="205" spans="3:3" x14ac:dyDescent="0.25">
      <c r="C205" s="95"/>
    </row>
    <row r="206" spans="3:3" x14ac:dyDescent="0.25">
      <c r="C206" s="95"/>
    </row>
    <row r="207" spans="3:3" x14ac:dyDescent="0.25">
      <c r="C207" s="95"/>
    </row>
    <row r="208" spans="3:3" x14ac:dyDescent="0.25">
      <c r="C208" s="95"/>
    </row>
    <row r="209" spans="3:3" x14ac:dyDescent="0.25">
      <c r="C209" s="95"/>
    </row>
    <row r="210" spans="3:3" x14ac:dyDescent="0.25">
      <c r="C210" s="95"/>
    </row>
    <row r="211" spans="3:3" x14ac:dyDescent="0.25">
      <c r="C211" s="95"/>
    </row>
    <row r="212" spans="3:3" x14ac:dyDescent="0.25">
      <c r="C212" s="95"/>
    </row>
    <row r="213" spans="3:3" x14ac:dyDescent="0.25">
      <c r="C213" s="95"/>
    </row>
    <row r="214" spans="3:3" x14ac:dyDescent="0.25">
      <c r="C214" s="95"/>
    </row>
    <row r="215" spans="3:3" x14ac:dyDescent="0.25">
      <c r="C215" s="95"/>
    </row>
    <row r="216" spans="3:3" x14ac:dyDescent="0.25">
      <c r="C216" s="95"/>
    </row>
    <row r="217" spans="3:3" x14ac:dyDescent="0.25">
      <c r="C217" s="95"/>
    </row>
    <row r="218" spans="3:3" x14ac:dyDescent="0.25">
      <c r="C218" s="95"/>
    </row>
    <row r="219" spans="3:3" x14ac:dyDescent="0.25">
      <c r="C219" s="95"/>
    </row>
    <row r="220" spans="3:3" x14ac:dyDescent="0.25">
      <c r="C220" s="95"/>
    </row>
    <row r="221" spans="3:3" x14ac:dyDescent="0.25">
      <c r="C221" s="95"/>
    </row>
    <row r="222" spans="3:3" x14ac:dyDescent="0.25">
      <c r="C222" s="95"/>
    </row>
    <row r="223" spans="3:3" x14ac:dyDescent="0.25">
      <c r="C223" s="95"/>
    </row>
    <row r="224" spans="3:3" x14ac:dyDescent="0.25">
      <c r="C224" s="95"/>
    </row>
    <row r="225" spans="3:3" x14ac:dyDescent="0.25">
      <c r="C225" s="95"/>
    </row>
    <row r="226" spans="3:3" x14ac:dyDescent="0.25">
      <c r="C226" s="95"/>
    </row>
    <row r="227" spans="3:3" x14ac:dyDescent="0.25">
      <c r="C227" s="95"/>
    </row>
    <row r="228" spans="3:3" x14ac:dyDescent="0.25">
      <c r="C228" s="95"/>
    </row>
    <row r="229" spans="3:3" x14ac:dyDescent="0.25">
      <c r="C229" s="95"/>
    </row>
    <row r="230" spans="3:3" x14ac:dyDescent="0.25">
      <c r="C230" s="95"/>
    </row>
    <row r="231" spans="3:3" x14ac:dyDescent="0.25">
      <c r="C231" s="95"/>
    </row>
    <row r="232" spans="3:3" x14ac:dyDescent="0.25">
      <c r="C232" s="95"/>
    </row>
    <row r="233" spans="3:3" x14ac:dyDescent="0.25">
      <c r="C233" s="95"/>
    </row>
    <row r="234" spans="3:3" x14ac:dyDescent="0.25">
      <c r="C234" s="95"/>
    </row>
    <row r="235" spans="3:3" x14ac:dyDescent="0.25">
      <c r="C235" s="95"/>
    </row>
    <row r="236" spans="3:3" x14ac:dyDescent="0.25">
      <c r="C236" s="95"/>
    </row>
    <row r="237" spans="3:3" x14ac:dyDescent="0.25">
      <c r="C237" s="95"/>
    </row>
    <row r="238" spans="3:3" x14ac:dyDescent="0.25">
      <c r="C238" s="95"/>
    </row>
    <row r="239" spans="3:3" x14ac:dyDescent="0.25">
      <c r="C239" s="95"/>
    </row>
    <row r="240" spans="3:3" x14ac:dyDescent="0.25">
      <c r="C240" s="95"/>
    </row>
    <row r="241" spans="3:3" x14ac:dyDescent="0.25">
      <c r="C241" s="95"/>
    </row>
    <row r="242" spans="3:3" x14ac:dyDescent="0.25">
      <c r="C242" s="95"/>
    </row>
    <row r="243" spans="3:3" x14ac:dyDescent="0.25">
      <c r="C243" s="95"/>
    </row>
    <row r="244" spans="3:3" x14ac:dyDescent="0.25">
      <c r="C244" s="95"/>
    </row>
    <row r="245" spans="3:3" x14ac:dyDescent="0.25">
      <c r="C245" s="95"/>
    </row>
    <row r="246" spans="3:3" x14ac:dyDescent="0.25">
      <c r="C246" s="95"/>
    </row>
    <row r="247" spans="3:3" x14ac:dyDescent="0.25">
      <c r="C247" s="95"/>
    </row>
    <row r="248" spans="3:3" x14ac:dyDescent="0.25">
      <c r="C248" s="95"/>
    </row>
    <row r="249" spans="3:3" x14ac:dyDescent="0.25">
      <c r="C249" s="95"/>
    </row>
    <row r="250" spans="3:3" x14ac:dyDescent="0.25">
      <c r="C250" s="95"/>
    </row>
    <row r="251" spans="3:3" x14ac:dyDescent="0.25">
      <c r="C251" s="95"/>
    </row>
    <row r="252" spans="3:3" x14ac:dyDescent="0.25">
      <c r="C252" s="95"/>
    </row>
    <row r="253" spans="3:3" x14ac:dyDescent="0.25">
      <c r="C253" s="95"/>
    </row>
    <row r="254" spans="3:3" x14ac:dyDescent="0.25">
      <c r="C254" s="95"/>
    </row>
    <row r="255" spans="3:3" x14ac:dyDescent="0.25">
      <c r="C255" s="95"/>
    </row>
    <row r="256" spans="3:3" x14ac:dyDescent="0.25">
      <c r="C256" s="95"/>
    </row>
    <row r="257" spans="3:3" x14ac:dyDescent="0.25">
      <c r="C257" s="95"/>
    </row>
    <row r="258" spans="3:3" x14ac:dyDescent="0.25">
      <c r="C258" s="95"/>
    </row>
    <row r="259" spans="3:3" x14ac:dyDescent="0.25">
      <c r="C259" s="95"/>
    </row>
    <row r="260" spans="3:3" x14ac:dyDescent="0.25">
      <c r="C260" s="95"/>
    </row>
    <row r="261" spans="3:3" x14ac:dyDescent="0.25">
      <c r="C261" s="95"/>
    </row>
    <row r="262" spans="3:3" x14ac:dyDescent="0.25">
      <c r="C262" s="95"/>
    </row>
    <row r="263" spans="3:3" x14ac:dyDescent="0.25">
      <c r="C263" s="95"/>
    </row>
    <row r="264" spans="3:3" x14ac:dyDescent="0.25">
      <c r="C264" s="95"/>
    </row>
    <row r="265" spans="3:3" x14ac:dyDescent="0.25">
      <c r="C265" s="95"/>
    </row>
    <row r="266" spans="3:3" x14ac:dyDescent="0.25">
      <c r="C266" s="95"/>
    </row>
    <row r="267" spans="3:3" x14ac:dyDescent="0.25">
      <c r="C267" s="95"/>
    </row>
    <row r="268" spans="3:3" x14ac:dyDescent="0.25">
      <c r="C268" s="95"/>
    </row>
    <row r="269" spans="3:3" x14ac:dyDescent="0.25">
      <c r="C269" s="95"/>
    </row>
    <row r="270" spans="3:3" x14ac:dyDescent="0.25">
      <c r="C270" s="95"/>
    </row>
    <row r="271" spans="3:3" x14ac:dyDescent="0.25">
      <c r="C271" s="95"/>
    </row>
    <row r="272" spans="3:3" x14ac:dyDescent="0.25">
      <c r="C272" s="95"/>
    </row>
    <row r="273" spans="3:3" x14ac:dyDescent="0.25">
      <c r="C273" s="95"/>
    </row>
    <row r="274" spans="3:3" x14ac:dyDescent="0.25">
      <c r="C274" s="95"/>
    </row>
    <row r="275" spans="3:3" x14ac:dyDescent="0.25">
      <c r="C275" s="95"/>
    </row>
    <row r="276" spans="3:3" x14ac:dyDescent="0.25">
      <c r="C276" s="95"/>
    </row>
    <row r="277" spans="3:3" x14ac:dyDescent="0.25">
      <c r="C277" s="95"/>
    </row>
    <row r="278" spans="3:3" x14ac:dyDescent="0.25">
      <c r="C278" s="95"/>
    </row>
    <row r="279" spans="3:3" x14ac:dyDescent="0.25">
      <c r="C279" s="95"/>
    </row>
    <row r="280" spans="3:3" x14ac:dyDescent="0.25">
      <c r="C280" s="95"/>
    </row>
    <row r="281" spans="3:3" x14ac:dyDescent="0.25">
      <c r="C281" s="95"/>
    </row>
    <row r="282" spans="3:3" x14ac:dyDescent="0.25">
      <c r="C282" s="95"/>
    </row>
    <row r="283" spans="3:3" x14ac:dyDescent="0.25">
      <c r="C283" s="95"/>
    </row>
    <row r="284" spans="3:3" x14ac:dyDescent="0.25">
      <c r="C284" s="95"/>
    </row>
    <row r="285" spans="3:3" x14ac:dyDescent="0.25">
      <c r="C285" s="95"/>
    </row>
    <row r="286" spans="3:3" x14ac:dyDescent="0.25">
      <c r="C286" s="95"/>
    </row>
    <row r="287" spans="3:3" x14ac:dyDescent="0.25">
      <c r="C287" s="95"/>
    </row>
    <row r="288" spans="3:3" x14ac:dyDescent="0.25">
      <c r="C288" s="95"/>
    </row>
    <row r="289" spans="3:3" x14ac:dyDescent="0.25">
      <c r="C289" s="95"/>
    </row>
    <row r="290" spans="3:3" x14ac:dyDescent="0.25">
      <c r="C290" s="95"/>
    </row>
    <row r="291" spans="3:3" x14ac:dyDescent="0.25">
      <c r="C291" s="95"/>
    </row>
    <row r="292" spans="3:3" x14ac:dyDescent="0.25">
      <c r="C292" s="95"/>
    </row>
    <row r="293" spans="3:3" x14ac:dyDescent="0.25">
      <c r="C293" s="95"/>
    </row>
    <row r="294" spans="3:3" x14ac:dyDescent="0.25">
      <c r="C294" s="95"/>
    </row>
    <row r="295" spans="3:3" x14ac:dyDescent="0.25">
      <c r="C295" s="95"/>
    </row>
    <row r="296" spans="3:3" x14ac:dyDescent="0.25">
      <c r="C296" s="95"/>
    </row>
    <row r="297" spans="3:3" x14ac:dyDescent="0.25">
      <c r="C297" s="95"/>
    </row>
    <row r="298" spans="3:3" x14ac:dyDescent="0.25">
      <c r="C298" s="95"/>
    </row>
    <row r="299" spans="3:3" x14ac:dyDescent="0.25">
      <c r="C299" s="95"/>
    </row>
    <row r="300" spans="3:3" x14ac:dyDescent="0.25">
      <c r="C300" s="95"/>
    </row>
    <row r="301" spans="3:3" x14ac:dyDescent="0.25">
      <c r="C301" s="95"/>
    </row>
    <row r="302" spans="3:3" x14ac:dyDescent="0.25">
      <c r="C302" s="95"/>
    </row>
    <row r="303" spans="3:3" x14ac:dyDescent="0.25">
      <c r="C303" s="95"/>
    </row>
    <row r="304" spans="3:3" x14ac:dyDescent="0.25">
      <c r="C304" s="95"/>
    </row>
    <row r="305" spans="3:3" x14ac:dyDescent="0.25">
      <c r="C305" s="95"/>
    </row>
    <row r="306" spans="3:3" x14ac:dyDescent="0.25">
      <c r="C306" s="95"/>
    </row>
    <row r="307" spans="3:3" x14ac:dyDescent="0.25">
      <c r="C307" s="95"/>
    </row>
    <row r="308" spans="3:3" x14ac:dyDescent="0.25">
      <c r="C308" s="95"/>
    </row>
    <row r="309" spans="3:3" x14ac:dyDescent="0.25">
      <c r="C309" s="95"/>
    </row>
    <row r="310" spans="3:3" x14ac:dyDescent="0.25">
      <c r="C310" s="95"/>
    </row>
    <row r="311" spans="3:3" x14ac:dyDescent="0.25">
      <c r="C311" s="95"/>
    </row>
    <row r="312" spans="3:3" x14ac:dyDescent="0.25">
      <c r="C312" s="95"/>
    </row>
    <row r="313" spans="3:3" x14ac:dyDescent="0.25">
      <c r="C313" s="95"/>
    </row>
    <row r="314" spans="3:3" x14ac:dyDescent="0.25">
      <c r="C314" s="95"/>
    </row>
    <row r="315" spans="3:3" x14ac:dyDescent="0.25">
      <c r="C315" s="95"/>
    </row>
    <row r="316" spans="3:3" x14ac:dyDescent="0.25">
      <c r="C316" s="95"/>
    </row>
    <row r="317" spans="3:3" x14ac:dyDescent="0.25">
      <c r="C317" s="95"/>
    </row>
    <row r="318" spans="3:3" x14ac:dyDescent="0.25">
      <c r="C318" s="95"/>
    </row>
    <row r="319" spans="3:3" x14ac:dyDescent="0.25">
      <c r="C319" s="95"/>
    </row>
    <row r="320" spans="3:3" x14ac:dyDescent="0.25">
      <c r="C320" s="95"/>
    </row>
    <row r="321" spans="3:3" x14ac:dyDescent="0.25">
      <c r="C321" s="95"/>
    </row>
    <row r="322" spans="3:3" x14ac:dyDescent="0.25">
      <c r="C322" s="95"/>
    </row>
    <row r="323" spans="3:3" x14ac:dyDescent="0.25">
      <c r="C323" s="95"/>
    </row>
    <row r="324" spans="3:3" x14ac:dyDescent="0.25">
      <c r="C324" s="95"/>
    </row>
    <row r="325" spans="3:3" x14ac:dyDescent="0.25">
      <c r="C325" s="95"/>
    </row>
    <row r="326" spans="3:3" x14ac:dyDescent="0.25">
      <c r="C326" s="95"/>
    </row>
    <row r="327" spans="3:3" x14ac:dyDescent="0.25">
      <c r="C327" s="95"/>
    </row>
    <row r="328" spans="3:3" x14ac:dyDescent="0.25">
      <c r="C328" s="95"/>
    </row>
    <row r="329" spans="3:3" x14ac:dyDescent="0.25">
      <c r="C329" s="95"/>
    </row>
    <row r="330" spans="3:3" x14ac:dyDescent="0.25">
      <c r="C330" s="95"/>
    </row>
    <row r="331" spans="3:3" x14ac:dyDescent="0.25">
      <c r="C331" s="95"/>
    </row>
    <row r="332" spans="3:3" x14ac:dyDescent="0.25">
      <c r="C332" s="95"/>
    </row>
    <row r="333" spans="3:3" x14ac:dyDescent="0.25">
      <c r="C333" s="95"/>
    </row>
    <row r="334" spans="3:3" x14ac:dyDescent="0.25">
      <c r="C334" s="95"/>
    </row>
    <row r="335" spans="3:3" x14ac:dyDescent="0.25">
      <c r="C335" s="95"/>
    </row>
    <row r="336" spans="3:3" x14ac:dyDescent="0.25">
      <c r="C336" s="95"/>
    </row>
    <row r="337" spans="3:3" x14ac:dyDescent="0.25">
      <c r="C337" s="95"/>
    </row>
    <row r="338" spans="3:3" x14ac:dyDescent="0.25">
      <c r="C338" s="95"/>
    </row>
    <row r="339" spans="3:3" x14ac:dyDescent="0.25">
      <c r="C339" s="95"/>
    </row>
    <row r="340" spans="3:3" x14ac:dyDescent="0.25">
      <c r="C340" s="95"/>
    </row>
    <row r="341" spans="3:3" x14ac:dyDescent="0.25">
      <c r="C341" s="95"/>
    </row>
    <row r="342" spans="3:3" x14ac:dyDescent="0.25">
      <c r="C342" s="95"/>
    </row>
    <row r="343" spans="3:3" x14ac:dyDescent="0.25">
      <c r="C343" s="95"/>
    </row>
    <row r="344" spans="3:3" x14ac:dyDescent="0.25">
      <c r="C344" s="95"/>
    </row>
    <row r="345" spans="3:3" x14ac:dyDescent="0.25">
      <c r="C345" s="95"/>
    </row>
    <row r="346" spans="3:3" x14ac:dyDescent="0.25">
      <c r="C346" s="95"/>
    </row>
    <row r="347" spans="3:3" x14ac:dyDescent="0.25">
      <c r="C347" s="95"/>
    </row>
    <row r="348" spans="3:3" x14ac:dyDescent="0.25">
      <c r="C348" s="95"/>
    </row>
    <row r="349" spans="3:3" x14ac:dyDescent="0.25">
      <c r="C349" s="95"/>
    </row>
    <row r="350" spans="3:3" x14ac:dyDescent="0.25">
      <c r="C350" s="95"/>
    </row>
    <row r="351" spans="3:3" x14ac:dyDescent="0.25">
      <c r="C351" s="95"/>
    </row>
    <row r="352" spans="3:3" x14ac:dyDescent="0.25">
      <c r="C352" s="95"/>
    </row>
    <row r="353" spans="3:3" x14ac:dyDescent="0.25">
      <c r="C353" s="95"/>
    </row>
    <row r="354" spans="3:3" x14ac:dyDescent="0.25">
      <c r="C354" s="95"/>
    </row>
    <row r="355" spans="3:3" x14ac:dyDescent="0.25">
      <c r="C355" s="95"/>
    </row>
    <row r="356" spans="3:3" x14ac:dyDescent="0.25">
      <c r="C356" s="95"/>
    </row>
    <row r="357" spans="3:3" x14ac:dyDescent="0.25">
      <c r="C357" s="95"/>
    </row>
    <row r="358" spans="3:3" x14ac:dyDescent="0.25">
      <c r="C358" s="95"/>
    </row>
    <row r="359" spans="3:3" x14ac:dyDescent="0.25">
      <c r="C359" s="95"/>
    </row>
    <row r="360" spans="3:3" x14ac:dyDescent="0.25">
      <c r="C360" s="95"/>
    </row>
    <row r="361" spans="3:3" x14ac:dyDescent="0.25">
      <c r="C361" s="95"/>
    </row>
    <row r="362" spans="3:3" x14ac:dyDescent="0.25">
      <c r="C362" s="95"/>
    </row>
    <row r="363" spans="3:3" x14ac:dyDescent="0.25">
      <c r="C363" s="95"/>
    </row>
    <row r="364" spans="3:3" x14ac:dyDescent="0.25">
      <c r="C364" s="95"/>
    </row>
    <row r="365" spans="3:3" x14ac:dyDescent="0.25">
      <c r="C365" s="95"/>
    </row>
    <row r="366" spans="3:3" x14ac:dyDescent="0.25">
      <c r="C366" s="95"/>
    </row>
    <row r="367" spans="3:3" x14ac:dyDescent="0.25">
      <c r="C367" s="95"/>
    </row>
    <row r="368" spans="3:3" x14ac:dyDescent="0.25">
      <c r="C368" s="95"/>
    </row>
    <row r="369" spans="3:3" x14ac:dyDescent="0.25">
      <c r="C369" s="95"/>
    </row>
    <row r="370" spans="3:3" x14ac:dyDescent="0.25">
      <c r="C370" s="95"/>
    </row>
    <row r="371" spans="3:3" x14ac:dyDescent="0.25">
      <c r="C371" s="95"/>
    </row>
    <row r="372" spans="3:3" x14ac:dyDescent="0.25">
      <c r="C372" s="95"/>
    </row>
    <row r="373" spans="3:3" x14ac:dyDescent="0.25">
      <c r="C373" s="95"/>
    </row>
    <row r="374" spans="3:3" x14ac:dyDescent="0.25">
      <c r="C374" s="95"/>
    </row>
    <row r="375" spans="3:3" x14ac:dyDescent="0.25">
      <c r="C375" s="95"/>
    </row>
    <row r="376" spans="3:3" x14ac:dyDescent="0.25">
      <c r="C376" s="95"/>
    </row>
    <row r="377" spans="3:3" x14ac:dyDescent="0.25">
      <c r="C377" s="95"/>
    </row>
    <row r="378" spans="3:3" x14ac:dyDescent="0.25">
      <c r="C378" s="95"/>
    </row>
    <row r="379" spans="3:3" x14ac:dyDescent="0.25">
      <c r="C379" s="95"/>
    </row>
    <row r="380" spans="3:3" x14ac:dyDescent="0.25">
      <c r="C380" s="95"/>
    </row>
    <row r="381" spans="3:3" x14ac:dyDescent="0.25">
      <c r="C381" s="95"/>
    </row>
    <row r="382" spans="3:3" x14ac:dyDescent="0.25">
      <c r="C382" s="95"/>
    </row>
    <row r="383" spans="3:3" x14ac:dyDescent="0.25">
      <c r="C383" s="95"/>
    </row>
    <row r="384" spans="3:3" x14ac:dyDescent="0.25">
      <c r="C384" s="95"/>
    </row>
    <row r="385" spans="3:3" x14ac:dyDescent="0.25">
      <c r="C385" s="95"/>
    </row>
    <row r="386" spans="3:3" x14ac:dyDescent="0.25">
      <c r="C386" s="95"/>
    </row>
    <row r="387" spans="3:3" x14ac:dyDescent="0.25">
      <c r="C387" s="95"/>
    </row>
    <row r="388" spans="3:3" x14ac:dyDescent="0.25">
      <c r="C388" s="95"/>
    </row>
    <row r="389" spans="3:3" x14ac:dyDescent="0.25">
      <c r="C389" s="95"/>
    </row>
    <row r="390" spans="3:3" x14ac:dyDescent="0.25">
      <c r="C390" s="95"/>
    </row>
    <row r="391" spans="3:3" x14ac:dyDescent="0.25">
      <c r="C391" s="95"/>
    </row>
    <row r="392" spans="3:3" x14ac:dyDescent="0.25">
      <c r="C392" s="95"/>
    </row>
    <row r="393" spans="3:3" x14ac:dyDescent="0.25">
      <c r="C393" s="95"/>
    </row>
    <row r="394" spans="3:3" x14ac:dyDescent="0.25">
      <c r="C394" s="95"/>
    </row>
    <row r="395" spans="3:3" x14ac:dyDescent="0.25">
      <c r="C395" s="95"/>
    </row>
    <row r="396" spans="3:3" x14ac:dyDescent="0.25">
      <c r="C396" s="95"/>
    </row>
    <row r="397" spans="3:3" x14ac:dyDescent="0.25">
      <c r="C397" s="95"/>
    </row>
    <row r="398" spans="3:3" x14ac:dyDescent="0.25">
      <c r="C398" s="95"/>
    </row>
    <row r="399" spans="3:3" x14ac:dyDescent="0.25">
      <c r="C399" s="95"/>
    </row>
    <row r="400" spans="3:3" x14ac:dyDescent="0.25">
      <c r="C400" s="95"/>
    </row>
    <row r="401" spans="3:3" x14ac:dyDescent="0.25">
      <c r="C401" s="95"/>
    </row>
    <row r="402" spans="3:3" x14ac:dyDescent="0.25">
      <c r="C402" s="95"/>
    </row>
    <row r="403" spans="3:3" x14ac:dyDescent="0.25">
      <c r="C403" s="95"/>
    </row>
    <row r="404" spans="3:3" x14ac:dyDescent="0.25">
      <c r="C404" s="95"/>
    </row>
    <row r="405" spans="3:3" x14ac:dyDescent="0.25">
      <c r="C405" s="95"/>
    </row>
    <row r="406" spans="3:3" x14ac:dyDescent="0.25">
      <c r="C406" s="95"/>
    </row>
    <row r="407" spans="3:3" x14ac:dyDescent="0.25">
      <c r="C407" s="95"/>
    </row>
    <row r="408" spans="3:3" x14ac:dyDescent="0.25">
      <c r="C408" s="95"/>
    </row>
    <row r="409" spans="3:3" x14ac:dyDescent="0.25">
      <c r="C409" s="95"/>
    </row>
    <row r="410" spans="3:3" x14ac:dyDescent="0.25">
      <c r="C410" s="95"/>
    </row>
    <row r="411" spans="3:3" x14ac:dyDescent="0.25">
      <c r="C411" s="95"/>
    </row>
    <row r="412" spans="3:3" x14ac:dyDescent="0.25">
      <c r="C412" s="95"/>
    </row>
    <row r="413" spans="3:3" x14ac:dyDescent="0.25">
      <c r="C413" s="95"/>
    </row>
    <row r="414" spans="3:3" x14ac:dyDescent="0.25">
      <c r="C414" s="95"/>
    </row>
    <row r="415" spans="3:3" x14ac:dyDescent="0.25">
      <c r="C415" s="95"/>
    </row>
    <row r="416" spans="3:3" x14ac:dyDescent="0.25">
      <c r="C416" s="95"/>
    </row>
    <row r="417" spans="3:3" x14ac:dyDescent="0.25">
      <c r="C417" s="95"/>
    </row>
    <row r="418" spans="3:3" x14ac:dyDescent="0.25">
      <c r="C418" s="95"/>
    </row>
    <row r="419" spans="3:3" x14ac:dyDescent="0.25">
      <c r="C419" s="95"/>
    </row>
    <row r="420" spans="3:3" x14ac:dyDescent="0.25">
      <c r="C420" s="95"/>
    </row>
    <row r="421" spans="3:3" x14ac:dyDescent="0.25">
      <c r="C421" s="95"/>
    </row>
    <row r="422" spans="3:3" x14ac:dyDescent="0.25">
      <c r="C422" s="95"/>
    </row>
    <row r="423" spans="3:3" x14ac:dyDescent="0.25">
      <c r="C423" s="95"/>
    </row>
    <row r="424" spans="3:3" x14ac:dyDescent="0.25">
      <c r="C424" s="95"/>
    </row>
    <row r="425" spans="3:3" x14ac:dyDescent="0.25">
      <c r="C425" s="95"/>
    </row>
    <row r="426" spans="3:3" x14ac:dyDescent="0.25">
      <c r="C426" s="95"/>
    </row>
    <row r="427" spans="3:3" x14ac:dyDescent="0.25">
      <c r="C427" s="95"/>
    </row>
    <row r="428" spans="3:3" x14ac:dyDescent="0.25">
      <c r="C428" s="95"/>
    </row>
    <row r="429" spans="3:3" x14ac:dyDescent="0.25">
      <c r="C429" s="95"/>
    </row>
    <row r="430" spans="3:3" x14ac:dyDescent="0.25">
      <c r="C430" s="95"/>
    </row>
    <row r="431" spans="3:3" x14ac:dyDescent="0.25">
      <c r="C431" s="95"/>
    </row>
    <row r="432" spans="3:3" x14ac:dyDescent="0.25">
      <c r="C432" s="95"/>
    </row>
    <row r="433" spans="3:3" x14ac:dyDescent="0.25">
      <c r="C433" s="95"/>
    </row>
    <row r="434" spans="3:3" x14ac:dyDescent="0.25">
      <c r="C434" s="95"/>
    </row>
    <row r="435" spans="3:3" x14ac:dyDescent="0.25">
      <c r="C435" s="95"/>
    </row>
    <row r="436" spans="3:3" x14ac:dyDescent="0.25">
      <c r="C436" s="95"/>
    </row>
    <row r="437" spans="3:3" x14ac:dyDescent="0.25">
      <c r="C437" s="95"/>
    </row>
    <row r="438" spans="3:3" x14ac:dyDescent="0.25">
      <c r="C438" s="95"/>
    </row>
    <row r="439" spans="3:3" x14ac:dyDescent="0.25">
      <c r="C439" s="95"/>
    </row>
    <row r="440" spans="3:3" x14ac:dyDescent="0.25">
      <c r="C440" s="95"/>
    </row>
    <row r="441" spans="3:3" x14ac:dyDescent="0.25">
      <c r="C441" s="95"/>
    </row>
    <row r="442" spans="3:3" x14ac:dyDescent="0.25">
      <c r="C442" s="95"/>
    </row>
    <row r="443" spans="3:3" x14ac:dyDescent="0.25">
      <c r="C443" s="95"/>
    </row>
    <row r="444" spans="3:3" x14ac:dyDescent="0.25">
      <c r="C444" s="95"/>
    </row>
    <row r="445" spans="3:3" x14ac:dyDescent="0.25">
      <c r="C445" s="95"/>
    </row>
    <row r="446" spans="3:3" x14ac:dyDescent="0.25">
      <c r="C446" s="95"/>
    </row>
    <row r="447" spans="3:3" x14ac:dyDescent="0.25">
      <c r="C447" s="95"/>
    </row>
    <row r="448" spans="3:3" x14ac:dyDescent="0.25">
      <c r="C448" s="95"/>
    </row>
    <row r="449" spans="3:3" x14ac:dyDescent="0.25">
      <c r="C449" s="95"/>
    </row>
    <row r="450" spans="3:3" x14ac:dyDescent="0.25">
      <c r="C450" s="95"/>
    </row>
    <row r="451" spans="3:3" x14ac:dyDescent="0.25">
      <c r="C451" s="95"/>
    </row>
    <row r="452" spans="3:3" x14ac:dyDescent="0.25">
      <c r="C452" s="95"/>
    </row>
    <row r="453" spans="3:3" x14ac:dyDescent="0.25">
      <c r="C453" s="95"/>
    </row>
    <row r="454" spans="3:3" x14ac:dyDescent="0.25">
      <c r="C454" s="95"/>
    </row>
    <row r="455" spans="3:3" x14ac:dyDescent="0.25">
      <c r="C455" s="95"/>
    </row>
    <row r="456" spans="3:3" x14ac:dyDescent="0.25">
      <c r="C456" s="95"/>
    </row>
    <row r="457" spans="3:3" x14ac:dyDescent="0.25">
      <c r="C457" s="95"/>
    </row>
    <row r="458" spans="3:3" x14ac:dyDescent="0.25">
      <c r="C458" s="95"/>
    </row>
    <row r="459" spans="3:3" x14ac:dyDescent="0.25">
      <c r="C459" s="95"/>
    </row>
    <row r="460" spans="3:3" x14ac:dyDescent="0.25">
      <c r="C460" s="95"/>
    </row>
    <row r="461" spans="3:3" x14ac:dyDescent="0.25">
      <c r="C461" s="95"/>
    </row>
    <row r="462" spans="3:3" x14ac:dyDescent="0.25">
      <c r="C462" s="95"/>
    </row>
    <row r="463" spans="3:3" x14ac:dyDescent="0.25">
      <c r="C463" s="95"/>
    </row>
    <row r="464" spans="3:3" x14ac:dyDescent="0.25">
      <c r="C464" s="95"/>
    </row>
    <row r="465" spans="3:3" x14ac:dyDescent="0.25">
      <c r="C465" s="95"/>
    </row>
    <row r="466" spans="3:3" x14ac:dyDescent="0.25">
      <c r="C466" s="95"/>
    </row>
    <row r="467" spans="3:3" x14ac:dyDescent="0.25">
      <c r="C467" s="95"/>
    </row>
    <row r="468" spans="3:3" x14ac:dyDescent="0.25">
      <c r="C468" s="95"/>
    </row>
    <row r="469" spans="3:3" x14ac:dyDescent="0.25">
      <c r="C469" s="95"/>
    </row>
    <row r="470" spans="3:3" x14ac:dyDescent="0.25">
      <c r="C470" s="95"/>
    </row>
    <row r="471" spans="3:3" x14ac:dyDescent="0.25">
      <c r="C471" s="95"/>
    </row>
    <row r="472" spans="3:3" x14ac:dyDescent="0.25">
      <c r="C472" s="95"/>
    </row>
    <row r="473" spans="3:3" x14ac:dyDescent="0.25">
      <c r="C473" s="95"/>
    </row>
    <row r="474" spans="3:3" x14ac:dyDescent="0.25">
      <c r="C474" s="95"/>
    </row>
    <row r="475" spans="3:3" x14ac:dyDescent="0.25">
      <c r="C475" s="95"/>
    </row>
    <row r="476" spans="3:3" x14ac:dyDescent="0.25">
      <c r="C476" s="95"/>
    </row>
    <row r="477" spans="3:3" x14ac:dyDescent="0.25">
      <c r="C477" s="95"/>
    </row>
    <row r="478" spans="3:3" x14ac:dyDescent="0.25">
      <c r="C478" s="95"/>
    </row>
    <row r="479" spans="3:3" x14ac:dyDescent="0.25">
      <c r="C479" s="95"/>
    </row>
    <row r="480" spans="3:3" x14ac:dyDescent="0.25">
      <c r="C480" s="95"/>
    </row>
    <row r="481" spans="3:3" x14ac:dyDescent="0.25">
      <c r="C481" s="95"/>
    </row>
    <row r="482" spans="3:3" x14ac:dyDescent="0.25">
      <c r="C482" s="95"/>
    </row>
    <row r="483" spans="3:3" x14ac:dyDescent="0.25">
      <c r="C483" s="95"/>
    </row>
    <row r="484" spans="3:3" x14ac:dyDescent="0.25">
      <c r="C484" s="95"/>
    </row>
    <row r="485" spans="3:3" x14ac:dyDescent="0.25">
      <c r="C485" s="95"/>
    </row>
    <row r="486" spans="3:3" x14ac:dyDescent="0.25">
      <c r="C486" s="95"/>
    </row>
    <row r="487" spans="3:3" x14ac:dyDescent="0.25">
      <c r="C487" s="95"/>
    </row>
    <row r="488" spans="3:3" x14ac:dyDescent="0.25">
      <c r="C488" s="95"/>
    </row>
    <row r="489" spans="3:3" x14ac:dyDescent="0.25">
      <c r="C489" s="95"/>
    </row>
    <row r="490" spans="3:3" x14ac:dyDescent="0.25">
      <c r="C490" s="95"/>
    </row>
    <row r="491" spans="3:3" x14ac:dyDescent="0.25">
      <c r="C491" s="95"/>
    </row>
    <row r="492" spans="3:3" x14ac:dyDescent="0.25">
      <c r="C492" s="95"/>
    </row>
    <row r="493" spans="3:3" x14ac:dyDescent="0.25">
      <c r="C493" s="95"/>
    </row>
    <row r="494" spans="3:3" x14ac:dyDescent="0.25">
      <c r="C494" s="95"/>
    </row>
    <row r="495" spans="3:3" x14ac:dyDescent="0.25">
      <c r="C495" s="95"/>
    </row>
    <row r="496" spans="3:3" x14ac:dyDescent="0.25">
      <c r="C496" s="95"/>
    </row>
    <row r="497" spans="3:3" x14ac:dyDescent="0.25">
      <c r="C497" s="95"/>
    </row>
    <row r="498" spans="3:3" x14ac:dyDescent="0.25">
      <c r="C498" s="95"/>
    </row>
    <row r="499" spans="3:3" x14ac:dyDescent="0.25">
      <c r="C499" s="95"/>
    </row>
    <row r="500" spans="3:3" x14ac:dyDescent="0.25">
      <c r="C500" s="95"/>
    </row>
    <row r="501" spans="3:3" x14ac:dyDescent="0.25">
      <c r="C501" s="95"/>
    </row>
    <row r="502" spans="3:3" x14ac:dyDescent="0.25">
      <c r="C502" s="95"/>
    </row>
    <row r="503" spans="3:3" x14ac:dyDescent="0.25">
      <c r="C503" s="95"/>
    </row>
    <row r="504" spans="3:3" x14ac:dyDescent="0.25">
      <c r="C504" s="95"/>
    </row>
    <row r="505" spans="3:3" x14ac:dyDescent="0.25">
      <c r="C505" s="95"/>
    </row>
    <row r="506" spans="3:3" x14ac:dyDescent="0.25">
      <c r="C506" s="95"/>
    </row>
    <row r="507" spans="3:3" x14ac:dyDescent="0.25">
      <c r="C507" s="95"/>
    </row>
    <row r="508" spans="3:3" x14ac:dyDescent="0.25">
      <c r="C508" s="95"/>
    </row>
    <row r="509" spans="3:3" x14ac:dyDescent="0.25">
      <c r="C509" s="95"/>
    </row>
    <row r="510" spans="3:3" x14ac:dyDescent="0.25">
      <c r="C510" s="95"/>
    </row>
    <row r="511" spans="3:3" x14ac:dyDescent="0.25">
      <c r="C511" s="95"/>
    </row>
    <row r="512" spans="3:3" x14ac:dyDescent="0.25">
      <c r="C512" s="95"/>
    </row>
    <row r="513" spans="3:3" x14ac:dyDescent="0.25">
      <c r="C513" s="95"/>
    </row>
    <row r="514" spans="3:3" x14ac:dyDescent="0.25">
      <c r="C514" s="95"/>
    </row>
    <row r="515" spans="3:3" x14ac:dyDescent="0.25">
      <c r="C515" s="95"/>
    </row>
    <row r="516" spans="3:3" x14ac:dyDescent="0.25">
      <c r="C516" s="95"/>
    </row>
    <row r="517" spans="3:3" x14ac:dyDescent="0.25">
      <c r="C517" s="95"/>
    </row>
    <row r="518" spans="3:3" x14ac:dyDescent="0.25">
      <c r="C518" s="95"/>
    </row>
    <row r="519" spans="3:3" x14ac:dyDescent="0.25">
      <c r="C519" s="95"/>
    </row>
    <row r="520" spans="3:3" x14ac:dyDescent="0.25">
      <c r="C520" s="95"/>
    </row>
    <row r="521" spans="3:3" x14ac:dyDescent="0.25">
      <c r="C521" s="95"/>
    </row>
    <row r="522" spans="3:3" x14ac:dyDescent="0.25">
      <c r="C522" s="95"/>
    </row>
    <row r="523" spans="3:3" x14ac:dyDescent="0.25">
      <c r="C523" s="95"/>
    </row>
    <row r="524" spans="3:3" x14ac:dyDescent="0.25">
      <c r="C524" s="95"/>
    </row>
    <row r="525" spans="3:3" x14ac:dyDescent="0.25">
      <c r="C525" s="95"/>
    </row>
    <row r="526" spans="3:3" x14ac:dyDescent="0.25">
      <c r="C526" s="95"/>
    </row>
    <row r="527" spans="3:3" x14ac:dyDescent="0.25">
      <c r="C527" s="95"/>
    </row>
    <row r="528" spans="3:3" x14ac:dyDescent="0.25">
      <c r="C528" s="95"/>
    </row>
    <row r="529" spans="3:3" x14ac:dyDescent="0.25">
      <c r="C529" s="95"/>
    </row>
    <row r="530" spans="3:3" x14ac:dyDescent="0.25">
      <c r="C530" s="95"/>
    </row>
    <row r="531" spans="3:3" x14ac:dyDescent="0.25">
      <c r="C531" s="95"/>
    </row>
    <row r="532" spans="3:3" x14ac:dyDescent="0.25">
      <c r="C532" s="95"/>
    </row>
    <row r="533" spans="3:3" x14ac:dyDescent="0.25">
      <c r="C533" s="95"/>
    </row>
    <row r="534" spans="3:3" x14ac:dyDescent="0.25">
      <c r="C534" s="95"/>
    </row>
    <row r="535" spans="3:3" x14ac:dyDescent="0.25">
      <c r="C535" s="95"/>
    </row>
    <row r="536" spans="3:3" x14ac:dyDescent="0.25">
      <c r="C536" s="95"/>
    </row>
    <row r="537" spans="3:3" x14ac:dyDescent="0.25">
      <c r="C537" s="95"/>
    </row>
    <row r="538" spans="3:3" x14ac:dyDescent="0.25">
      <c r="C538" s="95"/>
    </row>
    <row r="539" spans="3:3" x14ac:dyDescent="0.25">
      <c r="C539" s="95"/>
    </row>
    <row r="540" spans="3:3" x14ac:dyDescent="0.25">
      <c r="C540" s="95"/>
    </row>
    <row r="541" spans="3:3" x14ac:dyDescent="0.25">
      <c r="C541" s="95"/>
    </row>
    <row r="542" spans="3:3" x14ac:dyDescent="0.25">
      <c r="C542" s="95"/>
    </row>
    <row r="543" spans="3:3" x14ac:dyDescent="0.25">
      <c r="C543" s="95"/>
    </row>
    <row r="544" spans="3:3" x14ac:dyDescent="0.25">
      <c r="C544" s="95"/>
    </row>
    <row r="545" spans="3:3" x14ac:dyDescent="0.25">
      <c r="C545" s="95"/>
    </row>
    <row r="546" spans="3:3" x14ac:dyDescent="0.25">
      <c r="C546" s="95"/>
    </row>
    <row r="547" spans="3:3" x14ac:dyDescent="0.25">
      <c r="C547" s="95"/>
    </row>
    <row r="548" spans="3:3" x14ac:dyDescent="0.25">
      <c r="C548" s="95"/>
    </row>
    <row r="549" spans="3:3" x14ac:dyDescent="0.25">
      <c r="C549" s="95"/>
    </row>
    <row r="550" spans="3:3" x14ac:dyDescent="0.25">
      <c r="C550" s="95"/>
    </row>
    <row r="551" spans="3:3" x14ac:dyDescent="0.25">
      <c r="C551" s="95"/>
    </row>
    <row r="552" spans="3:3" x14ac:dyDescent="0.25">
      <c r="C552" s="95"/>
    </row>
    <row r="553" spans="3:3" x14ac:dyDescent="0.25">
      <c r="C553" s="95"/>
    </row>
    <row r="554" spans="3:3" x14ac:dyDescent="0.25">
      <c r="C554" s="95"/>
    </row>
    <row r="555" spans="3:3" x14ac:dyDescent="0.25">
      <c r="C555" s="95"/>
    </row>
    <row r="556" spans="3:3" x14ac:dyDescent="0.25">
      <c r="C556" s="95"/>
    </row>
    <row r="557" spans="3:3" x14ac:dyDescent="0.25">
      <c r="C557" s="95"/>
    </row>
    <row r="558" spans="3:3" x14ac:dyDescent="0.25">
      <c r="C558" s="95"/>
    </row>
    <row r="559" spans="3:3" x14ac:dyDescent="0.25">
      <c r="C559" s="95"/>
    </row>
    <row r="560" spans="3:3" x14ac:dyDescent="0.25">
      <c r="C560" s="95"/>
    </row>
    <row r="561" spans="3:3" x14ac:dyDescent="0.25">
      <c r="C561" s="95"/>
    </row>
    <row r="562" spans="3:3" x14ac:dyDescent="0.25">
      <c r="C562" s="95"/>
    </row>
    <row r="563" spans="3:3" x14ac:dyDescent="0.25">
      <c r="C563" s="95"/>
    </row>
    <row r="564" spans="3:3" x14ac:dyDescent="0.25">
      <c r="C564" s="95"/>
    </row>
    <row r="565" spans="3:3" x14ac:dyDescent="0.25">
      <c r="C565" s="95"/>
    </row>
    <row r="566" spans="3:3" x14ac:dyDescent="0.25">
      <c r="C566" s="95"/>
    </row>
    <row r="567" spans="3:3" x14ac:dyDescent="0.25">
      <c r="C567" s="95"/>
    </row>
    <row r="568" spans="3:3" x14ac:dyDescent="0.25">
      <c r="C568" s="95"/>
    </row>
    <row r="569" spans="3:3" x14ac:dyDescent="0.25">
      <c r="C569" s="95"/>
    </row>
    <row r="570" spans="3:3" x14ac:dyDescent="0.25">
      <c r="C570" s="95"/>
    </row>
    <row r="571" spans="3:3" x14ac:dyDescent="0.25">
      <c r="C571" s="95"/>
    </row>
    <row r="572" spans="3:3" x14ac:dyDescent="0.25">
      <c r="C572" s="95"/>
    </row>
    <row r="573" spans="3:3" x14ac:dyDescent="0.25">
      <c r="C573" s="95"/>
    </row>
    <row r="574" spans="3:3" x14ac:dyDescent="0.25">
      <c r="C574" s="95"/>
    </row>
    <row r="575" spans="3:3" x14ac:dyDescent="0.25">
      <c r="C575" s="95"/>
    </row>
    <row r="576" spans="3:3" x14ac:dyDescent="0.25">
      <c r="C576" s="95"/>
    </row>
    <row r="577" spans="3:3" x14ac:dyDescent="0.25">
      <c r="C577" s="95"/>
    </row>
    <row r="578" spans="3:3" x14ac:dyDescent="0.25">
      <c r="C578" s="95"/>
    </row>
    <row r="579" spans="3:3" x14ac:dyDescent="0.25">
      <c r="C579" s="95"/>
    </row>
    <row r="580" spans="3:3" x14ac:dyDescent="0.25">
      <c r="C580" s="95"/>
    </row>
    <row r="581" spans="3:3" x14ac:dyDescent="0.25">
      <c r="C581" s="95"/>
    </row>
    <row r="582" spans="3:3" x14ac:dyDescent="0.25">
      <c r="C582" s="95"/>
    </row>
    <row r="583" spans="3:3" x14ac:dyDescent="0.25">
      <c r="C583" s="95"/>
    </row>
    <row r="584" spans="3:3" x14ac:dyDescent="0.25">
      <c r="C584" s="95"/>
    </row>
    <row r="585" spans="3:3" x14ac:dyDescent="0.25">
      <c r="C585" s="95"/>
    </row>
    <row r="586" spans="3:3" x14ac:dyDescent="0.25">
      <c r="C586" s="95"/>
    </row>
    <row r="587" spans="3:3" x14ac:dyDescent="0.25">
      <c r="C587" s="95"/>
    </row>
    <row r="588" spans="3:3" x14ac:dyDescent="0.25">
      <c r="C588" s="95"/>
    </row>
    <row r="589" spans="3:3" x14ac:dyDescent="0.25">
      <c r="C589" s="95"/>
    </row>
    <row r="590" spans="3:3" x14ac:dyDescent="0.25">
      <c r="C590" s="95"/>
    </row>
    <row r="591" spans="3:3" x14ac:dyDescent="0.25">
      <c r="C591" s="95"/>
    </row>
    <row r="592" spans="3:3" x14ac:dyDescent="0.25">
      <c r="C592" s="95"/>
    </row>
    <row r="593" spans="3:3" x14ac:dyDescent="0.25">
      <c r="C593" s="95"/>
    </row>
    <row r="594" spans="3:3" x14ac:dyDescent="0.25">
      <c r="C594" s="95"/>
    </row>
    <row r="595" spans="3:3" x14ac:dyDescent="0.25">
      <c r="C595" s="95"/>
    </row>
    <row r="596" spans="3:3" x14ac:dyDescent="0.25">
      <c r="C596" s="95"/>
    </row>
    <row r="597" spans="3:3" x14ac:dyDescent="0.25">
      <c r="C597" s="95"/>
    </row>
    <row r="598" spans="3:3" x14ac:dyDescent="0.25">
      <c r="C598" s="95"/>
    </row>
    <row r="599" spans="3:3" x14ac:dyDescent="0.25">
      <c r="C599" s="95"/>
    </row>
    <row r="600" spans="3:3" x14ac:dyDescent="0.25">
      <c r="C600" s="95"/>
    </row>
    <row r="601" spans="3:3" x14ac:dyDescent="0.25">
      <c r="C601" s="95"/>
    </row>
    <row r="602" spans="3:3" x14ac:dyDescent="0.25">
      <c r="C602" s="95"/>
    </row>
    <row r="603" spans="3:3" x14ac:dyDescent="0.25">
      <c r="C603" s="95"/>
    </row>
    <row r="604" spans="3:3" x14ac:dyDescent="0.25">
      <c r="C604" s="95"/>
    </row>
    <row r="605" spans="3:3" x14ac:dyDescent="0.25">
      <c r="C605" s="95"/>
    </row>
    <row r="606" spans="3:3" x14ac:dyDescent="0.25">
      <c r="C606" s="95"/>
    </row>
    <row r="607" spans="3:3" x14ac:dyDescent="0.25">
      <c r="C607" s="95"/>
    </row>
    <row r="608" spans="3:3" x14ac:dyDescent="0.25">
      <c r="C608" s="95"/>
    </row>
    <row r="609" spans="3:3" x14ac:dyDescent="0.25">
      <c r="C609" s="95"/>
    </row>
    <row r="610" spans="3:3" x14ac:dyDescent="0.25">
      <c r="C610" s="95"/>
    </row>
    <row r="611" spans="3:3" x14ac:dyDescent="0.25">
      <c r="C611" s="95"/>
    </row>
    <row r="612" spans="3:3" x14ac:dyDescent="0.25">
      <c r="C612" s="95"/>
    </row>
    <row r="613" spans="3:3" x14ac:dyDescent="0.25">
      <c r="C613" s="95"/>
    </row>
    <row r="614" spans="3:3" x14ac:dyDescent="0.25">
      <c r="C614" s="95"/>
    </row>
    <row r="615" spans="3:3" x14ac:dyDescent="0.25">
      <c r="C615" s="95"/>
    </row>
    <row r="616" spans="3:3" x14ac:dyDescent="0.25">
      <c r="C616" s="95"/>
    </row>
    <row r="617" spans="3:3" x14ac:dyDescent="0.25">
      <c r="C617" s="95"/>
    </row>
    <row r="618" spans="3:3" x14ac:dyDescent="0.25">
      <c r="C618" s="95"/>
    </row>
    <row r="619" spans="3:3" x14ac:dyDescent="0.25">
      <c r="C619" s="95"/>
    </row>
    <row r="620" spans="3:3" x14ac:dyDescent="0.25">
      <c r="C620" s="95"/>
    </row>
    <row r="621" spans="3:3" x14ac:dyDescent="0.25">
      <c r="C621" s="95"/>
    </row>
    <row r="622" spans="3:3" x14ac:dyDescent="0.25">
      <c r="C622" s="95"/>
    </row>
    <row r="623" spans="3:3" x14ac:dyDescent="0.25">
      <c r="C623" s="95"/>
    </row>
    <row r="624" spans="3:3" x14ac:dyDescent="0.25">
      <c r="C624" s="95"/>
    </row>
    <row r="625" spans="3:3" x14ac:dyDescent="0.25">
      <c r="C625" s="95"/>
    </row>
    <row r="626" spans="3:3" x14ac:dyDescent="0.25">
      <c r="C626" s="95"/>
    </row>
    <row r="627" spans="3:3" x14ac:dyDescent="0.25">
      <c r="C627" s="95"/>
    </row>
    <row r="628" spans="3:3" x14ac:dyDescent="0.25">
      <c r="C628" s="95"/>
    </row>
    <row r="629" spans="3:3" x14ac:dyDescent="0.25">
      <c r="C629" s="95"/>
    </row>
    <row r="630" spans="3:3" x14ac:dyDescent="0.25">
      <c r="C630" s="95"/>
    </row>
    <row r="631" spans="3:3" x14ac:dyDescent="0.25">
      <c r="C631" s="95"/>
    </row>
    <row r="632" spans="3:3" x14ac:dyDescent="0.25">
      <c r="C632" s="95"/>
    </row>
    <row r="633" spans="3:3" x14ac:dyDescent="0.25">
      <c r="C633" s="95"/>
    </row>
    <row r="634" spans="3:3" x14ac:dyDescent="0.25">
      <c r="C634" s="95"/>
    </row>
    <row r="635" spans="3:3" x14ac:dyDescent="0.25">
      <c r="C635" s="95"/>
    </row>
    <row r="636" spans="3:3" x14ac:dyDescent="0.25">
      <c r="C636" s="95"/>
    </row>
    <row r="637" spans="3:3" x14ac:dyDescent="0.25">
      <c r="C637" s="95"/>
    </row>
    <row r="638" spans="3:3" x14ac:dyDescent="0.25">
      <c r="C638" s="95"/>
    </row>
    <row r="639" spans="3:3" x14ac:dyDescent="0.25">
      <c r="C639" s="95"/>
    </row>
    <row r="640" spans="3:3" x14ac:dyDescent="0.25">
      <c r="C640" s="95"/>
    </row>
    <row r="641" spans="3:3" x14ac:dyDescent="0.25">
      <c r="C641" s="95"/>
    </row>
    <row r="642" spans="3:3" x14ac:dyDescent="0.25">
      <c r="C642" s="95"/>
    </row>
    <row r="643" spans="3:3" x14ac:dyDescent="0.25">
      <c r="C643" s="95"/>
    </row>
    <row r="644" spans="3:3" x14ac:dyDescent="0.25">
      <c r="C644" s="95"/>
    </row>
    <row r="645" spans="3:3" x14ac:dyDescent="0.25">
      <c r="C645" s="95"/>
    </row>
    <row r="646" spans="3:3" x14ac:dyDescent="0.25">
      <c r="C646" s="95"/>
    </row>
    <row r="647" spans="3:3" x14ac:dyDescent="0.25">
      <c r="C647" s="95"/>
    </row>
    <row r="648" spans="3:3" x14ac:dyDescent="0.25">
      <c r="C648" s="95"/>
    </row>
    <row r="649" spans="3:3" x14ac:dyDescent="0.25">
      <c r="C649" s="95"/>
    </row>
    <row r="650" spans="3:3" x14ac:dyDescent="0.25">
      <c r="C650" s="95"/>
    </row>
    <row r="651" spans="3:3" x14ac:dyDescent="0.25">
      <c r="C651" s="95"/>
    </row>
    <row r="652" spans="3:3" x14ac:dyDescent="0.25">
      <c r="C652" s="95"/>
    </row>
    <row r="653" spans="3:3" x14ac:dyDescent="0.25">
      <c r="C653" s="95"/>
    </row>
    <row r="654" spans="3:3" x14ac:dyDescent="0.25">
      <c r="C654" s="95"/>
    </row>
    <row r="655" spans="3:3" x14ac:dyDescent="0.25">
      <c r="C655" s="95"/>
    </row>
    <row r="656" spans="3:3" x14ac:dyDescent="0.25">
      <c r="C656" s="95"/>
    </row>
    <row r="657" spans="3:3" x14ac:dyDescent="0.25">
      <c r="C657" s="95"/>
    </row>
    <row r="658" spans="3:3" x14ac:dyDescent="0.25">
      <c r="C658" s="95"/>
    </row>
    <row r="659" spans="3:3" x14ac:dyDescent="0.25">
      <c r="C659" s="95"/>
    </row>
    <row r="660" spans="3:3" x14ac:dyDescent="0.25">
      <c r="C660" s="95"/>
    </row>
    <row r="661" spans="3:3" x14ac:dyDescent="0.25">
      <c r="C661" s="95"/>
    </row>
    <row r="662" spans="3:3" x14ac:dyDescent="0.25">
      <c r="C662" s="95"/>
    </row>
    <row r="663" spans="3:3" x14ac:dyDescent="0.25">
      <c r="C663" s="95"/>
    </row>
    <row r="664" spans="3:3" x14ac:dyDescent="0.25">
      <c r="C664" s="95"/>
    </row>
    <row r="665" spans="3:3" x14ac:dyDescent="0.25">
      <c r="C665" s="95"/>
    </row>
    <row r="666" spans="3:3" x14ac:dyDescent="0.25">
      <c r="C666" s="95"/>
    </row>
    <row r="667" spans="3:3" x14ac:dyDescent="0.25">
      <c r="C667" s="95"/>
    </row>
    <row r="668" spans="3:3" x14ac:dyDescent="0.25">
      <c r="C668" s="95"/>
    </row>
    <row r="669" spans="3:3" x14ac:dyDescent="0.25">
      <c r="C669" s="95"/>
    </row>
    <row r="670" spans="3:3" x14ac:dyDescent="0.25">
      <c r="C670" s="95"/>
    </row>
    <row r="671" spans="3:3" x14ac:dyDescent="0.25">
      <c r="C671" s="95"/>
    </row>
    <row r="672" spans="3:3" x14ac:dyDescent="0.25">
      <c r="C672" s="95"/>
    </row>
    <row r="673" spans="3:3" x14ac:dyDescent="0.25">
      <c r="C673" s="95"/>
    </row>
    <row r="674" spans="3:3" x14ac:dyDescent="0.25">
      <c r="C674" s="95"/>
    </row>
    <row r="675" spans="3:3" x14ac:dyDescent="0.25">
      <c r="C675" s="95"/>
    </row>
    <row r="676" spans="3:3" x14ac:dyDescent="0.25">
      <c r="C676" s="95"/>
    </row>
    <row r="677" spans="3:3" x14ac:dyDescent="0.25">
      <c r="C677" s="95"/>
    </row>
    <row r="678" spans="3:3" x14ac:dyDescent="0.25">
      <c r="C678" s="95"/>
    </row>
    <row r="679" spans="3:3" x14ac:dyDescent="0.25">
      <c r="C679" s="95"/>
    </row>
    <row r="680" spans="3:3" x14ac:dyDescent="0.25">
      <c r="C680" s="95"/>
    </row>
    <row r="681" spans="3:3" x14ac:dyDescent="0.25">
      <c r="C681" s="95"/>
    </row>
    <row r="682" spans="3:3" x14ac:dyDescent="0.25">
      <c r="C682" s="95"/>
    </row>
    <row r="683" spans="3:3" x14ac:dyDescent="0.25">
      <c r="C683" s="95"/>
    </row>
    <row r="684" spans="3:3" x14ac:dyDescent="0.25">
      <c r="C684" s="95"/>
    </row>
    <row r="685" spans="3:3" x14ac:dyDescent="0.25">
      <c r="C685" s="95"/>
    </row>
    <row r="686" spans="3:3" x14ac:dyDescent="0.25">
      <c r="C686" s="95"/>
    </row>
    <row r="687" spans="3:3" x14ac:dyDescent="0.25">
      <c r="C687" s="95"/>
    </row>
    <row r="688" spans="3:3" x14ac:dyDescent="0.25">
      <c r="C688" s="95"/>
    </row>
    <row r="689" spans="3:3" x14ac:dyDescent="0.25">
      <c r="C689" s="95"/>
    </row>
    <row r="690" spans="3:3" x14ac:dyDescent="0.25">
      <c r="C690" s="95"/>
    </row>
    <row r="691" spans="3:3" x14ac:dyDescent="0.25">
      <c r="C691" s="95"/>
    </row>
    <row r="692" spans="3:3" x14ac:dyDescent="0.25">
      <c r="C692" s="95"/>
    </row>
    <row r="693" spans="3:3" x14ac:dyDescent="0.25">
      <c r="C693" s="95"/>
    </row>
    <row r="694" spans="3:3" x14ac:dyDescent="0.25">
      <c r="C694" s="95"/>
    </row>
    <row r="695" spans="3:3" x14ac:dyDescent="0.25">
      <c r="C695" s="95"/>
    </row>
    <row r="696" spans="3:3" x14ac:dyDescent="0.25">
      <c r="C696" s="95"/>
    </row>
    <row r="697" spans="3:3" x14ac:dyDescent="0.25">
      <c r="C697" s="95"/>
    </row>
    <row r="698" spans="3:3" x14ac:dyDescent="0.25">
      <c r="C698" s="95"/>
    </row>
    <row r="699" spans="3:3" x14ac:dyDescent="0.25">
      <c r="C699" s="95"/>
    </row>
    <row r="700" spans="3:3" x14ac:dyDescent="0.25">
      <c r="C700" s="95"/>
    </row>
    <row r="701" spans="3:3" x14ac:dyDescent="0.25">
      <c r="C701" s="95"/>
    </row>
    <row r="702" spans="3:3" x14ac:dyDescent="0.25">
      <c r="C702" s="95"/>
    </row>
    <row r="703" spans="3:3" x14ac:dyDescent="0.25">
      <c r="C703" s="95"/>
    </row>
    <row r="704" spans="3:3" x14ac:dyDescent="0.25">
      <c r="C704" s="95"/>
    </row>
    <row r="705" spans="3:3" x14ac:dyDescent="0.25">
      <c r="C705" s="95"/>
    </row>
    <row r="706" spans="3:3" x14ac:dyDescent="0.25">
      <c r="C706" s="95"/>
    </row>
    <row r="707" spans="3:3" x14ac:dyDescent="0.25">
      <c r="C707" s="95"/>
    </row>
    <row r="708" spans="3:3" x14ac:dyDescent="0.25">
      <c r="C708" s="95"/>
    </row>
    <row r="709" spans="3:3" x14ac:dyDescent="0.25">
      <c r="C709" s="95"/>
    </row>
    <row r="710" spans="3:3" x14ac:dyDescent="0.25">
      <c r="C710" s="95"/>
    </row>
    <row r="711" spans="3:3" x14ac:dyDescent="0.25">
      <c r="C711" s="95"/>
    </row>
    <row r="712" spans="3:3" x14ac:dyDescent="0.25">
      <c r="C712" s="95"/>
    </row>
    <row r="713" spans="3:3" x14ac:dyDescent="0.25">
      <c r="C713" s="95"/>
    </row>
    <row r="714" spans="3:3" x14ac:dyDescent="0.25">
      <c r="C714" s="95"/>
    </row>
    <row r="715" spans="3:3" x14ac:dyDescent="0.25">
      <c r="C715" s="95"/>
    </row>
    <row r="716" spans="3:3" x14ac:dyDescent="0.25">
      <c r="C716" s="95"/>
    </row>
    <row r="717" spans="3:3" x14ac:dyDescent="0.25">
      <c r="C717" s="95"/>
    </row>
    <row r="718" spans="3:3" x14ac:dyDescent="0.25">
      <c r="C718" s="95"/>
    </row>
    <row r="719" spans="3:3" x14ac:dyDescent="0.25">
      <c r="C719" s="95"/>
    </row>
    <row r="720" spans="3:3" x14ac:dyDescent="0.25">
      <c r="C720" s="95"/>
    </row>
    <row r="721" spans="3:3" x14ac:dyDescent="0.25">
      <c r="C721" s="95"/>
    </row>
    <row r="722" spans="3:3" x14ac:dyDescent="0.25">
      <c r="C722" s="95"/>
    </row>
    <row r="723" spans="3:3" x14ac:dyDescent="0.25">
      <c r="C723" s="95"/>
    </row>
    <row r="724" spans="3:3" x14ac:dyDescent="0.25">
      <c r="C724" s="95"/>
    </row>
    <row r="725" spans="3:3" x14ac:dyDescent="0.25">
      <c r="C725" s="95"/>
    </row>
    <row r="726" spans="3:3" x14ac:dyDescent="0.25">
      <c r="C726" s="95"/>
    </row>
    <row r="727" spans="3:3" x14ac:dyDescent="0.25">
      <c r="C727" s="95"/>
    </row>
    <row r="728" spans="3:3" x14ac:dyDescent="0.25">
      <c r="C728" s="95"/>
    </row>
    <row r="729" spans="3:3" x14ac:dyDescent="0.25">
      <c r="C729" s="95"/>
    </row>
    <row r="730" spans="3:3" x14ac:dyDescent="0.25">
      <c r="C730" s="95"/>
    </row>
    <row r="731" spans="3:3" x14ac:dyDescent="0.25">
      <c r="C731" s="95"/>
    </row>
    <row r="732" spans="3:3" x14ac:dyDescent="0.25">
      <c r="C732" s="95"/>
    </row>
    <row r="733" spans="3:3" x14ac:dyDescent="0.25">
      <c r="C733" s="95"/>
    </row>
    <row r="734" spans="3:3" x14ac:dyDescent="0.25">
      <c r="C734" s="95"/>
    </row>
    <row r="735" spans="3:3" x14ac:dyDescent="0.25">
      <c r="C735" s="95"/>
    </row>
    <row r="736" spans="3:3" x14ac:dyDescent="0.25">
      <c r="C736" s="95"/>
    </row>
    <row r="737" spans="3:3" x14ac:dyDescent="0.25">
      <c r="C737" s="95"/>
    </row>
    <row r="738" spans="3:3" x14ac:dyDescent="0.25">
      <c r="C738" s="95"/>
    </row>
    <row r="739" spans="3:3" x14ac:dyDescent="0.25">
      <c r="C739" s="95"/>
    </row>
    <row r="740" spans="3:3" x14ac:dyDescent="0.25">
      <c r="C740" s="95"/>
    </row>
    <row r="741" spans="3:3" x14ac:dyDescent="0.25">
      <c r="C741" s="95"/>
    </row>
    <row r="742" spans="3:3" x14ac:dyDescent="0.25">
      <c r="C742" s="95"/>
    </row>
    <row r="743" spans="3:3" x14ac:dyDescent="0.25">
      <c r="C743" s="95"/>
    </row>
    <row r="744" spans="3:3" x14ac:dyDescent="0.25">
      <c r="C744" s="95"/>
    </row>
    <row r="745" spans="3:3" x14ac:dyDescent="0.25">
      <c r="C745" s="95"/>
    </row>
    <row r="746" spans="3:3" x14ac:dyDescent="0.25">
      <c r="C746" s="95"/>
    </row>
    <row r="747" spans="3:3" x14ac:dyDescent="0.25">
      <c r="C747" s="95"/>
    </row>
    <row r="748" spans="3:3" x14ac:dyDescent="0.25">
      <c r="C748" s="95"/>
    </row>
    <row r="749" spans="3:3" x14ac:dyDescent="0.25">
      <c r="C749" s="95"/>
    </row>
    <row r="750" spans="3:3" x14ac:dyDescent="0.25">
      <c r="C750" s="95"/>
    </row>
    <row r="751" spans="3:3" x14ac:dyDescent="0.25">
      <c r="C751" s="95"/>
    </row>
    <row r="752" spans="3:3" x14ac:dyDescent="0.25">
      <c r="C752" s="95"/>
    </row>
    <row r="753" spans="3:3" x14ac:dyDescent="0.25">
      <c r="C753" s="95"/>
    </row>
    <row r="754" spans="3:3" x14ac:dyDescent="0.25">
      <c r="C754" s="95"/>
    </row>
    <row r="755" spans="3:3" x14ac:dyDescent="0.25">
      <c r="C755" s="95"/>
    </row>
    <row r="756" spans="3:3" x14ac:dyDescent="0.25">
      <c r="C756" s="95"/>
    </row>
    <row r="757" spans="3:3" x14ac:dyDescent="0.25">
      <c r="C757" s="95"/>
    </row>
    <row r="758" spans="3:3" x14ac:dyDescent="0.25">
      <c r="C758" s="95"/>
    </row>
    <row r="759" spans="3:3" x14ac:dyDescent="0.25">
      <c r="C759" s="95"/>
    </row>
    <row r="760" spans="3:3" x14ac:dyDescent="0.25">
      <c r="C760" s="95"/>
    </row>
    <row r="761" spans="3:3" x14ac:dyDescent="0.25">
      <c r="C761" s="95"/>
    </row>
    <row r="762" spans="3:3" x14ac:dyDescent="0.25">
      <c r="C762" s="95"/>
    </row>
    <row r="763" spans="3:3" x14ac:dyDescent="0.25">
      <c r="C763" s="95"/>
    </row>
    <row r="764" spans="3:3" x14ac:dyDescent="0.25">
      <c r="C764" s="95"/>
    </row>
    <row r="765" spans="3:3" x14ac:dyDescent="0.25">
      <c r="C765" s="95"/>
    </row>
    <row r="766" spans="3:3" x14ac:dyDescent="0.25">
      <c r="C766" s="95"/>
    </row>
    <row r="767" spans="3:3" x14ac:dyDescent="0.25">
      <c r="C767" s="95"/>
    </row>
    <row r="768" spans="3:3" x14ac:dyDescent="0.25">
      <c r="C768" s="95"/>
    </row>
    <row r="769" spans="3:3" x14ac:dyDescent="0.25">
      <c r="C769" s="95"/>
    </row>
    <row r="770" spans="3:3" x14ac:dyDescent="0.25">
      <c r="C770" s="95"/>
    </row>
    <row r="771" spans="3:3" x14ac:dyDescent="0.25">
      <c r="C771" s="95"/>
    </row>
    <row r="772" spans="3:3" x14ac:dyDescent="0.25">
      <c r="C772" s="95"/>
    </row>
    <row r="773" spans="3:3" x14ac:dyDescent="0.25">
      <c r="C773" s="95"/>
    </row>
    <row r="774" spans="3:3" x14ac:dyDescent="0.25">
      <c r="C774" s="95"/>
    </row>
    <row r="775" spans="3:3" x14ac:dyDescent="0.25">
      <c r="C775" s="95"/>
    </row>
    <row r="776" spans="3:3" x14ac:dyDescent="0.25">
      <c r="C776" s="95"/>
    </row>
    <row r="777" spans="3:3" x14ac:dyDescent="0.25">
      <c r="C777" s="95"/>
    </row>
    <row r="778" spans="3:3" x14ac:dyDescent="0.25">
      <c r="C778" s="95"/>
    </row>
    <row r="779" spans="3:3" x14ac:dyDescent="0.25">
      <c r="C779" s="95"/>
    </row>
    <row r="780" spans="3:3" x14ac:dyDescent="0.25">
      <c r="C780" s="95"/>
    </row>
    <row r="781" spans="3:3" x14ac:dyDescent="0.25">
      <c r="C781" s="95"/>
    </row>
    <row r="782" spans="3:3" x14ac:dyDescent="0.25">
      <c r="C782" s="95"/>
    </row>
    <row r="783" spans="3:3" x14ac:dyDescent="0.25">
      <c r="C783" s="95"/>
    </row>
    <row r="784" spans="3:3" x14ac:dyDescent="0.25">
      <c r="C784" s="95"/>
    </row>
    <row r="785" spans="3:3" x14ac:dyDescent="0.25">
      <c r="C785" s="95"/>
    </row>
    <row r="786" spans="3:3" x14ac:dyDescent="0.25">
      <c r="C786" s="95"/>
    </row>
    <row r="787" spans="3:3" x14ac:dyDescent="0.25">
      <c r="C787" s="95"/>
    </row>
    <row r="788" spans="3:3" x14ac:dyDescent="0.25">
      <c r="C788" s="95"/>
    </row>
    <row r="789" spans="3:3" x14ac:dyDescent="0.25">
      <c r="C789" s="95"/>
    </row>
    <row r="790" spans="3:3" x14ac:dyDescent="0.25">
      <c r="C790" s="95"/>
    </row>
    <row r="791" spans="3:3" x14ac:dyDescent="0.25">
      <c r="C791" s="95"/>
    </row>
    <row r="792" spans="3:3" x14ac:dyDescent="0.25">
      <c r="C792" s="95"/>
    </row>
    <row r="793" spans="3:3" x14ac:dyDescent="0.25">
      <c r="C793" s="95"/>
    </row>
    <row r="794" spans="3:3" x14ac:dyDescent="0.25">
      <c r="C794" s="95"/>
    </row>
    <row r="795" spans="3:3" x14ac:dyDescent="0.25">
      <c r="C795" s="95"/>
    </row>
    <row r="796" spans="3:3" x14ac:dyDescent="0.25">
      <c r="C796" s="95"/>
    </row>
    <row r="797" spans="3:3" x14ac:dyDescent="0.25">
      <c r="C797" s="95"/>
    </row>
    <row r="798" spans="3:3" x14ac:dyDescent="0.25">
      <c r="C798" s="95"/>
    </row>
    <row r="799" spans="3:3" x14ac:dyDescent="0.25">
      <c r="C799" s="95"/>
    </row>
    <row r="800" spans="3:3" x14ac:dyDescent="0.25">
      <c r="C800" s="95"/>
    </row>
    <row r="801" spans="3:3" x14ac:dyDescent="0.25">
      <c r="C801" s="95"/>
    </row>
    <row r="802" spans="3:3" x14ac:dyDescent="0.25">
      <c r="C802" s="95"/>
    </row>
    <row r="803" spans="3:3" x14ac:dyDescent="0.25">
      <c r="C803" s="95"/>
    </row>
    <row r="804" spans="3:3" x14ac:dyDescent="0.25">
      <c r="C804" s="95"/>
    </row>
    <row r="805" spans="3:3" x14ac:dyDescent="0.25">
      <c r="C805" s="95"/>
    </row>
    <row r="806" spans="3:3" x14ac:dyDescent="0.25">
      <c r="C806" s="95"/>
    </row>
    <row r="807" spans="3:3" x14ac:dyDescent="0.25">
      <c r="C807" s="95"/>
    </row>
    <row r="808" spans="3:3" x14ac:dyDescent="0.25">
      <c r="C808" s="95"/>
    </row>
    <row r="809" spans="3:3" x14ac:dyDescent="0.25">
      <c r="C809" s="95"/>
    </row>
    <row r="810" spans="3:3" x14ac:dyDescent="0.25">
      <c r="C810" s="95"/>
    </row>
    <row r="811" spans="3:3" x14ac:dyDescent="0.25">
      <c r="C811" s="95"/>
    </row>
    <row r="812" spans="3:3" x14ac:dyDescent="0.25">
      <c r="C812" s="95"/>
    </row>
    <row r="813" spans="3:3" x14ac:dyDescent="0.25">
      <c r="C813" s="95"/>
    </row>
    <row r="814" spans="3:3" x14ac:dyDescent="0.25">
      <c r="C814" s="95"/>
    </row>
    <row r="815" spans="3:3" x14ac:dyDescent="0.25">
      <c r="C815" s="95"/>
    </row>
    <row r="816" spans="3:3" x14ac:dyDescent="0.25">
      <c r="C816" s="95"/>
    </row>
    <row r="817" spans="3:3" x14ac:dyDescent="0.25">
      <c r="C817" s="95"/>
    </row>
    <row r="818" spans="3:3" x14ac:dyDescent="0.25">
      <c r="C818" s="95"/>
    </row>
    <row r="819" spans="3:3" x14ac:dyDescent="0.25">
      <c r="C819" s="95"/>
    </row>
    <row r="820" spans="3:3" x14ac:dyDescent="0.25">
      <c r="C820" s="95"/>
    </row>
    <row r="821" spans="3:3" x14ac:dyDescent="0.25">
      <c r="C821" s="95"/>
    </row>
    <row r="822" spans="3:3" x14ac:dyDescent="0.25">
      <c r="C822" s="95"/>
    </row>
    <row r="823" spans="3:3" x14ac:dyDescent="0.25">
      <c r="C823" s="95"/>
    </row>
    <row r="824" spans="3:3" x14ac:dyDescent="0.25">
      <c r="C824" s="95"/>
    </row>
    <row r="825" spans="3:3" x14ac:dyDescent="0.25">
      <c r="C825" s="95"/>
    </row>
    <row r="826" spans="3:3" x14ac:dyDescent="0.25">
      <c r="C826" s="95"/>
    </row>
    <row r="827" spans="3:3" x14ac:dyDescent="0.25">
      <c r="C827" s="95"/>
    </row>
    <row r="828" spans="3:3" x14ac:dyDescent="0.25">
      <c r="C828" s="95"/>
    </row>
    <row r="829" spans="3:3" x14ac:dyDescent="0.25">
      <c r="C829" s="95"/>
    </row>
    <row r="830" spans="3:3" x14ac:dyDescent="0.25">
      <c r="C830" s="95"/>
    </row>
    <row r="831" spans="3:3" x14ac:dyDescent="0.25">
      <c r="C831" s="95"/>
    </row>
    <row r="832" spans="3:3" x14ac:dyDescent="0.25">
      <c r="C832" s="95"/>
    </row>
    <row r="833" spans="3:3" x14ac:dyDescent="0.25">
      <c r="C833" s="95"/>
    </row>
    <row r="834" spans="3:3" x14ac:dyDescent="0.25">
      <c r="C834" s="95"/>
    </row>
    <row r="835" spans="3:3" x14ac:dyDescent="0.25">
      <c r="C835" s="95"/>
    </row>
    <row r="836" spans="3:3" x14ac:dyDescent="0.25">
      <c r="C836" s="95"/>
    </row>
    <row r="837" spans="3:3" x14ac:dyDescent="0.25">
      <c r="C837" s="95"/>
    </row>
    <row r="838" spans="3:3" x14ac:dyDescent="0.25">
      <c r="C838" s="95"/>
    </row>
    <row r="839" spans="3:3" x14ac:dyDescent="0.25">
      <c r="C839" s="95"/>
    </row>
    <row r="840" spans="3:3" x14ac:dyDescent="0.25">
      <c r="C840" s="95"/>
    </row>
    <row r="841" spans="3:3" x14ac:dyDescent="0.25">
      <c r="C841" s="95"/>
    </row>
    <row r="842" spans="3:3" x14ac:dyDescent="0.25">
      <c r="C842" s="95"/>
    </row>
    <row r="843" spans="3:3" x14ac:dyDescent="0.25">
      <c r="C843" s="95"/>
    </row>
    <row r="844" spans="3:3" x14ac:dyDescent="0.25">
      <c r="C844" s="95"/>
    </row>
    <row r="845" spans="3:3" x14ac:dyDescent="0.25">
      <c r="C845" s="95"/>
    </row>
    <row r="846" spans="3:3" x14ac:dyDescent="0.25">
      <c r="C846" s="95"/>
    </row>
    <row r="847" spans="3:3" x14ac:dyDescent="0.25">
      <c r="C847" s="95"/>
    </row>
    <row r="848" spans="3:3" x14ac:dyDescent="0.25">
      <c r="C848" s="95"/>
    </row>
    <row r="849" spans="3:3" x14ac:dyDescent="0.25">
      <c r="C849" s="95"/>
    </row>
    <row r="850" spans="3:3" x14ac:dyDescent="0.25">
      <c r="C850" s="95"/>
    </row>
    <row r="851" spans="3:3" x14ac:dyDescent="0.25">
      <c r="C851" s="95"/>
    </row>
    <row r="852" spans="3:3" x14ac:dyDescent="0.25">
      <c r="C852" s="95"/>
    </row>
    <row r="853" spans="3:3" x14ac:dyDescent="0.25">
      <c r="C853" s="95"/>
    </row>
    <row r="854" spans="3:3" x14ac:dyDescent="0.25">
      <c r="C854" s="95"/>
    </row>
    <row r="855" spans="3:3" x14ac:dyDescent="0.25">
      <c r="C855" s="95"/>
    </row>
    <row r="856" spans="3:3" x14ac:dyDescent="0.25">
      <c r="C856" s="95"/>
    </row>
    <row r="857" spans="3:3" x14ac:dyDescent="0.25">
      <c r="C857" s="95"/>
    </row>
    <row r="858" spans="3:3" x14ac:dyDescent="0.25">
      <c r="C858" s="95"/>
    </row>
    <row r="859" spans="3:3" x14ac:dyDescent="0.25">
      <c r="C859" s="95"/>
    </row>
    <row r="860" spans="3:3" x14ac:dyDescent="0.25">
      <c r="C860" s="95"/>
    </row>
    <row r="861" spans="3:3" x14ac:dyDescent="0.25">
      <c r="C861" s="95"/>
    </row>
    <row r="862" spans="3:3" x14ac:dyDescent="0.25">
      <c r="C862" s="95"/>
    </row>
    <row r="863" spans="3:3" x14ac:dyDescent="0.25">
      <c r="C863" s="95"/>
    </row>
    <row r="864" spans="3:3" x14ac:dyDescent="0.25">
      <c r="C864" s="95"/>
    </row>
    <row r="865" spans="3:3" x14ac:dyDescent="0.25">
      <c r="C865" s="95"/>
    </row>
    <row r="866" spans="3:3" x14ac:dyDescent="0.25">
      <c r="C866" s="95"/>
    </row>
    <row r="867" spans="3:3" x14ac:dyDescent="0.25">
      <c r="C867" s="95"/>
    </row>
    <row r="868" spans="3:3" x14ac:dyDescent="0.25">
      <c r="C868" s="95"/>
    </row>
    <row r="869" spans="3:3" x14ac:dyDescent="0.25">
      <c r="C869" s="95"/>
    </row>
    <row r="870" spans="3:3" x14ac:dyDescent="0.25">
      <c r="C870" s="95"/>
    </row>
    <row r="871" spans="3:3" x14ac:dyDescent="0.25">
      <c r="C871" s="95"/>
    </row>
    <row r="872" spans="3:3" x14ac:dyDescent="0.25">
      <c r="C872" s="95"/>
    </row>
    <row r="873" spans="3:3" x14ac:dyDescent="0.25">
      <c r="C873" s="95"/>
    </row>
    <row r="874" spans="3:3" x14ac:dyDescent="0.25">
      <c r="C874" s="95"/>
    </row>
    <row r="875" spans="3:3" x14ac:dyDescent="0.25">
      <c r="C875" s="95"/>
    </row>
    <row r="876" spans="3:3" x14ac:dyDescent="0.25">
      <c r="C876" s="95"/>
    </row>
    <row r="877" spans="3:3" x14ac:dyDescent="0.25">
      <c r="C877" s="95"/>
    </row>
    <row r="878" spans="3:3" x14ac:dyDescent="0.25">
      <c r="C878" s="95"/>
    </row>
    <row r="879" spans="3:3" x14ac:dyDescent="0.25">
      <c r="C879" s="95"/>
    </row>
    <row r="880" spans="3:3" x14ac:dyDescent="0.25">
      <c r="C880" s="95"/>
    </row>
    <row r="881" spans="3:3" x14ac:dyDescent="0.25">
      <c r="C881" s="95"/>
    </row>
    <row r="882" spans="3:3" x14ac:dyDescent="0.25">
      <c r="C882" s="95"/>
    </row>
    <row r="883" spans="3:3" x14ac:dyDescent="0.25">
      <c r="C883" s="95"/>
    </row>
    <row r="884" spans="3:3" x14ac:dyDescent="0.25">
      <c r="C884" s="95"/>
    </row>
    <row r="885" spans="3:3" x14ac:dyDescent="0.25">
      <c r="C885" s="95"/>
    </row>
    <row r="886" spans="3:3" x14ac:dyDescent="0.25">
      <c r="C886" s="95"/>
    </row>
    <row r="887" spans="3:3" x14ac:dyDescent="0.25">
      <c r="C887" s="95"/>
    </row>
    <row r="888" spans="3:3" x14ac:dyDescent="0.25">
      <c r="C888" s="95"/>
    </row>
    <row r="889" spans="3:3" x14ac:dyDescent="0.25">
      <c r="C889" s="95"/>
    </row>
    <row r="890" spans="3:3" x14ac:dyDescent="0.25">
      <c r="C890" s="95"/>
    </row>
    <row r="891" spans="3:3" x14ac:dyDescent="0.25">
      <c r="C891" s="95"/>
    </row>
    <row r="892" spans="3:3" x14ac:dyDescent="0.25">
      <c r="C892" s="95"/>
    </row>
    <row r="893" spans="3:3" x14ac:dyDescent="0.25">
      <c r="C893" s="95"/>
    </row>
    <row r="894" spans="3:3" x14ac:dyDescent="0.25">
      <c r="C894" s="95"/>
    </row>
    <row r="895" spans="3:3" x14ac:dyDescent="0.25">
      <c r="C895" s="95"/>
    </row>
    <row r="896" spans="3:3" x14ac:dyDescent="0.25">
      <c r="C896" s="95"/>
    </row>
    <row r="897" spans="3:3" x14ac:dyDescent="0.25">
      <c r="C897" s="95"/>
    </row>
    <row r="898" spans="3:3" x14ac:dyDescent="0.25">
      <c r="C898" s="95"/>
    </row>
    <row r="899" spans="3:3" x14ac:dyDescent="0.25">
      <c r="C899" s="95"/>
    </row>
    <row r="900" spans="3:3" x14ac:dyDescent="0.25">
      <c r="C900" s="95"/>
    </row>
    <row r="901" spans="3:3" x14ac:dyDescent="0.25">
      <c r="C901" s="95"/>
    </row>
    <row r="902" spans="3:3" x14ac:dyDescent="0.25">
      <c r="C902" s="95"/>
    </row>
    <row r="903" spans="3:3" x14ac:dyDescent="0.25">
      <c r="C903" s="95"/>
    </row>
    <row r="904" spans="3:3" x14ac:dyDescent="0.25">
      <c r="C904" s="95"/>
    </row>
    <row r="905" spans="3:3" x14ac:dyDescent="0.25">
      <c r="C905" s="95"/>
    </row>
    <row r="906" spans="3:3" x14ac:dyDescent="0.25">
      <c r="C906" s="95"/>
    </row>
    <row r="907" spans="3:3" x14ac:dyDescent="0.25">
      <c r="C907" s="95"/>
    </row>
    <row r="908" spans="3:3" x14ac:dyDescent="0.25">
      <c r="C908" s="95"/>
    </row>
    <row r="909" spans="3:3" x14ac:dyDescent="0.25">
      <c r="C909" s="95"/>
    </row>
    <row r="910" spans="3:3" x14ac:dyDescent="0.25">
      <c r="C910" s="95"/>
    </row>
    <row r="911" spans="3:3" x14ac:dyDescent="0.25">
      <c r="C911" s="95"/>
    </row>
    <row r="912" spans="3:3" x14ac:dyDescent="0.25">
      <c r="C912" s="95"/>
    </row>
    <row r="913" spans="3:3" x14ac:dyDescent="0.25">
      <c r="C913" s="95"/>
    </row>
    <row r="914" spans="3:3" x14ac:dyDescent="0.25">
      <c r="C914" s="95"/>
    </row>
    <row r="915" spans="3:3" x14ac:dyDescent="0.25">
      <c r="C915" s="95"/>
    </row>
    <row r="916" spans="3:3" x14ac:dyDescent="0.25">
      <c r="C916" s="95"/>
    </row>
    <row r="917" spans="3:3" x14ac:dyDescent="0.25">
      <c r="C917" s="95"/>
    </row>
    <row r="918" spans="3:3" x14ac:dyDescent="0.25">
      <c r="C918" s="95"/>
    </row>
    <row r="919" spans="3:3" x14ac:dyDescent="0.25">
      <c r="C919" s="95"/>
    </row>
    <row r="920" spans="3:3" x14ac:dyDescent="0.25">
      <c r="C920" s="95"/>
    </row>
    <row r="921" spans="3:3" x14ac:dyDescent="0.25">
      <c r="C921" s="95"/>
    </row>
    <row r="922" spans="3:3" x14ac:dyDescent="0.25">
      <c r="C922" s="95"/>
    </row>
    <row r="923" spans="3:3" x14ac:dyDescent="0.25">
      <c r="C923" s="95"/>
    </row>
    <row r="924" spans="3:3" x14ac:dyDescent="0.25">
      <c r="C924" s="95"/>
    </row>
    <row r="925" spans="3:3" x14ac:dyDescent="0.25">
      <c r="C925" s="95"/>
    </row>
    <row r="926" spans="3:3" x14ac:dyDescent="0.25">
      <c r="C926" s="95"/>
    </row>
    <row r="927" spans="3:3" x14ac:dyDescent="0.25">
      <c r="C927" s="95"/>
    </row>
    <row r="928" spans="3:3" x14ac:dyDescent="0.25">
      <c r="C928" s="95"/>
    </row>
    <row r="929" spans="3:3" x14ac:dyDescent="0.25">
      <c r="C929" s="95"/>
    </row>
    <row r="930" spans="3:3" x14ac:dyDescent="0.25">
      <c r="C930" s="95"/>
    </row>
    <row r="931" spans="3:3" x14ac:dyDescent="0.25">
      <c r="C931" s="95"/>
    </row>
    <row r="932" spans="3:3" x14ac:dyDescent="0.25">
      <c r="C932" s="95"/>
    </row>
    <row r="933" spans="3:3" x14ac:dyDescent="0.25">
      <c r="C933" s="95"/>
    </row>
    <row r="934" spans="3:3" x14ac:dyDescent="0.25">
      <c r="C934" s="95"/>
    </row>
    <row r="935" spans="3:3" x14ac:dyDescent="0.25">
      <c r="C935" s="95"/>
    </row>
    <row r="936" spans="3:3" x14ac:dyDescent="0.25">
      <c r="C936" s="95"/>
    </row>
    <row r="937" spans="3:3" x14ac:dyDescent="0.25">
      <c r="C937" s="95"/>
    </row>
    <row r="938" spans="3:3" x14ac:dyDescent="0.25">
      <c r="C938" s="95"/>
    </row>
    <row r="939" spans="3:3" x14ac:dyDescent="0.25">
      <c r="C939" s="95"/>
    </row>
    <row r="940" spans="3:3" x14ac:dyDescent="0.25">
      <c r="C940" s="95"/>
    </row>
    <row r="941" spans="3:3" x14ac:dyDescent="0.25">
      <c r="C941" s="95"/>
    </row>
    <row r="942" spans="3:3" x14ac:dyDescent="0.25">
      <c r="C942" s="95"/>
    </row>
    <row r="943" spans="3:3" x14ac:dyDescent="0.25">
      <c r="C943" s="95"/>
    </row>
    <row r="944" spans="3:3" x14ac:dyDescent="0.25">
      <c r="C944" s="95"/>
    </row>
    <row r="945" spans="3:3" x14ac:dyDescent="0.25">
      <c r="C945" s="95"/>
    </row>
    <row r="946" spans="3:3" x14ac:dyDescent="0.25">
      <c r="C946" s="95"/>
    </row>
    <row r="947" spans="3:3" x14ac:dyDescent="0.25">
      <c r="C947" s="95"/>
    </row>
    <row r="948" spans="3:3" x14ac:dyDescent="0.25">
      <c r="C948" s="95"/>
    </row>
    <row r="949" spans="3:3" x14ac:dyDescent="0.25">
      <c r="C949" s="95"/>
    </row>
    <row r="950" spans="3:3" x14ac:dyDescent="0.25">
      <c r="C950" s="95"/>
    </row>
    <row r="951" spans="3:3" x14ac:dyDescent="0.25">
      <c r="C951" s="95"/>
    </row>
    <row r="952" spans="3:3" x14ac:dyDescent="0.25">
      <c r="C952" s="95"/>
    </row>
    <row r="953" spans="3:3" x14ac:dyDescent="0.25">
      <c r="C953" s="95"/>
    </row>
    <row r="954" spans="3:3" x14ac:dyDescent="0.25">
      <c r="C954" s="95"/>
    </row>
    <row r="955" spans="3:3" x14ac:dyDescent="0.25">
      <c r="C955" s="95"/>
    </row>
    <row r="956" spans="3:3" x14ac:dyDescent="0.25">
      <c r="C956" s="95"/>
    </row>
    <row r="957" spans="3:3" x14ac:dyDescent="0.25">
      <c r="C957" s="95"/>
    </row>
    <row r="958" spans="3:3" x14ac:dyDescent="0.25">
      <c r="C958" s="95"/>
    </row>
    <row r="959" spans="3:3" x14ac:dyDescent="0.25">
      <c r="C959" s="95"/>
    </row>
    <row r="960" spans="3:3" x14ac:dyDescent="0.25">
      <c r="C960" s="95"/>
    </row>
    <row r="961" spans="3:3" x14ac:dyDescent="0.25">
      <c r="C961" s="95"/>
    </row>
    <row r="962" spans="3:3" x14ac:dyDescent="0.25">
      <c r="C962" s="95"/>
    </row>
    <row r="963" spans="3:3" x14ac:dyDescent="0.25">
      <c r="C963" s="95"/>
    </row>
    <row r="964" spans="3:3" x14ac:dyDescent="0.25">
      <c r="C964" s="95"/>
    </row>
    <row r="965" spans="3:3" x14ac:dyDescent="0.25">
      <c r="C965" s="95"/>
    </row>
    <row r="966" spans="3:3" x14ac:dyDescent="0.25">
      <c r="C966" s="95"/>
    </row>
    <row r="967" spans="3:3" x14ac:dyDescent="0.25">
      <c r="C967" s="95"/>
    </row>
    <row r="968" spans="3:3" x14ac:dyDescent="0.25">
      <c r="C968" s="95"/>
    </row>
    <row r="969" spans="3:3" x14ac:dyDescent="0.25">
      <c r="C969" s="95"/>
    </row>
    <row r="970" spans="3:3" x14ac:dyDescent="0.25">
      <c r="C970" s="95"/>
    </row>
    <row r="971" spans="3:3" x14ac:dyDescent="0.25">
      <c r="C971" s="95"/>
    </row>
    <row r="972" spans="3:3" x14ac:dyDescent="0.25">
      <c r="C972" s="95"/>
    </row>
    <row r="973" spans="3:3" x14ac:dyDescent="0.25">
      <c r="C973" s="95"/>
    </row>
    <row r="974" spans="3:3" x14ac:dyDescent="0.25">
      <c r="C974" s="95"/>
    </row>
    <row r="975" spans="3:3" x14ac:dyDescent="0.25">
      <c r="C975" s="95"/>
    </row>
    <row r="976" spans="3:3" x14ac:dyDescent="0.25">
      <c r="C976" s="95"/>
    </row>
    <row r="977" spans="3:3" x14ac:dyDescent="0.25">
      <c r="C977" s="95"/>
    </row>
    <row r="978" spans="3:3" x14ac:dyDescent="0.25">
      <c r="C978" s="95"/>
    </row>
    <row r="979" spans="3:3" x14ac:dyDescent="0.25">
      <c r="C979" s="95"/>
    </row>
    <row r="980" spans="3:3" x14ac:dyDescent="0.25">
      <c r="C980" s="95"/>
    </row>
    <row r="981" spans="3:3" x14ac:dyDescent="0.25">
      <c r="C981" s="95"/>
    </row>
    <row r="982" spans="3:3" x14ac:dyDescent="0.25">
      <c r="C982" s="95"/>
    </row>
    <row r="983" spans="3:3" x14ac:dyDescent="0.25">
      <c r="C983" s="95"/>
    </row>
    <row r="984" spans="3:3" x14ac:dyDescent="0.25">
      <c r="C984" s="95"/>
    </row>
    <row r="985" spans="3:3" x14ac:dyDescent="0.25">
      <c r="C985" s="95"/>
    </row>
    <row r="986" spans="3:3" x14ac:dyDescent="0.25">
      <c r="C986" s="95"/>
    </row>
    <row r="987" spans="3:3" x14ac:dyDescent="0.25">
      <c r="C987" s="95"/>
    </row>
    <row r="988" spans="3:3" x14ac:dyDescent="0.25">
      <c r="C988" s="95"/>
    </row>
    <row r="989" spans="3:3" x14ac:dyDescent="0.25">
      <c r="C989" s="95"/>
    </row>
    <row r="990" spans="3:3" x14ac:dyDescent="0.25">
      <c r="C990" s="95"/>
    </row>
    <row r="991" spans="3:3" x14ac:dyDescent="0.25">
      <c r="C991" s="95"/>
    </row>
    <row r="992" spans="3:3" x14ac:dyDescent="0.25">
      <c r="C992" s="95"/>
    </row>
    <row r="993" spans="3:3" x14ac:dyDescent="0.25">
      <c r="C993" s="95"/>
    </row>
    <row r="994" spans="3:3" x14ac:dyDescent="0.25">
      <c r="C994" s="95"/>
    </row>
    <row r="995" spans="3:3" x14ac:dyDescent="0.25">
      <c r="C995" s="95"/>
    </row>
    <row r="996" spans="3:3" x14ac:dyDescent="0.25">
      <c r="C996" s="95"/>
    </row>
    <row r="997" spans="3:3" x14ac:dyDescent="0.25">
      <c r="C997" s="95"/>
    </row>
    <row r="998" spans="3:3" x14ac:dyDescent="0.25">
      <c r="C998" s="95"/>
    </row>
  </sheetData>
  <sheetProtection algorithmName="SHA-512" hashValue="OA4opEpmBtjTjleUOd6USvlgxVXnCkxdaqoA/fa8Z0ZBauTlEx2j9KWN6+3OL1iON53GXqthqt17fQh3uvm4fQ==" saltValue="KkcONWs/pDU3eZbubRf5yQ==" spinCount="100000" sheet="1" objects="1" scenarios="1"/>
  <sortState xmlns:xlrd2="http://schemas.microsoft.com/office/spreadsheetml/2017/richdata2" ref="A3:A24">
    <sortCondition ref="A3"/>
  </sortState>
  <pageMargins left="0.7" right="0.7" top="0.75" bottom="0.75" header="0.3" footer="0.3"/>
  <pageSetup paperSize="5" orientation="landscape" r:id="rId1"/>
  <headerFooter>
    <oddFooter>&amp;L_x000D_&amp;1#&amp;"Calibri"&amp;8&amp;K000000 Sensitivity: Internal</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5" x14ac:dyDescent="0.25"/>
  <sheetData/>
  <pageMargins left="0.7" right="0.7" top="0.75" bottom="0.75" header="0.3" footer="0.3"/>
  <headerFooter>
    <oddFooter>&amp;L_x000D_&amp;1#&amp;"Calibri"&amp;8&amp;K000000 Sensitivity: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54C4C04E5831ED41A6E817E776AE7753" ma:contentTypeVersion="2" ma:contentTypeDescription="Upload an image." ma:contentTypeScope="" ma:versionID="f4c885c8c66f34e628b6453c7746a714">
  <xsd:schema xmlns:xsd="http://www.w3.org/2001/XMLSchema" xmlns:xs="http://www.w3.org/2001/XMLSchema" xmlns:p="http://schemas.microsoft.com/office/2006/metadata/properties" xmlns:ns1="http://schemas.microsoft.com/sharepoint/v3" xmlns:ns2="7CD066FD-5E34-4539-A616-7B5767EB4A07" xmlns:ns3="http://schemas.microsoft.com/sharepoint/v3/fields" xmlns:ns4="f94b9277-b0a3-4d91-bade-04ea91219630" targetNamespace="http://schemas.microsoft.com/office/2006/metadata/properties" ma:root="true" ma:fieldsID="816f97e09562c88b138a0e9299809f42" ns1:_="" ns2:_="" ns3:_="" ns4:_="">
    <xsd:import namespace="http://schemas.microsoft.com/sharepoint/v3"/>
    <xsd:import namespace="7CD066FD-5E34-4539-A616-7B5767EB4A07"/>
    <xsd:import namespace="http://schemas.microsoft.com/sharepoint/v3/fields"/>
    <xsd:import namespace="f94b9277-b0a3-4d91-bade-04ea91219630"/>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D066FD-5E34-4539-A616-7B5767EB4A07"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4b9277-b0a3-4d91-bade-04ea91219630"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7CD066FD-5E34-4539-A616-7B5767EB4A07"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15E17D57-2EF6-4E21-834F-51604443D00E}"/>
</file>

<file path=customXml/itemProps2.xml><?xml version="1.0" encoding="utf-8"?>
<ds:datastoreItem xmlns:ds="http://schemas.openxmlformats.org/officeDocument/2006/customXml" ds:itemID="{98EC938E-2D8C-490B-B269-176404892CB5}"/>
</file>

<file path=customXml/itemProps3.xml><?xml version="1.0" encoding="utf-8"?>
<ds:datastoreItem xmlns:ds="http://schemas.openxmlformats.org/officeDocument/2006/customXml" ds:itemID="{495207BC-8585-451B-8D30-22FA051EA4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2017 Tax Sales Results </vt:lpstr>
      <vt:lpstr>2018 Tax Sales Results </vt:lpstr>
      <vt:lpstr>2019 Tax Sales Results </vt:lpstr>
      <vt:lpstr>2020 Tax sale Results</vt:lpstr>
      <vt:lpstr>2021 Tax Sale Results</vt:lpstr>
      <vt:lpstr>Sheet1</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REV4711</dc:creator>
  <cp:keywords/>
  <dc:description/>
  <cp:lastModifiedBy>Harris, Maurette L (DOR)</cp:lastModifiedBy>
  <cp:lastPrinted>2022-08-22T18:45:31Z</cp:lastPrinted>
  <dcterms:created xsi:type="dcterms:W3CDTF">2019-07-23T17:57:34Z</dcterms:created>
  <dcterms:modified xsi:type="dcterms:W3CDTF">2023-03-01T19:28:55Z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5a0fd68-05d9-4801-8234-77059db64949_Enabled">
    <vt:lpwstr>true</vt:lpwstr>
  </property>
  <property fmtid="{D5CDD505-2E9C-101B-9397-08002B2CF9AE}" pid="3" name="MSIP_Label_05a0fd68-05d9-4801-8234-77059db64949_SetDate">
    <vt:lpwstr>2022-08-24T17:36:53Z</vt:lpwstr>
  </property>
  <property fmtid="{D5CDD505-2E9C-101B-9397-08002B2CF9AE}" pid="4" name="MSIP_Label_05a0fd68-05d9-4801-8234-77059db64949_Method">
    <vt:lpwstr>Privileged</vt:lpwstr>
  </property>
  <property fmtid="{D5CDD505-2E9C-101B-9397-08002B2CF9AE}" pid="5" name="MSIP_Label_05a0fd68-05d9-4801-8234-77059db64949_Name">
    <vt:lpwstr>05a0fd68-05d9-4801-8234-77059db64949</vt:lpwstr>
  </property>
  <property fmtid="{D5CDD505-2E9C-101B-9397-08002B2CF9AE}" pid="6" name="MSIP_Label_05a0fd68-05d9-4801-8234-77059db64949_SiteId">
    <vt:lpwstr>d77c7f4d-d767-461f-b625-0628792e9e2a</vt:lpwstr>
  </property>
  <property fmtid="{D5CDD505-2E9C-101B-9397-08002B2CF9AE}" pid="7" name="MSIP_Label_05a0fd68-05d9-4801-8234-77059db64949_ActionId">
    <vt:lpwstr>2232fd7e-41e6-43d9-bc5f-46bd8446a013</vt:lpwstr>
  </property>
  <property fmtid="{D5CDD505-2E9C-101B-9397-08002B2CF9AE}" pid="8" name="MSIP_Label_05a0fd68-05d9-4801-8234-77059db64949_ContentBits">
    <vt:lpwstr>2</vt:lpwstr>
  </property>
  <property fmtid="{D5CDD505-2E9C-101B-9397-08002B2CF9AE}" pid="9" name="ContentTypeId">
    <vt:lpwstr>0x0101009148F5A04DDD49CBA7127AADA5FB792B00AADE34325A8B49CDA8BB4DB53328F2140054C4C04E5831ED41A6E817E776AE7753</vt:lpwstr>
  </property>
</Properties>
</file>