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0" windowWidth="213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'Sheet1'!$A$2:$J$129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<sst xmlns="http://schemas.openxmlformats.org/spreadsheetml/2006/main" count="134" uniqueCount="133">
  <si>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</si>
  <si>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</si>
  <si>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TOTAL REAL PROPERTY TAXES CHARGED</t>
  </si>
  <si>
    <t>AMOUNT DELINQUENT</t>
  </si>
  <si>
    <t>DELINQUENT %</t>
  </si>
  <si>
    <t xml:space="preserve"> TOTAL TANGIBLE PROPERTY TAXES CHARGED </t>
  </si>
  <si>
    <t xml:space="preserve"> AMOUNT DELINQUENT </t>
  </si>
  <si>
    <t>TOTAL STATE PROPERTY TAXES CHARGED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</si>
  <si>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</si>
  <si>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</si>
  <si>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</si>
  <si>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</si>
  <si>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</si>
  <si>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</si>
  <si>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</si>
  <si>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</si>
  <si>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</si>
  <si>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</si>
  <si>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</si>
  <si>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</si>
  <si>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</si>
  <si>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</si>
  <si>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</si>
  <si>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</si>
  <si>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</si>
  <si>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</si>
  <si>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</si>
  <si>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</si>
  <si>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</si>
  <si>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</si>
  <si>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</si>
  <si>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</si>
  <si>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</si>
  <si>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</si>
  <si>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</si>
  <si>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</si>
  <si>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</si>
  <si>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</si>
  <si>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</si>
  <si>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</si>
  <si>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</si>
  <si>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</si>
  <si>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</si>
  <si>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</si>
  <si>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</si>
  <si>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</si>
  <si>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</si>
  <si>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</si>
  <si>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</si>
  <si>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</si>
  <si>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</si>
  <si>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</si>
  <si>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</si>
  <si>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</si>
  <si>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</si>
  <si>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</si>
  <si>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</si>
  <si>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</si>
  <si>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</si>
  <si>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</si>
  <si>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</si>
  <si>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</si>
  <si>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</si>
  <si>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</si>
  <si>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</si>
  <si>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</si>
  <si>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</si>
  <si>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</si>
  <si>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</si>
  <si>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</si>
  <si>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</si>
  <si>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</si>
  <si>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</si>
  <si>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</si>
  <si>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</si>
  <si>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</si>
  <si>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</si>
  <si>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</si>
  <si>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</si>
  <si>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</si>
  <si>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</si>
  <si>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</si>
  <si>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</si>
  <si>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</si>
  <si>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</si>
  <si>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</si>
  <si>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</si>
  <si>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</si>
  <si>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</si>
  <si>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</si>
  <si>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</si>
  <si>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</si>
  <si>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</si>
  <si>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</si>
  <si>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</si>
  <si>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</si>
  <si>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</si>
  <si>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</si>
  <si>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</si>
  <si>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</si>
  <si>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</si>
  <si>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</si>
  <si>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</si>
  <si>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</si>
  <si>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</si>
  <si>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</si>
  <si>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</si>
  <si>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</si>
  <si>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</si>
  <si>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</si>
  <si>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</si>
  <si>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</si>
  <si>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</si>
  <si>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</si>
  <si>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</si>
  <si>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</si>
  <si>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</si>
  <si>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</si>
  <si>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</si>
  <si>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</si>
  <si>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</si>
  <si>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</si>
  <si>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</si>
  <si>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</si>
  <si>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</si>
  <si>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</si>
  <si>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</si>
  <si>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</si>
  <si>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</si>
  <si>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</si>
  <si>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</si>
  <si>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</si>
  <si>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 xml:space="preserve"> SHERIFF COLLECTION-DELINQUENCY REPORT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</si>
</sst>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2" fontId="2" fillId="0" borderId="10" xfId="56" applyNumberFormat="1" applyBorder="1">
      <alignment/>
      <protection/>
    </xf>
    <xf numFmtId="164" fontId="2" fillId="0" borderId="0" xfId="44" applyNumberFormat="1" applyFont="1" applyAlignment="1">
      <alignment/>
    </xf>
    <xf numFmtId="164" fontId="2" fillId="0" borderId="10" xfId="44" applyNumberFormat="1" applyFont="1" applyBorder="1" applyAlignment="1">
      <alignment/>
    </xf>
    <xf numFmtId="164" fontId="2" fillId="0" borderId="0" xfId="56" applyNumberFormat="1">
      <alignment/>
      <protection/>
    </xf>
    <xf numFmtId="0" fontId="2" fillId="0" borderId="10" xfId="56" applyBorder="1">
      <alignment/>
      <protection/>
    </xf>
    <xf numFmtId="164" fontId="2" fillId="0" borderId="0" xfId="44" applyNumberFormat="1" applyFont="1" applyAlignment="1" applyProtection="1">
      <alignment/>
      <protection/>
    </xf>
    <xf numFmtId="0" fontId="3" fillId="0" borderId="11" xfId="56" applyFont="1" applyBorder="1">
      <alignment/>
      <protection/>
    </xf>
    <xf numFmtId="0" fontId="3" fillId="0" borderId="11" xfId="56" applyFont="1" applyBorder="1" applyAlignment="1">
      <alignment horizontal="center" wrapText="1"/>
      <protection/>
    </xf>
    <xf numFmtId="0" fontId="3" fillId="0" borderId="11" xfId="56" applyFont="1" applyBorder="1" applyAlignment="1" applyProtection="1">
      <alignment horizontal="center" wrapText="1"/>
      <protection/>
    </xf>
    <xf numFmtId="0" fontId="3" fillId="0" borderId="0" xfId="56" applyFont="1" applyAlignment="1">
      <alignment horizontal="center"/>
      <protection/>
    </xf>
    <xf numFmtId="164" fontId="3" fillId="0" borderId="0" xfId="44" applyNumberFormat="1" applyFont="1" applyAlignment="1">
      <alignment/>
    </xf>
    <xf numFmtId="0" fontId="2" fillId="0" borderId="0" xfId="56" applyFont="1">
      <alignment/>
      <protection/>
    </xf>
    <xf numFmtId="164" fontId="2" fillId="0" borderId="0" xfId="44" applyNumberFormat="1" applyFont="1" applyAlignment="1">
      <alignment/>
    </xf>
    <xf numFmtId="3" fontId="2" fillId="0" borderId="0" xfId="56" applyNumberFormat="1" applyFont="1" applyProtection="1">
      <alignment/>
      <protection/>
    </xf>
    <xf numFmtId="165" fontId="3" fillId="0" borderId="0" xfId="56" applyNumberFormat="1" applyFont="1" applyAlignment="1">
      <alignment horizontal="left"/>
      <protection/>
    </xf>
    <xf numFmtId="2" fontId="2" fillId="0" borderId="0" xfId="56" applyNumberFormat="1" applyAlignment="1">
      <alignment horizontal="center"/>
      <protection/>
    </xf>
    <xf numFmtId="2" fontId="2" fillId="0" borderId="10" xfId="56" applyNumberFormat="1" applyBorder="1" applyAlignment="1">
      <alignment horizontal="center"/>
      <protection/>
    </xf>
    <xf numFmtId="2" fontId="3" fillId="0" borderId="0" xfId="56" applyNumberFormat="1" applyFont="1" applyAlignment="1">
      <alignment horizontal="center"/>
      <protection/>
    </xf>
    <xf numFmtId="37" fontId="2" fillId="0" borderId="0" xfId="56" applyNumberFormat="1">
      <alignment/>
      <protection/>
    </xf>
    <xf numFmtId="38" fontId="2" fillId="0" borderId="0" xfId="56" applyNumberFormat="1" applyAlignment="1">
      <alignment horizontal="right"/>
      <protection/>
    </xf>
    <xf numFmtId="0" fontId="3" fillId="0" borderId="0" xfId="56" applyFont="1" applyFill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">
      <pane ySplit="1" topLeftCell="A92" activePane="bottomLeft" state="frozen"/>
      <selection pane="topLeft" activeCell="A1" sqref="A1"/>
      <selection pane="bottomLeft" activeCell="G128" sqref="G128"/>
    </sheetView>
  </sheetViews>
  <sheetFormatPr defaultColWidth="9.140625" defaultRowHeight="15"/>
  <cols>
    <col min="1" max="1" width="14.421875" style="0" customWidth="1"/>
    <col min="2" max="2" width="13.57421875" style="0" customWidth="1"/>
    <col min="3" max="4" width="13.7109375" style="0" customWidth="1"/>
    <col min="5" max="6" width="13.57421875" style="0" customWidth="1"/>
    <col min="7" max="7" width="13.140625" style="0" customWidth="1"/>
    <col min="8" max="8" width="13.7109375" style="0" customWidth="1"/>
    <col min="9" max="9" width="12.7109375" style="0" customWidth="1"/>
    <col min="10" max="10" width="13.57421875" style="0" customWidth="1"/>
  </cols>
  <sheetData>
    <row r="1" spans="1:10" ht="64.5">
      <c r="A1" s="9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4</v>
      </c>
      <c r="H1" s="10" t="s">
        <v>7</v>
      </c>
      <c r="I1" s="10" t="s">
        <v>8</v>
      </c>
      <c r="J1" s="11" t="s">
        <v>9</v>
      </c>
    </row>
    <row r="2" spans="1:11" ht="15">
      <c r="A2" s="24" t="s">
        <v>132</v>
      </c>
      <c r="B2" s="24"/>
      <c r="C2" s="24"/>
      <c r="D2" s="24"/>
      <c r="E2" s="24"/>
      <c r="F2" s="24"/>
      <c r="G2" s="24"/>
      <c r="H2" s="24"/>
      <c r="I2" s="24"/>
      <c r="J2" s="24"/>
      <c r="K2" s="1">
        <v>1</v>
      </c>
    </row>
    <row r="3" spans="1:11" ht="1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"/>
    </row>
    <row r="5" spans="1:11" ht="15">
      <c r="A5" s="1"/>
      <c r="B5" s="1"/>
      <c r="C5" s="1"/>
      <c r="D5" s="1"/>
      <c r="E5" s="1"/>
      <c r="F5" s="2"/>
      <c r="G5" s="2"/>
      <c r="H5" s="1"/>
      <c r="I5" s="1"/>
      <c r="J5" s="1"/>
      <c r="K5" s="1"/>
    </row>
    <row r="6" spans="1:11" ht="15">
      <c r="A6" s="2" t="s">
        <v>10</v>
      </c>
      <c r="B6" s="4">
        <f>687769.41+2455.44-2949.59</f>
        <v>687275.26</v>
      </c>
      <c r="C6" s="4">
        <v>24937.38</v>
      </c>
      <c r="D6" s="18">
        <f>C6/B6*100</f>
        <v>3.6284413904263046</v>
      </c>
      <c r="E6" s="4">
        <f>81893.16+21404.22+18117.16+140.47+10.27+106.4+1608.99+286.94+11.55-450.45-890.12-295.37-5.25</f>
        <v>121937.97000000003</v>
      </c>
      <c r="F6" s="4">
        <f>1043.58+155.68</f>
        <v>1199.26</v>
      </c>
      <c r="G6" s="18">
        <f>F6/E6*100</f>
        <v>0.9835000533467957</v>
      </c>
      <c r="H6" s="6">
        <f>B6+E6</f>
        <v>809213.23</v>
      </c>
      <c r="I6" s="6">
        <f>C6+F6</f>
        <v>26136.64</v>
      </c>
      <c r="J6" s="18">
        <f>I6/H6*100</f>
        <v>3.229882932091953</v>
      </c>
      <c r="K6" s="1"/>
    </row>
    <row r="7" spans="1:11" ht="15">
      <c r="A7" s="23" t="s">
        <v>11</v>
      </c>
      <c r="B7" s="4">
        <f>896008.52+179.04+765.94+67.1+472.5-1806.07</f>
        <v>895687.03</v>
      </c>
      <c r="C7" s="4">
        <v>17558.39</v>
      </c>
      <c r="D7" s="18">
        <f aca="true" t="shared" si="0" ref="D7:D70">C7/B7*100</f>
        <v>1.9603264769838185</v>
      </c>
      <c r="E7" s="4">
        <f>132335.58+197979.73+29532.44+14.89+111.69+5-3169.3</f>
        <v>356810.03</v>
      </c>
      <c r="F7" s="4">
        <f>672.98+16.44</f>
        <v>689.4200000000001</v>
      </c>
      <c r="G7" s="18">
        <f aca="true" t="shared" si="1" ref="G7:G70">F7/E7*100</f>
        <v>0.1932176626312887</v>
      </c>
      <c r="H7" s="6">
        <f aca="true" t="shared" si="2" ref="H7:H70">B7+E7</f>
        <v>1252497.06</v>
      </c>
      <c r="I7" s="6">
        <f aca="true" t="shared" si="3" ref="I7:I70">C7+F7</f>
        <v>18247.809999999998</v>
      </c>
      <c r="J7" s="18">
        <f aca="true" t="shared" si="4" ref="J7:J70">I7/H7*100</f>
        <v>1.4569143978669297</v>
      </c>
      <c r="K7" s="1"/>
    </row>
    <row r="8" spans="1:11" ht="15">
      <c r="A8" s="2" t="s">
        <v>12</v>
      </c>
      <c r="B8" s="4">
        <f>1601724.8+80.39-3988.42</f>
        <v>1597816.77</v>
      </c>
      <c r="C8" s="4">
        <f>16643.45</f>
        <v>16643.45</v>
      </c>
      <c r="D8" s="18">
        <f t="shared" si="0"/>
        <v>1.0416369581601024</v>
      </c>
      <c r="E8" s="4">
        <f>125231.51+187576.03+36489.62+1823.17+0.01-3791.35</f>
        <v>347328.99</v>
      </c>
      <c r="F8" s="15">
        <f>573.91+26.78</f>
        <v>600.6899999999999</v>
      </c>
      <c r="G8" s="18">
        <f t="shared" si="1"/>
        <v>0.17294554076813454</v>
      </c>
      <c r="H8" s="6">
        <f t="shared" si="2"/>
        <v>1945145.76</v>
      </c>
      <c r="I8" s="6">
        <f t="shared" si="3"/>
        <v>17244.14</v>
      </c>
      <c r="J8" s="18">
        <f t="shared" si="4"/>
        <v>0.8865217380932933</v>
      </c>
      <c r="K8" s="1"/>
    </row>
    <row r="9" spans="1:11" ht="15">
      <c r="A9" s="23" t="s">
        <v>13</v>
      </c>
      <c r="B9" s="4">
        <f>475540.5+45.87+12.37+123.31-1687.48</f>
        <v>474034.57</v>
      </c>
      <c r="C9" s="4">
        <v>9646.58</v>
      </c>
      <c r="D9" s="18">
        <f t="shared" si="0"/>
        <v>2.034995042661129</v>
      </c>
      <c r="E9" s="4">
        <f>171653.86+210895.32+6280.27+2195.87+3.9+997.05+45.82-3871.44-45.82</f>
        <v>388154.83</v>
      </c>
      <c r="F9" s="4">
        <f>349.41+108</f>
        <v>457.41</v>
      </c>
      <c r="G9" s="18">
        <f t="shared" si="1"/>
        <v>0.11784215077266977</v>
      </c>
      <c r="H9" s="6">
        <f t="shared" si="2"/>
        <v>862189.4</v>
      </c>
      <c r="I9" s="6">
        <f t="shared" si="3"/>
        <v>10103.99</v>
      </c>
      <c r="J9" s="18">
        <f t="shared" si="4"/>
        <v>1.171899121005199</v>
      </c>
      <c r="K9" s="1"/>
    </row>
    <row r="10" spans="1:11" ht="15">
      <c r="A10" s="2" t="s">
        <v>14</v>
      </c>
      <c r="B10" s="4">
        <f>2306581.92+872.6+1923.52+7.28-3195.18</f>
        <v>2306190.1399999997</v>
      </c>
      <c r="C10" s="4">
        <f>29007.42</f>
        <v>29007.42</v>
      </c>
      <c r="D10" s="18">
        <f t="shared" si="0"/>
        <v>1.2578069560214147</v>
      </c>
      <c r="E10" s="4">
        <f>549788.08+466322.16+95177.6+660.59+23.37+21.73+362.45-647.08+0.3</f>
        <v>1111709.2000000002</v>
      </c>
      <c r="F10" s="4">
        <f>4842.78+160.78</f>
        <v>5003.5599999999995</v>
      </c>
      <c r="G10" s="18">
        <f t="shared" si="1"/>
        <v>0.4500781319431375</v>
      </c>
      <c r="H10" s="6">
        <f t="shared" si="2"/>
        <v>3417899.34</v>
      </c>
      <c r="I10" s="6">
        <f t="shared" si="3"/>
        <v>34010.979999999996</v>
      </c>
      <c r="J10" s="18">
        <f t="shared" si="4"/>
        <v>0.9950843081294488</v>
      </c>
      <c r="K10" s="1"/>
    </row>
    <row r="11" spans="1:11" ht="15">
      <c r="A11" s="2" t="s">
        <v>15</v>
      </c>
      <c r="B11" s="4">
        <f>364010.18+113.46+40.26+580-2902.48</f>
        <v>361841.42000000004</v>
      </c>
      <c r="C11" s="4">
        <v>8790.59</v>
      </c>
      <c r="D11" s="18">
        <f t="shared" si="0"/>
        <v>2.4294040190313204</v>
      </c>
      <c r="E11" s="4">
        <f>109748.47+13098.27+5764.42+392.14+0.64+950.7+110.18</f>
        <v>130064.81999999999</v>
      </c>
      <c r="F11" s="4">
        <f>421.86+0.09</f>
        <v>421.95</v>
      </c>
      <c r="G11" s="18">
        <f t="shared" si="1"/>
        <v>0.3244151646848087</v>
      </c>
      <c r="H11" s="6">
        <f t="shared" si="2"/>
        <v>491906.24000000005</v>
      </c>
      <c r="I11" s="6">
        <f t="shared" si="3"/>
        <v>9212.54</v>
      </c>
      <c r="J11" s="18">
        <f t="shared" si="4"/>
        <v>1.872824382142418</v>
      </c>
      <c r="K11" s="1"/>
    </row>
    <row r="12" spans="1:11" ht="15">
      <c r="A12" s="23" t="s">
        <v>16</v>
      </c>
      <c r="B12" s="4">
        <f>801675.64+3.9+22804.3-5827.94</f>
        <v>818655.9000000001</v>
      </c>
      <c r="C12" s="4">
        <v>39891.31</v>
      </c>
      <c r="D12" s="18">
        <f t="shared" si="0"/>
        <v>4.872781103758</v>
      </c>
      <c r="E12" s="4">
        <f>275280.85+63866.43+27562.85+38.7-7707.31</f>
        <v>359041.51999999996</v>
      </c>
      <c r="F12" s="4">
        <f>25654.41+19023.32+548.42</f>
        <v>45226.149999999994</v>
      </c>
      <c r="G12" s="18">
        <f t="shared" si="1"/>
        <v>12.596356543945111</v>
      </c>
      <c r="H12" s="6">
        <f t="shared" si="2"/>
        <v>1177697.4200000002</v>
      </c>
      <c r="I12" s="6">
        <f t="shared" si="3"/>
        <v>85117.45999999999</v>
      </c>
      <c r="J12" s="18">
        <f t="shared" si="4"/>
        <v>7.227447267397426</v>
      </c>
      <c r="K12" s="1"/>
    </row>
    <row r="13" spans="1:11" ht="15">
      <c r="A13" s="23" t="s">
        <v>17</v>
      </c>
      <c r="B13" s="4">
        <f>13614621.62+2578.74-13064.86</f>
        <v>13604135.5</v>
      </c>
      <c r="C13" s="4">
        <v>62115.73</v>
      </c>
      <c r="D13" s="18">
        <f t="shared" si="0"/>
        <v>0.45659446717507335</v>
      </c>
      <c r="E13" s="4">
        <f>4269420.97+1589155.36+590986.97+6168.8+7693.29+22851.58+894.71+245.5+53676.69+90594.45-15662.02-157.62-1413.13</f>
        <v>6614455.550000001</v>
      </c>
      <c r="F13" s="4">
        <f>39277.83+12841.93+6922.58+3516.76</f>
        <v>62559.100000000006</v>
      </c>
      <c r="G13" s="18">
        <f t="shared" si="1"/>
        <v>0.9457936413224517</v>
      </c>
      <c r="H13" s="6">
        <f t="shared" si="2"/>
        <v>20218591.05</v>
      </c>
      <c r="I13" s="6">
        <f t="shared" si="3"/>
        <v>124674.83000000002</v>
      </c>
      <c r="J13" s="18">
        <f t="shared" si="4"/>
        <v>0.6166346096603997</v>
      </c>
      <c r="K13" s="1"/>
    </row>
    <row r="14" spans="1:11" ht="15">
      <c r="A14" s="2" t="s">
        <v>18</v>
      </c>
      <c r="B14" s="15">
        <f>1345322.31+508.61+1364.35-3815.68</f>
        <v>1343379.5900000003</v>
      </c>
      <c r="C14" s="4">
        <v>16330.64</v>
      </c>
      <c r="D14" s="18">
        <f t="shared" si="0"/>
        <v>1.21563853742932</v>
      </c>
      <c r="E14" s="15">
        <f>245462.88+216540.95+53456.43+542.89+1247.09+7.04+51.16-3566.5</f>
        <v>513741.94</v>
      </c>
      <c r="F14" s="15">
        <f>769.62+92.19+2.49</f>
        <v>864.3</v>
      </c>
      <c r="G14" s="18">
        <f t="shared" si="1"/>
        <v>0.16823621602705824</v>
      </c>
      <c r="H14" s="6">
        <f t="shared" si="2"/>
        <v>1857121.5300000003</v>
      </c>
      <c r="I14" s="6">
        <f t="shared" si="3"/>
        <v>17194.94</v>
      </c>
      <c r="J14" s="18">
        <f t="shared" si="4"/>
        <v>0.9258920174168674</v>
      </c>
      <c r="K14" s="14"/>
    </row>
    <row r="15" spans="1:11" ht="15">
      <c r="A15" s="2" t="s">
        <v>19</v>
      </c>
      <c r="B15" s="15">
        <f>2350904.93+95.89-10240.57</f>
        <v>2340760.2500000005</v>
      </c>
      <c r="C15" s="15">
        <v>103785.77</v>
      </c>
      <c r="D15" s="18">
        <f t="shared" si="0"/>
        <v>4.4338487890846565</v>
      </c>
      <c r="E15" s="15">
        <f>592330.32+473598.75+107878.89+152.18+11562.59+2069.21-628.83</f>
        <v>1186963.1099999996</v>
      </c>
      <c r="F15" s="15">
        <f>8706.21+11638.07+22.74</f>
        <v>20367.02</v>
      </c>
      <c r="G15" s="18">
        <f t="shared" si="1"/>
        <v>1.7158932597323946</v>
      </c>
      <c r="H15" s="6">
        <f t="shared" si="2"/>
        <v>3527723.3600000003</v>
      </c>
      <c r="I15" s="6">
        <f t="shared" si="3"/>
        <v>124152.79000000001</v>
      </c>
      <c r="J15" s="18">
        <f t="shared" si="4"/>
        <v>3.51934597275224</v>
      </c>
      <c r="K15" s="1"/>
    </row>
    <row r="16" spans="1:11" ht="15">
      <c r="A16" s="2" t="s">
        <v>20</v>
      </c>
      <c r="B16" s="4">
        <f>2007549.85+45.87+236.33-5465.72</f>
        <v>2002366.3300000003</v>
      </c>
      <c r="C16" s="4">
        <v>17396.9</v>
      </c>
      <c r="D16" s="18">
        <f t="shared" si="0"/>
        <v>0.868817046079675</v>
      </c>
      <c r="E16" s="4">
        <f>486182.41+287238+104039.96+1554.25+0.54+36.61+4.5-363.8</f>
        <v>878692.4699999999</v>
      </c>
      <c r="F16" s="4">
        <f>1050.69+50.13+12+0.2</f>
        <v>1113.0200000000002</v>
      </c>
      <c r="G16" s="18">
        <f t="shared" si="1"/>
        <v>0.12666775214313608</v>
      </c>
      <c r="H16" s="6">
        <f t="shared" si="2"/>
        <v>2881058.8000000003</v>
      </c>
      <c r="I16" s="6">
        <f t="shared" si="3"/>
        <v>18509.920000000002</v>
      </c>
      <c r="J16" s="18">
        <f t="shared" si="4"/>
        <v>0.6424693588343285</v>
      </c>
      <c r="K16" s="1"/>
    </row>
    <row r="17" spans="1:10" ht="15">
      <c r="A17" s="2" t="s">
        <v>21</v>
      </c>
      <c r="B17" s="4">
        <f>328341.69-122.24</f>
        <v>328219.45</v>
      </c>
      <c r="C17" s="4">
        <v>3731.54</v>
      </c>
      <c r="D17" s="18">
        <f t="shared" si="0"/>
        <v>1.1369039829906484</v>
      </c>
      <c r="E17" s="4">
        <f>17431.73+50408.56+6639.91+12.86+13.79</f>
        <v>74506.84999999999</v>
      </c>
      <c r="F17" s="4">
        <f>78.93+12.19</f>
        <v>91.12</v>
      </c>
      <c r="G17" s="18">
        <f t="shared" si="1"/>
        <v>0.12229748003035966</v>
      </c>
      <c r="H17" s="6">
        <f t="shared" si="2"/>
        <v>402726.3</v>
      </c>
      <c r="I17" s="6">
        <f t="shared" si="3"/>
        <v>3822.66</v>
      </c>
      <c r="J17" s="18">
        <f t="shared" si="4"/>
        <v>0.9491955206302644</v>
      </c>
    </row>
    <row r="18" spans="1:10" ht="15">
      <c r="A18" s="23" t="s">
        <v>22</v>
      </c>
      <c r="B18" s="4">
        <f>358194.98+2949.78-5221.3</f>
        <v>355923.46</v>
      </c>
      <c r="C18" s="4">
        <v>41157.77</v>
      </c>
      <c r="D18" s="18">
        <f t="shared" si="0"/>
        <v>11.563657534684562</v>
      </c>
      <c r="E18" s="4">
        <f>67156.72+2096.64+8370.89-0.33-11.08</f>
        <v>77612.84</v>
      </c>
      <c r="F18" s="4">
        <f>2382.76+312.48</f>
        <v>2695.2400000000002</v>
      </c>
      <c r="G18" s="18">
        <f t="shared" si="1"/>
        <v>3.472672820631226</v>
      </c>
      <c r="H18" s="6">
        <f t="shared" si="2"/>
        <v>433536.30000000005</v>
      </c>
      <c r="I18" s="6">
        <f t="shared" si="3"/>
        <v>43853.009999999995</v>
      </c>
      <c r="J18" s="18">
        <f t="shared" si="4"/>
        <v>10.115187586368197</v>
      </c>
    </row>
    <row r="19" spans="1:10" ht="15">
      <c r="A19" s="2" t="s">
        <v>23</v>
      </c>
      <c r="B19" s="4">
        <f>1071287.97+62.83+3026.09+17.08-1396.63</f>
        <v>1072997.3400000003</v>
      </c>
      <c r="C19" s="4">
        <f>12035.04+342.25</f>
        <v>12377.29</v>
      </c>
      <c r="D19" s="18">
        <f t="shared" si="0"/>
        <v>1.1535247608349146</v>
      </c>
      <c r="E19" s="4">
        <f>104177.05+22327.4+18251.74+200.83+5.3+29.88+159.98-3529.44</f>
        <v>141622.74</v>
      </c>
      <c r="F19" s="4">
        <f>69.01+14.45</f>
        <v>83.46000000000001</v>
      </c>
      <c r="G19" s="18">
        <f t="shared" si="1"/>
        <v>0.05893121401266493</v>
      </c>
      <c r="H19" s="6">
        <f t="shared" si="2"/>
        <v>1214620.0800000003</v>
      </c>
      <c r="I19" s="6">
        <f t="shared" si="3"/>
        <v>12460.75</v>
      </c>
      <c r="J19" s="18">
        <f t="shared" si="4"/>
        <v>1.0258969207885973</v>
      </c>
    </row>
    <row r="20" spans="1:10" ht="15">
      <c r="A20" s="23" t="s">
        <v>24</v>
      </c>
      <c r="B20" s="4">
        <f>6118072+16543.83+1338.82+3849.42+3576.23-16268.77</f>
        <v>6127111.530000001</v>
      </c>
      <c r="C20" s="4">
        <v>52690.68</v>
      </c>
      <c r="D20" s="18">
        <f t="shared" si="0"/>
        <v>0.8599595378999082</v>
      </c>
      <c r="E20" s="15">
        <f>963065.23+277573.36+937941.15+1239.74+96.43+107.5+12.82-64.82</f>
        <v>2179971.41</v>
      </c>
      <c r="F20" s="4">
        <f>5567.97+69.6</f>
        <v>5637.570000000001</v>
      </c>
      <c r="G20" s="18">
        <f t="shared" si="1"/>
        <v>0.2586075199949526</v>
      </c>
      <c r="H20" s="6">
        <f t="shared" si="2"/>
        <v>8307082.940000001</v>
      </c>
      <c r="I20" s="6">
        <f t="shared" si="3"/>
        <v>58328.25</v>
      </c>
      <c r="J20" s="18">
        <f t="shared" si="4"/>
        <v>0.702150808187308</v>
      </c>
    </row>
    <row r="21" spans="1:10" ht="15">
      <c r="A21" s="2" t="s">
        <v>25</v>
      </c>
      <c r="B21" s="4">
        <f>458694.19+368.57-610.85</f>
        <v>458451.91000000003</v>
      </c>
      <c r="C21" s="4">
        <v>15431.18</v>
      </c>
      <c r="D21" s="18">
        <f t="shared" si="0"/>
        <v>3.365932099617602</v>
      </c>
      <c r="E21" s="4">
        <f>68990.7+59339.35+10653.85+2.1+2.02+42.08+170.19-2.41-108.48</f>
        <v>139089.39999999997</v>
      </c>
      <c r="F21" s="4">
        <f>1552.78+10.63+136.14</f>
        <v>1699.5500000000002</v>
      </c>
      <c r="G21" s="18">
        <f t="shared" si="1"/>
        <v>1.2219119501557996</v>
      </c>
      <c r="H21" s="6">
        <f t="shared" si="2"/>
        <v>597541.31</v>
      </c>
      <c r="I21" s="6">
        <f t="shared" si="3"/>
        <v>17130.73</v>
      </c>
      <c r="J21" s="18">
        <f t="shared" si="4"/>
        <v>2.866869572582354</v>
      </c>
    </row>
    <row r="22" spans="1:10" ht="15">
      <c r="A22" s="2" t="s">
        <v>26</v>
      </c>
      <c r="B22" s="4">
        <f>536616.16+90.19+3231.92+45.87+1558.26-2148.42</f>
        <v>539393.98</v>
      </c>
      <c r="C22" s="4">
        <v>9683.26</v>
      </c>
      <c r="D22" s="18">
        <f t="shared" si="0"/>
        <v>1.7952109884504088</v>
      </c>
      <c r="E22" s="4">
        <f>106784.44+187630.16+29552.82+303.63+11.22+4.47</f>
        <v>324286.73999999993</v>
      </c>
      <c r="F22" s="4">
        <f>2059.64+47.22+71.39</f>
        <v>2178.2499999999995</v>
      </c>
      <c r="G22" s="18">
        <f t="shared" si="1"/>
        <v>0.6717049238584347</v>
      </c>
      <c r="H22" s="6">
        <f t="shared" si="2"/>
        <v>863680.72</v>
      </c>
      <c r="I22" s="6">
        <f t="shared" si="3"/>
        <v>11861.51</v>
      </c>
      <c r="J22" s="18">
        <f t="shared" si="4"/>
        <v>1.373367463847057</v>
      </c>
    </row>
    <row r="23" spans="1:10" ht="15">
      <c r="A23" s="2" t="s">
        <v>27</v>
      </c>
      <c r="B23" s="4">
        <f>2400449.14+319.76+61.03+888.04-6163.81</f>
        <v>2395554.1599999997</v>
      </c>
      <c r="C23" s="4">
        <f>26821.11+104.92</f>
        <v>26926.03</v>
      </c>
      <c r="D23" s="18">
        <f t="shared" si="0"/>
        <v>1.1240000518293438</v>
      </c>
      <c r="E23" s="4">
        <f>332715.31+204410.93+68509.63+441.59+56.81+17.55+549.89-593.1-80.18</f>
        <v>606028.43</v>
      </c>
      <c r="F23" s="4">
        <f>2028.7+308.47</f>
        <v>2337.17</v>
      </c>
      <c r="G23" s="18">
        <f t="shared" si="1"/>
        <v>0.3856535245384445</v>
      </c>
      <c r="H23" s="6">
        <f t="shared" si="2"/>
        <v>3001582.59</v>
      </c>
      <c r="I23" s="6">
        <f t="shared" si="3"/>
        <v>29263.199999999997</v>
      </c>
      <c r="J23" s="18">
        <f t="shared" si="4"/>
        <v>0.9749256974468259</v>
      </c>
    </row>
    <row r="24" spans="1:10" ht="15">
      <c r="A24" s="2" t="s">
        <v>28</v>
      </c>
      <c r="B24" s="15">
        <f>6816529.01+1689.09+3150.67+1870.4-17693.08</f>
        <v>6805546.09</v>
      </c>
      <c r="C24" s="15">
        <f>61585.9</f>
        <v>61585.9</v>
      </c>
      <c r="D24" s="18">
        <f t="shared" si="0"/>
        <v>0.9049369321073836</v>
      </c>
      <c r="E24" s="15">
        <f>869769.08+309634.74+90181.31+67.75+5.22+507.58+14399.38+1382.3+384.85+14.78-23092.47+15318.43+8.71</f>
        <v>1278581.66</v>
      </c>
      <c r="F24" s="15">
        <v>12711.62</v>
      </c>
      <c r="G24" s="18">
        <f t="shared" si="1"/>
        <v>0.994196960403765</v>
      </c>
      <c r="H24" s="6">
        <f t="shared" si="2"/>
        <v>8084127.75</v>
      </c>
      <c r="I24" s="6">
        <f t="shared" si="3"/>
        <v>74297.52</v>
      </c>
      <c r="J24" s="18">
        <f t="shared" si="4"/>
        <v>0.9190542541834523</v>
      </c>
    </row>
    <row r="25" spans="1:10" ht="15">
      <c r="A25" s="23" t="s">
        <v>29</v>
      </c>
      <c r="B25" s="4">
        <f>219628.32+377.49+23.53+47.63-851.09</f>
        <v>219225.88</v>
      </c>
      <c r="C25" s="4">
        <v>2632.22</v>
      </c>
      <c r="D25" s="18">
        <f t="shared" si="0"/>
        <v>1.2006885318466962</v>
      </c>
      <c r="E25" s="4">
        <f>54977.1+718.06+1711.81+15+1.14</f>
        <v>57423.10999999999</v>
      </c>
      <c r="F25" s="4">
        <v>248.58</v>
      </c>
      <c r="G25" s="18">
        <f t="shared" si="1"/>
        <v>0.43289191407431615</v>
      </c>
      <c r="H25" s="6">
        <f t="shared" si="2"/>
        <v>276648.99</v>
      </c>
      <c r="I25" s="6">
        <f t="shared" si="3"/>
        <v>2880.7999999999997</v>
      </c>
      <c r="J25" s="18">
        <f t="shared" si="4"/>
        <v>1.0413195435848148</v>
      </c>
    </row>
    <row r="26" spans="1:10" ht="15">
      <c r="A26" s="23" t="s">
        <v>30</v>
      </c>
      <c r="B26" s="15">
        <f>595708.77+490.23+10.25+28361.42-544.97</f>
        <v>624025.7000000001</v>
      </c>
      <c r="C26" s="15">
        <v>17474.43</v>
      </c>
      <c r="D26" s="18">
        <f>C26/B26*100</f>
        <v>2.800274091275407</v>
      </c>
      <c r="E26" s="15">
        <f>200806.31+122279.4+29119.66+162.96+13828.75+19.73-134.27-29.59</f>
        <v>366052.9499999999</v>
      </c>
      <c r="F26" s="15">
        <f>4153.49+2495.96+930.18</f>
        <v>7579.63</v>
      </c>
      <c r="G26" s="18">
        <f t="shared" si="1"/>
        <v>2.0706375949162554</v>
      </c>
      <c r="H26" s="6">
        <f t="shared" si="2"/>
        <v>990078.6499999999</v>
      </c>
      <c r="I26" s="6">
        <f t="shared" si="3"/>
        <v>25054.06</v>
      </c>
      <c r="J26" s="18">
        <f t="shared" si="4"/>
        <v>2.53051209618549</v>
      </c>
    </row>
    <row r="27" spans="1:10" ht="15">
      <c r="A27" s="23" t="s">
        <v>31</v>
      </c>
      <c r="B27" s="15">
        <f>856840.45+684.54+2557.14+1132.16-9332.63</f>
        <v>851881.66</v>
      </c>
      <c r="C27" s="15">
        <f>26232.6</f>
        <v>26232.6</v>
      </c>
      <c r="D27" s="18">
        <f t="shared" si="0"/>
        <v>3.0793713765360318</v>
      </c>
      <c r="E27" s="15">
        <f>118677.64+41210.29+15996.85+48.46+1.1+3274.38+137.11-3761.78</f>
        <v>175584.05</v>
      </c>
      <c r="F27" s="15">
        <f>663.37+756.09</f>
        <v>1419.46</v>
      </c>
      <c r="G27" s="18">
        <f t="shared" si="1"/>
        <v>0.8084219494880088</v>
      </c>
      <c r="H27" s="6">
        <f t="shared" si="2"/>
        <v>1027465.71</v>
      </c>
      <c r="I27" s="6">
        <f t="shared" si="3"/>
        <v>27652.059999999998</v>
      </c>
      <c r="J27" s="18">
        <f t="shared" si="4"/>
        <v>2.691287867893908</v>
      </c>
    </row>
    <row r="28" spans="1:10" ht="15">
      <c r="A28" s="2" t="s">
        <v>32</v>
      </c>
      <c r="B28" s="4">
        <f>572718.62+75.19-1853.91</f>
        <v>570939.8999999999</v>
      </c>
      <c r="C28" s="4">
        <v>10158.89</v>
      </c>
      <c r="D28" s="18">
        <f t="shared" si="0"/>
        <v>1.7793273862975774</v>
      </c>
      <c r="E28" s="4">
        <f>63401.91+34633.62+13370.4+62.04-13.8-15</f>
        <v>111439.16999999998</v>
      </c>
      <c r="F28" s="4">
        <f>635.02+803.4+409.5</f>
        <v>1847.92</v>
      </c>
      <c r="G28" s="18">
        <f t="shared" si="1"/>
        <v>1.6582320202133598</v>
      </c>
      <c r="H28" s="6">
        <f t="shared" si="2"/>
        <v>682379.0699999998</v>
      </c>
      <c r="I28" s="6">
        <f t="shared" si="3"/>
        <v>12006.81</v>
      </c>
      <c r="J28" s="18">
        <f t="shared" si="4"/>
        <v>1.7595513297323144</v>
      </c>
    </row>
    <row r="29" spans="1:10" ht="15">
      <c r="A29" s="2" t="s">
        <v>33</v>
      </c>
      <c r="B29" s="4">
        <f>3726605.88+700.22+3152.82+143.38+4856.18-7192.77</f>
        <v>3728265.71</v>
      </c>
      <c r="C29" s="4">
        <f>48834.43+227.96+33.75</f>
        <v>49096.14</v>
      </c>
      <c r="D29" s="18">
        <f t="shared" si="0"/>
        <v>1.3168626868067297</v>
      </c>
      <c r="E29" s="4">
        <f>997549.91+931431.92+162620.74+42847.06+118.2+2.89+83.45-103.27-125.8</f>
        <v>2134425.1000000006</v>
      </c>
      <c r="F29" s="4">
        <f>2454.59+2583.46+1531.83</f>
        <v>6569.88</v>
      </c>
      <c r="G29" s="18">
        <f t="shared" si="1"/>
        <v>0.30780560067439233</v>
      </c>
      <c r="H29" s="6">
        <f t="shared" si="2"/>
        <v>5862690.8100000005</v>
      </c>
      <c r="I29" s="6">
        <f t="shared" si="3"/>
        <v>55666.02</v>
      </c>
      <c r="J29" s="18">
        <f t="shared" si="4"/>
        <v>0.9494960898338759</v>
      </c>
    </row>
    <row r="30" spans="1:10" ht="15">
      <c r="A30" s="2" t="s">
        <v>34</v>
      </c>
      <c r="B30" s="4">
        <f>420+2798860.8+614.51+186.04-4361.87</f>
        <v>2795719.4799999995</v>
      </c>
      <c r="C30" s="4">
        <v>40870.85</v>
      </c>
      <c r="D30" s="18">
        <f t="shared" si="0"/>
        <v>1.4619081167614143</v>
      </c>
      <c r="E30" s="4">
        <f>432806.56+378431.33+122301.25+1387.27+13.34+59.36+36.67-996.3-170.76-0.13</f>
        <v>933868.59</v>
      </c>
      <c r="F30" s="4">
        <f>857.27+14.63+14.74</f>
        <v>886.64</v>
      </c>
      <c r="G30" s="18">
        <f t="shared" si="1"/>
        <v>0.09494269423923982</v>
      </c>
      <c r="H30" s="6">
        <f t="shared" si="2"/>
        <v>3729588.0699999994</v>
      </c>
      <c r="I30" s="6">
        <f t="shared" si="3"/>
        <v>41757.49</v>
      </c>
      <c r="J30" s="18">
        <f t="shared" si="4"/>
        <v>1.1196274016395598</v>
      </c>
    </row>
    <row r="31" spans="1:10" ht="15">
      <c r="A31" s="23" t="s">
        <v>35</v>
      </c>
      <c r="B31" s="4">
        <f>411854.92+18.3+12238.31+456.78-4064.31-114.68-96.38-25.17-48.8</f>
        <v>420218.97000000003</v>
      </c>
      <c r="C31" s="4">
        <f>38185.73</f>
        <v>38185.73</v>
      </c>
      <c r="D31" s="18">
        <f t="shared" si="0"/>
        <v>9.087102850211641</v>
      </c>
      <c r="E31" s="4">
        <f>83747.12+13055.2+8412.34+3.74+294.25+7.75</f>
        <v>105520.4</v>
      </c>
      <c r="F31" s="4">
        <f>23014.69-40.36</f>
        <v>22974.329999999998</v>
      </c>
      <c r="G31" s="18">
        <f t="shared" si="1"/>
        <v>21.772406093987513</v>
      </c>
      <c r="H31" s="6">
        <f t="shared" si="2"/>
        <v>525739.37</v>
      </c>
      <c r="I31" s="6">
        <f t="shared" si="3"/>
        <v>61160.06</v>
      </c>
      <c r="J31" s="18">
        <f t="shared" si="4"/>
        <v>11.633151993163457</v>
      </c>
    </row>
    <row r="32" spans="1:10" ht="15">
      <c r="A32" s="2" t="s">
        <v>36</v>
      </c>
      <c r="B32" s="6">
        <f>460081.88+1719.54+39.04-1272.49</f>
        <v>460567.97</v>
      </c>
      <c r="C32" s="4">
        <v>21334.65</v>
      </c>
      <c r="D32" s="18">
        <f t="shared" si="0"/>
        <v>4.6322478742931255</v>
      </c>
      <c r="E32" s="4">
        <f>56271.81+58026.96+6162.94+1105.26</f>
        <v>121566.96999999999</v>
      </c>
      <c r="F32" s="4">
        <f>1931.9+0.15+3.75</f>
        <v>1935.8000000000002</v>
      </c>
      <c r="G32" s="18">
        <f t="shared" si="1"/>
        <v>1.592373323115646</v>
      </c>
      <c r="H32" s="6">
        <f t="shared" si="2"/>
        <v>582134.94</v>
      </c>
      <c r="I32" s="6">
        <f t="shared" si="3"/>
        <v>23270.45</v>
      </c>
      <c r="J32" s="18">
        <f t="shared" si="4"/>
        <v>3.997432279189427</v>
      </c>
    </row>
    <row r="33" spans="1:10" ht="15">
      <c r="A33" s="2" t="s">
        <v>37</v>
      </c>
      <c r="B33" s="4">
        <f>418718.3+582.76+107.67-1326.42</f>
        <v>418082.31</v>
      </c>
      <c r="C33" s="4">
        <v>5217.23</v>
      </c>
      <c r="D33" s="18">
        <f t="shared" si="0"/>
        <v>1.2478954204017865</v>
      </c>
      <c r="E33" s="4">
        <f>52375.41+13949.41+16852.37+104.33+14.61</f>
        <v>83296.13</v>
      </c>
      <c r="F33" s="4">
        <f>242.18+1.05</f>
        <v>243.23000000000002</v>
      </c>
      <c r="G33" s="18">
        <f t="shared" si="1"/>
        <v>0.29200636332084096</v>
      </c>
      <c r="H33" s="6">
        <f t="shared" si="2"/>
        <v>501378.44</v>
      </c>
      <c r="I33" s="6">
        <f t="shared" si="3"/>
        <v>5460.459999999999</v>
      </c>
      <c r="J33" s="18">
        <f t="shared" si="4"/>
        <v>1.0890895109091645</v>
      </c>
    </row>
    <row r="34" spans="1:10" ht="15">
      <c r="A34" s="2" t="s">
        <v>38</v>
      </c>
      <c r="B34" s="4">
        <f>345485.11+45.87+2553.85+91.5-1124.6</f>
        <v>347051.73</v>
      </c>
      <c r="C34" s="4">
        <v>6749.49</v>
      </c>
      <c r="D34" s="18">
        <f t="shared" si="0"/>
        <v>1.9448080549836186</v>
      </c>
      <c r="E34" s="4">
        <f>29827.47+1550.98+5444.12+870.1+3.44+0.95+10.35-1.34</f>
        <v>37706.07</v>
      </c>
      <c r="F34" s="4">
        <f>30.67+0.04</f>
        <v>30.71</v>
      </c>
      <c r="G34" s="18">
        <f t="shared" si="1"/>
        <v>0.08144577252415859</v>
      </c>
      <c r="H34" s="6">
        <f t="shared" si="2"/>
        <v>384757.8</v>
      </c>
      <c r="I34" s="6">
        <f t="shared" si="3"/>
        <v>6780.2</v>
      </c>
      <c r="J34" s="18">
        <f t="shared" si="4"/>
        <v>1.7621994927718165</v>
      </c>
    </row>
    <row r="35" spans="1:10" ht="15">
      <c r="A35" s="2" t="s">
        <v>39</v>
      </c>
      <c r="B35" s="4">
        <f>6784399.24+2538.63+3138.14+3391-15568.54</f>
        <v>6777898.47</v>
      </c>
      <c r="C35" s="4">
        <f>49335.94</f>
        <v>49335.94</v>
      </c>
      <c r="D35" s="18">
        <f t="shared" si="0"/>
        <v>0.7278943498249245</v>
      </c>
      <c r="E35" s="4">
        <f>1263384.52+558007.4+258036.11+20227.86+1650.39+3.44+1569.96+0.93+173.66+1358.53-10159.19-30000-454.34-81</f>
        <v>2063718.2699999998</v>
      </c>
      <c r="F35" s="4">
        <f>6647.62+3011.53+923.89+69.32</f>
        <v>10652.359999999999</v>
      </c>
      <c r="G35" s="18">
        <f t="shared" si="1"/>
        <v>0.5161731693154027</v>
      </c>
      <c r="H35" s="6">
        <f t="shared" si="2"/>
        <v>8841616.74</v>
      </c>
      <c r="I35" s="6">
        <f t="shared" si="3"/>
        <v>59988.3</v>
      </c>
      <c r="J35" s="18">
        <f t="shared" si="4"/>
        <v>0.6784765927322925</v>
      </c>
    </row>
    <row r="36" spans="1:10" ht="15">
      <c r="A36" s="23" t="s">
        <v>40</v>
      </c>
      <c r="B36" s="4">
        <f>670770.75+12.26+805.74+4.14-965.94</f>
        <v>670626.9500000001</v>
      </c>
      <c r="C36" s="4">
        <v>21820.9</v>
      </c>
      <c r="D36" s="18">
        <f t="shared" si="0"/>
        <v>3.2538060094363934</v>
      </c>
      <c r="E36" s="4">
        <f>27105.42+5095.99+4004.07+112.05+2.56+85-142.16-15.55</f>
        <v>36247.37999999999</v>
      </c>
      <c r="F36" s="4">
        <f>2073.89+55.16</f>
        <v>2129.0499999999997</v>
      </c>
      <c r="G36" s="18">
        <f t="shared" si="1"/>
        <v>5.873665903577032</v>
      </c>
      <c r="H36" s="6">
        <f t="shared" si="2"/>
        <v>706874.3300000001</v>
      </c>
      <c r="I36" s="6">
        <f t="shared" si="3"/>
        <v>23949.95</v>
      </c>
      <c r="J36" s="18">
        <f t="shared" si="4"/>
        <v>3.3881482158221816</v>
      </c>
    </row>
    <row r="37" spans="1:10" ht="15">
      <c r="A37" s="2" t="s">
        <v>41</v>
      </c>
      <c r="B37" s="4">
        <f>168626.77+2.44+465.49+1126.67-1025.62</f>
        <v>169195.75</v>
      </c>
      <c r="C37" s="4">
        <f>9306.95+252.93+178.18</f>
        <v>9738.060000000001</v>
      </c>
      <c r="D37" s="18">
        <f t="shared" si="0"/>
        <v>5.7554991777275735</v>
      </c>
      <c r="E37" s="4">
        <f>7876.04+72.43+724.3+5.79</f>
        <v>8678.560000000001</v>
      </c>
      <c r="F37" s="4">
        <f>340.77+25.25+0.55</f>
        <v>366.57</v>
      </c>
      <c r="G37" s="18">
        <f t="shared" si="1"/>
        <v>4.22385741413322</v>
      </c>
      <c r="H37" s="6">
        <f t="shared" si="2"/>
        <v>177874.31</v>
      </c>
      <c r="I37" s="6">
        <f t="shared" si="3"/>
        <v>10104.630000000001</v>
      </c>
      <c r="J37" s="18">
        <f t="shared" si="4"/>
        <v>5.680769752529188</v>
      </c>
    </row>
    <row r="38" spans="1:10" ht="15">
      <c r="A38" s="2" t="s">
        <v>42</v>
      </c>
      <c r="B38" s="4">
        <f>471292.45+284.38+1779.54+167.75-2157.27</f>
        <v>471366.85</v>
      </c>
      <c r="C38" s="4">
        <f>17593.09</f>
        <v>17593.09</v>
      </c>
      <c r="D38" s="18">
        <f t="shared" si="0"/>
        <v>3.7323562316696646</v>
      </c>
      <c r="E38" s="4">
        <f>27238.71+9751.13+4398.81+0.8+7863.47+71.49+41.31+24.25-39.2</f>
        <v>49350.77</v>
      </c>
      <c r="F38" s="4">
        <f>162.48+5171.7+24.25</f>
        <v>5358.429999999999</v>
      </c>
      <c r="G38" s="18">
        <f t="shared" si="1"/>
        <v>10.857844771216335</v>
      </c>
      <c r="H38" s="6">
        <f t="shared" si="2"/>
        <v>520717.62</v>
      </c>
      <c r="I38" s="6">
        <f t="shared" si="3"/>
        <v>22951.52</v>
      </c>
      <c r="J38" s="18">
        <f t="shared" si="4"/>
        <v>4.407671090523113</v>
      </c>
    </row>
    <row r="39" spans="1:10" ht="15">
      <c r="A39" s="2" t="s">
        <v>43</v>
      </c>
      <c r="B39" s="4">
        <f>32104923.83+962.34+2304.65+208940.88-26871.84</f>
        <v>32290259.859999996</v>
      </c>
      <c r="C39" s="4">
        <f>131795.01+210.25</f>
        <v>132005.26</v>
      </c>
      <c r="D39" s="18">
        <f t="shared" si="0"/>
        <v>0.40880829256974593</v>
      </c>
      <c r="E39" s="4">
        <f>4648976.19+660613.61+626695.56+11235.71+6631.2+11.3+2738.55+10.11-46702.17-5055.31</f>
        <v>5905154.750000002</v>
      </c>
      <c r="F39" s="4">
        <f>22487.72+4867.34+3054.27+18.96+2.16</f>
        <v>30430.45</v>
      </c>
      <c r="G39" s="18">
        <f t="shared" si="1"/>
        <v>0.5153201107896451</v>
      </c>
      <c r="H39" s="6">
        <f t="shared" si="2"/>
        <v>38195414.61</v>
      </c>
      <c r="I39" s="6">
        <f t="shared" si="3"/>
        <v>162435.71000000002</v>
      </c>
      <c r="J39" s="18">
        <f t="shared" si="4"/>
        <v>0.4252754202528606</v>
      </c>
    </row>
    <row r="40" spans="1:10" ht="15">
      <c r="A40" s="2" t="s">
        <v>44</v>
      </c>
      <c r="B40" s="15">
        <f>645025.25+145.56-1640.53</f>
        <v>643530.28</v>
      </c>
      <c r="C40" s="15">
        <v>14293.37</v>
      </c>
      <c r="D40" s="18">
        <f t="shared" si="0"/>
        <v>2.221087405553007</v>
      </c>
      <c r="E40" s="15">
        <f>90404.01+44345.48+17720.99+201.63</f>
        <v>152672.11</v>
      </c>
      <c r="F40" s="15">
        <f>2562.78+68.87+44.23</f>
        <v>2675.88</v>
      </c>
      <c r="G40" s="18">
        <f t="shared" si="1"/>
        <v>1.7526973328658393</v>
      </c>
      <c r="H40" s="6">
        <f t="shared" si="2"/>
        <v>796202.39</v>
      </c>
      <c r="I40" s="6">
        <f t="shared" si="3"/>
        <v>16969.25</v>
      </c>
      <c r="J40" s="18">
        <f t="shared" si="4"/>
        <v>2.131273431620822</v>
      </c>
    </row>
    <row r="41" spans="1:10" ht="15">
      <c r="A41" s="2" t="s">
        <v>45</v>
      </c>
      <c r="B41" s="4">
        <f>1273239.97+79.3+42061.56+969.9-8355.54</f>
        <v>1307995.19</v>
      </c>
      <c r="C41" s="4">
        <v>110660.51</v>
      </c>
      <c r="D41" s="18">
        <f t="shared" si="0"/>
        <v>8.460314750851646</v>
      </c>
      <c r="E41" s="4">
        <f>347002.67+186104.3+42983.65+285+1.46+3243.58+1045.9-12.33</f>
        <v>580654.23</v>
      </c>
      <c r="F41" s="4">
        <f>17953.17+1616+746.64</f>
        <v>20315.809999999998</v>
      </c>
      <c r="G41" s="18">
        <f t="shared" si="1"/>
        <v>3.4987792993430875</v>
      </c>
      <c r="H41" s="6">
        <f t="shared" si="2"/>
        <v>1888649.42</v>
      </c>
      <c r="I41" s="6">
        <f t="shared" si="3"/>
        <v>130976.31999999999</v>
      </c>
      <c r="J41" s="18">
        <f t="shared" si="4"/>
        <v>6.934919663385701</v>
      </c>
    </row>
    <row r="42" spans="1:10" ht="15">
      <c r="A42" s="2" t="s">
        <v>46</v>
      </c>
      <c r="B42" s="15">
        <f>3627689.2+459.82+563.03+341.6+6795.94-3888.48+21.9</f>
        <v>3631983.01</v>
      </c>
      <c r="C42" s="6">
        <f>57518.37+175.87</f>
        <v>57694.240000000005</v>
      </c>
      <c r="D42" s="18">
        <f t="shared" si="0"/>
        <v>1.5885052281673535</v>
      </c>
      <c r="E42" s="15">
        <f>516223+331404.16+85475.96+203.3+50.01+0.77+14-154.88-5869.71</f>
        <v>927346.61</v>
      </c>
      <c r="F42" s="15">
        <f>4111.15+38.47-14</f>
        <v>4135.62</v>
      </c>
      <c r="G42" s="18">
        <f t="shared" si="1"/>
        <v>0.44596270212278016</v>
      </c>
      <c r="H42" s="6">
        <f t="shared" si="2"/>
        <v>4559329.62</v>
      </c>
      <c r="I42" s="6">
        <f t="shared" si="3"/>
        <v>61829.86000000001</v>
      </c>
      <c r="J42" s="18">
        <f t="shared" si="4"/>
        <v>1.3561173495501737</v>
      </c>
    </row>
    <row r="43" spans="1:10" ht="15">
      <c r="A43" s="2" t="s">
        <v>47</v>
      </c>
      <c r="B43" s="4">
        <f>232181.04+73.93+71.07-675.39</f>
        <v>231650.65</v>
      </c>
      <c r="C43" s="4">
        <f>6304.15</f>
        <v>6304.15</v>
      </c>
      <c r="D43" s="18">
        <f t="shared" si="0"/>
        <v>2.721403976202959</v>
      </c>
      <c r="E43" s="4">
        <f>93327.01+45821.34+24579.89+679.33+45.57+2132.34-1572.3</f>
        <v>165013.18</v>
      </c>
      <c r="F43" s="4">
        <f>183.58+547.99+0.11</f>
        <v>731.6800000000001</v>
      </c>
      <c r="G43" s="18">
        <f t="shared" si="1"/>
        <v>0.44340700542829375</v>
      </c>
      <c r="H43" s="6">
        <f t="shared" si="2"/>
        <v>396663.82999999996</v>
      </c>
      <c r="I43" s="6">
        <f t="shared" si="3"/>
        <v>7035.83</v>
      </c>
      <c r="J43" s="18">
        <f t="shared" si="4"/>
        <v>1.7737513400200873</v>
      </c>
    </row>
    <row r="44" spans="1:10" ht="15">
      <c r="A44" s="2" t="s">
        <v>48</v>
      </c>
      <c r="B44" s="16">
        <f>498854.69+13970.82+2783.5+760.5-1752.12</f>
        <v>514617.39</v>
      </c>
      <c r="C44" s="15">
        <v>12196.47</v>
      </c>
      <c r="D44" s="18">
        <f t="shared" si="0"/>
        <v>2.370007356339046</v>
      </c>
      <c r="E44" s="15">
        <f>176504.97+280241.27+40161.54+2602.54-145.69-16.2</f>
        <v>499348.42999999993</v>
      </c>
      <c r="F44" s="15">
        <f>666.65+18.22</f>
        <v>684.87</v>
      </c>
      <c r="G44" s="18">
        <f t="shared" si="1"/>
        <v>0.13715272920753954</v>
      </c>
      <c r="H44" s="6">
        <f t="shared" si="2"/>
        <v>1013965.82</v>
      </c>
      <c r="I44" s="6">
        <f t="shared" si="3"/>
        <v>12881.34</v>
      </c>
      <c r="J44" s="18">
        <f t="shared" si="4"/>
        <v>1.2703919349076285</v>
      </c>
    </row>
    <row r="45" spans="1:10" ht="15">
      <c r="A45" s="2" t="s">
        <v>49</v>
      </c>
      <c r="B45" s="15">
        <f>838517.75+237.2+113.79+536.68-2275.59</f>
        <v>837129.8300000001</v>
      </c>
      <c r="C45" s="15">
        <f>14640.72</f>
        <v>14640.72</v>
      </c>
      <c r="D45" s="18">
        <f t="shared" si="0"/>
        <v>1.7489186832584855</v>
      </c>
      <c r="E45" s="15">
        <f>37319.95+10505.8+5515.1+3177+10.1+0.14+846.95+32.83-0.41-0.01</f>
        <v>57407.44999999999</v>
      </c>
      <c r="F45" s="15">
        <f>397.17+105.52</f>
        <v>502.69</v>
      </c>
      <c r="G45" s="18">
        <f t="shared" si="1"/>
        <v>0.8756528987091398</v>
      </c>
      <c r="H45" s="6">
        <f t="shared" si="2"/>
        <v>894537.28</v>
      </c>
      <c r="I45" s="6">
        <f t="shared" si="3"/>
        <v>15143.41</v>
      </c>
      <c r="J45" s="18">
        <f t="shared" si="4"/>
        <v>1.6928763438456136</v>
      </c>
    </row>
    <row r="46" spans="1:10" ht="15">
      <c r="A46" s="2" t="s">
        <v>50</v>
      </c>
      <c r="B46" s="4">
        <f>1335910.21+328.8-1092.39</f>
        <v>1335146.62</v>
      </c>
      <c r="C46" s="4">
        <v>18244.92</v>
      </c>
      <c r="D46" s="18">
        <f t="shared" si="0"/>
        <v>1.3665105934208182</v>
      </c>
      <c r="E46" s="4">
        <f>118097.36+57684.78+36865.92+0.01+4.98</f>
        <v>212653.05000000002</v>
      </c>
      <c r="F46" s="4">
        <f>176.89+245.69+53.17</f>
        <v>475.75</v>
      </c>
      <c r="G46" s="18">
        <f t="shared" si="1"/>
        <v>0.22372122102175349</v>
      </c>
      <c r="H46" s="6">
        <f t="shared" si="2"/>
        <v>1547799.6700000002</v>
      </c>
      <c r="I46" s="6">
        <f t="shared" si="3"/>
        <v>18720.67</v>
      </c>
      <c r="J46" s="18">
        <f t="shared" si="4"/>
        <v>1.209502131500002</v>
      </c>
    </row>
    <row r="47" spans="1:10" ht="15">
      <c r="A47" s="2" t="s">
        <v>51</v>
      </c>
      <c r="B47" s="4">
        <f>1797875.02+408.05+3384.17+2025-9617.51</f>
        <v>1794074.73</v>
      </c>
      <c r="C47" s="4">
        <f>30208.77</f>
        <v>30208.77</v>
      </c>
      <c r="D47" s="18">
        <f t="shared" si="0"/>
        <v>1.6838077865351797</v>
      </c>
      <c r="E47" s="4">
        <f>327524.6+42934.82+78704.25+4435.09+233.56+5073.3+1952.59+2066.95</f>
        <v>462925.16000000003</v>
      </c>
      <c r="F47" s="4">
        <f>4528.45+1.09+143.45</f>
        <v>4672.99</v>
      </c>
      <c r="G47" s="18">
        <f t="shared" si="1"/>
        <v>1.0094482658924824</v>
      </c>
      <c r="H47" s="6">
        <f t="shared" si="2"/>
        <v>2256999.89</v>
      </c>
      <c r="I47" s="6">
        <f t="shared" si="3"/>
        <v>34881.76</v>
      </c>
      <c r="J47" s="18">
        <f t="shared" si="4"/>
        <v>1.5454923216677694</v>
      </c>
    </row>
    <row r="48" spans="1:10" ht="15">
      <c r="A48" s="2" t="s">
        <v>52</v>
      </c>
      <c r="B48" s="4">
        <f>1331915.72+2760+861.81+141.76-5151.82</f>
        <v>1330527.47</v>
      </c>
      <c r="C48" s="4">
        <f>20733.69</f>
        <v>20733.69</v>
      </c>
      <c r="D48" s="18">
        <f t="shared" si="0"/>
        <v>1.558306045346061</v>
      </c>
      <c r="E48" s="4">
        <f>179070.64+103860.13+51926.8+83.65+6.72+135.87+283.31-2672.6-644.49</f>
        <v>332050.03</v>
      </c>
      <c r="F48" s="4">
        <f>1414.95+51.68+34.23</f>
        <v>1500.8600000000001</v>
      </c>
      <c r="G48" s="18">
        <f t="shared" si="1"/>
        <v>0.45199815220615996</v>
      </c>
      <c r="H48" s="6">
        <f t="shared" si="2"/>
        <v>1662577.5</v>
      </c>
      <c r="I48" s="6">
        <f t="shared" si="3"/>
        <v>22234.55</v>
      </c>
      <c r="J48" s="18">
        <f t="shared" si="4"/>
        <v>1.3373541985260837</v>
      </c>
    </row>
    <row r="49" spans="1:10" ht="15">
      <c r="A49" s="2" t="s">
        <v>53</v>
      </c>
      <c r="B49" s="4">
        <f>404487.44+528.02+45.14-1000.77</f>
        <v>404059.83</v>
      </c>
      <c r="C49" s="4">
        <f>9423.01</f>
        <v>9423.01</v>
      </c>
      <c r="D49" s="18">
        <f t="shared" si="0"/>
        <v>2.3320828502056243</v>
      </c>
      <c r="E49" s="4">
        <f>28044.04+7660.25+4499.7+12.45-14.48-0.05</f>
        <v>40201.90999999999</v>
      </c>
      <c r="F49" s="4">
        <f>665.57+37.26</f>
        <v>702.83</v>
      </c>
      <c r="G49" s="18">
        <f t="shared" si="1"/>
        <v>1.7482502697011169</v>
      </c>
      <c r="H49" s="6">
        <f t="shared" si="2"/>
        <v>444261.74</v>
      </c>
      <c r="I49" s="6">
        <f t="shared" si="3"/>
        <v>10125.84</v>
      </c>
      <c r="J49" s="18">
        <f t="shared" si="4"/>
        <v>2.27925096588331</v>
      </c>
    </row>
    <row r="50" spans="1:10" ht="15">
      <c r="A50" s="2" t="s">
        <v>54</v>
      </c>
      <c r="B50" s="15">
        <f>1600954.64+101.02+8740.35+1121.43-8092.37</f>
        <v>1602825.0699999998</v>
      </c>
      <c r="C50" s="15">
        <f>47737.92-209.34</f>
        <v>47528.58</v>
      </c>
      <c r="D50" s="18">
        <f t="shared" si="0"/>
        <v>2.9653005115523934</v>
      </c>
      <c r="E50" s="15">
        <f>195892.45+178831.72+48729.06+92.48+0.31+5.47+1037.61-418.26-3.78</f>
        <v>424167.05999999994</v>
      </c>
      <c r="F50" s="15">
        <f>3268.98+32.51</f>
        <v>3301.4900000000002</v>
      </c>
      <c r="G50" s="18">
        <f t="shared" si="1"/>
        <v>0.7783466259732664</v>
      </c>
      <c r="H50" s="6">
        <f t="shared" si="2"/>
        <v>2026992.13</v>
      </c>
      <c r="I50" s="6">
        <f t="shared" si="3"/>
        <v>50830.07</v>
      </c>
      <c r="J50" s="18">
        <f t="shared" si="4"/>
        <v>2.5076599582061525</v>
      </c>
    </row>
    <row r="51" spans="1:10" ht="15">
      <c r="A51" s="2" t="s">
        <v>55</v>
      </c>
      <c r="B51" s="15">
        <f>508911.76+348.41+392.36+50.75+63000-826.4</f>
        <v>571876.88</v>
      </c>
      <c r="C51" s="15">
        <v>5463.6</v>
      </c>
      <c r="D51" s="18">
        <f t="shared" si="0"/>
        <v>0.9553804658093541</v>
      </c>
      <c r="E51" s="15">
        <f>593027.97+1315015.36+76009.17+30.08+719.2+3845.99-764.44-1358.53</f>
        <v>1986524.8</v>
      </c>
      <c r="F51" s="15">
        <f>66.75+44.6</f>
        <v>111.35</v>
      </c>
      <c r="G51" s="18">
        <f t="shared" si="1"/>
        <v>0.0056052660404742995</v>
      </c>
      <c r="H51" s="6">
        <f t="shared" si="2"/>
        <v>2558401.68</v>
      </c>
      <c r="I51" s="6">
        <f t="shared" si="3"/>
        <v>5574.950000000001</v>
      </c>
      <c r="J51" s="18">
        <f t="shared" si="4"/>
        <v>0.21790753358166964</v>
      </c>
    </row>
    <row r="52" spans="1:10" ht="15">
      <c r="A52" s="23" t="s">
        <v>56</v>
      </c>
      <c r="B52" s="4">
        <f>7207173.63+2867.51+59.78+1912.97+24177.07-10417.95</f>
        <v>7225773.01</v>
      </c>
      <c r="C52" s="4">
        <f>84199.14</f>
        <v>84199.14</v>
      </c>
      <c r="D52" s="18">
        <f t="shared" si="0"/>
        <v>1.1652613482802998</v>
      </c>
      <c r="E52" s="4">
        <f>1003756.48+1062808.76+212632.37+821.81+17.09+436.02+1613.03+104.06-4820.4+56.82</f>
        <v>2277426.0399999996</v>
      </c>
      <c r="F52" s="4">
        <f>15076+3924.65+6307.42+4.5+0.48</f>
        <v>25313.05</v>
      </c>
      <c r="G52" s="18">
        <f t="shared" si="1"/>
        <v>1.1114762699384961</v>
      </c>
      <c r="H52" s="6">
        <f t="shared" si="2"/>
        <v>9503199.049999999</v>
      </c>
      <c r="I52" s="6">
        <f t="shared" si="3"/>
        <v>109512.19</v>
      </c>
      <c r="J52" s="18">
        <f t="shared" si="4"/>
        <v>1.1523718426165137</v>
      </c>
    </row>
    <row r="53" spans="1:10" ht="15">
      <c r="A53" s="2" t="s">
        <v>57</v>
      </c>
      <c r="B53" s="4">
        <f>709830.28+32465.16+4456.14-4794.97</f>
        <v>741956.6100000001</v>
      </c>
      <c r="C53" s="4">
        <v>58889.86</v>
      </c>
      <c r="D53" s="18">
        <f t="shared" si="0"/>
        <v>7.937102952691531</v>
      </c>
      <c r="E53" s="4">
        <f>438703.65+16028.39+15658.06+0.04</f>
        <v>470390.14</v>
      </c>
      <c r="F53" s="4">
        <f>304924.08+5040.1+1121.82</f>
        <v>311086</v>
      </c>
      <c r="G53" s="18">
        <f t="shared" si="1"/>
        <v>66.13361411019372</v>
      </c>
      <c r="H53" s="6">
        <f t="shared" si="2"/>
        <v>1212346.75</v>
      </c>
      <c r="I53" s="6">
        <f t="shared" si="3"/>
        <v>369975.86</v>
      </c>
      <c r="J53" s="18">
        <f t="shared" si="4"/>
        <v>30.517330128529647</v>
      </c>
    </row>
    <row r="54" spans="1:10" ht="15">
      <c r="A54" s="2" t="s">
        <v>58</v>
      </c>
      <c r="B54" s="15">
        <f>1000116.05+91.74+737.16-1865.02</f>
        <v>999079.93</v>
      </c>
      <c r="C54" s="15">
        <f>14874.88+40.26</f>
        <v>14915.14</v>
      </c>
      <c r="D54" s="18">
        <f t="shared" si="0"/>
        <v>1.4928875610583028</v>
      </c>
      <c r="E54" s="15">
        <f>130453.67+127733+24773.19+3202.2+4.9+54.56-39.22-61.12</f>
        <v>286121.18000000005</v>
      </c>
      <c r="F54" s="15">
        <f>768.66+529.18+16.92</f>
        <v>1314.76</v>
      </c>
      <c r="G54" s="18">
        <f t="shared" si="1"/>
        <v>0.4595115957511428</v>
      </c>
      <c r="H54" s="6">
        <f t="shared" si="2"/>
        <v>1285201.11</v>
      </c>
      <c r="I54" s="6">
        <f t="shared" si="3"/>
        <v>16229.9</v>
      </c>
      <c r="J54" s="18">
        <f t="shared" si="4"/>
        <v>1.2628295971515304</v>
      </c>
    </row>
    <row r="55" spans="1:10" ht="15">
      <c r="A55" s="2" t="s">
        <v>59</v>
      </c>
      <c r="B55" s="15">
        <f>863474.81+2652.72+289.87+1243.56-1721</f>
        <v>865939.9600000001</v>
      </c>
      <c r="C55" s="15">
        <f>16029.79</f>
        <v>16029.79</v>
      </c>
      <c r="D55" s="18">
        <f t="shared" si="0"/>
        <v>1.8511433517861906</v>
      </c>
      <c r="E55" s="15">
        <f>95650.54+251759.93+45839.12+716.21+1.07-281.75</f>
        <v>393685.12</v>
      </c>
      <c r="F55" s="15">
        <f>2613.86+127.67+140.98+0.01</f>
        <v>2882.5200000000004</v>
      </c>
      <c r="G55" s="18">
        <f t="shared" si="1"/>
        <v>0.732189217616353</v>
      </c>
      <c r="H55" s="6">
        <f t="shared" si="2"/>
        <v>1259625.08</v>
      </c>
      <c r="I55" s="6">
        <f t="shared" si="3"/>
        <v>18912.31</v>
      </c>
      <c r="J55" s="18">
        <f t="shared" si="4"/>
        <v>1.501423741102392</v>
      </c>
    </row>
    <row r="56" spans="1:10" ht="15">
      <c r="A56" s="2" t="s">
        <v>60</v>
      </c>
      <c r="B56" s="4">
        <f>2666690.09+24114.45+14474.18+47.58-2148.42</f>
        <v>2703177.8800000004</v>
      </c>
      <c r="C56" s="4">
        <f>56330.94+410.33</f>
        <v>56741.270000000004</v>
      </c>
      <c r="D56" s="18">
        <f t="shared" si="0"/>
        <v>2.0990579428683396</v>
      </c>
      <c r="E56" s="4">
        <f>600008.24+479028.65+143979.54+9762.96+37.55+390.4+129.33+129.33-491.56-1548.65</f>
        <v>1231425.7900000003</v>
      </c>
      <c r="F56" s="4">
        <f>9446.72-1063.82</f>
        <v>8382.9</v>
      </c>
      <c r="G56" s="18">
        <f t="shared" si="1"/>
        <v>0.6807474772799746</v>
      </c>
      <c r="H56" s="6">
        <f t="shared" si="2"/>
        <v>3934603.670000001</v>
      </c>
      <c r="I56" s="6">
        <f t="shared" si="3"/>
        <v>65124.170000000006</v>
      </c>
      <c r="J56" s="18">
        <f t="shared" si="4"/>
        <v>1.655164673803092</v>
      </c>
    </row>
    <row r="57" spans="1:10" ht="15">
      <c r="A57" s="2" t="s">
        <v>61</v>
      </c>
      <c r="B57" s="15">
        <f>868781.5+90.52-2518.57</f>
        <v>866353.4500000001</v>
      </c>
      <c r="C57" s="15">
        <v>12089.47</v>
      </c>
      <c r="D57" s="18">
        <f t="shared" si="0"/>
        <v>1.3954431646806507</v>
      </c>
      <c r="E57" s="15">
        <f>81577.06+39729.32+28628.69+29.09+29.08+497.84+194.94-66.89-410.15</f>
        <v>150208.97999999998</v>
      </c>
      <c r="F57" s="15">
        <f>116.66+3.3+40.26</f>
        <v>160.22</v>
      </c>
      <c r="G57" s="18">
        <f t="shared" si="1"/>
        <v>0.10666472803423604</v>
      </c>
      <c r="H57" s="6">
        <f t="shared" si="2"/>
        <v>1016562.43</v>
      </c>
      <c r="I57" s="6">
        <f t="shared" si="3"/>
        <v>12249.689999999999</v>
      </c>
      <c r="J57" s="18">
        <f t="shared" si="4"/>
        <v>1.2050110882024234</v>
      </c>
    </row>
    <row r="58" spans="1:10" ht="15">
      <c r="A58" s="2" t="s">
        <v>62</v>
      </c>
      <c r="B58" s="4">
        <f>246937.52+6.62+30.5-1293.54</f>
        <v>245681.09999999998</v>
      </c>
      <c r="C58" s="4">
        <v>3652.64</v>
      </c>
      <c r="D58" s="18">
        <f t="shared" si="0"/>
        <v>1.4867403312668332</v>
      </c>
      <c r="E58" s="8">
        <f>59925.47+785.28+8014.28+191.34+58.31+1378.4+28.1-21.51</f>
        <v>70359.67</v>
      </c>
      <c r="F58" s="4">
        <v>65.88</v>
      </c>
      <c r="G58" s="18">
        <f t="shared" si="1"/>
        <v>0.09363318503341474</v>
      </c>
      <c r="H58" s="6">
        <f t="shared" si="2"/>
        <v>316040.76999999996</v>
      </c>
      <c r="I58" s="6">
        <f t="shared" si="3"/>
        <v>3718.52</v>
      </c>
      <c r="J58" s="18">
        <f t="shared" si="4"/>
        <v>1.1765950323434538</v>
      </c>
    </row>
    <row r="59" spans="1:10" ht="15">
      <c r="A59" s="2" t="s">
        <v>63</v>
      </c>
      <c r="B59" s="4">
        <f>2306074.67+161.16+3920.18+656.29+1530+1530-9122.18</f>
        <v>2304750.12</v>
      </c>
      <c r="C59" s="4">
        <f>41717.21+51.29</f>
        <v>41768.5</v>
      </c>
      <c r="D59" s="18">
        <f t="shared" si="0"/>
        <v>1.812278894685555</v>
      </c>
      <c r="E59" s="4">
        <f>1019204.14+292703.57+89881.42+1632.11+38-151.06</f>
        <v>1403308.18</v>
      </c>
      <c r="F59" s="4">
        <f>2042.82+2499.04-291.36</f>
        <v>4250.5</v>
      </c>
      <c r="G59" s="18">
        <f t="shared" si="1"/>
        <v>0.3028914147710591</v>
      </c>
      <c r="H59" s="6">
        <f t="shared" si="2"/>
        <v>3708058.3</v>
      </c>
      <c r="I59" s="6">
        <f t="shared" si="3"/>
        <v>46019</v>
      </c>
      <c r="J59" s="18">
        <f t="shared" si="4"/>
        <v>1.2410538421146184</v>
      </c>
    </row>
    <row r="60" spans="1:10" ht="15">
      <c r="A60" s="2" t="s">
        <v>64</v>
      </c>
      <c r="B60" s="4">
        <f>308464.96+12.2+335.38+508.13-3719.6</f>
        <v>305601.07000000007</v>
      </c>
      <c r="C60" s="4">
        <v>15837.61</v>
      </c>
      <c r="D60" s="18">
        <f t="shared" si="0"/>
        <v>5.182445859891786</v>
      </c>
      <c r="E60" s="4">
        <f>20473.73+9500.95+3342.22+38.83+475.02-0.27-481.29</f>
        <v>33349.19</v>
      </c>
      <c r="F60" s="4">
        <f>1762.14+17.62+132.83</f>
        <v>1912.59</v>
      </c>
      <c r="G60" s="18">
        <f t="shared" si="1"/>
        <v>5.735041840596428</v>
      </c>
      <c r="H60" s="6">
        <f t="shared" si="2"/>
        <v>338950.26000000007</v>
      </c>
      <c r="I60" s="6">
        <f t="shared" si="3"/>
        <v>17750.2</v>
      </c>
      <c r="J60" s="18">
        <f t="shared" si="4"/>
        <v>5.23681557288081</v>
      </c>
    </row>
    <row r="61" spans="1:10" ht="15">
      <c r="A61" s="2" t="s">
        <v>65</v>
      </c>
      <c r="B61" s="4">
        <f>75223139.57+13396.32+38889.99-123936.51</f>
        <v>75151489.36999997</v>
      </c>
      <c r="C61" s="4">
        <v>781197.78</v>
      </c>
      <c r="D61" s="18">
        <f t="shared" si="0"/>
        <v>1.0394974025782242</v>
      </c>
      <c r="E61" s="4">
        <f>12793813.85+5703461.61+1952680.84+26430.45+22193.99+97948.13+4303.53+645937.52+661.79+453.67+371.15+30025.05+851.26+0.74-22710.14+4045.81+138728.67-26.55</f>
        <v>21399171.369999997</v>
      </c>
      <c r="F61" s="4">
        <f>115854.22+4220.5+9372.15+4.65</f>
        <v>129451.51999999999</v>
      </c>
      <c r="G61" s="18">
        <f t="shared" si="1"/>
        <v>0.604937068645009</v>
      </c>
      <c r="H61" s="6">
        <f t="shared" si="2"/>
        <v>96550660.73999998</v>
      </c>
      <c r="I61" s="6">
        <f t="shared" si="3"/>
        <v>910649.3</v>
      </c>
      <c r="J61" s="18">
        <f t="shared" si="4"/>
        <v>0.9431828772796031</v>
      </c>
    </row>
    <row r="62" spans="1:10" ht="15">
      <c r="A62" s="23" t="s">
        <v>66</v>
      </c>
      <c r="B62" s="4">
        <f>4459195.65+367.09+344.04-3934.76</f>
        <v>4455972.0200000005</v>
      </c>
      <c r="C62" s="4">
        <v>32975.25</v>
      </c>
      <c r="D62" s="18">
        <f t="shared" si="0"/>
        <v>0.740023722141774</v>
      </c>
      <c r="E62" s="4">
        <f>468574.51+170969.55+108997.01+2349.11+41.24+8575.53+25.72+9.34+339.65+708.65+677.87-4915.4</f>
        <v>756352.78</v>
      </c>
      <c r="F62" s="4">
        <f>9307.62+225.88+0.2</f>
        <v>9533.7</v>
      </c>
      <c r="G62" s="18">
        <f t="shared" si="1"/>
        <v>1.2604832364072225</v>
      </c>
      <c r="H62" s="6">
        <f t="shared" si="2"/>
        <v>5212324.800000001</v>
      </c>
      <c r="I62" s="6">
        <f t="shared" si="3"/>
        <v>42508.95</v>
      </c>
      <c r="J62" s="18">
        <f t="shared" si="4"/>
        <v>0.8155468362217181</v>
      </c>
    </row>
    <row r="63" spans="1:10" ht="15">
      <c r="A63" s="2" t="s">
        <v>67</v>
      </c>
      <c r="B63" s="4">
        <f>886662.47+87.35+20608.74+112.85-5548.17</f>
        <v>901923.2399999999</v>
      </c>
      <c r="C63" s="4">
        <v>36530.57</v>
      </c>
      <c r="D63" s="18">
        <f t="shared" si="0"/>
        <v>4.0502970075369165</v>
      </c>
      <c r="E63" s="4">
        <f>245411.2+4018.79+14791.44+51.27-8272.93</f>
        <v>255999.77000000002</v>
      </c>
      <c r="F63" s="4">
        <f>22288.43+229.62+23.19</f>
        <v>22541.239999999998</v>
      </c>
      <c r="G63" s="18">
        <f t="shared" si="1"/>
        <v>8.805179785903713</v>
      </c>
      <c r="H63" s="6">
        <f t="shared" si="2"/>
        <v>1157923.0099999998</v>
      </c>
      <c r="I63" s="6">
        <f t="shared" si="3"/>
        <v>59071.81</v>
      </c>
      <c r="J63" s="18">
        <f t="shared" si="4"/>
        <v>5.1015317503708655</v>
      </c>
    </row>
    <row r="64" spans="1:10" ht="15">
      <c r="A64" s="2" t="s">
        <v>68</v>
      </c>
      <c r="B64" s="15">
        <f>12663026.22+0.61+216.76-18234.32</f>
        <v>12645009.27</v>
      </c>
      <c r="C64" s="15">
        <f>123683.85</f>
        <v>123683.85</v>
      </c>
      <c r="D64" s="18">
        <f t="shared" si="0"/>
        <v>0.9781238381013857</v>
      </c>
      <c r="E64" s="15">
        <f>1314304.7+532732.38+239599.95+21.47+3.78+106.29+46.38+116.67-12916.8+379.89+13.31</f>
        <v>2074408.0199999998</v>
      </c>
      <c r="F64" s="15">
        <f>21103.25+3104.72+475.95</f>
        <v>24683.920000000002</v>
      </c>
      <c r="G64" s="18">
        <f t="shared" si="1"/>
        <v>1.1899259818712042</v>
      </c>
      <c r="H64" s="6">
        <f t="shared" si="2"/>
        <v>14719417.29</v>
      </c>
      <c r="I64" s="6">
        <f t="shared" si="3"/>
        <v>148367.77000000002</v>
      </c>
      <c r="J64" s="18">
        <f t="shared" si="4"/>
        <v>1.0079731220120876</v>
      </c>
    </row>
    <row r="65" spans="1:10" ht="15">
      <c r="A65" s="2" t="s">
        <v>69</v>
      </c>
      <c r="B65" s="4">
        <f>355260.75+53809.83+200.93-3555.93</f>
        <v>405715.58</v>
      </c>
      <c r="C65" s="4">
        <v>42962.07</v>
      </c>
      <c r="D65" s="18">
        <f t="shared" si="0"/>
        <v>10.589208824566214</v>
      </c>
      <c r="E65" s="4">
        <f>101988.85+13594.89+3251.63+12.75</f>
        <v>118848.12000000001</v>
      </c>
      <c r="F65" s="4">
        <f>13372.34+1409.88+112.03</f>
        <v>14894.250000000002</v>
      </c>
      <c r="G65" s="18">
        <f t="shared" si="1"/>
        <v>12.532171312427998</v>
      </c>
      <c r="H65" s="6">
        <f t="shared" si="2"/>
        <v>524563.7000000001</v>
      </c>
      <c r="I65" s="6">
        <f t="shared" si="3"/>
        <v>57856.32</v>
      </c>
      <c r="J65" s="18">
        <f t="shared" si="4"/>
        <v>11.02941739964088</v>
      </c>
    </row>
    <row r="66" spans="1:10" ht="15">
      <c r="A66" s="2" t="s">
        <v>70</v>
      </c>
      <c r="B66" s="4">
        <f>1028886.37+307.44+22091.66+1631.38-7544.71</f>
        <v>1045372.1399999999</v>
      </c>
      <c r="C66" s="4">
        <f>54856.35+8.54+8.54</f>
        <v>54873.43</v>
      </c>
      <c r="D66" s="18">
        <f t="shared" si="0"/>
        <v>5.249176623360175</v>
      </c>
      <c r="E66" s="4">
        <f>187885.36+73398.32+45154.18+6.75+4.14+298.27+182.45-579.7-19.65-6.08</f>
        <v>306324.04</v>
      </c>
      <c r="F66" s="4">
        <f>4689.34+1015.05</f>
        <v>5704.39</v>
      </c>
      <c r="G66" s="18">
        <f t="shared" si="1"/>
        <v>1.8622077457583808</v>
      </c>
      <c r="H66" s="6">
        <f t="shared" si="2"/>
        <v>1351696.18</v>
      </c>
      <c r="I66" s="6">
        <f t="shared" si="3"/>
        <v>60577.82</v>
      </c>
      <c r="J66" s="18">
        <f t="shared" si="4"/>
        <v>4.481615091935823</v>
      </c>
    </row>
    <row r="67" spans="1:10" ht="15">
      <c r="A67" s="2" t="s">
        <v>71</v>
      </c>
      <c r="B67" s="4">
        <f>692334.77-1817.56</f>
        <v>690517.21</v>
      </c>
      <c r="C67" s="4">
        <v>15772.65</v>
      </c>
      <c r="D67" s="18">
        <f t="shared" si="0"/>
        <v>2.284179130017628</v>
      </c>
      <c r="E67" s="4">
        <f>51797.56+19628.35+12536.81+65.55+31.7+3.95-200.46-8.21</f>
        <v>83855.24999999999</v>
      </c>
      <c r="F67" s="4">
        <f>801.58+1.8</f>
        <v>803.38</v>
      </c>
      <c r="G67" s="18">
        <f t="shared" si="1"/>
        <v>0.958055697168633</v>
      </c>
      <c r="H67" s="6">
        <f t="shared" si="2"/>
        <v>774372.46</v>
      </c>
      <c r="I67" s="6">
        <f t="shared" si="3"/>
        <v>16576.03</v>
      </c>
      <c r="J67" s="18">
        <f t="shared" si="4"/>
        <v>2.140575867070479</v>
      </c>
    </row>
    <row r="68" spans="1:10" ht="15">
      <c r="A68" s="2" t="s">
        <v>72</v>
      </c>
      <c r="B68" s="4">
        <f>2925861.44+818.25+370.92+4277.69+5314.34-12215.74</f>
        <v>2924426.8999999994</v>
      </c>
      <c r="C68" s="4">
        <f>85739.31</f>
        <v>85739.31</v>
      </c>
      <c r="D68" s="18">
        <f t="shared" si="0"/>
        <v>2.931832900319718</v>
      </c>
      <c r="E68" s="4">
        <v>1263415</v>
      </c>
      <c r="F68" s="4">
        <f>9285.42+2154.78+738.98+8.4</f>
        <v>12187.58</v>
      </c>
      <c r="G68" s="18">
        <f t="shared" si="1"/>
        <v>0.9646537361041305</v>
      </c>
      <c r="H68" s="6">
        <f t="shared" si="2"/>
        <v>4187841.8999999994</v>
      </c>
      <c r="I68" s="6">
        <f t="shared" si="3"/>
        <v>97926.89</v>
      </c>
      <c r="J68" s="18">
        <f t="shared" si="4"/>
        <v>2.338361675019298</v>
      </c>
    </row>
    <row r="69" spans="1:10" ht="15">
      <c r="A69" s="2" t="s">
        <v>73</v>
      </c>
      <c r="B69" s="4">
        <f>555551.67+137.25+148.48-3775.16</f>
        <v>552062.24</v>
      </c>
      <c r="C69" s="4">
        <f>29994.98</f>
        <v>29994.98</v>
      </c>
      <c r="D69" s="18">
        <f t="shared" si="0"/>
        <v>5.433260568590962</v>
      </c>
      <c r="E69" s="4">
        <f>147687.16+9562.36+11021.77+56.09+0.09+32021.12+20194.24-5326.34+2.27-54.49-2619.61</f>
        <v>212544.66</v>
      </c>
      <c r="F69" s="4">
        <f>2798.31+1857.13+368.45+4936.37+326.64</f>
        <v>10286.9</v>
      </c>
      <c r="G69" s="18">
        <f t="shared" si="1"/>
        <v>4.839876946332126</v>
      </c>
      <c r="H69" s="6">
        <f t="shared" si="2"/>
        <v>764606.9</v>
      </c>
      <c r="I69" s="6">
        <f t="shared" si="3"/>
        <v>40281.88</v>
      </c>
      <c r="J69" s="18">
        <f t="shared" si="4"/>
        <v>5.268312383788323</v>
      </c>
    </row>
    <row r="70" spans="1:10" ht="15">
      <c r="A70" s="2" t="s">
        <v>74</v>
      </c>
      <c r="B70" s="4">
        <f>228950.8+15995.07+62.22-1284.08</f>
        <v>243724.01</v>
      </c>
      <c r="C70" s="4">
        <f>9804.16+12.2</f>
        <v>9816.36</v>
      </c>
      <c r="D70" s="18">
        <f t="shared" si="0"/>
        <v>4.027654066581294</v>
      </c>
      <c r="E70" s="4">
        <f>37296.74+1768.08+3304.51+6</f>
        <v>42375.33</v>
      </c>
      <c r="F70" s="4">
        <f>307.07+20.5</f>
        <v>327.57</v>
      </c>
      <c r="G70" s="18">
        <f t="shared" si="1"/>
        <v>0.773020528689688</v>
      </c>
      <c r="H70" s="6">
        <f t="shared" si="2"/>
        <v>286099.34</v>
      </c>
      <c r="I70" s="6">
        <f t="shared" si="3"/>
        <v>10143.93</v>
      </c>
      <c r="J70" s="18">
        <f t="shared" si="4"/>
        <v>3.545597134198212</v>
      </c>
    </row>
    <row r="71" spans="1:10" ht="15">
      <c r="A71" s="2" t="s">
        <v>75</v>
      </c>
      <c r="B71" s="4">
        <f>247550.26+19711.99+84.18-1794.8</f>
        <v>265551.63</v>
      </c>
      <c r="C71" s="4">
        <v>33917.19</v>
      </c>
      <c r="D71" s="18">
        <f aca="true" t="shared" si="5" ref="D71:D125">C71/B71*100</f>
        <v>12.772352404690569</v>
      </c>
      <c r="E71" s="4">
        <f>136552.45+531.58+2474.06+62.04</f>
        <v>139620.13</v>
      </c>
      <c r="F71" s="4">
        <f>41125.09+481.2</f>
        <v>41606.28999999999</v>
      </c>
      <c r="G71" s="18">
        <f aca="true" t="shared" si="6" ref="G71:G125">F71/E71*100</f>
        <v>29.799635625607852</v>
      </c>
      <c r="H71" s="6">
        <f aca="true" t="shared" si="7" ref="H71:H125">B71+E71</f>
        <v>405171.76</v>
      </c>
      <c r="I71" s="6">
        <f aca="true" t="shared" si="8" ref="I71:I125">C71+F71</f>
        <v>75523.48</v>
      </c>
      <c r="J71" s="18">
        <f aca="true" t="shared" si="9" ref="J71:J125">I71/H71*100</f>
        <v>18.63986769462906</v>
      </c>
    </row>
    <row r="72" spans="1:10" ht="15">
      <c r="A72" s="2" t="s">
        <v>76</v>
      </c>
      <c r="B72" s="4">
        <f>459398.76+24.4+53672.29+6340.07-11950.1</f>
        <v>507485.42000000004</v>
      </c>
      <c r="C72" s="4">
        <f>40994.29</f>
        <v>40994.29</v>
      </c>
      <c r="D72" s="18">
        <f t="shared" si="5"/>
        <v>8.077924682052934</v>
      </c>
      <c r="E72" s="4">
        <f>151909.07+32456.02+12989.06+341.85+0.1</f>
        <v>197696.1</v>
      </c>
      <c r="F72" s="4">
        <v>63787.95</v>
      </c>
      <c r="G72" s="18">
        <f t="shared" si="6"/>
        <v>32.26565926186707</v>
      </c>
      <c r="H72" s="6">
        <f t="shared" si="7"/>
        <v>705181.52</v>
      </c>
      <c r="I72" s="6">
        <f t="shared" si="8"/>
        <v>104782.23999999999</v>
      </c>
      <c r="J72" s="18">
        <f t="shared" si="9"/>
        <v>14.858903279257799</v>
      </c>
    </row>
    <row r="73" spans="1:10" ht="15">
      <c r="A73" s="2" t="s">
        <v>77</v>
      </c>
      <c r="B73" s="15">
        <f>407815.97+178.99+87.84-1436.06</f>
        <v>406646.74</v>
      </c>
      <c r="C73" s="15">
        <f>8077.99</f>
        <v>8077.99</v>
      </c>
      <c r="D73" s="18">
        <f t="shared" si="5"/>
        <v>1.9864883215343125</v>
      </c>
      <c r="E73" s="15">
        <f>49109.88+9763.04+3173.75+5.84+4.41+77.24-3001.93</f>
        <v>59132.229999999996</v>
      </c>
      <c r="F73" s="15">
        <v>164.4</v>
      </c>
      <c r="G73" s="18">
        <f t="shared" si="6"/>
        <v>0.2780209709662565</v>
      </c>
      <c r="H73" s="6">
        <f t="shared" si="7"/>
        <v>465778.97</v>
      </c>
      <c r="I73" s="6">
        <f t="shared" si="8"/>
        <v>8242.39</v>
      </c>
      <c r="J73" s="18">
        <f t="shared" si="9"/>
        <v>1.7695925601793485</v>
      </c>
    </row>
    <row r="74" spans="1:10" ht="15">
      <c r="A74" s="2" t="s">
        <v>78</v>
      </c>
      <c r="B74" s="4">
        <f>941717.04+219.6+26.64+2006.31-4711.05</f>
        <v>939258.54</v>
      </c>
      <c r="C74" s="4">
        <v>22316.24</v>
      </c>
      <c r="D74" s="18">
        <f t="shared" si="5"/>
        <v>2.3759421979809736</v>
      </c>
      <c r="E74" s="4">
        <f>83412.21+20124.18+15607.36+3.68+70.05+65.71+1840.2+2631.46</f>
        <v>123754.85000000002</v>
      </c>
      <c r="F74" s="4">
        <f>1862.37+7.65</f>
        <v>1870.02</v>
      </c>
      <c r="G74" s="18">
        <f t="shared" si="6"/>
        <v>1.5110680510703214</v>
      </c>
      <c r="H74" s="6">
        <f t="shared" si="7"/>
        <v>1063013.3900000001</v>
      </c>
      <c r="I74" s="6">
        <f t="shared" si="8"/>
        <v>24186.260000000002</v>
      </c>
      <c r="J74" s="18">
        <f t="shared" si="9"/>
        <v>2.275254500792318</v>
      </c>
    </row>
    <row r="75" spans="1:10" ht="15">
      <c r="A75" s="2" t="s">
        <v>79</v>
      </c>
      <c r="B75" s="4">
        <f>549215.92+23411.38+30.37-985.93</f>
        <v>571671.74</v>
      </c>
      <c r="C75" s="4">
        <f>7018.23</f>
        <v>7018.23</v>
      </c>
      <c r="D75" s="18">
        <f t="shared" si="5"/>
        <v>1.2276678220966457</v>
      </c>
      <c r="E75" s="4">
        <f>291090.66+105332.28+20382.08+1527.62+17.54-294.94</f>
        <v>418055.23999999993</v>
      </c>
      <c r="F75" s="4">
        <f>65.22+0.52+13.97</f>
        <v>79.71</v>
      </c>
      <c r="G75" s="18">
        <f t="shared" si="6"/>
        <v>0.0190668582458146</v>
      </c>
      <c r="H75" s="6">
        <f t="shared" si="7"/>
        <v>989726.98</v>
      </c>
      <c r="I75" s="6">
        <f t="shared" si="8"/>
        <v>7097.94</v>
      </c>
      <c r="J75" s="18">
        <f t="shared" si="9"/>
        <v>0.7171614135445716</v>
      </c>
    </row>
    <row r="76" spans="1:10" ht="15">
      <c r="A76" s="2" t="s">
        <v>80</v>
      </c>
      <c r="B76" s="4">
        <f>1425220.09+91.74+314.28+786.78-4637.17</f>
        <v>1421775.7200000002</v>
      </c>
      <c r="C76" s="4">
        <v>20085.63</v>
      </c>
      <c r="D76" s="18">
        <f t="shared" si="5"/>
        <v>1.4127143766388133</v>
      </c>
      <c r="E76" s="4">
        <f>374010.97+857463.23+174600.47+3179.73+29.01+20085.98+3273.73-61122.78+55.28</f>
        <v>1371575.6199999999</v>
      </c>
      <c r="F76" s="4">
        <f>310.62+235.49</f>
        <v>546.11</v>
      </c>
      <c r="G76" s="18">
        <f t="shared" si="6"/>
        <v>0.03981625161870404</v>
      </c>
      <c r="H76" s="6">
        <f t="shared" si="7"/>
        <v>2793351.34</v>
      </c>
      <c r="I76" s="6">
        <f t="shared" si="8"/>
        <v>20631.74</v>
      </c>
      <c r="J76" s="18">
        <f t="shared" si="9"/>
        <v>0.7386016826655254</v>
      </c>
    </row>
    <row r="77" spans="1:10" ht="15">
      <c r="A77" s="2" t="s">
        <v>81</v>
      </c>
      <c r="B77" s="4">
        <f>765826.32+127.19+545.1-1864.87</f>
        <v>764633.7399999999</v>
      </c>
      <c r="C77" s="4">
        <v>8569.73</v>
      </c>
      <c r="D77" s="18">
        <f t="shared" si="5"/>
        <v>1.1207627327562082</v>
      </c>
      <c r="E77" s="4">
        <f>55890.96+9365.24+6249.11+439.77+1.09</f>
        <v>71946.17</v>
      </c>
      <c r="F77" s="4">
        <f>67.91+20+21.75</f>
        <v>109.66</v>
      </c>
      <c r="G77" s="18">
        <f t="shared" si="6"/>
        <v>0.1524195103088879</v>
      </c>
      <c r="H77" s="6">
        <f t="shared" si="7"/>
        <v>836579.9099999999</v>
      </c>
      <c r="I77" s="6">
        <f t="shared" si="8"/>
        <v>8679.39</v>
      </c>
      <c r="J77" s="18">
        <f t="shared" si="9"/>
        <v>1.0374848709909852</v>
      </c>
    </row>
    <row r="78" spans="1:10" ht="15">
      <c r="A78" s="2" t="s">
        <v>82</v>
      </c>
      <c r="B78" s="4">
        <f>5502244.08+4000.98+1080.01+2260.11-8479.62</f>
        <v>5501105.5600000005</v>
      </c>
      <c r="C78" s="4">
        <v>101131.13</v>
      </c>
      <c r="D78" s="18">
        <f t="shared" si="5"/>
        <v>1.83837828409168</v>
      </c>
      <c r="E78" s="22">
        <f>735275.28+699630.45+164106.42+732.3+958.34+361.17+1532.57+12.52-980.1-7500.77-331.94</f>
        <v>1593796.24</v>
      </c>
      <c r="F78" s="4">
        <f>7994.65+1125.29+2036.21+0.28</f>
        <v>11156.429999999998</v>
      </c>
      <c r="G78" s="18">
        <f t="shared" si="6"/>
        <v>0.6999909850458675</v>
      </c>
      <c r="H78" s="6">
        <f t="shared" si="7"/>
        <v>7094901.800000001</v>
      </c>
      <c r="I78" s="6">
        <f t="shared" si="8"/>
        <v>112287.56</v>
      </c>
      <c r="J78" s="18">
        <f t="shared" si="9"/>
        <v>1.5826513624191387</v>
      </c>
    </row>
    <row r="79" spans="1:10" ht="15">
      <c r="A79" s="23" t="s">
        <v>83</v>
      </c>
      <c r="B79" s="4">
        <f>237073.48+13827.31-2217.47</f>
        <v>248683.32</v>
      </c>
      <c r="C79" s="4">
        <v>18332.19</v>
      </c>
      <c r="D79" s="18">
        <f t="shared" si="5"/>
        <v>7.3717006834233985</v>
      </c>
      <c r="E79" s="4">
        <f>90474.71+451.49+4435.81</f>
        <v>95362.01000000001</v>
      </c>
      <c r="F79" s="4">
        <f>25448.8+162.89</f>
        <v>25611.69</v>
      </c>
      <c r="G79" s="18">
        <f t="shared" si="6"/>
        <v>26.85733029326877</v>
      </c>
      <c r="H79" s="6">
        <f t="shared" si="7"/>
        <v>344045.33</v>
      </c>
      <c r="I79" s="6">
        <f t="shared" si="8"/>
        <v>43943.88</v>
      </c>
      <c r="J79" s="18">
        <f t="shared" si="9"/>
        <v>12.77270062058392</v>
      </c>
    </row>
    <row r="80" spans="1:10" ht="15">
      <c r="A80" s="2" t="s">
        <v>84</v>
      </c>
      <c r="B80" s="4">
        <f>1123725.58+79.3+298.56+143.7+2212.5-1662.54</f>
        <v>1124797.1</v>
      </c>
      <c r="C80" s="4">
        <v>11595.59</v>
      </c>
      <c r="D80" s="18">
        <f t="shared" si="5"/>
        <v>1.0309050405624267</v>
      </c>
      <c r="E80" s="4">
        <f>228836.99+571122.53+64433.69+41.25+67.31+1371.41+4800+3.96+3978.76+59.76-250.04-309.15</f>
        <v>874156.47</v>
      </c>
      <c r="F80" s="4">
        <f>995.04+16.52</f>
        <v>1011.56</v>
      </c>
      <c r="G80" s="18">
        <f t="shared" si="6"/>
        <v>0.11571841366111492</v>
      </c>
      <c r="H80" s="6">
        <f t="shared" si="7"/>
        <v>1998953.57</v>
      </c>
      <c r="I80" s="6">
        <f t="shared" si="8"/>
        <v>12607.15</v>
      </c>
      <c r="J80" s="18">
        <f t="shared" si="9"/>
        <v>0.630687485152544</v>
      </c>
    </row>
    <row r="81" spans="1:10" ht="15">
      <c r="A81" s="2" t="s">
        <v>85</v>
      </c>
      <c r="B81" s="4">
        <f>2292580.93+196.42+41.76+876.48-11292.2</f>
        <v>2282403.3899999997</v>
      </c>
      <c r="C81" s="4">
        <v>31736.21</v>
      </c>
      <c r="D81" s="18">
        <f t="shared" si="5"/>
        <v>1.3904733115560262</v>
      </c>
      <c r="E81" s="4">
        <f>682058.83+1889349.96+91434.91+1122.57+14.25+4725.58+4.44+203.15-4823.25-368.58</f>
        <v>2663721.86</v>
      </c>
      <c r="F81" s="4">
        <f>7052.26+44.38</f>
        <v>7096.64</v>
      </c>
      <c r="G81" s="18">
        <f t="shared" si="6"/>
        <v>0.26641820629125296</v>
      </c>
      <c r="H81" s="6">
        <f t="shared" si="7"/>
        <v>4946125.25</v>
      </c>
      <c r="I81" s="6">
        <f t="shared" si="8"/>
        <v>38832.85</v>
      </c>
      <c r="J81" s="18">
        <f t="shared" si="9"/>
        <v>0.7851165920232205</v>
      </c>
    </row>
    <row r="82" spans="1:10" ht="15">
      <c r="A82" s="23" t="s">
        <v>86</v>
      </c>
      <c r="B82" s="4">
        <f>247692.64+64.66+43073.31+96.38-1280.91</f>
        <v>289646.08</v>
      </c>
      <c r="C82" s="4">
        <v>21203.4</v>
      </c>
      <c r="D82" s="18">
        <f t="shared" si="5"/>
        <v>7.3204512210211865</v>
      </c>
      <c r="E82" s="4">
        <f>148316.47+38110.47+6126.11+886.17</f>
        <v>193439.22</v>
      </c>
      <c r="F82" s="4">
        <f>71863.47+4338.96+1291.37+146.25</f>
        <v>77640.05</v>
      </c>
      <c r="G82" s="18">
        <f t="shared" si="6"/>
        <v>40.13666411599468</v>
      </c>
      <c r="H82" s="6">
        <f t="shared" si="7"/>
        <v>483085.30000000005</v>
      </c>
      <c r="I82" s="6">
        <f t="shared" si="8"/>
        <v>98843.45000000001</v>
      </c>
      <c r="J82" s="18">
        <f t="shared" si="9"/>
        <v>20.460868919008714</v>
      </c>
    </row>
    <row r="83" spans="1:10" ht="15">
      <c r="A83" s="2" t="s">
        <v>87</v>
      </c>
      <c r="B83" s="15">
        <f>915674.89+4318.94+131.27+2138.86-2818.44</f>
        <v>919445.52</v>
      </c>
      <c r="C83" s="15">
        <f>7214.72</f>
        <v>7214.72</v>
      </c>
      <c r="D83" s="18">
        <f t="shared" si="5"/>
        <v>0.7846816198527999</v>
      </c>
      <c r="E83" s="15">
        <f>380834.46+335904.27+43593.35+3863.1+9.89+69.5+27.44-92.9-27.44</f>
        <v>764181.6699999999</v>
      </c>
      <c r="F83" s="15">
        <f>75.34+0.98</f>
        <v>76.32000000000001</v>
      </c>
      <c r="G83" s="18">
        <f t="shared" si="6"/>
        <v>0.009987153970861407</v>
      </c>
      <c r="H83" s="6">
        <f t="shared" si="7"/>
        <v>1683627.19</v>
      </c>
      <c r="I83" s="6">
        <f t="shared" si="8"/>
        <v>7291.04</v>
      </c>
      <c r="J83" s="18">
        <f t="shared" si="9"/>
        <v>0.4330554913406929</v>
      </c>
    </row>
    <row r="84" spans="1:10" ht="15">
      <c r="A84" s="2" t="s">
        <v>88</v>
      </c>
      <c r="B84" s="4">
        <f>4728890.9+2005.46+2.11+2380.4-19787.49</f>
        <v>4713491.380000001</v>
      </c>
      <c r="C84" s="4">
        <v>107038.58</v>
      </c>
      <c r="D84" s="18">
        <f t="shared" si="5"/>
        <v>2.2708979686306328</v>
      </c>
      <c r="E84" s="21">
        <f>1817106.06+120261.15+234203.93+3551.91+45.88+1265.95+614.25+0.83+32.23-661971.63-1479.69</f>
        <v>1513630.8700000006</v>
      </c>
      <c r="F84" s="4">
        <f>14989.14+3083.74+1.5</f>
        <v>18074.379999999997</v>
      </c>
      <c r="G84" s="18">
        <f t="shared" si="6"/>
        <v>1.194107517112147</v>
      </c>
      <c r="H84" s="6">
        <f t="shared" si="7"/>
        <v>6227122.250000002</v>
      </c>
      <c r="I84" s="6">
        <f t="shared" si="8"/>
        <v>125112.95999999999</v>
      </c>
      <c r="J84" s="18">
        <f t="shared" si="9"/>
        <v>2.0091617761318235</v>
      </c>
    </row>
    <row r="85" spans="1:10" ht="15">
      <c r="A85" s="2" t="s">
        <v>89</v>
      </c>
      <c r="B85" s="4">
        <f>435759.7+679.77+100.04-2700.96</f>
        <v>433838.55</v>
      </c>
      <c r="C85" s="4">
        <v>24471.88</v>
      </c>
      <c r="D85" s="18">
        <f t="shared" si="5"/>
        <v>5.640780423961863</v>
      </c>
      <c r="E85" s="4">
        <f>32553.54+6213.48+7941.14+0.6+9.04</f>
        <v>46717.8</v>
      </c>
      <c r="F85" s="4">
        <f>74.95+1.35</f>
        <v>76.3</v>
      </c>
      <c r="G85" s="18">
        <f t="shared" si="6"/>
        <v>0.16332104679586792</v>
      </c>
      <c r="H85" s="6">
        <f t="shared" si="7"/>
        <v>480556.35</v>
      </c>
      <c r="I85" s="6">
        <f t="shared" si="8"/>
        <v>24548.18</v>
      </c>
      <c r="J85" s="18">
        <f t="shared" si="9"/>
        <v>5.108283346999785</v>
      </c>
    </row>
    <row r="86" spans="1:10" ht="15">
      <c r="A86" s="23" t="s">
        <v>90</v>
      </c>
      <c r="B86" s="4">
        <f>469918.25+6297.07+80.35-2342.86</f>
        <v>473952.81</v>
      </c>
      <c r="C86" s="4">
        <v>2342.86</v>
      </c>
      <c r="D86" s="18">
        <f t="shared" si="5"/>
        <v>0.49432347494679907</v>
      </c>
      <c r="E86" s="4">
        <f>120551.77+21015.09+9071.68+2599.46+213.91-8.17</f>
        <v>153443.74</v>
      </c>
      <c r="F86" s="4">
        <v>0</v>
      </c>
      <c r="G86" s="18">
        <f t="shared" si="6"/>
        <v>0</v>
      </c>
      <c r="H86" s="6">
        <f t="shared" si="7"/>
        <v>627396.55</v>
      </c>
      <c r="I86" s="6">
        <f t="shared" si="8"/>
        <v>2342.86</v>
      </c>
      <c r="J86" s="18">
        <f t="shared" si="9"/>
        <v>0.3734257065965696</v>
      </c>
    </row>
    <row r="87" spans="1:10" ht="15">
      <c r="A87" s="2" t="s">
        <v>91</v>
      </c>
      <c r="B87" s="4">
        <f>1470654.3+11038.65+40.02-5611.79</f>
        <v>1476121.18</v>
      </c>
      <c r="C87" s="4">
        <f>20846.08</f>
        <v>20846.08</v>
      </c>
      <c r="D87" s="18">
        <f t="shared" si="5"/>
        <v>1.4122200997075323</v>
      </c>
      <c r="E87" s="4">
        <f>228823.74+65473.55+22754.32+286.49+14.96-477.97-52.95</f>
        <v>316822.14</v>
      </c>
      <c r="F87" s="4">
        <f>596+17+0.05</f>
        <v>613.05</v>
      </c>
      <c r="G87" s="18">
        <f t="shared" si="6"/>
        <v>0.19349973458294295</v>
      </c>
      <c r="H87" s="6">
        <f t="shared" si="7"/>
        <v>1792943.3199999998</v>
      </c>
      <c r="I87" s="6">
        <f t="shared" si="8"/>
        <v>21459.13</v>
      </c>
      <c r="J87" s="18">
        <f t="shared" si="9"/>
        <v>1.1968660559777207</v>
      </c>
    </row>
    <row r="88" spans="1:10" ht="15">
      <c r="A88" s="2" t="s">
        <v>92</v>
      </c>
      <c r="B88" s="4">
        <f>165616.59-2533.74</f>
        <v>163082.85</v>
      </c>
      <c r="C88" s="4">
        <v>9146.12</v>
      </c>
      <c r="D88" s="18">
        <f t="shared" si="5"/>
        <v>5.60826598259719</v>
      </c>
      <c r="E88" s="4">
        <f>9991.63+5350+2494.37+304.92+110.29+96.38-62.89</f>
        <v>18284.7</v>
      </c>
      <c r="F88" s="4">
        <f>79.17+25.5</f>
        <v>104.67</v>
      </c>
      <c r="G88" s="18">
        <f t="shared" si="6"/>
        <v>0.5724458153538203</v>
      </c>
      <c r="H88" s="6">
        <f t="shared" si="7"/>
        <v>181367.55000000002</v>
      </c>
      <c r="I88" s="6">
        <f t="shared" si="8"/>
        <v>9250.79</v>
      </c>
      <c r="J88" s="18">
        <f t="shared" si="9"/>
        <v>5.100576150474547</v>
      </c>
    </row>
    <row r="89" spans="1:10" ht="15">
      <c r="A89" s="2" t="s">
        <v>93</v>
      </c>
      <c r="B89" s="15">
        <f>1518754.4+366.98+196.6+66.62-3640.21</f>
        <v>1515744.3900000001</v>
      </c>
      <c r="C89" s="15">
        <v>23911.79</v>
      </c>
      <c r="D89" s="18">
        <f t="shared" si="5"/>
        <v>1.5775608445431883</v>
      </c>
      <c r="E89" s="15">
        <f>190478.46+665143.85+26320.12+53.91+2346.99+2200.98+38.54-534.75</f>
        <v>886048.1</v>
      </c>
      <c r="F89" s="15">
        <f>671.73+9.75</f>
        <v>681.48</v>
      </c>
      <c r="G89" s="18">
        <f t="shared" si="6"/>
        <v>0.07691230306797114</v>
      </c>
      <c r="H89" s="6">
        <f t="shared" si="7"/>
        <v>2401792.49</v>
      </c>
      <c r="I89" s="6">
        <f t="shared" si="8"/>
        <v>24593.27</v>
      </c>
      <c r="J89" s="18">
        <f t="shared" si="9"/>
        <v>1.0239548213426213</v>
      </c>
    </row>
    <row r="90" spans="1:10" ht="15">
      <c r="A90" s="2" t="s">
        <v>94</v>
      </c>
      <c r="B90" s="4">
        <f>334428.97+45.87+512.84+102-1832.01</f>
        <v>333257.67</v>
      </c>
      <c r="C90" s="4">
        <v>9759.18</v>
      </c>
      <c r="D90" s="18">
        <f t="shared" si="5"/>
        <v>2.9284187217656537</v>
      </c>
      <c r="E90" s="4">
        <f>48259.53+104032.09+20641+7.83+25.15</f>
        <v>172965.59999999998</v>
      </c>
      <c r="F90" s="4">
        <f>226.49+13</f>
        <v>239.49</v>
      </c>
      <c r="G90" s="18">
        <f t="shared" si="6"/>
        <v>0.13846105815260376</v>
      </c>
      <c r="H90" s="6">
        <f t="shared" si="7"/>
        <v>506223.26999999996</v>
      </c>
      <c r="I90" s="6">
        <f t="shared" si="8"/>
        <v>9998.67</v>
      </c>
      <c r="J90" s="18">
        <f t="shared" si="9"/>
        <v>1.975150213857218</v>
      </c>
    </row>
    <row r="91" spans="1:10" ht="15">
      <c r="A91" s="23" t="s">
        <v>95</v>
      </c>
      <c r="B91" s="4">
        <f>369178+237.9+599.03+0.48-1512.92</f>
        <v>368502.49000000005</v>
      </c>
      <c r="C91" s="4">
        <v>8271.61</v>
      </c>
      <c r="D91" s="18">
        <f t="shared" si="5"/>
        <v>2.244655117527157</v>
      </c>
      <c r="E91" s="4">
        <f>74909.49+29754.43+23313.33+2.75-51.65-377.45</f>
        <v>127550.90000000002</v>
      </c>
      <c r="F91" s="4">
        <f>376.88+5389.6+978.72</f>
        <v>6745.200000000001</v>
      </c>
      <c r="G91" s="18">
        <f t="shared" si="6"/>
        <v>5.288241792100251</v>
      </c>
      <c r="H91" s="6">
        <f t="shared" si="7"/>
        <v>496053.3900000001</v>
      </c>
      <c r="I91" s="6">
        <f t="shared" si="8"/>
        <v>15016.810000000001</v>
      </c>
      <c r="J91" s="18">
        <f t="shared" si="9"/>
        <v>3.0272568039500745</v>
      </c>
    </row>
    <row r="92" spans="1:10" ht="15">
      <c r="A92" s="2" t="s">
        <v>96</v>
      </c>
      <c r="B92" s="4">
        <f>1433403.42+2904-1794.5</f>
        <v>1434512.92</v>
      </c>
      <c r="C92" s="4">
        <f>27743.35</f>
        <v>27743.35</v>
      </c>
      <c r="D92" s="18">
        <f t="shared" si="5"/>
        <v>1.9339909465576648</v>
      </c>
      <c r="E92" s="4">
        <f>261098.81+243526.94+55158.16+445.78+2.052+243.96+359.29+8676.26+370.77-126.93-1.88-282.05</f>
        <v>569471.162</v>
      </c>
      <c r="F92" s="4">
        <f>80.52+4113.34+269.83</f>
        <v>4463.6900000000005</v>
      </c>
      <c r="G92" s="18">
        <f t="shared" si="6"/>
        <v>0.7838307359275903</v>
      </c>
      <c r="H92" s="6">
        <f t="shared" si="7"/>
        <v>2003984.082</v>
      </c>
      <c r="I92" s="6">
        <f t="shared" si="8"/>
        <v>32207.04</v>
      </c>
      <c r="J92" s="18">
        <f t="shared" si="9"/>
        <v>1.6071504903300924</v>
      </c>
    </row>
    <row r="93" spans="1:10" ht="15">
      <c r="A93" s="2" t="s">
        <v>97</v>
      </c>
      <c r="B93" s="4">
        <f>328081.52+2218.91-3087.94</f>
        <v>327212.49</v>
      </c>
      <c r="C93" s="4">
        <v>15462.36</v>
      </c>
      <c r="D93" s="18">
        <f t="shared" si="5"/>
        <v>4.725479763929549</v>
      </c>
      <c r="E93" s="4">
        <f>76967.68+9035.94+6440.78+30.54+12.79-375.2</f>
        <v>92112.52999999998</v>
      </c>
      <c r="F93" s="4">
        <f>1176.06+70.28</f>
        <v>1246.34</v>
      </c>
      <c r="G93" s="18">
        <f t="shared" si="6"/>
        <v>1.3530623901004566</v>
      </c>
      <c r="H93" s="6">
        <f t="shared" si="7"/>
        <v>419325.01999999996</v>
      </c>
      <c r="I93" s="6">
        <f t="shared" si="8"/>
        <v>16708.7</v>
      </c>
      <c r="J93" s="18">
        <f t="shared" si="9"/>
        <v>3.9846656419404693</v>
      </c>
    </row>
    <row r="94" spans="1:10" ht="15">
      <c r="A94" s="2" t="s">
        <v>98</v>
      </c>
      <c r="B94" s="4">
        <f>1193557.23+241.93+6511.25+415.17-9107.19</f>
        <v>1191618.39</v>
      </c>
      <c r="C94" s="4">
        <f>32655.06</f>
        <v>32655.06</v>
      </c>
      <c r="D94" s="18">
        <f t="shared" si="5"/>
        <v>2.740395773851728</v>
      </c>
      <c r="E94" s="4">
        <f>282752.32+107565.47+71726.29+812.99+251.33+51+156.6</f>
        <v>463316</v>
      </c>
      <c r="F94" s="4">
        <f>5364.77+131.83+2.25</f>
        <v>5498.85</v>
      </c>
      <c r="G94" s="18">
        <f t="shared" si="6"/>
        <v>1.1868465582885115</v>
      </c>
      <c r="H94" s="6">
        <f t="shared" si="7"/>
        <v>1654934.39</v>
      </c>
      <c r="I94" s="6">
        <f t="shared" si="8"/>
        <v>38153.91</v>
      </c>
      <c r="J94" s="18">
        <f t="shared" si="9"/>
        <v>2.3054636020948243</v>
      </c>
    </row>
    <row r="95" spans="1:10" ht="15">
      <c r="A95" s="23" t="s">
        <v>99</v>
      </c>
      <c r="B95" s="15">
        <f>3242119.49+16240.76+474.35+2051.38+7896.8-14271.5-281.15</f>
        <v>3254230.13</v>
      </c>
      <c r="C95" s="15">
        <v>34801.84</v>
      </c>
      <c r="D95" s="18">
        <f t="shared" si="5"/>
        <v>1.0694338940313357</v>
      </c>
      <c r="E95" s="15">
        <f>418578.02+484549.95+70626.12+447.1+17.56+89.16+1951.32+1.17+55.89+0.69-6344.69-237.15</f>
        <v>969735.14</v>
      </c>
      <c r="F95" s="15">
        <f>3903.66+110.31</f>
        <v>4013.97</v>
      </c>
      <c r="G95" s="18">
        <f t="shared" si="6"/>
        <v>0.4139243628935628</v>
      </c>
      <c r="H95" s="6">
        <f t="shared" si="7"/>
        <v>4223965.27</v>
      </c>
      <c r="I95" s="6">
        <f t="shared" si="8"/>
        <v>38815.81</v>
      </c>
      <c r="J95" s="18">
        <f t="shared" si="9"/>
        <v>0.9189424514373434</v>
      </c>
    </row>
    <row r="96" spans="1:10" ht="15">
      <c r="A96" s="2" t="s">
        <v>100</v>
      </c>
      <c r="B96" s="4">
        <f>272931.53-894.83</f>
        <v>272036.7</v>
      </c>
      <c r="C96" s="4">
        <v>4865.97</v>
      </c>
      <c r="D96" s="18">
        <f t="shared" si="5"/>
        <v>1.7887182133881199</v>
      </c>
      <c r="E96" s="4">
        <f>9085.35+2023.56+1028.05+7.75+0.81-165.78</f>
        <v>11979.739999999998</v>
      </c>
      <c r="F96" s="4">
        <f>35.95+13.86+5.78</f>
        <v>55.59</v>
      </c>
      <c r="G96" s="18">
        <f t="shared" si="6"/>
        <v>0.46403344312981765</v>
      </c>
      <c r="H96" s="6">
        <f t="shared" si="7"/>
        <v>284016.44</v>
      </c>
      <c r="I96" s="6">
        <f t="shared" si="8"/>
        <v>4921.56</v>
      </c>
      <c r="J96" s="18">
        <f t="shared" si="9"/>
        <v>1.7328433523073525</v>
      </c>
    </row>
    <row r="97" spans="1:10" ht="15">
      <c r="A97" s="23" t="s">
        <v>101</v>
      </c>
      <c r="B97" s="4">
        <f>850469.01+65.88-3961.72</f>
        <v>846573.17</v>
      </c>
      <c r="C97" s="4">
        <f>16525.58</f>
        <v>16525.58</v>
      </c>
      <c r="D97" s="18">
        <f t="shared" si="5"/>
        <v>1.9520557213028615</v>
      </c>
      <c r="E97" s="4">
        <f>434822+172257.72+30620.59+48.16+25.99+15.89+54.43-3324.62-24.25</f>
        <v>634495.91</v>
      </c>
      <c r="F97" s="4">
        <f>439.08+26.55+32.63</f>
        <v>498.26</v>
      </c>
      <c r="G97" s="18">
        <f t="shared" si="6"/>
        <v>0.07852848097949126</v>
      </c>
      <c r="H97" s="6">
        <f t="shared" si="7"/>
        <v>1481069.08</v>
      </c>
      <c r="I97" s="6">
        <f t="shared" si="8"/>
        <v>17023.84</v>
      </c>
      <c r="J97" s="18">
        <f t="shared" si="9"/>
        <v>1.1494291677468549</v>
      </c>
    </row>
    <row r="98" spans="1:10" ht="15">
      <c r="A98" s="2" t="s">
        <v>102</v>
      </c>
      <c r="B98" s="4">
        <f>7080839.58+467.5+1282.39+3036.96+890.6-22967.43</f>
        <v>7063549.6</v>
      </c>
      <c r="C98" s="4">
        <v>40669.99</v>
      </c>
      <c r="D98" s="18">
        <f t="shared" si="5"/>
        <v>0.5757726964924265</v>
      </c>
      <c r="E98" s="4">
        <f>311422.12+106444.19+48491.5+697.68+78.27+5.05+4662.15+373.95+128.32+91.88+0.33+0.49+2.76-699.78-267.6-2.49</f>
        <v>471428.82000000007</v>
      </c>
      <c r="F98" s="4">
        <f>1582.03+51.41</f>
        <v>1633.44</v>
      </c>
      <c r="G98" s="18">
        <f t="shared" si="6"/>
        <v>0.3464870900340798</v>
      </c>
      <c r="H98" s="6">
        <f t="shared" si="7"/>
        <v>7534978.42</v>
      </c>
      <c r="I98" s="6">
        <f t="shared" si="8"/>
        <v>42303.43</v>
      </c>
      <c r="J98" s="18">
        <f t="shared" si="9"/>
        <v>0.5614273544263183</v>
      </c>
    </row>
    <row r="99" spans="1:10" ht="15">
      <c r="A99" s="2" t="s">
        <v>103</v>
      </c>
      <c r="B99" s="4">
        <f>599628.88+428.71+1570.39-1415.2</f>
        <v>600212.78</v>
      </c>
      <c r="C99" s="4">
        <f>12586.444</f>
        <v>12586.444</v>
      </c>
      <c r="D99" s="18">
        <f t="shared" si="5"/>
        <v>2.0969970016299886</v>
      </c>
      <c r="E99" s="4">
        <f>58245.59+19911.26+8159.36+35.32+8.31+20.78</f>
        <v>86380.62</v>
      </c>
      <c r="F99" s="4">
        <f>9.73+7.35+0.17</f>
        <v>17.25</v>
      </c>
      <c r="G99" s="18">
        <f t="shared" si="6"/>
        <v>0.01996975710523958</v>
      </c>
      <c r="H99" s="6">
        <f t="shared" si="7"/>
        <v>686593.4</v>
      </c>
      <c r="I99" s="6">
        <f t="shared" si="8"/>
        <v>12603.694</v>
      </c>
      <c r="J99" s="18">
        <f t="shared" si="9"/>
        <v>1.8356852833132389</v>
      </c>
    </row>
    <row r="100" spans="1:10" ht="15">
      <c r="A100" s="2" t="s">
        <v>104</v>
      </c>
      <c r="B100" s="4">
        <f>101605.43+237.64-1266</f>
        <v>100577.06999999999</v>
      </c>
      <c r="C100" s="4">
        <v>7170.42</v>
      </c>
      <c r="D100" s="18">
        <f t="shared" si="5"/>
        <v>7.1292790692749355</v>
      </c>
      <c r="E100" s="4">
        <f>10813.31+1892.6+573.45-241.32</f>
        <v>13038.04</v>
      </c>
      <c r="F100" s="4">
        <v>0</v>
      </c>
      <c r="G100" s="18">
        <f t="shared" si="6"/>
        <v>0</v>
      </c>
      <c r="H100" s="6">
        <f t="shared" si="7"/>
        <v>113615.10999999999</v>
      </c>
      <c r="I100" s="6">
        <f t="shared" si="8"/>
        <v>7170.42</v>
      </c>
      <c r="J100" s="18">
        <f t="shared" si="9"/>
        <v>6.31114998700437</v>
      </c>
    </row>
    <row r="101" spans="1:10" ht="15">
      <c r="A101" s="2" t="s">
        <v>105</v>
      </c>
      <c r="B101" s="15">
        <f>643687.34+137.62+3978.85+143.72-815.69</f>
        <v>647131.84</v>
      </c>
      <c r="C101" s="15">
        <f>8218.43</f>
        <v>8218.43</v>
      </c>
      <c r="D101" s="18">
        <f t="shared" si="5"/>
        <v>1.2699776910992358</v>
      </c>
      <c r="E101" s="15">
        <f>159178.8+112948.69+7197.02+57.2+0.05-143.26</f>
        <v>279238.5</v>
      </c>
      <c r="F101" s="15">
        <f>314.07+4.09</f>
        <v>318.15999999999997</v>
      </c>
      <c r="G101" s="18">
        <f t="shared" si="6"/>
        <v>0.11393844330205181</v>
      </c>
      <c r="H101" s="6">
        <f t="shared" si="7"/>
        <v>926370.34</v>
      </c>
      <c r="I101" s="6">
        <f t="shared" si="8"/>
        <v>8536.59</v>
      </c>
      <c r="J101" s="18">
        <f t="shared" si="9"/>
        <v>0.9215094257011727</v>
      </c>
    </row>
    <row r="102" spans="1:10" ht="15">
      <c r="A102" s="2" t="s">
        <v>106</v>
      </c>
      <c r="B102" s="4">
        <v>995235</v>
      </c>
      <c r="C102" s="4">
        <v>77755</v>
      </c>
      <c r="D102" s="18">
        <f t="shared" si="5"/>
        <v>7.812727647239094</v>
      </c>
      <c r="E102" s="4">
        <v>521961</v>
      </c>
      <c r="F102" s="4">
        <v>66836</v>
      </c>
      <c r="G102" s="18">
        <f t="shared" si="6"/>
        <v>12.804788097195003</v>
      </c>
      <c r="H102" s="6">
        <f t="shared" si="7"/>
        <v>1517196</v>
      </c>
      <c r="I102" s="6">
        <f t="shared" si="8"/>
        <v>144591</v>
      </c>
      <c r="J102" s="18">
        <f t="shared" si="9"/>
        <v>9.530146401651468</v>
      </c>
    </row>
    <row r="103" spans="1:10" ht="15">
      <c r="A103" s="23" t="s">
        <v>107</v>
      </c>
      <c r="B103" s="4">
        <f>1917564.55+158347.33+276.48-11131.06</f>
        <v>2065057.3</v>
      </c>
      <c r="C103" s="4">
        <v>154522.92</v>
      </c>
      <c r="D103" s="18">
        <f t="shared" si="5"/>
        <v>7.482742488549834</v>
      </c>
      <c r="E103" s="4">
        <f>845663.28+162669.63+86226.45+199.63+0.6+554.72-2424.97</f>
        <v>1092889.34</v>
      </c>
      <c r="F103" s="4">
        <f>164735.57+22617.4+9265.57+7.5</f>
        <v>196626.04</v>
      </c>
      <c r="G103" s="18">
        <f t="shared" si="6"/>
        <v>17.991395176386295</v>
      </c>
      <c r="H103" s="6">
        <f t="shared" si="7"/>
        <v>3157946.64</v>
      </c>
      <c r="I103" s="6">
        <f t="shared" si="8"/>
        <v>351148.96</v>
      </c>
      <c r="J103" s="18">
        <f t="shared" si="9"/>
        <v>11.119534306000814</v>
      </c>
    </row>
    <row r="104" spans="1:10" ht="15">
      <c r="A104" s="2" t="s">
        <v>108</v>
      </c>
      <c r="B104" s="4">
        <f>476476.75+1189.19+14.95-2650.69</f>
        <v>475030.2</v>
      </c>
      <c r="C104" s="4">
        <f>25618.97+267.56</f>
        <v>25886.530000000002</v>
      </c>
      <c r="D104" s="18">
        <f t="shared" si="5"/>
        <v>5.44944931922223</v>
      </c>
      <c r="E104" s="4">
        <f>56159.95+21329.59+8581.72+15.79+32.28</f>
        <v>86119.32999999999</v>
      </c>
      <c r="F104" s="4">
        <f>14.44+709.92+0.35+107.78+3.79</f>
        <v>836.28</v>
      </c>
      <c r="G104" s="18">
        <f t="shared" si="6"/>
        <v>0.9710711869216818</v>
      </c>
      <c r="H104" s="6">
        <f t="shared" si="7"/>
        <v>561149.53</v>
      </c>
      <c r="I104" s="6">
        <f t="shared" si="8"/>
        <v>26722.81</v>
      </c>
      <c r="J104" s="18">
        <f t="shared" si="9"/>
        <v>4.762154928651548</v>
      </c>
    </row>
    <row r="105" spans="1:10" ht="15">
      <c r="A105" s="2" t="s">
        <v>109</v>
      </c>
      <c r="B105" s="4">
        <f>3989871.73+287.92+632.25+67.71-14075.93</f>
        <v>3976783.6799999997</v>
      </c>
      <c r="C105" s="4">
        <f>59357.71+21.35</f>
        <v>59379.06</v>
      </c>
      <c r="D105" s="18">
        <f t="shared" si="5"/>
        <v>1.4931428203809165</v>
      </c>
      <c r="E105" s="4">
        <f>719778.09+488075.61+147525.53+1844.76+46.38+573.52+163.06+6.8-920.63-30.58</f>
        <v>1357062.54</v>
      </c>
      <c r="F105" s="4">
        <f>6083.13+231.73+585.39+14.44</f>
        <v>6914.69</v>
      </c>
      <c r="G105" s="18">
        <f t="shared" si="6"/>
        <v>0.5095336284206916</v>
      </c>
      <c r="H105" s="6">
        <f t="shared" si="7"/>
        <v>5333846.22</v>
      </c>
      <c r="I105" s="6">
        <f t="shared" si="8"/>
        <v>66293.75</v>
      </c>
      <c r="J105" s="18">
        <f t="shared" si="9"/>
        <v>1.242888288594117</v>
      </c>
    </row>
    <row r="106" spans="1:10" ht="15">
      <c r="A106" s="2" t="s">
        <v>110</v>
      </c>
      <c r="B106" s="4">
        <f>78423.09-275.18</f>
        <v>78147.91</v>
      </c>
      <c r="C106" s="4">
        <v>1363.91</v>
      </c>
      <c r="D106" s="18">
        <f t="shared" si="5"/>
        <v>1.7452929963194153</v>
      </c>
      <c r="E106" s="4">
        <f>6301.87+595.52</f>
        <v>6897.389999999999</v>
      </c>
      <c r="F106" s="4">
        <v>0.89</v>
      </c>
      <c r="G106" s="18">
        <f t="shared" si="6"/>
        <v>0.012903431587890493</v>
      </c>
      <c r="H106" s="6">
        <f t="shared" si="7"/>
        <v>85045.3</v>
      </c>
      <c r="I106" s="6">
        <f t="shared" si="8"/>
        <v>1364.8000000000002</v>
      </c>
      <c r="J106" s="18">
        <f t="shared" si="9"/>
        <v>1.6047917991940768</v>
      </c>
    </row>
    <row r="107" spans="1:10" ht="15">
      <c r="A107" s="2" t="s">
        <v>111</v>
      </c>
      <c r="B107" s="4">
        <f>511297.45+308.6+458.79+455.3-3733.2</f>
        <v>508786.93999999994</v>
      </c>
      <c r="C107" s="4">
        <v>18567</v>
      </c>
      <c r="D107" s="18">
        <f t="shared" si="5"/>
        <v>3.649268198590161</v>
      </c>
      <c r="E107" s="4">
        <f>59527.73+14723.98+5280.49+2.99-561.26-112.65</f>
        <v>78861.28000000003</v>
      </c>
      <c r="F107" s="4">
        <f>495.32+88.38</f>
        <v>583.7</v>
      </c>
      <c r="G107" s="18">
        <f t="shared" si="6"/>
        <v>0.7401604437564288</v>
      </c>
      <c r="H107" s="6">
        <f t="shared" si="7"/>
        <v>587648.22</v>
      </c>
      <c r="I107" s="6">
        <f t="shared" si="8"/>
        <v>19150.7</v>
      </c>
      <c r="J107" s="18">
        <f t="shared" si="9"/>
        <v>3.258871438426207</v>
      </c>
    </row>
    <row r="108" spans="1:10" ht="15">
      <c r="A108" s="2" t="s">
        <v>112</v>
      </c>
      <c r="B108" s="15">
        <f>1189525.62+2403.29+86.38+1623.08-6267.19</f>
        <v>1187371.1800000002</v>
      </c>
      <c r="C108" s="15">
        <v>27277.28</v>
      </c>
      <c r="D108" s="18">
        <f t="shared" si="5"/>
        <v>2.2972833145571205</v>
      </c>
      <c r="E108" s="15">
        <f>239402.7+140756.69+51787.94+378.75+0.83-1023.54-22.37</f>
        <v>431281.00000000006</v>
      </c>
      <c r="F108" s="15">
        <f>3984.73+234.32</f>
        <v>4219.05</v>
      </c>
      <c r="G108" s="18">
        <f t="shared" si="6"/>
        <v>0.9782601134759008</v>
      </c>
      <c r="H108" s="6">
        <f t="shared" si="7"/>
        <v>1618652.1800000002</v>
      </c>
      <c r="I108" s="6">
        <f t="shared" si="8"/>
        <v>31496.329999999998</v>
      </c>
      <c r="J108" s="18">
        <f t="shared" si="9"/>
        <v>1.9458368134406736</v>
      </c>
    </row>
    <row r="109" spans="1:10" ht="15">
      <c r="A109" s="2" t="s">
        <v>113</v>
      </c>
      <c r="B109" s="4">
        <f>1035701.6+51.97+118.63+18.3-3930.29</f>
        <v>1031960.21</v>
      </c>
      <c r="C109" s="4">
        <v>15797.98</v>
      </c>
      <c r="D109" s="18">
        <f t="shared" si="5"/>
        <v>1.5308710400762449</v>
      </c>
      <c r="E109" s="4">
        <f>130532.15+78313.82+24178.8+4083.41+4427.35+136.34+584.75-1052.53-3307.92-299-18.6</f>
        <v>237578.56999999998</v>
      </c>
      <c r="F109" s="4">
        <f>1494.32+86.25+15.8</f>
        <v>1596.37</v>
      </c>
      <c r="G109" s="18">
        <f t="shared" si="6"/>
        <v>0.6719334997260065</v>
      </c>
      <c r="H109" s="6">
        <f t="shared" si="7"/>
        <v>1269538.78</v>
      </c>
      <c r="I109" s="6">
        <f t="shared" si="8"/>
        <v>17394.35</v>
      </c>
      <c r="J109" s="18">
        <f t="shared" si="9"/>
        <v>1.3701314425385256</v>
      </c>
    </row>
    <row r="110" spans="1:10" ht="15">
      <c r="A110" s="2" t="s">
        <v>114</v>
      </c>
      <c r="B110" s="4">
        <f>4920150+782.91+8836.67-7905.45</f>
        <v>4921864.13</v>
      </c>
      <c r="C110" s="4">
        <v>50567.49</v>
      </c>
      <c r="D110" s="18">
        <f t="shared" si="5"/>
        <v>1.027405240461199</v>
      </c>
      <c r="E110" s="4">
        <f>510483.83+621474.1+109084.43+1016.86+20296.53+5.09-614.39-29046.41-4.04</f>
        <v>1232696.0000000002</v>
      </c>
      <c r="F110" s="4">
        <f>6623.65+195.13</f>
        <v>6818.78</v>
      </c>
      <c r="G110" s="18">
        <f t="shared" si="6"/>
        <v>0.5531599031715848</v>
      </c>
      <c r="H110" s="6">
        <f t="shared" si="7"/>
        <v>6154560.13</v>
      </c>
      <c r="I110" s="6">
        <f t="shared" si="8"/>
        <v>57386.27</v>
      </c>
      <c r="J110" s="18">
        <f t="shared" si="9"/>
        <v>0.9324187072326159</v>
      </c>
    </row>
    <row r="111" spans="1:10" ht="15">
      <c r="A111" s="2" t="s">
        <v>115</v>
      </c>
      <c r="B111" s="15">
        <f>3746782.8+472.26+5954.15-10554.87</f>
        <v>3742654.3399999994</v>
      </c>
      <c r="C111" s="15">
        <v>38466.85</v>
      </c>
      <c r="D111" s="18">
        <f t="shared" si="5"/>
        <v>1.0277959572403368</v>
      </c>
      <c r="E111" s="15">
        <f>884793.84+514043.19+120400.31+3188.79+106.62+2231.25+4358.64+300.23-497-25.26-4828.16</f>
        <v>1524072.4500000002</v>
      </c>
      <c r="F111" s="15">
        <f>5385.53+208.76+0.35</f>
        <v>5594.64</v>
      </c>
      <c r="G111" s="18">
        <f t="shared" si="6"/>
        <v>0.3670849112192796</v>
      </c>
      <c r="H111" s="6">
        <f t="shared" si="7"/>
        <v>5266726.789999999</v>
      </c>
      <c r="I111" s="6">
        <f t="shared" si="8"/>
        <v>44061.49</v>
      </c>
      <c r="J111" s="18">
        <f t="shared" si="9"/>
        <v>0.8366010191312773</v>
      </c>
    </row>
    <row r="112" spans="1:10" ht="15">
      <c r="A112" s="2" t="s">
        <v>116</v>
      </c>
      <c r="B112" s="4">
        <f>1380616.21+999.64+466.96-1209.75</f>
        <v>1380873.0599999998</v>
      </c>
      <c r="C112" s="4">
        <f>22974.07</f>
        <v>22974.07</v>
      </c>
      <c r="D112" s="18">
        <f t="shared" si="5"/>
        <v>1.6637351155217701</v>
      </c>
      <c r="E112" s="4">
        <f>349650.7+351087.99+68301.1+1552.07+207.74-288.95</f>
        <v>770510.6499999999</v>
      </c>
      <c r="F112" s="4">
        <f>1913.76+2314.43+476.46</f>
        <v>4704.65</v>
      </c>
      <c r="G112" s="18">
        <f t="shared" si="6"/>
        <v>0.6105885752520098</v>
      </c>
      <c r="H112" s="6">
        <f t="shared" si="7"/>
        <v>2151383.71</v>
      </c>
      <c r="I112" s="6">
        <f t="shared" si="8"/>
        <v>27678.72</v>
      </c>
      <c r="J112" s="18">
        <f t="shared" si="9"/>
        <v>1.2865543171747824</v>
      </c>
    </row>
    <row r="113" spans="1:10" ht="15">
      <c r="A113" s="2" t="s">
        <v>117</v>
      </c>
      <c r="B113" s="4">
        <f>1335768.41+192.39+3694.18-2469.49</f>
        <v>1337185.4899999998</v>
      </c>
      <c r="C113" s="4">
        <v>7026.65</v>
      </c>
      <c r="D113" s="18">
        <f t="shared" si="5"/>
        <v>0.525480574875218</v>
      </c>
      <c r="E113" s="4">
        <f>31446.86+315.38+1198.13+124.54+6.06+473.93+205.34+2360.65+201.66-1877.13-202.35</f>
        <v>34253.07000000001</v>
      </c>
      <c r="F113" s="4">
        <f>1368.86+17.64</f>
        <v>1386.5</v>
      </c>
      <c r="G113" s="18">
        <f t="shared" si="6"/>
        <v>4.047812356673431</v>
      </c>
      <c r="H113" s="6">
        <f t="shared" si="7"/>
        <v>1371438.5599999998</v>
      </c>
      <c r="I113" s="6">
        <f t="shared" si="8"/>
        <v>8413.15</v>
      </c>
      <c r="J113" s="18">
        <f t="shared" si="9"/>
        <v>0.6134543861738874</v>
      </c>
    </row>
    <row r="114" spans="1:10" ht="15">
      <c r="A114" s="2" t="s">
        <v>118</v>
      </c>
      <c r="B114" s="15">
        <f>1240006.09+74.54+23.46-2756.13</f>
        <v>1237347.9600000002</v>
      </c>
      <c r="C114" s="15">
        <v>22112.78</v>
      </c>
      <c r="D114" s="18">
        <f t="shared" si="5"/>
        <v>1.7871108786569623</v>
      </c>
      <c r="E114" s="15">
        <f>355701.8+56178.55+39703.62+1142.83+0.21+339.87+54.66+478.8+112.43+36.39-116.04-113.42-33.47</f>
        <v>453486.23000000004</v>
      </c>
      <c r="F114" s="15">
        <f>12151.06+10.01+141.81</f>
        <v>12302.88</v>
      </c>
      <c r="G114" s="18">
        <f t="shared" si="6"/>
        <v>2.712955584119941</v>
      </c>
      <c r="H114" s="6">
        <f t="shared" si="7"/>
        <v>1690834.1900000002</v>
      </c>
      <c r="I114" s="6">
        <f t="shared" si="8"/>
        <v>34415.659999999996</v>
      </c>
      <c r="J114" s="18">
        <f t="shared" si="9"/>
        <v>2.0354248928453473</v>
      </c>
    </row>
    <row r="115" spans="1:10" ht="15">
      <c r="A115" s="23" t="s">
        <v>119</v>
      </c>
      <c r="B115" s="4">
        <f>557328.3+45.88+360.15-930.86</f>
        <v>556803.4700000001</v>
      </c>
      <c r="C115" s="4">
        <v>16213.84</v>
      </c>
      <c r="D115" s="18">
        <f t="shared" si="5"/>
        <v>2.911950243413533</v>
      </c>
      <c r="E115" s="4">
        <f>79636.71+21931.85+15304.91+2794.99+58.73+29.47</f>
        <v>119756.66</v>
      </c>
      <c r="F115" s="4">
        <f>8777.45+455.54</f>
        <v>9232.990000000002</v>
      </c>
      <c r="G115" s="18">
        <f t="shared" si="6"/>
        <v>7.709792507573275</v>
      </c>
      <c r="H115" s="6">
        <f t="shared" si="7"/>
        <v>676560.1300000001</v>
      </c>
      <c r="I115" s="6">
        <f t="shared" si="8"/>
        <v>25446.83</v>
      </c>
      <c r="J115" s="18">
        <f t="shared" si="9"/>
        <v>3.761207448035697</v>
      </c>
    </row>
    <row r="116" spans="1:10" ht="15">
      <c r="A116" s="2" t="s">
        <v>120</v>
      </c>
      <c r="B116" s="4">
        <f>1010347.04+187.29-2688.52</f>
        <v>1007845.81</v>
      </c>
      <c r="C116" s="4">
        <f>10596.94</f>
        <v>10596.94</v>
      </c>
      <c r="D116" s="18">
        <f t="shared" si="5"/>
        <v>1.0514445657118918</v>
      </c>
      <c r="E116" s="4">
        <f>67168.71+29686.88+11390.03+23089.43+25.97-98.33</f>
        <v>131262.69000000003</v>
      </c>
      <c r="F116" s="4">
        <f>265.48+64.85+118.56</f>
        <v>448.89000000000004</v>
      </c>
      <c r="G116" s="18">
        <f t="shared" si="6"/>
        <v>0.3419783641490205</v>
      </c>
      <c r="H116" s="6">
        <f t="shared" si="7"/>
        <v>1139108.5</v>
      </c>
      <c r="I116" s="6">
        <f t="shared" si="8"/>
        <v>11045.83</v>
      </c>
      <c r="J116" s="18">
        <f t="shared" si="9"/>
        <v>0.9696907713356542</v>
      </c>
    </row>
    <row r="117" spans="1:10" ht="15">
      <c r="A117" s="23" t="s">
        <v>121</v>
      </c>
      <c r="B117" s="15">
        <f>381002.76+137.62+1781.93-1225.49</f>
        <v>381696.82</v>
      </c>
      <c r="C117" s="15">
        <v>10846.17</v>
      </c>
      <c r="D117" s="18">
        <f t="shared" si="5"/>
        <v>2.841566770192112</v>
      </c>
      <c r="E117" s="15">
        <f>30346.37+1513.1+821.48-13.5</f>
        <v>32667.449999999997</v>
      </c>
      <c r="F117" s="15">
        <f>7798.24+0.75</f>
        <v>7798.99</v>
      </c>
      <c r="G117" s="18">
        <f t="shared" si="6"/>
        <v>23.873886697614903</v>
      </c>
      <c r="H117" s="6">
        <f t="shared" si="7"/>
        <v>414364.27</v>
      </c>
      <c r="I117" s="6">
        <f t="shared" si="8"/>
        <v>18645.16</v>
      </c>
      <c r="J117" s="18">
        <f t="shared" si="9"/>
        <v>4.499702640867176</v>
      </c>
    </row>
    <row r="118" spans="1:10" ht="15">
      <c r="A118" s="2" t="s">
        <v>122</v>
      </c>
      <c r="B118" s="4">
        <f>666729.95+196.5+12984.98-1169.67</f>
        <v>678741.7599999999</v>
      </c>
      <c r="C118" s="4">
        <f>8133.02+226.17</f>
        <v>8359.19</v>
      </c>
      <c r="D118" s="18">
        <f t="shared" si="5"/>
        <v>1.2315714889857377</v>
      </c>
      <c r="E118" s="4">
        <f>558215.02+133656.06+25458.71+2170.02+65.42-3098-251.31-0.01</f>
        <v>716215.91</v>
      </c>
      <c r="F118" s="4">
        <f>42.94+3.91</f>
        <v>46.849999999999994</v>
      </c>
      <c r="G118" s="18">
        <f t="shared" si="6"/>
        <v>0.006541323551441352</v>
      </c>
      <c r="H118" s="6">
        <f t="shared" si="7"/>
        <v>1394957.67</v>
      </c>
      <c r="I118" s="6">
        <f t="shared" si="8"/>
        <v>8406.04</v>
      </c>
      <c r="J118" s="18">
        <f t="shared" si="9"/>
        <v>0.6026017979455965</v>
      </c>
    </row>
    <row r="119" spans="1:10" ht="15">
      <c r="A119" s="2" t="s">
        <v>123</v>
      </c>
      <c r="B119" s="4">
        <f>10071291.03+22903.12+502.87+5089.55+4502.93-14214.12</f>
        <v>10090075.379999999</v>
      </c>
      <c r="C119" s="4">
        <v>99344.51</v>
      </c>
      <c r="D119" s="18">
        <f t="shared" si="5"/>
        <v>0.9845764898537359</v>
      </c>
      <c r="E119" s="4">
        <f>2308400.08+1691306.12+328446.09+35854.3+8.02+480.88+8.86+318.86+-0.02-25.68-0.01-37746.86-244.52</f>
        <v>4326806.120000001</v>
      </c>
      <c r="F119" s="4">
        <f>39094.43+33940.33+5725.13</f>
        <v>78759.89000000001</v>
      </c>
      <c r="G119" s="18">
        <f t="shared" si="6"/>
        <v>1.820277771077942</v>
      </c>
      <c r="H119" s="6">
        <f t="shared" si="7"/>
        <v>14416881.5</v>
      </c>
      <c r="I119" s="6">
        <f t="shared" si="8"/>
        <v>178104.40000000002</v>
      </c>
      <c r="J119" s="18">
        <f t="shared" si="9"/>
        <v>1.2353878333535586</v>
      </c>
    </row>
    <row r="120" spans="1:10" ht="15">
      <c r="A120" s="2" t="s">
        <v>124</v>
      </c>
      <c r="B120" s="15">
        <f>631148.47+46.85+9.76-1361.58</f>
        <v>629843.5</v>
      </c>
      <c r="C120" s="15">
        <v>6228.9</v>
      </c>
      <c r="D120" s="18">
        <f t="shared" si="5"/>
        <v>0.9889599559255592</v>
      </c>
      <c r="E120" s="15">
        <f>92455+176167.01+25417.41+151.72+1.78</f>
        <v>294192.92</v>
      </c>
      <c r="F120" s="15">
        <v>107.32</v>
      </c>
      <c r="G120" s="18">
        <f t="shared" si="6"/>
        <v>0.03647946388376715</v>
      </c>
      <c r="H120" s="6">
        <f t="shared" si="7"/>
        <v>924036.4199999999</v>
      </c>
      <c r="I120" s="6">
        <f t="shared" si="8"/>
        <v>6336.219999999999</v>
      </c>
      <c r="J120" s="18">
        <f t="shared" si="9"/>
        <v>0.685711067535628</v>
      </c>
    </row>
    <row r="121" spans="1:10" ht="15">
      <c r="A121" s="2" t="s">
        <v>125</v>
      </c>
      <c r="B121" s="4">
        <f>872414.77+45.87+403.56+2065.68-1752.33</f>
        <v>873177.5500000002</v>
      </c>
      <c r="C121" s="15">
        <f>12847.49</f>
        <v>12847.49</v>
      </c>
      <c r="D121" s="18">
        <f t="shared" si="5"/>
        <v>1.4713490973284868</v>
      </c>
      <c r="E121" s="4">
        <f>109543.34+44836.48+17506.06+2053.85+75.78+673.64+1355.3+50.87+38.91-1805.25-239.26</f>
        <v>174089.72</v>
      </c>
      <c r="F121" s="4">
        <f>2364.89+30.43+33.98+32.06</f>
        <v>2461.3599999999997</v>
      </c>
      <c r="G121" s="18">
        <f t="shared" si="6"/>
        <v>1.413845688303709</v>
      </c>
      <c r="H121" s="6">
        <f t="shared" si="7"/>
        <v>1047267.2700000001</v>
      </c>
      <c r="I121" s="6">
        <f t="shared" si="8"/>
        <v>15308.849999999999</v>
      </c>
      <c r="J121" s="18">
        <f t="shared" si="9"/>
        <v>1.4617901693805437</v>
      </c>
    </row>
    <row r="122" spans="1:10" ht="15">
      <c r="A122" s="2" t="s">
        <v>126</v>
      </c>
      <c r="B122" s="4">
        <f>528854.58+2268+45.87+9354.01+144.02-1312.48</f>
        <v>539354</v>
      </c>
      <c r="C122" s="4">
        <v>14716.8</v>
      </c>
      <c r="D122" s="18">
        <f t="shared" si="5"/>
        <v>2.728597544469866</v>
      </c>
      <c r="E122" s="4">
        <f>229174.42+68606.29+9314.91+531.72+12.35</f>
        <v>307639.68999999994</v>
      </c>
      <c r="F122" s="4">
        <f>2587.72+1.15</f>
        <v>2588.87</v>
      </c>
      <c r="G122" s="18">
        <f t="shared" si="6"/>
        <v>0.8415266573698603</v>
      </c>
      <c r="H122" s="6">
        <f t="shared" si="7"/>
        <v>846993.69</v>
      </c>
      <c r="I122" s="6">
        <f t="shared" si="8"/>
        <v>17305.67</v>
      </c>
      <c r="J122" s="18">
        <f t="shared" si="9"/>
        <v>2.043187594467203</v>
      </c>
    </row>
    <row r="123" spans="1:10" ht="15">
      <c r="A123" s="2" t="s">
        <v>127</v>
      </c>
      <c r="B123" s="4">
        <f>1285975.48+315+45.87+8521.73+701.13-10431.43</f>
        <v>1285127.78</v>
      </c>
      <c r="C123" s="4">
        <f>68871.67+122</f>
        <v>68993.67</v>
      </c>
      <c r="D123" s="18">
        <f t="shared" si="5"/>
        <v>5.368623344209398</v>
      </c>
      <c r="E123" s="4">
        <f>268800.86+90417.86+36464.68+430.04+0.14+358.6-124.01</f>
        <v>396348.1699999999</v>
      </c>
      <c r="F123" s="4">
        <f>951.03+295.35+95.77</f>
        <v>1342.15</v>
      </c>
      <c r="G123" s="18">
        <f t="shared" si="6"/>
        <v>0.3386290392106517</v>
      </c>
      <c r="H123" s="6">
        <f t="shared" si="7"/>
        <v>1681475.95</v>
      </c>
      <c r="I123" s="6">
        <f t="shared" si="8"/>
        <v>70335.81999999999</v>
      </c>
      <c r="J123" s="18">
        <f t="shared" si="9"/>
        <v>4.182981029255874</v>
      </c>
    </row>
    <row r="124" spans="1:10" ht="15">
      <c r="A124" s="2" t="s">
        <v>128</v>
      </c>
      <c r="B124" s="4">
        <f>197094.3+6262.19-1881.61</f>
        <v>201474.88</v>
      </c>
      <c r="C124" s="4">
        <v>8701.42</v>
      </c>
      <c r="D124" s="18">
        <f t="shared" si="5"/>
        <v>4.318860991504251</v>
      </c>
      <c r="E124" s="4">
        <f>22695.51+168.18+5843.95+1.42-4.41</f>
        <v>28704.649999999998</v>
      </c>
      <c r="F124" s="4">
        <f>1045.42+26.13</f>
        <v>1071.5500000000002</v>
      </c>
      <c r="G124" s="18">
        <f t="shared" si="6"/>
        <v>3.733018866281248</v>
      </c>
      <c r="H124" s="6">
        <f t="shared" si="7"/>
        <v>230179.53</v>
      </c>
      <c r="I124" s="6">
        <f t="shared" si="8"/>
        <v>9772.970000000001</v>
      </c>
      <c r="J124" s="18">
        <f t="shared" si="9"/>
        <v>4.245803264955837</v>
      </c>
    </row>
    <row r="125" spans="1:10" ht="15">
      <c r="A125" s="2" t="s">
        <v>129</v>
      </c>
      <c r="B125" s="4">
        <f>2684659.26+91.74-2809.9-17.4</f>
        <v>2681923.7</v>
      </c>
      <c r="C125" s="4">
        <f>23500.74</f>
        <v>23500.74</v>
      </c>
      <c r="D125" s="18">
        <f t="shared" si="5"/>
        <v>0.8762643023737029</v>
      </c>
      <c r="E125" s="4">
        <f>302891.35+344737.94+37503.68+199.8+2432.81+1.03-30.56-4.89</f>
        <v>687731.1600000001</v>
      </c>
      <c r="F125" s="4">
        <f>2261.42+162.89+3.73</f>
        <v>2428.04</v>
      </c>
      <c r="G125" s="18">
        <f t="shared" si="6"/>
        <v>0.35305074732981406</v>
      </c>
      <c r="H125" s="6">
        <f t="shared" si="7"/>
        <v>3369654.8600000003</v>
      </c>
      <c r="I125" s="6">
        <f t="shared" si="8"/>
        <v>25928.780000000002</v>
      </c>
      <c r="J125" s="18">
        <f t="shared" si="9"/>
        <v>0.7694788065030495</v>
      </c>
    </row>
    <row r="126" spans="1:10" ht="15.75" thickBot="1">
      <c r="A126" s="3"/>
      <c r="B126" s="5"/>
      <c r="C126" s="5"/>
      <c r="D126" s="19"/>
      <c r="E126" s="5"/>
      <c r="F126" s="5"/>
      <c r="G126" s="19"/>
      <c r="H126" s="7"/>
      <c r="I126" s="7"/>
      <c r="J126" s="3"/>
    </row>
    <row r="127" spans="1:10" ht="15.75" thickTop="1">
      <c r="A127" s="2" t="s">
        <v>130</v>
      </c>
      <c r="B127" s="13">
        <f>SUM(B6:B126)</f>
        <v>307133722.8899999</v>
      </c>
      <c r="C127" s="13">
        <f>SUM(C6:C126)</f>
        <v>4423922.2639999995</v>
      </c>
      <c r="D127" s="20">
        <f>C127/B127*100</f>
        <v>1.440389619991169</v>
      </c>
      <c r="E127" s="13">
        <f>SUM(E6:E125)</f>
        <v>98127347.53199996</v>
      </c>
      <c r="F127" s="13">
        <f>SUM(F6:F125)</f>
        <v>1573947.91</v>
      </c>
      <c r="G127" s="20">
        <f>F127/E127*100</f>
        <v>1.603984974205815</v>
      </c>
      <c r="H127" s="13">
        <f>SUM(H6:H125)</f>
        <v>405261070.4219998</v>
      </c>
      <c r="I127" s="13">
        <f>SUM(I6:I125)</f>
        <v>5997870.173999999</v>
      </c>
      <c r="J127" s="20">
        <f>I127/H127*100</f>
        <v>1.480001562389004</v>
      </c>
    </row>
    <row r="129" spans="1:10" ht="15">
      <c r="A129" s="17">
        <v>41879</v>
      </c>
      <c r="B129" s="25" t="s">
        <v>131</v>
      </c>
      <c r="C129" s="25"/>
      <c r="D129" s="25"/>
      <c r="E129" s="25"/>
      <c r="F129" s="25"/>
      <c r="G129" s="25"/>
      <c r="H129" s="25"/>
      <c r="I129" s="25"/>
      <c r="J129" s="25"/>
    </row>
  </sheetData>
  <sheetProtection/>
  <mergeCells count="3">
    <mergeCell ref="A2:J2"/>
    <mergeCell ref="A3:J3"/>
    <mergeCell ref="B129:J129"/>
  </mergeCells>
  <printOptions/>
  <pageMargins left="0.25" right="0.25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%USERNAME%</dc:creator>
  <cp:keywords/>
  <dc:description/>
  <cp:lastModifiedBy>rev4701</cp:lastModifiedBy>
  <cp:lastPrinted>2016-04-27T17:50:23Z</cp:lastPrinted>
  <dcterms:created xsi:type="dcterms:W3CDTF">2015-10-02T13:06:53Z</dcterms:created>
  <dcterms:modified xsi:type="dcterms:W3CDTF">2019-01-18T14:07:33Z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