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760" windowHeight="8325" activeTab="0"/>
  </bookViews>
  <sheets>
    <sheet name="2010" sheetId="1" r:id="rId1"/>
  </sheets>
  <definedNames>
    <definedName name="_xlnm.Print_Area" localSheetId="0">'2010'!$A$1:$J$129</definedName>
    <definedName name="_xlnm.Print_Titles" localSheetId="0">'2010'!$5:$5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<sst xmlns="http://schemas.openxmlformats.org/spreadsheetml/2006/main" count="134" uniqueCount="133">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</sst>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  <numFmt numFmtId="169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B6" sqref="B6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0" ht="12.75">
      <c r="A1" s="22" t="s">
        <v>132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6:7" ht="12.75">
      <c r="F4" s="1"/>
      <c r="G4" s="1"/>
    </row>
    <row r="5" spans="1:10" ht="68.25" customHeight="1">
      <c r="A5" s="8" t="s">
        <v>1</v>
      </c>
      <c r="B5" s="9" t="s">
        <v>129</v>
      </c>
      <c r="C5" s="9" t="s">
        <v>2</v>
      </c>
      <c r="D5" s="9" t="s">
        <v>3</v>
      </c>
      <c r="E5" s="9" t="s">
        <v>130</v>
      </c>
      <c r="F5" s="9" t="s">
        <v>4</v>
      </c>
      <c r="G5" s="9" t="s">
        <v>3</v>
      </c>
      <c r="H5" s="9" t="s">
        <v>131</v>
      </c>
      <c r="I5" s="9" t="s">
        <v>5</v>
      </c>
      <c r="J5" s="10" t="s">
        <v>6</v>
      </c>
    </row>
    <row r="6" spans="1:10" ht="12.75">
      <c r="A6" s="1" t="s">
        <v>7</v>
      </c>
      <c r="B6" s="3">
        <f>628677.21+82.23+5840.04-3703.19-216.79</f>
        <v>630679.5</v>
      </c>
      <c r="C6" s="3">
        <v>10996.16</v>
      </c>
      <c r="D6" s="19">
        <f aca="true" t="shared" si="0" ref="D6:D69">C6/B6*100</f>
        <v>1.7435416879730512</v>
      </c>
      <c r="E6" s="3">
        <f>83609.43+23589.62+14.25+16079.43+95.86+0.61-1321.97</f>
        <v>122067.22999999998</v>
      </c>
      <c r="F6" s="3">
        <f>521.55+43.55</f>
        <v>565.0999999999999</v>
      </c>
      <c r="G6" s="19">
        <f aca="true" t="shared" si="1" ref="G6:G49">F6/E6*100</f>
        <v>0.4629416101274683</v>
      </c>
      <c r="H6" s="5">
        <f>(B6+E6)</f>
        <v>752746.73</v>
      </c>
      <c r="I6" s="5">
        <f>(C6+F6)</f>
        <v>11561.26</v>
      </c>
      <c r="J6" s="19">
        <f aca="true" t="shared" si="2" ref="J6:J69">I6/H6*100</f>
        <v>1.5358764826517415</v>
      </c>
    </row>
    <row r="7" spans="1:10" ht="12.75">
      <c r="A7" s="1" t="s">
        <v>8</v>
      </c>
      <c r="B7" s="3">
        <f>754531.46+13.1+1259.34+340.13+1125-1641.23-264.53</f>
        <v>755363.2699999999</v>
      </c>
      <c r="C7" s="3">
        <v>23077.19</v>
      </c>
      <c r="D7" s="19">
        <f t="shared" si="0"/>
        <v>3.0551114829822215</v>
      </c>
      <c r="E7" s="3">
        <f>107359.14+88367.46+16396.83</f>
        <v>212123.43</v>
      </c>
      <c r="F7" s="3">
        <f>735.38+43.69</f>
        <v>779.0699999999999</v>
      </c>
      <c r="G7" s="19">
        <f t="shared" si="1"/>
        <v>0.3672720170515817</v>
      </c>
      <c r="H7" s="5">
        <f aca="true" t="shared" si="3" ref="H7:H70">(B7+E7)</f>
        <v>967486.7</v>
      </c>
      <c r="I7" s="5">
        <f aca="true" t="shared" si="4" ref="I7:I70">(C7+F7)</f>
        <v>23856.26</v>
      </c>
      <c r="J7" s="19">
        <f t="shared" si="2"/>
        <v>2.465797204240637</v>
      </c>
    </row>
    <row r="8" spans="1:10" ht="12.75">
      <c r="A8" s="1" t="s">
        <v>9</v>
      </c>
      <c r="B8" s="14">
        <f>1552339.42+170.31-3632.31</f>
        <v>1548877.42</v>
      </c>
      <c r="C8" s="14">
        <v>29638.46</v>
      </c>
      <c r="D8" s="18">
        <f t="shared" si="0"/>
        <v>1.9135445850840798</v>
      </c>
      <c r="E8" s="14">
        <f>118502.54+135969.47+36357.34+393.1+0.45-37.24</f>
        <v>291185.66</v>
      </c>
      <c r="F8" s="14">
        <f>1071.8+459.33+41.36</f>
        <v>1572.4899999999998</v>
      </c>
      <c r="G8" s="18">
        <f t="shared" si="1"/>
        <v>0.5400300275775943</v>
      </c>
      <c r="H8" s="15">
        <f t="shared" si="3"/>
        <v>1840063.0799999998</v>
      </c>
      <c r="I8" s="15">
        <f t="shared" si="4"/>
        <v>31210.949999999997</v>
      </c>
      <c r="J8" s="18">
        <f t="shared" si="2"/>
        <v>1.6961891328203815</v>
      </c>
    </row>
    <row r="9" spans="1:10" ht="12.75">
      <c r="A9" s="1" t="s">
        <v>10</v>
      </c>
      <c r="B9" s="3">
        <f>396799.66+445.42-1303.72</f>
        <v>395941.36</v>
      </c>
      <c r="C9" s="3">
        <v>6412</v>
      </c>
      <c r="D9" s="19">
        <f t="shared" si="0"/>
        <v>1.6194317259505295</v>
      </c>
      <c r="E9" s="3">
        <f>207086.55+294565.1+9689.84+21.23+1.48</f>
        <v>511364.19999999995</v>
      </c>
      <c r="F9" s="3">
        <f>146.38+335.63</f>
        <v>482.01</v>
      </c>
      <c r="G9" s="19">
        <f t="shared" si="1"/>
        <v>0.09425962943827511</v>
      </c>
      <c r="H9" s="5">
        <f t="shared" si="3"/>
        <v>907305.5599999999</v>
      </c>
      <c r="I9" s="5">
        <f t="shared" si="4"/>
        <v>6894.01</v>
      </c>
      <c r="J9" s="19">
        <f t="shared" si="2"/>
        <v>0.7598333245086695</v>
      </c>
    </row>
    <row r="10" spans="1:10" ht="12.75">
      <c r="A10" s="1" t="s">
        <v>11</v>
      </c>
      <c r="B10" s="3">
        <f>2155354.59+387.11+1063.91+61+675.65-5722.72</f>
        <v>2151819.5399999996</v>
      </c>
      <c r="C10" s="3">
        <f>42103.36+12.36</f>
        <v>42115.72</v>
      </c>
      <c r="D10" s="19">
        <f t="shared" si="0"/>
        <v>1.9572143117540428</v>
      </c>
      <c r="E10" s="3">
        <f>397232.5+813.87+436537.11+75188.98+38.67+2371.57-2016.17-23.85-43.16</f>
        <v>910099.5199999999</v>
      </c>
      <c r="F10" s="3">
        <f>2244.47+31.54</f>
        <v>2276.0099999999998</v>
      </c>
      <c r="G10" s="19">
        <f t="shared" si="1"/>
        <v>0.2500836392046443</v>
      </c>
      <c r="H10" s="5">
        <f t="shared" si="3"/>
        <v>3061919.0599999996</v>
      </c>
      <c r="I10" s="5">
        <f t="shared" si="4"/>
        <v>44391.73</v>
      </c>
      <c r="J10" s="19">
        <f t="shared" si="2"/>
        <v>1.4498008970883773</v>
      </c>
    </row>
    <row r="11" spans="1:10" ht="12.75">
      <c r="A11" s="1" t="s">
        <v>12</v>
      </c>
      <c r="B11" s="3">
        <f>3440400.83+356.73-5354.21</f>
        <v>3435403.35</v>
      </c>
      <c r="C11" s="3">
        <v>15958.52</v>
      </c>
      <c r="D11" s="19">
        <f t="shared" si="0"/>
        <v>0.4645311881645572</v>
      </c>
      <c r="E11" s="3">
        <f>36907.1+48.42+3484.85+4747.1+65.31+4.08+8.03-98.54</f>
        <v>45166.34999999999</v>
      </c>
      <c r="F11" s="3">
        <f>607.83+0.99</f>
        <v>608.82</v>
      </c>
      <c r="G11" s="19">
        <f t="shared" si="1"/>
        <v>1.3479504099844246</v>
      </c>
      <c r="H11" s="5">
        <f t="shared" si="3"/>
        <v>3480569.7</v>
      </c>
      <c r="I11" s="5">
        <f t="shared" si="4"/>
        <v>16567.34</v>
      </c>
      <c r="J11" s="19">
        <f t="shared" si="2"/>
        <v>0.4759950648309097</v>
      </c>
    </row>
    <row r="12" spans="1:10" ht="12.75">
      <c r="A12" s="1" t="s">
        <v>13</v>
      </c>
      <c r="B12" s="3">
        <f>781694.92+70305.85+7.32-6369.62</f>
        <v>845638.47</v>
      </c>
      <c r="C12" s="3">
        <f>37650.25+7.23</f>
        <v>37657.48</v>
      </c>
      <c r="D12" s="19">
        <f t="shared" si="0"/>
        <v>4.453141778188025</v>
      </c>
      <c r="E12" s="3">
        <f>375876.45+64339.88+22061.83+139.11+168.87-139.11</f>
        <v>462447.03</v>
      </c>
      <c r="F12" s="3">
        <f>4306.28+203.09</f>
        <v>4509.37</v>
      </c>
      <c r="G12" s="19">
        <f t="shared" si="1"/>
        <v>0.9751105980721726</v>
      </c>
      <c r="H12" s="5">
        <f t="shared" si="3"/>
        <v>1308085.5</v>
      </c>
      <c r="I12" s="5">
        <f t="shared" si="4"/>
        <v>42166.850000000006</v>
      </c>
      <c r="J12" s="19">
        <f t="shared" si="2"/>
        <v>3.223554576516597</v>
      </c>
    </row>
    <row r="13" spans="1:10" ht="12.75">
      <c r="A13" s="1" t="s">
        <v>14</v>
      </c>
      <c r="B13" s="3">
        <f>12353907.26+1774.32+1470.3+8480.79+28552.47-66086.85</f>
        <v>12328098.290000001</v>
      </c>
      <c r="C13" s="3">
        <f>106687.95+1401.88</f>
        <v>108089.83</v>
      </c>
      <c r="D13" s="19">
        <f t="shared" si="0"/>
        <v>0.8767761860535912</v>
      </c>
      <c r="E13" s="3">
        <f>3116874.52+80.4+3612.99-929166.98+8795.6+475338.03+14770.86+7887.02+2.55+3924.93+0.42-29332.41-16972.2-18950.53-1125</f>
        <v>2635740.2</v>
      </c>
      <c r="F13" s="3">
        <f>45658.43+4384.02+3274.7+63.96+0.42</f>
        <v>53381.52999999999</v>
      </c>
      <c r="G13" s="19">
        <f t="shared" si="1"/>
        <v>2.0252955886926935</v>
      </c>
      <c r="H13" s="5">
        <f t="shared" si="3"/>
        <v>14963838.490000002</v>
      </c>
      <c r="I13" s="5">
        <f t="shared" si="4"/>
        <v>161471.36</v>
      </c>
      <c r="J13" s="19">
        <f t="shared" si="2"/>
        <v>1.0790771372459524</v>
      </c>
    </row>
    <row r="14" spans="1:10" s="13" customFormat="1" ht="12.75">
      <c r="A14" s="1" t="s">
        <v>15</v>
      </c>
      <c r="B14" s="14">
        <f>1249655.48+678.51+142.74+374.25-1962.9</f>
        <v>1248888.08</v>
      </c>
      <c r="C14" s="14">
        <v>26961.49</v>
      </c>
      <c r="D14" s="18">
        <f t="shared" si="0"/>
        <v>2.158839565511747</v>
      </c>
      <c r="E14" s="14">
        <f>220816.19+25.19+28.94+236817.09+33464.05+263.42+1.7+148.18+1690.74-2591</f>
        <v>490664.5</v>
      </c>
      <c r="F14" s="14">
        <f>1568.67+1675.74+76.9+5.78</f>
        <v>3327.09</v>
      </c>
      <c r="G14" s="18">
        <f t="shared" si="1"/>
        <v>0.6780784018407691</v>
      </c>
      <c r="H14" s="15">
        <f t="shared" si="3"/>
        <v>1739552.58</v>
      </c>
      <c r="I14" s="15">
        <f t="shared" si="4"/>
        <v>30288.58</v>
      </c>
      <c r="J14" s="18">
        <f t="shared" si="2"/>
        <v>1.7411707095395759</v>
      </c>
    </row>
    <row r="15" spans="1:10" ht="12.75">
      <c r="A15" s="1" t="s">
        <v>16</v>
      </c>
      <c r="B15" s="14">
        <f>2098685.51+122+96.14+4372.88+25.57+33.6-10494.07</f>
        <v>2092841.6299999997</v>
      </c>
      <c r="C15" s="14">
        <f>117145.5+356.1+393.82</f>
        <v>117895.42000000001</v>
      </c>
      <c r="D15" s="18">
        <f t="shared" si="0"/>
        <v>5.633270014798016</v>
      </c>
      <c r="E15" s="14">
        <f>692626.56+615054.86+133416.22+12335.47</f>
        <v>1453433.1099999999</v>
      </c>
      <c r="F15" s="14">
        <f>13313.07+1026.66+2570.16</f>
        <v>16909.89</v>
      </c>
      <c r="G15" s="18">
        <f t="shared" si="1"/>
        <v>1.163444666538524</v>
      </c>
      <c r="H15" s="15">
        <f t="shared" si="3"/>
        <v>3546274.7399999993</v>
      </c>
      <c r="I15" s="15">
        <f t="shared" si="4"/>
        <v>134805.31</v>
      </c>
      <c r="J15" s="18">
        <f t="shared" si="2"/>
        <v>3.8013216652243935</v>
      </c>
    </row>
    <row r="16" spans="1:10" ht="12.75">
      <c r="A16" s="1" t="s">
        <v>17</v>
      </c>
      <c r="B16" s="3">
        <f>1886981.43+41.11+273.85+127.49-1563.43</f>
        <v>1885860.4500000002</v>
      </c>
      <c r="C16" s="3">
        <v>25786.53</v>
      </c>
      <c r="D16" s="19">
        <f t="shared" si="0"/>
        <v>1.3673615139444701</v>
      </c>
      <c r="E16" s="3">
        <f>340413.84+735.91+29.53+368521.59+92818.88+10.12+811.15+0.23-24.85-27900.08-5.4</f>
        <v>775410.9200000002</v>
      </c>
      <c r="F16" s="3">
        <f>2248.55+309.73</f>
        <v>2558.28</v>
      </c>
      <c r="G16" s="19">
        <f t="shared" si="1"/>
        <v>0.3299257121630425</v>
      </c>
      <c r="H16" s="5">
        <f t="shared" si="3"/>
        <v>2661271.37</v>
      </c>
      <c r="I16" s="5">
        <f t="shared" si="4"/>
        <v>28344.809999999998</v>
      </c>
      <c r="J16" s="19">
        <f t="shared" si="2"/>
        <v>1.0650852941765199</v>
      </c>
    </row>
    <row r="17" spans="1:10" ht="12.75">
      <c r="A17" s="1" t="s">
        <v>18</v>
      </c>
      <c r="B17" s="3">
        <f>321384.11+33.55+60.39-569.98-203.92</f>
        <v>320704.15</v>
      </c>
      <c r="C17" s="3">
        <v>4051.91</v>
      </c>
      <c r="D17" s="19">
        <f t="shared" si="0"/>
        <v>1.2634417109975034</v>
      </c>
      <c r="E17" s="3">
        <f>14373.45+37934.16+5163.01+1.44</f>
        <v>57472.060000000005</v>
      </c>
      <c r="F17" s="3">
        <f>69.82+32.91</f>
        <v>102.72999999999999</v>
      </c>
      <c r="G17" s="19">
        <f t="shared" si="1"/>
        <v>0.1787477254164893</v>
      </c>
      <c r="H17" s="5">
        <f t="shared" si="3"/>
        <v>378176.21</v>
      </c>
      <c r="I17" s="5">
        <f t="shared" si="4"/>
        <v>4154.639999999999</v>
      </c>
      <c r="J17" s="19">
        <f t="shared" si="2"/>
        <v>1.09859898379118</v>
      </c>
    </row>
    <row r="18" spans="1:10" ht="12.75">
      <c r="A18" s="1" t="s">
        <v>19</v>
      </c>
      <c r="B18" s="3">
        <f>334555.75+5098.07+294.37-5077.34</f>
        <v>334870.85</v>
      </c>
      <c r="C18" s="3">
        <f>23876.98+6.1</f>
        <v>23883.079999999998</v>
      </c>
      <c r="D18" s="19">
        <f t="shared" si="0"/>
        <v>7.132027168085846</v>
      </c>
      <c r="E18" s="3">
        <f>208717.84+14607.26+6784.38+4.5+1.9-17654.13</f>
        <v>212461.75</v>
      </c>
      <c r="F18" s="3">
        <f>1075.65+84.98</f>
        <v>1160.63</v>
      </c>
      <c r="G18" s="19">
        <f t="shared" si="1"/>
        <v>0.5462771534170269</v>
      </c>
      <c r="H18" s="5">
        <f t="shared" si="3"/>
        <v>547332.6</v>
      </c>
      <c r="I18" s="5">
        <f t="shared" si="4"/>
        <v>25043.71</v>
      </c>
      <c r="J18" s="19">
        <f t="shared" si="2"/>
        <v>4.575592610416409</v>
      </c>
    </row>
    <row r="19" spans="1:10" ht="12.75">
      <c r="A19" s="1" t="s">
        <v>20</v>
      </c>
      <c r="B19" s="3">
        <f>894109.83+67.71+2305.78-2917.33</f>
        <v>893565.99</v>
      </c>
      <c r="C19" s="3">
        <v>21706.94</v>
      </c>
      <c r="D19" s="19">
        <f t="shared" si="0"/>
        <v>2.4292486780970703</v>
      </c>
      <c r="E19" s="3">
        <f>81542.64+10795.84+11776.29+321.65+2.73</f>
        <v>104439.14999999998</v>
      </c>
      <c r="F19" s="3">
        <f>1097.45+10.9</f>
        <v>1108.3500000000001</v>
      </c>
      <c r="G19" s="19">
        <f t="shared" si="1"/>
        <v>1.0612399660472154</v>
      </c>
      <c r="H19" s="5">
        <f t="shared" si="3"/>
        <v>998005.14</v>
      </c>
      <c r="I19" s="5">
        <f t="shared" si="4"/>
        <v>22815.289999999997</v>
      </c>
      <c r="J19" s="19">
        <f t="shared" si="2"/>
        <v>2.286089428357052</v>
      </c>
    </row>
    <row r="20" spans="1:10" ht="12.75">
      <c r="A20" s="1" t="s">
        <v>21</v>
      </c>
      <c r="B20" s="3">
        <f>5459409.45+1263.2+6131.91+3576.23-25589.12-536.76</f>
        <v>5444254.910000001</v>
      </c>
      <c r="C20" s="3">
        <v>102642.65</v>
      </c>
      <c r="D20" s="19">
        <f t="shared" si="0"/>
        <v>1.8853387965259691</v>
      </c>
      <c r="E20" s="3">
        <f>477469.24+662.75+229901.03+410056.7+14995.86+13.13+1294.99+9.45+2375.72-121.06-14995.88-8382.93-36533.22-361048.4</f>
        <v>715697.38</v>
      </c>
      <c r="F20" s="3">
        <f>7279.69-30.46</f>
        <v>7249.23</v>
      </c>
      <c r="G20" s="19">
        <f t="shared" si="1"/>
        <v>1.0128903923051946</v>
      </c>
      <c r="H20" s="5">
        <f t="shared" si="3"/>
        <v>6159952.290000001</v>
      </c>
      <c r="I20" s="5">
        <f t="shared" si="4"/>
        <v>109891.87999999999</v>
      </c>
      <c r="J20" s="19">
        <f t="shared" si="2"/>
        <v>1.7839729080109477</v>
      </c>
    </row>
    <row r="21" spans="1:10" ht="12.75">
      <c r="A21" s="1" t="s">
        <v>22</v>
      </c>
      <c r="B21" s="3">
        <f>404859.13+36.6+1137.07+350.05-1699.5-100.04</f>
        <v>404583.31</v>
      </c>
      <c r="C21" s="3">
        <v>13340.73</v>
      </c>
      <c r="D21" s="19">
        <f t="shared" si="0"/>
        <v>3.297399984196085</v>
      </c>
      <c r="E21" s="3">
        <f>45803.5+30113.59+7169.3+6.73+11.5</f>
        <v>83104.62</v>
      </c>
      <c r="F21" s="3">
        <f>750.28+6628.94+960.81</f>
        <v>8340.029999999999</v>
      </c>
      <c r="G21" s="19">
        <f t="shared" si="1"/>
        <v>10.035579249384691</v>
      </c>
      <c r="H21" s="5">
        <f t="shared" si="3"/>
        <v>487687.93</v>
      </c>
      <c r="I21" s="5">
        <f t="shared" si="4"/>
        <v>21680.76</v>
      </c>
      <c r="J21" s="19">
        <f t="shared" si="2"/>
        <v>4.445621608884189</v>
      </c>
    </row>
    <row r="22" spans="1:10" ht="12.75">
      <c r="A22" s="1" t="s">
        <v>23</v>
      </c>
      <c r="B22" s="3">
        <f>455134.04+88.67+1271.71-4051.83</f>
        <v>452442.58999999997</v>
      </c>
      <c r="C22" s="3">
        <v>9789.7</v>
      </c>
      <c r="D22" s="19">
        <f t="shared" si="0"/>
        <v>2.163744133813751</v>
      </c>
      <c r="E22" s="3">
        <f>112390.79+99623.79+17552.3+311.13+0.08-496.17</f>
        <v>229381.91999999995</v>
      </c>
      <c r="F22" s="3">
        <f>936.2+26.25</f>
        <v>962.45</v>
      </c>
      <c r="G22" s="19">
        <f t="shared" si="1"/>
        <v>0.41958407183966384</v>
      </c>
      <c r="H22" s="5">
        <f t="shared" si="3"/>
        <v>681824.5099999999</v>
      </c>
      <c r="I22" s="5">
        <f t="shared" si="4"/>
        <v>10752.150000000001</v>
      </c>
      <c r="J22" s="19">
        <f t="shared" si="2"/>
        <v>1.5769673636402428</v>
      </c>
    </row>
    <row r="23" spans="1:10" ht="12.75">
      <c r="A23" s="1" t="s">
        <v>24</v>
      </c>
      <c r="B23" s="3">
        <f>1949292.92+470.8+30.6+1670.49-7287.39</f>
        <v>1944177.4200000002</v>
      </c>
      <c r="C23" s="3">
        <v>27886.28</v>
      </c>
      <c r="D23" s="19">
        <f t="shared" si="0"/>
        <v>1.434348517431089</v>
      </c>
      <c r="E23" s="3">
        <f>287848.96+4520.68+120.57+134430.23+54209.69+26.05+1045.23+450.22+20.64-5556.74-3673.22-182.85</f>
        <v>473259.4600000001</v>
      </c>
      <c r="F23" s="3">
        <f>2986.83+170.85</f>
        <v>3157.68</v>
      </c>
      <c r="G23" s="19">
        <f t="shared" si="1"/>
        <v>0.6672196262067321</v>
      </c>
      <c r="H23" s="5">
        <f t="shared" si="3"/>
        <v>2417436.8800000004</v>
      </c>
      <c r="I23" s="5">
        <f t="shared" si="4"/>
        <v>31043.96</v>
      </c>
      <c r="J23" s="19">
        <f t="shared" si="2"/>
        <v>1.2841683791967298</v>
      </c>
    </row>
    <row r="24" spans="1:10" ht="12.75">
      <c r="A24" s="1" t="s">
        <v>25</v>
      </c>
      <c r="B24" s="14">
        <f>6433002.63+5819.68+5442.53-11233.33</f>
        <v>6433031.51</v>
      </c>
      <c r="C24" s="14">
        <v>88079.71</v>
      </c>
      <c r="D24" s="18">
        <f t="shared" si="0"/>
        <v>1.3691788989853713</v>
      </c>
      <c r="E24" s="14">
        <f>790519.56+2.68+404802.28+71036.63+104.68+227.63+2.64-3254.93-45.13-125.43-2.51</f>
        <v>1263268.0999999999</v>
      </c>
      <c r="F24" s="14">
        <f>6798.03+289.82</f>
        <v>7087.849999999999</v>
      </c>
      <c r="G24" s="18">
        <f t="shared" si="1"/>
        <v>0.5610725070948914</v>
      </c>
      <c r="H24" s="15">
        <f t="shared" si="3"/>
        <v>7696299.609999999</v>
      </c>
      <c r="I24" s="15">
        <f t="shared" si="4"/>
        <v>95167.56000000001</v>
      </c>
      <c r="J24" s="18">
        <f t="shared" si="2"/>
        <v>1.2365365802072772</v>
      </c>
    </row>
    <row r="25" spans="1:10" ht="12.75">
      <c r="A25" s="1" t="s">
        <v>26</v>
      </c>
      <c r="B25" s="3">
        <f>170431.99+113.8+93.21-973.99-429.84</f>
        <v>169235.16999999998</v>
      </c>
      <c r="C25" s="3">
        <v>5411.54</v>
      </c>
      <c r="D25" s="19">
        <f t="shared" si="0"/>
        <v>3.1976450285126905</v>
      </c>
      <c r="E25" s="3">
        <f>22771.14+549.48+877.5+0.01-223.1</f>
        <v>23975.03</v>
      </c>
      <c r="F25" s="3">
        <f>8.26+145.02</f>
        <v>153.28</v>
      </c>
      <c r="G25" s="19">
        <f t="shared" si="1"/>
        <v>0.6393318381666259</v>
      </c>
      <c r="H25" s="5">
        <f t="shared" si="3"/>
        <v>193210.19999999998</v>
      </c>
      <c r="I25" s="5">
        <f t="shared" si="4"/>
        <v>5564.82</v>
      </c>
      <c r="J25" s="19">
        <f t="shared" si="2"/>
        <v>2.8801895552098182</v>
      </c>
    </row>
    <row r="26" spans="1:10" ht="12.75">
      <c r="A26" s="1" t="s">
        <v>27</v>
      </c>
      <c r="B26" s="14">
        <f>582380.88+785.19+36.97-714.07-102.97</f>
        <v>582386</v>
      </c>
      <c r="C26" s="14">
        <v>19317.24</v>
      </c>
      <c r="D26" s="18">
        <f t="shared" si="0"/>
        <v>3.316913524706982</v>
      </c>
      <c r="E26" s="14">
        <f>528193.39+542346.52+163171.7+513.1+129553.52+0.04-513.1</f>
        <v>1363265.1700000002</v>
      </c>
      <c r="F26" s="14">
        <f>1795.72+306.44+213.57+1.35</f>
        <v>2317.08</v>
      </c>
      <c r="G26" s="18">
        <f t="shared" si="1"/>
        <v>0.16996546607289906</v>
      </c>
      <c r="H26" s="15">
        <f t="shared" si="3"/>
        <v>1945651.1700000002</v>
      </c>
      <c r="I26" s="15">
        <f t="shared" si="4"/>
        <v>21634.32</v>
      </c>
      <c r="J26" s="18">
        <f t="shared" si="2"/>
        <v>1.1119321044583752</v>
      </c>
    </row>
    <row r="27" spans="1:10" ht="12.75">
      <c r="A27" s="1" t="s">
        <v>28</v>
      </c>
      <c r="B27" s="14">
        <f>764096.61+131.76+1742.98+995.03+35.25-10495.86-1550.8</f>
        <v>754954.97</v>
      </c>
      <c r="C27" s="14">
        <f>31297.36+48.8</f>
        <v>31346.16</v>
      </c>
      <c r="D27" s="18">
        <f t="shared" si="0"/>
        <v>4.15205691009624</v>
      </c>
      <c r="E27" s="14">
        <f>92459.3+45.52+46218.13+16770.02+1025.41+0.32+10.09-76.45-818.16-32.75</f>
        <v>155601.43</v>
      </c>
      <c r="F27" s="14">
        <f>3133.89+953.65</f>
        <v>4087.54</v>
      </c>
      <c r="G27" s="18">
        <f t="shared" si="1"/>
        <v>2.626929585415764</v>
      </c>
      <c r="H27" s="15">
        <f t="shared" si="3"/>
        <v>910556.3999999999</v>
      </c>
      <c r="I27" s="15">
        <f t="shared" si="4"/>
        <v>35433.7</v>
      </c>
      <c r="J27" s="18">
        <f t="shared" si="2"/>
        <v>3.8914338529716557</v>
      </c>
    </row>
    <row r="28" spans="1:10" ht="12.75">
      <c r="A28" s="1" t="s">
        <v>29</v>
      </c>
      <c r="B28" s="3">
        <f>520258.51+13.79+232.7-2872.73</f>
        <v>517632.27</v>
      </c>
      <c r="C28" s="3">
        <v>6530.11</v>
      </c>
      <c r="D28" s="19">
        <f t="shared" si="0"/>
        <v>1.2615345639096265</v>
      </c>
      <c r="E28" s="3">
        <f>38324.19+20359.15+9272.68-35.02</f>
        <v>67921</v>
      </c>
      <c r="F28" s="3">
        <f>720.62+26.04+8.78</f>
        <v>755.4399999999999</v>
      </c>
      <c r="G28" s="19">
        <f t="shared" si="1"/>
        <v>1.1122333298979696</v>
      </c>
      <c r="H28" s="5">
        <f t="shared" si="3"/>
        <v>585553.27</v>
      </c>
      <c r="I28" s="5">
        <f t="shared" si="4"/>
        <v>7285.549999999999</v>
      </c>
      <c r="J28" s="19">
        <f t="shared" si="2"/>
        <v>1.2442164314102455</v>
      </c>
    </row>
    <row r="29" spans="1:10" ht="12.75">
      <c r="A29" s="1" t="s">
        <v>30</v>
      </c>
      <c r="B29" s="3">
        <f>2949361.09+2158.27+6599.31+4323.77+3610.1-6632.84</f>
        <v>2959419.7</v>
      </c>
      <c r="C29" s="3">
        <f>77466.21+1785.06</f>
        <v>79251.27</v>
      </c>
      <c r="D29" s="19">
        <f t="shared" si="0"/>
        <v>2.6779327717525163</v>
      </c>
      <c r="E29" s="3">
        <f>631785.37+2.34+30.25+563473.27+129752.9+495.06+33813.52+3249</f>
        <v>1362601.71</v>
      </c>
      <c r="F29" s="3">
        <f>515.43+2634.12+2632.12</f>
        <v>5781.67</v>
      </c>
      <c r="G29" s="19">
        <f t="shared" si="1"/>
        <v>0.42431107766626835</v>
      </c>
      <c r="H29" s="5">
        <f t="shared" si="3"/>
        <v>4322021.41</v>
      </c>
      <c r="I29" s="5">
        <f t="shared" si="4"/>
        <v>85032.94</v>
      </c>
      <c r="J29" s="19">
        <f t="shared" si="2"/>
        <v>1.9674344926486609</v>
      </c>
    </row>
    <row r="30" spans="1:10" ht="12.75">
      <c r="A30" s="1" t="s">
        <v>31</v>
      </c>
      <c r="B30" s="3">
        <f>2557334.63+58.68+1067.14-6080.85</f>
        <v>2552379.6</v>
      </c>
      <c r="C30" s="3">
        <v>51466.86</v>
      </c>
      <c r="D30" s="19">
        <f t="shared" si="0"/>
        <v>2.0164265534797408</v>
      </c>
      <c r="E30" s="3">
        <f>361325.68+2747.93+355016.08+11443.93+61395.97+1331.24+456.21+4.46-34779.44</f>
        <v>758942.0599999998</v>
      </c>
      <c r="F30" s="3">
        <f>5144.25+138.32</f>
        <v>5282.57</v>
      </c>
      <c r="G30" s="19">
        <f t="shared" si="1"/>
        <v>0.696043911441672</v>
      </c>
      <c r="H30" s="5">
        <f t="shared" si="3"/>
        <v>3311321.66</v>
      </c>
      <c r="I30" s="5">
        <f t="shared" si="4"/>
        <v>56749.43</v>
      </c>
      <c r="J30" s="19">
        <f t="shared" si="2"/>
        <v>1.7137999816061362</v>
      </c>
    </row>
    <row r="31" spans="1:10" ht="12.75">
      <c r="A31" s="1" t="s">
        <v>32</v>
      </c>
      <c r="B31" s="3">
        <f>394420.73+36326.64+592.77-3526.17</f>
        <v>427813.97000000003</v>
      </c>
      <c r="C31" s="3">
        <v>36068.69</v>
      </c>
      <c r="D31" s="19">
        <f t="shared" si="0"/>
        <v>8.430928517832179</v>
      </c>
      <c r="E31" s="3">
        <f>92804.82+330.94+10719.24+15408.69+1.37-247.62</f>
        <v>119017.44000000002</v>
      </c>
      <c r="F31" s="3">
        <f>7345.18+6980.68</f>
        <v>14325.86</v>
      </c>
      <c r="G31" s="19">
        <f t="shared" si="1"/>
        <v>12.036773770297865</v>
      </c>
      <c r="H31" s="5">
        <f t="shared" si="3"/>
        <v>546831.41</v>
      </c>
      <c r="I31" s="5">
        <f t="shared" si="4"/>
        <v>50394.55</v>
      </c>
      <c r="J31" s="19">
        <f t="shared" si="2"/>
        <v>9.215737991349107</v>
      </c>
    </row>
    <row r="32" spans="1:10" ht="12.75">
      <c r="A32" s="1" t="s">
        <v>33</v>
      </c>
      <c r="B32" s="5">
        <f>441776.79+4415.08+7755.04-2995.03</f>
        <v>450951.87999999995</v>
      </c>
      <c r="C32" s="3">
        <v>26303.53</v>
      </c>
      <c r="D32" s="19">
        <f>C32/B32*100</f>
        <v>5.832890640127723</v>
      </c>
      <c r="E32" s="3">
        <f>45721.98+23531.17+5386.08+1095.38-13.5</f>
        <v>75721.11</v>
      </c>
      <c r="F32" s="3">
        <f>2209.25+17.77+541.34+28.43</f>
        <v>2796.79</v>
      </c>
      <c r="G32" s="19">
        <f t="shared" si="1"/>
        <v>3.6935406784184757</v>
      </c>
      <c r="H32" s="5">
        <f>(B33+E32)</f>
        <v>422403.83999999997</v>
      </c>
      <c r="I32" s="5">
        <f>(C33+F32)</f>
        <v>8181.88</v>
      </c>
      <c r="J32" s="19">
        <f t="shared" si="2"/>
        <v>1.9369804971469957</v>
      </c>
    </row>
    <row r="33" spans="1:10" ht="12.75">
      <c r="A33" s="1" t="s">
        <v>34</v>
      </c>
      <c r="B33" s="3">
        <f>347588.49+433.45+111.38+198-1648.59</f>
        <v>346682.73</v>
      </c>
      <c r="C33" s="3">
        <v>5385.09</v>
      </c>
      <c r="D33" s="19">
        <f>C33/B33*100</f>
        <v>1.5533193707110822</v>
      </c>
      <c r="E33" s="3">
        <f>45421.43+10072.29+8617.82+75.87+1.45-479.22-6.42-50.07</f>
        <v>63653.15</v>
      </c>
      <c r="F33" s="3">
        <f>5040.74+3.96</f>
        <v>5044.7</v>
      </c>
      <c r="G33" s="19">
        <f t="shared" si="1"/>
        <v>7.925295134647696</v>
      </c>
      <c r="H33" s="5">
        <f>(B34+E33)</f>
        <v>372005.23000000004</v>
      </c>
      <c r="I33" s="5">
        <f>(C33+F33)</f>
        <v>10429.79</v>
      </c>
      <c r="J33" s="19">
        <f t="shared" si="2"/>
        <v>2.8036675720930053</v>
      </c>
    </row>
    <row r="34" spans="1:10" ht="12.75">
      <c r="A34" s="1" t="s">
        <v>35</v>
      </c>
      <c r="B34" s="3">
        <f>305267.16+4111.08-968.92-57.24</f>
        <v>308352.08</v>
      </c>
      <c r="C34" s="3">
        <v>4971.99</v>
      </c>
      <c r="D34" s="19">
        <f t="shared" si="0"/>
        <v>1.612439260990229</v>
      </c>
      <c r="E34" s="3">
        <f>34600.61+990.78+2976.09+300.46+3.71</f>
        <v>38871.649999999994</v>
      </c>
      <c r="F34" s="3">
        <v>165.44</v>
      </c>
      <c r="G34" s="19">
        <f t="shared" si="1"/>
        <v>0.4256058078316717</v>
      </c>
      <c r="H34" s="5">
        <f t="shared" si="3"/>
        <v>347223.73</v>
      </c>
      <c r="I34" s="5">
        <f t="shared" si="4"/>
        <v>5137.429999999999</v>
      </c>
      <c r="J34" s="19">
        <f t="shared" si="2"/>
        <v>1.479573415100402</v>
      </c>
    </row>
    <row r="35" spans="1:10" ht="12.75">
      <c r="A35" s="1" t="s">
        <v>36</v>
      </c>
      <c r="B35" s="3">
        <f>5517250.46+7627.78+9247.62-20879.64</f>
        <v>5513246.220000001</v>
      </c>
      <c r="C35" s="3">
        <v>85903.46</v>
      </c>
      <c r="D35" s="19">
        <f t="shared" si="0"/>
        <v>1.5581284885912459</v>
      </c>
      <c r="E35" s="3">
        <f>1065588.41+1855.38+620.1+200806.18+25418.73+1524.59-150.19-8096.61</f>
        <v>1287566.5899999999</v>
      </c>
      <c r="F35" s="3">
        <f>14054.47+1225.98</f>
        <v>15280.449999999999</v>
      </c>
      <c r="G35" s="19">
        <f t="shared" si="1"/>
        <v>1.186769687772032</v>
      </c>
      <c r="H35" s="5">
        <f t="shared" si="3"/>
        <v>6800812.8100000005</v>
      </c>
      <c r="I35" s="5">
        <f t="shared" si="4"/>
        <v>101183.91</v>
      </c>
      <c r="J35" s="19">
        <f t="shared" si="2"/>
        <v>1.4878208359332858</v>
      </c>
    </row>
    <row r="36" spans="1:10" ht="12.75">
      <c r="A36" s="1" t="s">
        <v>37</v>
      </c>
      <c r="B36" s="3">
        <f>560983.76+92.29+1983.92+47.09-1651.35-141.22</f>
        <v>561314.4900000001</v>
      </c>
      <c r="C36" s="3">
        <v>18542.88</v>
      </c>
      <c r="D36" s="19">
        <f t="shared" si="0"/>
        <v>3.3034743143723224</v>
      </c>
      <c r="E36" s="3">
        <f>20370.83+3068.29+1738.5+20.26+3.28</f>
        <v>25201.16</v>
      </c>
      <c r="F36" s="3">
        <f>548.84+2.01</f>
        <v>550.85</v>
      </c>
      <c r="G36" s="19">
        <f t="shared" si="1"/>
        <v>2.185812081666082</v>
      </c>
      <c r="H36" s="5">
        <f t="shared" si="3"/>
        <v>586515.6500000001</v>
      </c>
      <c r="I36" s="5">
        <f t="shared" si="4"/>
        <v>19093.73</v>
      </c>
      <c r="J36" s="19">
        <f t="shared" si="2"/>
        <v>3.255451069378966</v>
      </c>
    </row>
    <row r="37" spans="1:10" ht="12.75">
      <c r="A37" s="1" t="s">
        <v>38</v>
      </c>
      <c r="B37" s="3">
        <f>155920.92+130.1+2325.28+166.72-1398.33-44.16</f>
        <v>157100.53000000003</v>
      </c>
      <c r="C37" s="3">
        <f>8394.4+237.19</f>
        <v>8631.59</v>
      </c>
      <c r="D37" s="19">
        <f t="shared" si="0"/>
        <v>5.494309917350374</v>
      </c>
      <c r="E37" s="3">
        <f>9643.32+740.05+9.84</f>
        <v>10393.21</v>
      </c>
      <c r="F37" s="3">
        <f>414.21+8.81</f>
        <v>423.02</v>
      </c>
      <c r="G37" s="19">
        <f t="shared" si="1"/>
        <v>4.070157343111512</v>
      </c>
      <c r="H37" s="5">
        <f t="shared" si="3"/>
        <v>167493.74000000002</v>
      </c>
      <c r="I37" s="5">
        <f t="shared" si="4"/>
        <v>9054.61</v>
      </c>
      <c r="J37" s="19">
        <f t="shared" si="2"/>
        <v>5.405939350330346</v>
      </c>
    </row>
    <row r="38" spans="1:10" ht="12.75">
      <c r="A38" s="1" t="s">
        <v>39</v>
      </c>
      <c r="B38" s="3">
        <f>435299.83+118.34+4118.56+13.99-2073.96</f>
        <v>437476.76</v>
      </c>
      <c r="C38" s="3">
        <v>30357.74</v>
      </c>
      <c r="D38" s="19">
        <f t="shared" si="0"/>
        <v>6.939280614586248</v>
      </c>
      <c r="E38" s="3">
        <f>27878.66+0.67+1824.88+5474.43+40.91+0.32+0.76-32.43-46.27</f>
        <v>35141.93000000001</v>
      </c>
      <c r="F38" s="3">
        <f>428.13+1740.67</f>
        <v>2168.8</v>
      </c>
      <c r="G38" s="19">
        <f t="shared" si="1"/>
        <v>6.171544932221992</v>
      </c>
      <c r="H38" s="5">
        <f t="shared" si="3"/>
        <v>472618.69</v>
      </c>
      <c r="I38" s="5">
        <f t="shared" si="4"/>
        <v>32526.54</v>
      </c>
      <c r="J38" s="19">
        <f t="shared" si="2"/>
        <v>6.88219503126294</v>
      </c>
    </row>
    <row r="39" spans="1:10" ht="12.75">
      <c r="A39" s="1" t="s">
        <v>40</v>
      </c>
      <c r="B39" s="3">
        <f>27287498.67+15605.87+2293.17+38386.82-34767.44</f>
        <v>27309017.090000004</v>
      </c>
      <c r="C39" s="3">
        <v>372769.05</v>
      </c>
      <c r="D39" s="19">
        <f t="shared" si="0"/>
        <v>1.3650035399351679</v>
      </c>
      <c r="E39" s="3">
        <f>4300571.36+166.38+597640.1+442069.61+8842.62+7744.13-38816.39-378.58-4052.81-58.73</f>
        <v>5313727.69</v>
      </c>
      <c r="F39" s="3">
        <f>83799.17+1161.08+1557.27+22.47+24.17</f>
        <v>86564.16</v>
      </c>
      <c r="G39" s="19">
        <f t="shared" si="1"/>
        <v>1.6290665433026734</v>
      </c>
      <c r="H39" s="5">
        <f t="shared" si="3"/>
        <v>32622744.780000005</v>
      </c>
      <c r="I39" s="5">
        <f t="shared" si="4"/>
        <v>459333.20999999996</v>
      </c>
      <c r="J39" s="19">
        <f t="shared" si="2"/>
        <v>1.4080152148374803</v>
      </c>
    </row>
    <row r="40" spans="1:10" ht="12.75">
      <c r="A40" s="1" t="s">
        <v>41</v>
      </c>
      <c r="B40" s="14">
        <f>555452.43+78.95-3146.01</f>
        <v>552385.37</v>
      </c>
      <c r="C40" s="14">
        <v>10683.15</v>
      </c>
      <c r="D40" s="18">
        <f t="shared" si="0"/>
        <v>1.9340030674599509</v>
      </c>
      <c r="E40" s="14">
        <f>67464.84+41252.03+14805.07+71.44+4.18-91.5-243.27</f>
        <v>123262.79</v>
      </c>
      <c r="F40" s="14">
        <f>489.73+12.25</f>
        <v>501.98</v>
      </c>
      <c r="G40" s="18">
        <f t="shared" si="1"/>
        <v>0.4072437432253481</v>
      </c>
      <c r="H40" s="15">
        <f t="shared" si="3"/>
        <v>675648.16</v>
      </c>
      <c r="I40" s="15">
        <f t="shared" si="4"/>
        <v>11185.13</v>
      </c>
      <c r="J40" s="18">
        <f t="shared" si="2"/>
        <v>1.6554666558997213</v>
      </c>
    </row>
    <row r="41" spans="1:10" ht="12.75">
      <c r="A41" s="1" t="s">
        <v>42</v>
      </c>
      <c r="B41" s="3">
        <f>1113973.91+168585.63-10537.84</f>
        <v>1272021.7</v>
      </c>
      <c r="C41" s="3">
        <v>110151.71</v>
      </c>
      <c r="D41" s="19">
        <f t="shared" si="0"/>
        <v>8.659577898710378</v>
      </c>
      <c r="E41" s="3">
        <f>627737.24+10714.3+53854.41-206.81-29.43</f>
        <v>692069.71</v>
      </c>
      <c r="F41" s="3">
        <f>23081.33+125.97+3915.83</f>
        <v>27123.130000000005</v>
      </c>
      <c r="G41" s="19">
        <f t="shared" si="1"/>
        <v>3.9191326550037866</v>
      </c>
      <c r="H41" s="5">
        <f t="shared" si="3"/>
        <v>1964091.41</v>
      </c>
      <c r="I41" s="5">
        <f t="shared" si="4"/>
        <v>137274.84000000003</v>
      </c>
      <c r="J41" s="19">
        <f t="shared" si="2"/>
        <v>6.989228673425135</v>
      </c>
    </row>
    <row r="42" spans="1:10" ht="12.75">
      <c r="A42" s="1" t="s">
        <v>43</v>
      </c>
      <c r="B42" s="14">
        <f>3405637.87+82.23+559.43+785.89-2076.68-1898.7</f>
        <v>3403090.04</v>
      </c>
      <c r="C42" s="14">
        <v>89843.39</v>
      </c>
      <c r="D42" s="18">
        <f t="shared" si="0"/>
        <v>2.640053273465547</v>
      </c>
      <c r="E42" s="14">
        <f>539947.89+204.54+304741.61+53699.75+34.16+253.99+39-194.9-23956.33-11.33-0.34</f>
        <v>874758.0400000002</v>
      </c>
      <c r="F42" s="14">
        <f>6668.46+241.8+328.35</f>
        <v>7238.610000000001</v>
      </c>
      <c r="G42" s="18">
        <f t="shared" si="1"/>
        <v>0.8274985389102568</v>
      </c>
      <c r="H42" s="15">
        <f t="shared" si="3"/>
        <v>4277848.08</v>
      </c>
      <c r="I42" s="15">
        <f t="shared" si="4"/>
        <v>97082</v>
      </c>
      <c r="J42" s="18">
        <f t="shared" si="2"/>
        <v>2.2694120544832437</v>
      </c>
    </row>
    <row r="43" spans="1:10" ht="12.75">
      <c r="A43" s="1" t="s">
        <v>44</v>
      </c>
      <c r="B43" s="3">
        <f>233790.66+373.32-1274.39</f>
        <v>232889.59</v>
      </c>
      <c r="C43" s="3">
        <v>7751.63</v>
      </c>
      <c r="D43" s="19">
        <f t="shared" si="0"/>
        <v>3.3284570598453973</v>
      </c>
      <c r="E43" s="3">
        <f>69541.74+52368.66+35851.18+730.61+1615.66-451.58</f>
        <v>159656.27000000002</v>
      </c>
      <c r="F43" s="3">
        <f>216.69+4.25</f>
        <v>220.94</v>
      </c>
      <c r="G43" s="19">
        <f t="shared" si="1"/>
        <v>0.1383847937822924</v>
      </c>
      <c r="H43" s="5">
        <f t="shared" si="3"/>
        <v>392545.86</v>
      </c>
      <c r="I43" s="5">
        <f t="shared" si="4"/>
        <v>7972.57</v>
      </c>
      <c r="J43" s="19">
        <f t="shared" si="2"/>
        <v>2.030990722969286</v>
      </c>
    </row>
    <row r="44" spans="1:10" ht="12.75">
      <c r="A44" s="1" t="s">
        <v>45</v>
      </c>
      <c r="B44" s="16">
        <f>481645.29+2330.6+1382.28+8970.67-2973.53-122.49</f>
        <v>491232.81999999995</v>
      </c>
      <c r="C44" s="14">
        <f>12238.19+1687.5</f>
        <v>13925.69</v>
      </c>
      <c r="D44" s="18">
        <f t="shared" si="0"/>
        <v>2.834845196214699</v>
      </c>
      <c r="E44" s="14">
        <f>94857.45+71.6+387684.89+49983.71+3899.35+1.65-81.49</f>
        <v>536417.16</v>
      </c>
      <c r="F44" s="14">
        <f>1251.58+52.98</f>
        <v>1304.56</v>
      </c>
      <c r="G44" s="18">
        <f t="shared" si="1"/>
        <v>0.24319878208221374</v>
      </c>
      <c r="H44" s="15">
        <f t="shared" si="3"/>
        <v>1027649.98</v>
      </c>
      <c r="I44" s="15">
        <f t="shared" si="4"/>
        <v>15230.25</v>
      </c>
      <c r="J44" s="18">
        <f t="shared" si="2"/>
        <v>1.4820464454249296</v>
      </c>
    </row>
    <row r="45" spans="1:10" ht="12.75">
      <c r="A45" s="1" t="s">
        <v>46</v>
      </c>
      <c r="B45" s="14">
        <f>816577.29+666.91+574.82-2699.21</f>
        <v>815119.81</v>
      </c>
      <c r="C45" s="14">
        <v>20547.12</v>
      </c>
      <c r="D45" s="18">
        <f t="shared" si="0"/>
        <v>2.5207484529176143</v>
      </c>
      <c r="E45" s="14">
        <f>63902.64+135.91+9979.85+3549.93+31.21+117.21+66.81+0.12-31.21</f>
        <v>77752.47</v>
      </c>
      <c r="F45" s="14">
        <f>556.32+193.32</f>
        <v>749.6400000000001</v>
      </c>
      <c r="G45" s="18">
        <f t="shared" si="1"/>
        <v>0.9641365734104654</v>
      </c>
      <c r="H45" s="15">
        <f t="shared" si="3"/>
        <v>892872.28</v>
      </c>
      <c r="I45" s="15">
        <f t="shared" si="4"/>
        <v>21296.76</v>
      </c>
      <c r="J45" s="18">
        <f t="shared" si="2"/>
        <v>2.385196682329526</v>
      </c>
    </row>
    <row r="46" spans="1:10" ht="12.75">
      <c r="A46" s="1" t="s">
        <v>47</v>
      </c>
      <c r="B46" s="3">
        <f>1200743.09+81.49+90-1135.92</f>
        <v>1199778.6600000001</v>
      </c>
      <c r="C46" s="3">
        <v>18904.57</v>
      </c>
      <c r="D46" s="19">
        <f t="shared" si="0"/>
        <v>1.575671465935225</v>
      </c>
      <c r="E46" s="3">
        <f>139336.57+39918.97+26453.08-359.6</f>
        <v>205349.02</v>
      </c>
      <c r="F46" s="3">
        <f>1499.36+87.04</f>
        <v>1586.3999999999999</v>
      </c>
      <c r="G46" s="19">
        <f t="shared" si="1"/>
        <v>0.7725383836747797</v>
      </c>
      <c r="H46" s="5">
        <f t="shared" si="3"/>
        <v>1405127.6800000002</v>
      </c>
      <c r="I46" s="5">
        <f t="shared" si="4"/>
        <v>20490.97</v>
      </c>
      <c r="J46" s="19">
        <f t="shared" si="2"/>
        <v>1.4582995048535374</v>
      </c>
    </row>
    <row r="47" spans="1:10" ht="12.75">
      <c r="A47" s="1" t="s">
        <v>48</v>
      </c>
      <c r="B47" s="3">
        <f>1545346.86+669.02+1434.36-10291.78-507.99</f>
        <v>1536650.4700000002</v>
      </c>
      <c r="C47" s="3">
        <v>28003.36</v>
      </c>
      <c r="D47" s="19">
        <f t="shared" si="0"/>
        <v>1.8223636764969717</v>
      </c>
      <c r="E47" s="3">
        <f>238228.71+2413.01+31295.2+55497.84+55+784.31+261.52+17.19-118.69</f>
        <v>328434.09</v>
      </c>
      <c r="F47" s="3">
        <f>4310.62+121.47</f>
        <v>4432.09</v>
      </c>
      <c r="G47" s="19">
        <f t="shared" si="1"/>
        <v>1.3494610136237686</v>
      </c>
      <c r="H47" s="5">
        <f t="shared" si="3"/>
        <v>1865084.5600000003</v>
      </c>
      <c r="I47" s="5">
        <f t="shared" si="4"/>
        <v>32435.45</v>
      </c>
      <c r="J47" s="19">
        <f t="shared" si="2"/>
        <v>1.7390873687786035</v>
      </c>
    </row>
    <row r="48" spans="1:10" ht="12.75">
      <c r="A48" s="1" t="s">
        <v>49</v>
      </c>
      <c r="B48" s="3">
        <f>1139101.3+1267.76+331.02+2332.5-3870.06</f>
        <v>1139162.52</v>
      </c>
      <c r="C48" s="3">
        <f>29079.26+4.39</f>
        <v>29083.649999999998</v>
      </c>
      <c r="D48" s="19">
        <f t="shared" si="0"/>
        <v>2.553072936423505</v>
      </c>
      <c r="E48" s="3">
        <f>165378.62+147+108288.13+2023.93+44423.93+130.59+0.03-15.16</f>
        <v>320377.07000000007</v>
      </c>
      <c r="F48" s="3">
        <f>6360.06+182.72</f>
        <v>6542.780000000001</v>
      </c>
      <c r="G48" s="19">
        <f t="shared" si="1"/>
        <v>2.042212321874346</v>
      </c>
      <c r="H48" s="5">
        <f t="shared" si="3"/>
        <v>1459539.59</v>
      </c>
      <c r="I48" s="5">
        <f t="shared" si="4"/>
        <v>35626.43</v>
      </c>
      <c r="J48" s="19">
        <f t="shared" si="2"/>
        <v>2.440936185910517</v>
      </c>
    </row>
    <row r="49" spans="1:10" ht="12.75">
      <c r="A49" s="1" t="s">
        <v>50</v>
      </c>
      <c r="B49" s="3">
        <f>371876.84+41.48+4554.14-2493.15-181.78</f>
        <v>373797.52999999997</v>
      </c>
      <c r="C49" s="3">
        <v>6671.66</v>
      </c>
      <c r="D49" s="19">
        <f t="shared" si="0"/>
        <v>1.784832553601946</v>
      </c>
      <c r="E49" s="3">
        <f>27375.76+5745.44+2886.16-70.41-369.2</f>
        <v>35567.75</v>
      </c>
      <c r="F49" s="3">
        <v>75.94</v>
      </c>
      <c r="G49" s="19">
        <f t="shared" si="1"/>
        <v>0.21350802342009262</v>
      </c>
      <c r="H49" s="5">
        <f t="shared" si="3"/>
        <v>409365.27999999997</v>
      </c>
      <c r="I49" s="5">
        <f t="shared" si="4"/>
        <v>6747.599999999999</v>
      </c>
      <c r="J49" s="19">
        <f t="shared" si="2"/>
        <v>1.6483078389061232</v>
      </c>
    </row>
    <row r="50" spans="1:10" ht="12.75">
      <c r="A50" s="1" t="s">
        <v>51</v>
      </c>
      <c r="B50" s="14">
        <f>1524931.3+174.91+4541.38+898.52-16520.85</f>
        <v>1514025.2599999998</v>
      </c>
      <c r="C50" s="14">
        <v>70233.78</v>
      </c>
      <c r="D50" s="18">
        <f t="shared" si="0"/>
        <v>4.638877689530755</v>
      </c>
      <c r="E50" s="14">
        <f>192975.51+18.98+1718.03+171792.74+190.24+48341.99+205.73+141.85+3.09-1196.52</f>
        <v>414191.63999999996</v>
      </c>
      <c r="F50" s="14">
        <f>2492.35+783.55+106.57</f>
        <v>3382.47</v>
      </c>
      <c r="G50" s="18">
        <f>F50/E50*100</f>
        <v>0.8166437159378688</v>
      </c>
      <c r="H50" s="15">
        <f t="shared" si="3"/>
        <v>1928216.8999999997</v>
      </c>
      <c r="I50" s="15">
        <f t="shared" si="4"/>
        <v>73616.25</v>
      </c>
      <c r="J50" s="18">
        <f t="shared" si="2"/>
        <v>3.8178407211346403</v>
      </c>
    </row>
    <row r="51" spans="1:10" ht="12.75">
      <c r="A51" s="1" t="s">
        <v>52</v>
      </c>
      <c r="B51" s="14">
        <f>417152.31+123.34+1048.67+76.62+42650-1411.6</f>
        <v>459639.34</v>
      </c>
      <c r="C51" s="14">
        <v>5022.61</v>
      </c>
      <c r="D51" s="18">
        <f t="shared" si="0"/>
        <v>1.092728485773215</v>
      </c>
      <c r="E51" s="14">
        <f>279901.28+720209.62+73068.23+1.8+9.89</f>
        <v>1073190.82</v>
      </c>
      <c r="F51" s="14">
        <v>5.2</v>
      </c>
      <c r="G51" s="18">
        <f aca="true" t="shared" si="5" ref="G51:G114">F51/E51*100</f>
        <v>0.0004845363846850647</v>
      </c>
      <c r="H51" s="15">
        <f t="shared" si="3"/>
        <v>1532830.1600000001</v>
      </c>
      <c r="I51" s="15">
        <f t="shared" si="4"/>
        <v>5027.8099999999995</v>
      </c>
      <c r="J51" s="18">
        <f t="shared" si="2"/>
        <v>0.3280082902335376</v>
      </c>
    </row>
    <row r="52" spans="1:10" ht="12.75">
      <c r="A52" s="1" t="s">
        <v>53</v>
      </c>
      <c r="B52" s="3">
        <f>6261568.99+1156.68+942.25+261.69+1012.5-25142.86</f>
        <v>6239799.25</v>
      </c>
      <c r="C52" s="3">
        <v>140659.06</v>
      </c>
      <c r="D52" s="19">
        <f t="shared" si="0"/>
        <v>2.254224124277716</v>
      </c>
      <c r="E52" s="3">
        <f>836197.83+6.92+712727.27+137702.18+2970.64+0.02-523.26-645.12</f>
        <v>1688436.4799999997</v>
      </c>
      <c r="F52" s="3">
        <f>21072.15+3297.86+1.5</f>
        <v>24371.510000000002</v>
      </c>
      <c r="G52" s="19">
        <f t="shared" si="5"/>
        <v>1.4434365928885882</v>
      </c>
      <c r="H52" s="5">
        <f t="shared" si="3"/>
        <v>7928235.7299999995</v>
      </c>
      <c r="I52" s="5">
        <f t="shared" si="4"/>
        <v>165030.57</v>
      </c>
      <c r="J52" s="19">
        <f t="shared" si="2"/>
        <v>2.0815547824282463</v>
      </c>
    </row>
    <row r="53" spans="1:10" ht="12.75">
      <c r="A53" s="1" t="s">
        <v>54</v>
      </c>
      <c r="B53" s="3">
        <f>686550.56+64077.77+240.83-4707.67</f>
        <v>746161.49</v>
      </c>
      <c r="C53" s="3">
        <v>54540.45</v>
      </c>
      <c r="D53" s="19">
        <f t="shared" si="0"/>
        <v>7.309469964739135</v>
      </c>
      <c r="E53" s="3">
        <f>896354.15+54838.83+24653.76+40.28-247.58-2367.5</f>
        <v>973271.9400000001</v>
      </c>
      <c r="F53" s="3">
        <f>3803.61+114.01</f>
        <v>3917.6200000000003</v>
      </c>
      <c r="G53" s="19">
        <f t="shared" si="5"/>
        <v>0.40252059460380624</v>
      </c>
      <c r="H53" s="5">
        <f t="shared" si="3"/>
        <v>1719433.4300000002</v>
      </c>
      <c r="I53" s="5">
        <f t="shared" si="4"/>
        <v>58458.07</v>
      </c>
      <c r="J53" s="19">
        <f t="shared" si="2"/>
        <v>3.3998449128676063</v>
      </c>
    </row>
    <row r="54" spans="1:10" ht="12.75">
      <c r="A54" s="1" t="s">
        <v>55</v>
      </c>
      <c r="B54" s="14">
        <f>948346.47+139.42+316.99-2139.54</f>
        <v>946663.34</v>
      </c>
      <c r="C54" s="14">
        <v>15885.59</v>
      </c>
      <c r="D54" s="18">
        <f t="shared" si="0"/>
        <v>1.6780611785389303</v>
      </c>
      <c r="E54" s="14">
        <f>112787.02+136762.83+14371.52+2504.41+1.78</f>
        <v>266427.56</v>
      </c>
      <c r="F54" s="14">
        <f>1216.22+579.81</f>
        <v>1796.03</v>
      </c>
      <c r="G54" s="18">
        <f t="shared" si="5"/>
        <v>0.6741156958386737</v>
      </c>
      <c r="H54" s="15">
        <f t="shared" si="3"/>
        <v>1213090.9</v>
      </c>
      <c r="I54" s="15">
        <f t="shared" si="4"/>
        <v>17681.62</v>
      </c>
      <c r="J54" s="18">
        <f t="shared" si="2"/>
        <v>1.45756760684628</v>
      </c>
    </row>
    <row r="55" spans="1:10" ht="12.75">
      <c r="A55" s="1" t="s">
        <v>56</v>
      </c>
      <c r="B55" s="3">
        <f>725397.36+78.93+2634.92-2524.2</f>
        <v>725587.0100000001</v>
      </c>
      <c r="C55" s="3">
        <f>19209.88+5.13</f>
        <v>19215.010000000002</v>
      </c>
      <c r="D55" s="19">
        <f t="shared" si="0"/>
        <v>2.6482020398904327</v>
      </c>
      <c r="E55" s="3">
        <f>70479.01+270266.24+176.55+34870.65+473.38+0.44-897.86</f>
        <v>375368.41000000003</v>
      </c>
      <c r="F55" s="3">
        <f>982.45+3.99+99.7</f>
        <v>1086.14</v>
      </c>
      <c r="G55" s="19">
        <f t="shared" si="5"/>
        <v>0.2893530651660325</v>
      </c>
      <c r="H55" s="5">
        <f t="shared" si="3"/>
        <v>1100955.4200000002</v>
      </c>
      <c r="I55" s="5">
        <f t="shared" si="4"/>
        <v>20301.15</v>
      </c>
      <c r="J55" s="19">
        <f t="shared" si="2"/>
        <v>1.8439574964806476</v>
      </c>
    </row>
    <row r="56" spans="1:10" ht="12.75">
      <c r="A56" s="1" t="s">
        <v>57</v>
      </c>
      <c r="B56" s="3">
        <f>2384398.9+41.11+33765.38+381.45+17092.91-2239.8</f>
        <v>2433439.95</v>
      </c>
      <c r="C56" s="3">
        <v>46974.74</v>
      </c>
      <c r="D56" s="19">
        <f t="shared" si="0"/>
        <v>1.9303841872079068</v>
      </c>
      <c r="E56" s="3">
        <f>655105.88+92.75+500464.8+113189.95+586.17+8421.99+31.44-113.29-33562.07-586.17</f>
        <v>1243631.4499999997</v>
      </c>
      <c r="F56" s="3">
        <f>3448.82+838.92+145.16</f>
        <v>4432.9</v>
      </c>
      <c r="G56" s="19">
        <f t="shared" si="5"/>
        <v>0.35644804576146744</v>
      </c>
      <c r="H56" s="5">
        <f t="shared" si="3"/>
        <v>3677071.4</v>
      </c>
      <c r="I56" s="5">
        <f t="shared" si="4"/>
        <v>51407.64</v>
      </c>
      <c r="J56" s="19">
        <f t="shared" si="2"/>
        <v>1.3980593360248594</v>
      </c>
    </row>
    <row r="57" spans="1:10" ht="12.75">
      <c r="A57" s="1" t="s">
        <v>58</v>
      </c>
      <c r="B57" s="14">
        <f>815575.49+121.27+565.47+144.82-2978.14</f>
        <v>813428.9099999999</v>
      </c>
      <c r="C57" s="14">
        <v>21086.48</v>
      </c>
      <c r="D57" s="18">
        <f t="shared" si="0"/>
        <v>2.5922953734211394</v>
      </c>
      <c r="E57" s="14">
        <f>73670.69+2263.83+51201.07+236.4+17361.98+66.6+60.57+23.22+0.16-6957.8</f>
        <v>137926.72000000003</v>
      </c>
      <c r="F57" s="14">
        <f>1690.09+236.36+27.94+1.23</f>
        <v>1955.62</v>
      </c>
      <c r="G57" s="18">
        <f t="shared" si="5"/>
        <v>1.417868850937657</v>
      </c>
      <c r="H57" s="15">
        <f t="shared" si="3"/>
        <v>951355.6299999999</v>
      </c>
      <c r="I57" s="15">
        <f t="shared" si="4"/>
        <v>23042.1</v>
      </c>
      <c r="J57" s="18">
        <f t="shared" si="2"/>
        <v>2.422028027521107</v>
      </c>
    </row>
    <row r="58" spans="1:10" ht="12.75">
      <c r="A58" s="1" t="s">
        <v>59</v>
      </c>
      <c r="B58" s="3">
        <f>187778.21+41.11-879.99-64.9</f>
        <v>186874.43</v>
      </c>
      <c r="C58" s="3">
        <v>3118.89</v>
      </c>
      <c r="D58" s="19">
        <f t="shared" si="0"/>
        <v>1.6689763281150878</v>
      </c>
      <c r="E58" s="7">
        <f>41401.75+695.3+4519.51+291.05+13.03-158.86</f>
        <v>46761.780000000006</v>
      </c>
      <c r="F58" s="3">
        <v>170.24</v>
      </c>
      <c r="G58" s="19">
        <f t="shared" si="5"/>
        <v>0.36405799779221404</v>
      </c>
      <c r="H58" s="5">
        <f t="shared" si="3"/>
        <v>233636.21</v>
      </c>
      <c r="I58" s="5">
        <f t="shared" si="4"/>
        <v>3289.13</v>
      </c>
      <c r="J58" s="19">
        <f t="shared" si="2"/>
        <v>1.4077997584364172</v>
      </c>
    </row>
    <row r="59" spans="1:10" ht="12.75">
      <c r="A59" s="1" t="s">
        <v>60</v>
      </c>
      <c r="B59" s="3">
        <f>1992114.17+674.9+10422.67+11984.57-7950.54</f>
        <v>2007245.7699999998</v>
      </c>
      <c r="C59" s="3">
        <v>49150.16</v>
      </c>
      <c r="D59" s="19">
        <f t="shared" si="0"/>
        <v>2.448636870212461</v>
      </c>
      <c r="E59" s="3">
        <f>973495.07+222968.83+69221.63+10.63+2571.19+23.5-961-93.81-7.35</f>
        <v>1267228.6899999995</v>
      </c>
      <c r="F59" s="3">
        <f>2705.06+226+47.67</f>
        <v>2978.73</v>
      </c>
      <c r="G59" s="19">
        <f t="shared" si="5"/>
        <v>0.2350585986180601</v>
      </c>
      <c r="H59" s="5">
        <f t="shared" si="3"/>
        <v>3274474.459999999</v>
      </c>
      <c r="I59" s="5">
        <f t="shared" si="4"/>
        <v>52128.89000000001</v>
      </c>
      <c r="J59" s="19">
        <f t="shared" si="2"/>
        <v>1.5919772970224975</v>
      </c>
    </row>
    <row r="60" spans="1:10" ht="12.75">
      <c r="A60" s="1" t="s">
        <v>61</v>
      </c>
      <c r="B60" s="3">
        <f>294119.95+21.35+603.41+248.44-2125.97-204.96</f>
        <v>292662.22</v>
      </c>
      <c r="C60" s="3">
        <v>23093.41</v>
      </c>
      <c r="D60" s="19">
        <f t="shared" si="0"/>
        <v>7.890806678087797</v>
      </c>
      <c r="E60" s="3">
        <f>24802.33+5421.67+2841.16+0.33</f>
        <v>33065.490000000005</v>
      </c>
      <c r="F60" s="3">
        <f>2200.59+149.23</f>
        <v>2349.82</v>
      </c>
      <c r="G60" s="19">
        <f t="shared" si="5"/>
        <v>7.106563368636</v>
      </c>
      <c r="H60" s="5">
        <f t="shared" si="3"/>
        <v>325727.70999999996</v>
      </c>
      <c r="I60" s="5">
        <f t="shared" si="4"/>
        <v>25443.23</v>
      </c>
      <c r="J60" s="19">
        <f t="shared" si="2"/>
        <v>7.811196044696351</v>
      </c>
    </row>
    <row r="61" spans="1:10" ht="12.75">
      <c r="A61" s="1" t="s">
        <v>62</v>
      </c>
      <c r="B61" s="3">
        <f>62853662.76+42585.52+25427.17-148588.14</f>
        <v>62773087.31</v>
      </c>
      <c r="C61" s="3">
        <f>1246582.25+2169.08</f>
        <v>1248751.33</v>
      </c>
      <c r="D61" s="19">
        <f t="shared" si="0"/>
        <v>1.989310042746725</v>
      </c>
      <c r="E61" s="3">
        <f>10421927.86+133481.32+2500867.08+79505.21+1382351.62+20420.19+24583.83+3057.15+25484.36+463.87-66145.55-45476.61-2362.06-0.01</f>
        <v>14478158.259999998</v>
      </c>
      <c r="F61" s="3">
        <f>171025.86+17927.37+11357.48+11.73+0.36</f>
        <v>200322.8</v>
      </c>
      <c r="G61" s="19">
        <f>F61/E61*100</f>
        <v>1.3836207368546891</v>
      </c>
      <c r="H61" s="5">
        <f t="shared" si="3"/>
        <v>77251245.57</v>
      </c>
      <c r="I61" s="5">
        <f t="shared" si="4"/>
        <v>1449074.1300000001</v>
      </c>
      <c r="J61" s="19">
        <f t="shared" si="2"/>
        <v>1.8757938714230111</v>
      </c>
    </row>
    <row r="62" spans="1:10" ht="12.75">
      <c r="A62" s="1" t="s">
        <v>63</v>
      </c>
      <c r="B62" s="3">
        <f>4038995.8+441.43+2286.03-3819.96</f>
        <v>4037903.3</v>
      </c>
      <c r="C62" s="3">
        <v>120988.67</v>
      </c>
      <c r="D62" s="19">
        <f t="shared" si="0"/>
        <v>2.996324107117672</v>
      </c>
      <c r="E62" s="3">
        <f>438421.82+197.91+143047.36+10.79+65309.63+18.88+3594.57+18.1-315.16-147.37-89.51</f>
        <v>650067.0199999999</v>
      </c>
      <c r="F62" s="3">
        <f>7396.03+6.11+74.76</f>
        <v>7476.9</v>
      </c>
      <c r="G62" s="19">
        <f>F62/E62*100</f>
        <v>1.1501737159347047</v>
      </c>
      <c r="H62" s="5">
        <f t="shared" si="3"/>
        <v>4687970.319999999</v>
      </c>
      <c r="I62" s="5">
        <f t="shared" si="4"/>
        <v>128465.56999999999</v>
      </c>
      <c r="J62" s="19">
        <f t="shared" si="2"/>
        <v>2.740323876453211</v>
      </c>
    </row>
    <row r="63" spans="1:10" ht="12.75">
      <c r="A63" s="1" t="s">
        <v>64</v>
      </c>
      <c r="B63" s="3">
        <f>818991.95+15712.07+705.2-5367.45-1341.39</f>
        <v>828700.3799999999</v>
      </c>
      <c r="C63" s="3">
        <f>34369.31+244</f>
        <v>34613.31</v>
      </c>
      <c r="D63" s="19">
        <f t="shared" si="0"/>
        <v>4.176818405706536</v>
      </c>
      <c r="E63" s="3">
        <f>222959.49+3995.84+16732.12+369.53</f>
        <v>244056.97999999998</v>
      </c>
      <c r="F63" s="3">
        <f>2617.01+142.53</f>
        <v>2759.5400000000004</v>
      </c>
      <c r="G63" s="19">
        <f t="shared" si="5"/>
        <v>1.1306949713136665</v>
      </c>
      <c r="H63" s="5">
        <f t="shared" si="3"/>
        <v>1072757.3599999999</v>
      </c>
      <c r="I63" s="5">
        <f t="shared" si="4"/>
        <v>37372.85</v>
      </c>
      <c r="J63" s="19">
        <f t="shared" si="2"/>
        <v>3.4838120336923164</v>
      </c>
    </row>
    <row r="64" spans="1:10" ht="12.75">
      <c r="A64" s="1" t="s">
        <v>65</v>
      </c>
      <c r="B64" s="14">
        <f>11772938.35+236.31+75-9065.45</f>
        <v>11764184.21</v>
      </c>
      <c r="C64" s="14">
        <v>187008.36</v>
      </c>
      <c r="D64" s="18">
        <f t="shared" si="0"/>
        <v>1.589641548123973</v>
      </c>
      <c r="E64" s="14">
        <f>1409477.41+420396.3+88.7+175691.39+1.5+69.71+0.16-1802.84-35.69</f>
        <v>2003886.6399999997</v>
      </c>
      <c r="F64" s="14">
        <f>70737.07+2800.07+956.12</f>
        <v>74493.26000000001</v>
      </c>
      <c r="G64" s="18">
        <f t="shared" si="5"/>
        <v>3.7174388267791443</v>
      </c>
      <c r="H64" s="15">
        <f t="shared" si="3"/>
        <v>13768070.850000001</v>
      </c>
      <c r="I64" s="15">
        <f t="shared" si="4"/>
        <v>261501.62</v>
      </c>
      <c r="J64" s="18">
        <f t="shared" si="2"/>
        <v>1.8993337763075206</v>
      </c>
    </row>
    <row r="65" spans="1:10" ht="12.75">
      <c r="A65" s="1" t="s">
        <v>66</v>
      </c>
      <c r="B65" s="3">
        <f>339458.64+182552.57-3327.47</f>
        <v>518683.74000000005</v>
      </c>
      <c r="C65" s="3">
        <v>23612.85</v>
      </c>
      <c r="D65" s="19">
        <f t="shared" si="0"/>
        <v>4.552456184572124</v>
      </c>
      <c r="E65" s="3">
        <f>597365.26+32728.3+3556.36+0.09</f>
        <v>633650.01</v>
      </c>
      <c r="F65" s="3">
        <v>1718.44</v>
      </c>
      <c r="G65" s="19">
        <f t="shared" si="5"/>
        <v>0.27119702878249774</v>
      </c>
      <c r="H65" s="5">
        <f t="shared" si="3"/>
        <v>1152333.75</v>
      </c>
      <c r="I65" s="5">
        <f t="shared" si="4"/>
        <v>25331.289999999997</v>
      </c>
      <c r="J65" s="19">
        <f t="shared" si="2"/>
        <v>2.198259835746371</v>
      </c>
    </row>
    <row r="66" spans="1:10" ht="12.75">
      <c r="A66" s="1" t="s">
        <v>67</v>
      </c>
      <c r="B66" s="3">
        <f>985001.69+107.67+60805.53+771.89-7799.81</f>
        <v>1038886.97</v>
      </c>
      <c r="C66" s="3">
        <v>72317.61</v>
      </c>
      <c r="D66" s="19">
        <f t="shared" si="0"/>
        <v>6.961066226482752</v>
      </c>
      <c r="E66" s="3">
        <f>211546.78+230.31+88449.31+32221.36+43.82+0.29-25.89-1149.55</f>
        <v>331316.43</v>
      </c>
      <c r="F66" s="3">
        <f>4213.74+152.06</f>
        <v>4365.8</v>
      </c>
      <c r="G66" s="19">
        <f t="shared" si="5"/>
        <v>1.3177130998302742</v>
      </c>
      <c r="H66" s="5">
        <f t="shared" si="3"/>
        <v>1370203.4</v>
      </c>
      <c r="I66" s="5">
        <f t="shared" si="4"/>
        <v>76683.41</v>
      </c>
      <c r="J66" s="19">
        <f t="shared" si="2"/>
        <v>5.596498300909194</v>
      </c>
    </row>
    <row r="67" spans="1:10" ht="12.75">
      <c r="A67" s="1" t="s">
        <v>68</v>
      </c>
      <c r="B67" s="3">
        <f>619439.6+165.19-2685.97</f>
        <v>616918.82</v>
      </c>
      <c r="C67" s="3">
        <v>17337.28</v>
      </c>
      <c r="D67" s="19">
        <f t="shared" si="0"/>
        <v>2.810301686046796</v>
      </c>
      <c r="E67" s="3">
        <f>38965.26+17273.19+10104.16+3.97+6.66</f>
        <v>66353.24</v>
      </c>
      <c r="F67" s="3">
        <f>2665.6+5.13+41.09</f>
        <v>2711.82</v>
      </c>
      <c r="G67" s="19">
        <f t="shared" si="5"/>
        <v>4.086944360215115</v>
      </c>
      <c r="H67" s="5">
        <f t="shared" si="3"/>
        <v>683272.0599999999</v>
      </c>
      <c r="I67" s="5">
        <f t="shared" si="4"/>
        <v>20049.1</v>
      </c>
      <c r="J67" s="19">
        <f t="shared" si="2"/>
        <v>2.934277745822067</v>
      </c>
    </row>
    <row r="68" spans="1:10" ht="12.75">
      <c r="A68" s="1" t="s">
        <v>69</v>
      </c>
      <c r="B68" s="3">
        <f>2667075.36+478.24+204.11+972.34+2699.07-10509.07-730.84</f>
        <v>2660189.21</v>
      </c>
      <c r="C68" s="3">
        <v>100563.96</v>
      </c>
      <c r="D68" s="19">
        <f>C68/B68*100</f>
        <v>3.7803310990799788</v>
      </c>
      <c r="E68" s="3">
        <f>970836.99+215914.89+98129.51+64.1+1932.71+33.11-2065.55-21.39-0.45-116.41-3.01</f>
        <v>1284704.5000000002</v>
      </c>
      <c r="F68" s="3">
        <f>104422.15+357.24</f>
        <v>104779.39</v>
      </c>
      <c r="G68" s="19">
        <f t="shared" si="5"/>
        <v>8.155913675090263</v>
      </c>
      <c r="H68" s="5">
        <f t="shared" si="3"/>
        <v>3944893.71</v>
      </c>
      <c r="I68" s="5">
        <f t="shared" si="4"/>
        <v>205343.35</v>
      </c>
      <c r="J68" s="19">
        <f t="shared" si="2"/>
        <v>5.2052948721906125</v>
      </c>
    </row>
    <row r="69" spans="1:10" ht="12.75">
      <c r="A69" s="1" t="s">
        <v>70</v>
      </c>
      <c r="B69" s="3">
        <f>501610.76+141.03+23278.04+125.55-6595.99-1164.18</f>
        <v>517395.21000000014</v>
      </c>
      <c r="C69" s="3">
        <f>34603.75+354.49</f>
        <v>34958.24</v>
      </c>
      <c r="D69" s="19">
        <f t="shared" si="0"/>
        <v>6.756583618159122</v>
      </c>
      <c r="E69" s="3">
        <f>165004.99+4901.93+8081.58+14.4</f>
        <v>178002.89999999997</v>
      </c>
      <c r="F69" s="3">
        <f>7409.21+1788.05</f>
        <v>9197.26</v>
      </c>
      <c r="G69" s="19">
        <f t="shared" si="5"/>
        <v>5.1669158199108</v>
      </c>
      <c r="H69" s="5">
        <f t="shared" si="3"/>
        <v>695398.1100000001</v>
      </c>
      <c r="I69" s="5">
        <f t="shared" si="4"/>
        <v>44155.5</v>
      </c>
      <c r="J69" s="19">
        <f t="shared" si="2"/>
        <v>6.349672132413474</v>
      </c>
    </row>
    <row r="70" spans="1:10" ht="12.75">
      <c r="A70" s="1" t="s">
        <v>71</v>
      </c>
      <c r="B70" s="3">
        <f>206905.96+6.71+483.55-2765.92-469.82</f>
        <v>204160.47999999995</v>
      </c>
      <c r="C70" s="3">
        <f>16059.28+17.08</f>
        <v>16076.36</v>
      </c>
      <c r="D70" s="19">
        <f aca="true" t="shared" si="6" ref="D70:D125">C70/B70*100</f>
        <v>7.874374119810065</v>
      </c>
      <c r="E70" s="3">
        <f>28687.42+933.13+4953.78+17.25+0.57</f>
        <v>34592.15</v>
      </c>
      <c r="F70" s="3">
        <f>1534.97+555.11+1401.33</f>
        <v>3491.41</v>
      </c>
      <c r="G70" s="19">
        <f t="shared" si="5"/>
        <v>10.093070248596863</v>
      </c>
      <c r="H70" s="5">
        <f t="shared" si="3"/>
        <v>238752.62999999995</v>
      </c>
      <c r="I70" s="5">
        <f t="shared" si="4"/>
        <v>19567.77</v>
      </c>
      <c r="J70" s="19">
        <f aca="true" t="shared" si="7" ref="J70:J125">I70/H70*100</f>
        <v>8.195834324421893</v>
      </c>
    </row>
    <row r="71" spans="1:10" ht="12.75">
      <c r="A71" s="1" t="s">
        <v>72</v>
      </c>
      <c r="B71" s="3">
        <f>229649.17+73548.2+646.48-2377.03</f>
        <v>301466.81999999995</v>
      </c>
      <c r="C71" s="3">
        <v>19088.47</v>
      </c>
      <c r="D71" s="19">
        <f t="shared" si="6"/>
        <v>6.331864315946943</v>
      </c>
      <c r="E71" s="3">
        <f>293807.82+17153.12+2014.29</f>
        <v>312975.23</v>
      </c>
      <c r="F71" s="3">
        <f>1198.46+0.21</f>
        <v>1198.67</v>
      </c>
      <c r="G71" s="19">
        <f t="shared" si="5"/>
        <v>0.3829919703230189</v>
      </c>
      <c r="H71" s="5">
        <f aca="true" t="shared" si="8" ref="H71:H125">(B71+E71)</f>
        <v>614442.0499999999</v>
      </c>
      <c r="I71" s="5">
        <f aca="true" t="shared" si="9" ref="I71:I125">(C71+F71)</f>
        <v>20287.14</v>
      </c>
      <c r="J71" s="19">
        <f t="shared" si="7"/>
        <v>3.3017173873435257</v>
      </c>
    </row>
    <row r="72" spans="1:10" ht="12.75">
      <c r="A72" s="1" t="s">
        <v>73</v>
      </c>
      <c r="B72" s="3">
        <f>449545.39+194510.86+298.29-4846.04</f>
        <v>639508.5</v>
      </c>
      <c r="C72" s="3">
        <v>26832.83</v>
      </c>
      <c r="D72" s="19">
        <f t="shared" si="6"/>
        <v>4.195851970693119</v>
      </c>
      <c r="E72" s="3">
        <f>567857.05+37769.28+12667.87-388.97</f>
        <v>617905.2300000001</v>
      </c>
      <c r="F72" s="3">
        <f>95460.05+5805.27+1652.61</f>
        <v>102917.93000000001</v>
      </c>
      <c r="G72" s="19">
        <f t="shared" si="5"/>
        <v>16.655940911845008</v>
      </c>
      <c r="H72" s="5">
        <f t="shared" si="8"/>
        <v>1257413.73</v>
      </c>
      <c r="I72" s="5">
        <f t="shared" si="9"/>
        <v>129750.76000000001</v>
      </c>
      <c r="J72" s="19">
        <f t="shared" si="7"/>
        <v>10.318859807582983</v>
      </c>
    </row>
    <row r="73" spans="1:10" ht="12.75">
      <c r="A73" s="1" t="s">
        <v>74</v>
      </c>
      <c r="B73" s="14">
        <f>374625.28+104.71-1502-320.74</f>
        <v>372907.25000000006</v>
      </c>
      <c r="C73" s="14">
        <v>14342.2</v>
      </c>
      <c r="D73" s="18">
        <f t="shared" si="6"/>
        <v>3.846050190764593</v>
      </c>
      <c r="E73" s="14">
        <f>32192.04+8186.39+3725.82+7.05+0.48-496.17</f>
        <v>43615.61000000001</v>
      </c>
      <c r="F73" s="14">
        <f>152.91+467.12+1.55</f>
        <v>621.5799999999999</v>
      </c>
      <c r="G73" s="18">
        <f t="shared" si="5"/>
        <v>1.4251319653674448</v>
      </c>
      <c r="H73" s="15">
        <f t="shared" si="8"/>
        <v>416522.86000000004</v>
      </c>
      <c r="I73" s="15">
        <f t="shared" si="9"/>
        <v>14963.78</v>
      </c>
      <c r="J73" s="18">
        <f t="shared" si="7"/>
        <v>3.5925471173418906</v>
      </c>
    </row>
    <row r="74" spans="1:10" ht="12.75">
      <c r="A74" s="1" t="s">
        <v>75</v>
      </c>
      <c r="B74" s="3">
        <f>926839.9+336.84+56.93+670.6-3815.73</f>
        <v>924088.54</v>
      </c>
      <c r="C74" s="3">
        <v>24904.71</v>
      </c>
      <c r="D74" s="19">
        <f t="shared" si="6"/>
        <v>2.695056687966285</v>
      </c>
      <c r="E74" s="3">
        <f>86185.35+29177.16+37.47+13929.88+4.98+11.04-220.22</f>
        <v>129125.66</v>
      </c>
      <c r="F74" s="3">
        <f>6870.7+24.13+1.97</f>
        <v>6896.8</v>
      </c>
      <c r="G74" s="19">
        <f t="shared" si="5"/>
        <v>5.341153725758304</v>
      </c>
      <c r="H74" s="5">
        <f t="shared" si="8"/>
        <v>1053214.2</v>
      </c>
      <c r="I74" s="5">
        <f t="shared" si="9"/>
        <v>31801.51</v>
      </c>
      <c r="J74" s="19">
        <f t="shared" si="7"/>
        <v>3.0194722023307317</v>
      </c>
    </row>
    <row r="75" spans="1:10" ht="12.75">
      <c r="A75" s="1" t="s">
        <v>76</v>
      </c>
      <c r="B75" s="3">
        <f>494959.65+84.18+305.61-1802.22-23.79</f>
        <v>493523.43000000005</v>
      </c>
      <c r="C75" s="3">
        <v>12632.43</v>
      </c>
      <c r="D75" s="19">
        <f t="shared" si="6"/>
        <v>2.5596413933174356</v>
      </c>
      <c r="E75" s="3">
        <f>208960.25+106527.13+12417.81+840.99+2.69-251</f>
        <v>328497.87</v>
      </c>
      <c r="F75" s="3">
        <v>1.04</v>
      </c>
      <c r="G75" s="19">
        <f t="shared" si="5"/>
        <v>0.00031659261595821004</v>
      </c>
      <c r="H75" s="5">
        <f t="shared" si="8"/>
        <v>822021.3</v>
      </c>
      <c r="I75" s="5">
        <f t="shared" si="9"/>
        <v>12633.470000000001</v>
      </c>
      <c r="J75" s="19">
        <f t="shared" si="7"/>
        <v>1.5368786672559458</v>
      </c>
    </row>
    <row r="76" spans="1:10" ht="12.75">
      <c r="A76" s="1" t="s">
        <v>77</v>
      </c>
      <c r="B76" s="3">
        <f>1169891.63+562.91+357.65+838.05-4370.33</f>
        <v>1167279.9099999997</v>
      </c>
      <c r="C76" s="3">
        <v>22909.56</v>
      </c>
      <c r="D76" s="19">
        <f t="shared" si="6"/>
        <v>1.9626449323538866</v>
      </c>
      <c r="E76" s="3">
        <f>227747.43+702.3+620397.1+127790.46+294.29+760.12+37.51-770.18-294.28</f>
        <v>976664.7499999999</v>
      </c>
      <c r="F76" s="3">
        <f>3902.03+55.16+478.07</f>
        <v>4435.26</v>
      </c>
      <c r="G76" s="19">
        <f t="shared" si="5"/>
        <v>0.45412307549750314</v>
      </c>
      <c r="H76" s="5">
        <f t="shared" si="8"/>
        <v>2143944.6599999997</v>
      </c>
      <c r="I76" s="5">
        <f t="shared" si="9"/>
        <v>27344.82</v>
      </c>
      <c r="J76" s="19">
        <f t="shared" si="7"/>
        <v>1.2754443018132755</v>
      </c>
    </row>
    <row r="77" spans="1:10" ht="12.75">
      <c r="A77" s="1" t="s">
        <v>78</v>
      </c>
      <c r="B77" s="3">
        <f>680299.07+38.13-3768.7</f>
        <v>676568.5</v>
      </c>
      <c r="C77" s="3">
        <v>9742.27</v>
      </c>
      <c r="D77" s="19">
        <f t="shared" si="6"/>
        <v>1.4399532345948711</v>
      </c>
      <c r="E77" s="3">
        <f>52894.25+190.14+8172.53+8298.92+158.25+310.88-956.36</f>
        <v>69068.61</v>
      </c>
      <c r="F77" s="3">
        <f>497.62+84.82+18</f>
        <v>600.44</v>
      </c>
      <c r="G77" s="19">
        <f t="shared" si="5"/>
        <v>0.8693384737292383</v>
      </c>
      <c r="H77" s="5">
        <f t="shared" si="8"/>
        <v>745637.11</v>
      </c>
      <c r="I77" s="5">
        <f t="shared" si="9"/>
        <v>10342.710000000001</v>
      </c>
      <c r="J77" s="19">
        <f t="shared" si="7"/>
        <v>1.3870970021864926</v>
      </c>
    </row>
    <row r="78" spans="1:10" ht="12.75">
      <c r="A78" s="1" t="s">
        <v>79</v>
      </c>
      <c r="B78" s="3">
        <f>4710193.95+2955.18+1465.08+3145.99-14842.44-115.1</f>
        <v>4702802.66</v>
      </c>
      <c r="C78" s="3">
        <v>162731.28</v>
      </c>
      <c r="D78" s="19">
        <f t="shared" si="6"/>
        <v>3.460304243342416</v>
      </c>
      <c r="E78" s="3">
        <f>577146.56+882.32+26.3+656878.61+130767.19+175.92+12.25+9597.23+8.85-3880.19-0.17-27-73.16-10.04</f>
        <v>1371504.6700000002</v>
      </c>
      <c r="F78" s="3">
        <f>19845+1076.1+1629.25</f>
        <v>22550.35</v>
      </c>
      <c r="G78" s="19">
        <f t="shared" si="5"/>
        <v>1.6442051196223777</v>
      </c>
      <c r="H78" s="5">
        <f t="shared" si="8"/>
        <v>6074307.33</v>
      </c>
      <c r="I78" s="5">
        <f t="shared" si="9"/>
        <v>185281.63</v>
      </c>
      <c r="J78" s="19">
        <f t="shared" si="7"/>
        <v>3.050251163370096</v>
      </c>
    </row>
    <row r="79" spans="1:10" ht="12.75">
      <c r="A79" s="1" t="s">
        <v>80</v>
      </c>
      <c r="B79" s="3">
        <f>226100.43+21394.59-2180.91-166.04</f>
        <v>245148.06999999998</v>
      </c>
      <c r="C79" s="3">
        <v>19974</v>
      </c>
      <c r="D79" s="19">
        <f>C79/B79*100</f>
        <v>8.147728839961907</v>
      </c>
      <c r="E79" s="3">
        <f>348573.65+7135.81+7827.81</f>
        <v>363537.27</v>
      </c>
      <c r="F79" s="3">
        <f>4788.39+135.03</f>
        <v>4923.42</v>
      </c>
      <c r="G79" s="19">
        <f>F79/E79*100</f>
        <v>1.354309559512289</v>
      </c>
      <c r="H79" s="5">
        <f>(B79+E79)</f>
        <v>608685.34</v>
      </c>
      <c r="I79" s="5">
        <f>(C79+F79)</f>
        <v>24897.42</v>
      </c>
      <c r="J79" s="19">
        <f>I79/H79*100</f>
        <v>4.090359725108543</v>
      </c>
    </row>
    <row r="80" spans="1:10" ht="12.75">
      <c r="A80" s="1" t="s">
        <v>81</v>
      </c>
      <c r="B80" s="3">
        <f>1006432.57+377.06+233.33+525-1001.13-165.43</f>
        <v>1006401.3999999999</v>
      </c>
      <c r="C80" s="3">
        <v>12607.42</v>
      </c>
      <c r="D80" s="19">
        <f>C80/B80*100</f>
        <v>1.2527228201391614</v>
      </c>
      <c r="E80" s="3">
        <f>175262.35+302996.42+159.26+3980.48+5.93+14.23+0.38-496.21-0.71</f>
        <v>481922.12999999995</v>
      </c>
      <c r="F80" s="3">
        <f>921.87+44.87</f>
        <v>966.74</v>
      </c>
      <c r="G80" s="19">
        <f>F80/E80*100</f>
        <v>0.20060087300825968</v>
      </c>
      <c r="H80" s="5">
        <f>(B80+E80)</f>
        <v>1488323.5299999998</v>
      </c>
      <c r="I80" s="5">
        <f>(C80+F80)</f>
        <v>13574.16</v>
      </c>
      <c r="J80" s="19">
        <f>I80/H80*100</f>
        <v>0.9120436334161834</v>
      </c>
    </row>
    <row r="81" spans="1:10" ht="12.75">
      <c r="A81" s="1" t="s">
        <v>82</v>
      </c>
      <c r="B81" s="3">
        <f>1924743.88+666.75+480.88-13236.12</f>
        <v>1912655.3899999997</v>
      </c>
      <c r="C81" s="3">
        <v>40571.71</v>
      </c>
      <c r="D81" s="19">
        <f t="shared" si="6"/>
        <v>2.1212242525298826</v>
      </c>
      <c r="E81" s="3">
        <f>495082.53+38.04+1160501.67+100655.28+746.5+3.96-40.91-1311.68</f>
        <v>1755675.3900000001</v>
      </c>
      <c r="F81" s="3">
        <f>2593.09+127.89</f>
        <v>2720.98</v>
      </c>
      <c r="G81" s="19">
        <f t="shared" si="5"/>
        <v>0.15498195255787003</v>
      </c>
      <c r="H81" s="5">
        <f t="shared" si="8"/>
        <v>3668330.78</v>
      </c>
      <c r="I81" s="5">
        <f t="shared" si="9"/>
        <v>43292.69</v>
      </c>
      <c r="J81" s="19">
        <f t="shared" si="7"/>
        <v>1.1801741063274562</v>
      </c>
    </row>
    <row r="82" spans="1:10" ht="12.75">
      <c r="A82" s="1" t="s">
        <v>83</v>
      </c>
      <c r="B82" s="3">
        <f>233298.22+124189.46+800.04+1717.65-1981.25</f>
        <v>358024.12</v>
      </c>
      <c r="C82" s="3">
        <f>20532.37+3250.84</f>
        <v>23783.21</v>
      </c>
      <c r="D82" s="19">
        <f t="shared" si="6"/>
        <v>6.642907187370504</v>
      </c>
      <c r="E82" s="3">
        <f>559558.14+51232.85+8021.91+1.53-57.66</f>
        <v>618756.77</v>
      </c>
      <c r="F82" s="3">
        <f>1765.53+607.51+6</f>
        <v>2379.04</v>
      </c>
      <c r="G82" s="19">
        <f t="shared" si="5"/>
        <v>0.38448710629865107</v>
      </c>
      <c r="H82" s="5">
        <f t="shared" si="8"/>
        <v>976780.89</v>
      </c>
      <c r="I82" s="5">
        <f t="shared" si="9"/>
        <v>26162.25</v>
      </c>
      <c r="J82" s="19">
        <f t="shared" si="7"/>
        <v>2.6784154223164625</v>
      </c>
    </row>
    <row r="83" spans="1:10" ht="12.75">
      <c r="A83" s="1" t="s">
        <v>84</v>
      </c>
      <c r="B83" s="14">
        <f>884214.07+123.34+2727.88+3.66+3278.85-3085.41</f>
        <v>887262.3899999999</v>
      </c>
      <c r="C83" s="14">
        <v>15676.31</v>
      </c>
      <c r="D83" s="18">
        <f t="shared" si="6"/>
        <v>1.7668178181202971</v>
      </c>
      <c r="E83" s="14">
        <f>371219.98+277783.93+33547.61+4642.14-35.16-0.2</f>
        <v>687158.2999999999</v>
      </c>
      <c r="F83" s="14">
        <f>1935.55+35.18</f>
        <v>1970.73</v>
      </c>
      <c r="G83" s="18">
        <f t="shared" si="5"/>
        <v>0.28679417828468345</v>
      </c>
      <c r="H83" s="15">
        <f t="shared" si="8"/>
        <v>1574420.69</v>
      </c>
      <c r="I83" s="15">
        <f t="shared" si="9"/>
        <v>17647.04</v>
      </c>
      <c r="J83" s="18">
        <f t="shared" si="7"/>
        <v>1.1208592539520046</v>
      </c>
    </row>
    <row r="84" spans="1:10" ht="12.75">
      <c r="A84" s="1" t="s">
        <v>85</v>
      </c>
      <c r="B84" s="3">
        <f>3847555.82+865.37+255.76+1546.96+179.54-11706.1</f>
        <v>3838697.3499999996</v>
      </c>
      <c r="C84" s="3">
        <f>99056.29+179.54</f>
        <v>99235.82999999999</v>
      </c>
      <c r="D84" s="19">
        <f t="shared" si="6"/>
        <v>2.585143369012928</v>
      </c>
      <c r="E84" s="3">
        <f>1104957.79+1475.96+616.96+98263.69+1090523.62+1.97+10844.66+2021.12+17.77-1884.51-10957.82</f>
        <v>2295881.210000001</v>
      </c>
      <c r="F84" s="3">
        <f>43896.95+121.61+453.21+1247.19</f>
        <v>45718.96</v>
      </c>
      <c r="G84" s="19">
        <f t="shared" si="5"/>
        <v>1.9913469303579507</v>
      </c>
      <c r="H84" s="5">
        <f t="shared" si="8"/>
        <v>6134578.5600000005</v>
      </c>
      <c r="I84" s="5">
        <f t="shared" si="9"/>
        <v>144954.78999999998</v>
      </c>
      <c r="J84" s="19">
        <f t="shared" si="7"/>
        <v>2.3629135821189964</v>
      </c>
    </row>
    <row r="85" spans="1:10" ht="12.75">
      <c r="A85" s="1" t="s">
        <v>86</v>
      </c>
      <c r="B85" s="3">
        <f>409893.06+3022.28+330.99-2837.15</f>
        <v>410409.18</v>
      </c>
      <c r="C85" s="3">
        <v>24764.6</v>
      </c>
      <c r="D85" s="19">
        <f t="shared" si="6"/>
        <v>6.034124285426558</v>
      </c>
      <c r="E85" s="3">
        <f>27090.32+4006+6493.55+2.41+0.16</f>
        <v>37592.44000000001</v>
      </c>
      <c r="F85" s="3">
        <v>1580.94</v>
      </c>
      <c r="G85" s="19">
        <f t="shared" si="5"/>
        <v>4.205473228127783</v>
      </c>
      <c r="H85" s="5">
        <f t="shared" si="8"/>
        <v>448001.62</v>
      </c>
      <c r="I85" s="5">
        <f t="shared" si="9"/>
        <v>26345.539999999997</v>
      </c>
      <c r="J85" s="19">
        <f t="shared" si="7"/>
        <v>5.880679627899559</v>
      </c>
    </row>
    <row r="86" spans="1:10" ht="12.75">
      <c r="A86" s="1" t="s">
        <v>87</v>
      </c>
      <c r="B86" s="3">
        <f>426187+6001.81-1487.4</f>
        <v>430701.41</v>
      </c>
      <c r="C86" s="3">
        <v>7194.66</v>
      </c>
      <c r="D86" s="19">
        <f t="shared" si="6"/>
        <v>1.6704519263124773</v>
      </c>
      <c r="E86" s="3">
        <f>45860.6+8786.76+9922.6+2219.9</f>
        <v>66789.86</v>
      </c>
      <c r="F86" s="3">
        <v>12.95</v>
      </c>
      <c r="G86" s="19">
        <f t="shared" si="5"/>
        <v>0.019389170751368544</v>
      </c>
      <c r="H86" s="5">
        <f t="shared" si="8"/>
        <v>497491.26999999996</v>
      </c>
      <c r="I86" s="5">
        <f t="shared" si="9"/>
        <v>7207.61</v>
      </c>
      <c r="J86" s="19">
        <f t="shared" si="7"/>
        <v>1.4487912521560429</v>
      </c>
    </row>
    <row r="87" spans="1:10" ht="12.75">
      <c r="A87" s="1" t="s">
        <v>88</v>
      </c>
      <c r="B87" s="3">
        <f>1201378.96+341.36+14914.88+75.27-6608.91</f>
        <v>1210101.56</v>
      </c>
      <c r="C87" s="3">
        <f>27903.96+102.56</f>
        <v>28006.52</v>
      </c>
      <c r="D87" s="19">
        <f t="shared" si="6"/>
        <v>2.3143941736592755</v>
      </c>
      <c r="E87" s="3">
        <f>166106.64+203.17+101855.34+14404.17+147.5+51.98</f>
        <v>282768.8</v>
      </c>
      <c r="F87" s="3">
        <f>1746.79+21.02</f>
        <v>1767.81</v>
      </c>
      <c r="G87" s="19">
        <f t="shared" si="5"/>
        <v>0.6251785911316949</v>
      </c>
      <c r="H87" s="5">
        <f t="shared" si="8"/>
        <v>1492870.36</v>
      </c>
      <c r="I87" s="5">
        <f t="shared" si="9"/>
        <v>29774.33</v>
      </c>
      <c r="J87" s="19">
        <f t="shared" si="7"/>
        <v>1.9944350693652995</v>
      </c>
    </row>
    <row r="88" spans="1:10" ht="12.75">
      <c r="A88" s="1" t="s">
        <v>89</v>
      </c>
      <c r="B88" s="3">
        <f>161044.61+409.36-2381.72</f>
        <v>159072.24999999997</v>
      </c>
      <c r="C88" s="3">
        <v>11511.68</v>
      </c>
      <c r="D88" s="19">
        <f t="shared" si="6"/>
        <v>7.236761911647068</v>
      </c>
      <c r="E88" s="3">
        <f>11347.52+6850.69+2477.11+21.9-21.9</f>
        <v>20675.32</v>
      </c>
      <c r="F88" s="3">
        <v>59.19</v>
      </c>
      <c r="G88" s="19">
        <f t="shared" si="5"/>
        <v>0.2862833561947288</v>
      </c>
      <c r="H88" s="5">
        <f t="shared" si="8"/>
        <v>179747.56999999998</v>
      </c>
      <c r="I88" s="5">
        <f t="shared" si="9"/>
        <v>11570.87</v>
      </c>
      <c r="J88" s="19">
        <f t="shared" si="7"/>
        <v>6.437288693249095</v>
      </c>
    </row>
    <row r="89" spans="1:10" ht="12.75">
      <c r="A89" s="1" t="s">
        <v>90</v>
      </c>
      <c r="B89" s="14">
        <f>1412801.1+1321.57+194.22+181.92-3280.24-126.27</f>
        <v>1411092.3</v>
      </c>
      <c r="C89" s="14">
        <f>34977.48</f>
        <v>34977.48</v>
      </c>
      <c r="D89" s="18">
        <f t="shared" si="6"/>
        <v>2.478752098640181</v>
      </c>
      <c r="E89" s="14">
        <f>174020.7+16.92+344.15+324375.91+33915.11+0.18+123.83+1036.39-6.33-1.59</f>
        <v>533825.2700000001</v>
      </c>
      <c r="F89" s="14">
        <f>4417.82+111.24+2.27</f>
        <v>4531.33</v>
      </c>
      <c r="G89" s="18">
        <f t="shared" si="5"/>
        <v>0.8488414195903463</v>
      </c>
      <c r="H89" s="15">
        <f t="shared" si="8"/>
        <v>1944917.5700000003</v>
      </c>
      <c r="I89" s="15">
        <f t="shared" si="9"/>
        <v>39508.810000000005</v>
      </c>
      <c r="J89" s="18">
        <f t="shared" si="7"/>
        <v>2.0313873764840324</v>
      </c>
    </row>
    <row r="90" spans="1:10" ht="12.75">
      <c r="A90" s="1" t="s">
        <v>91</v>
      </c>
      <c r="B90" s="3">
        <f>321304.64+65.57+1004.27+78.08-1726.73</f>
        <v>320725.8300000001</v>
      </c>
      <c r="C90" s="3">
        <f>7321.43+261.95</f>
        <v>7583.38</v>
      </c>
      <c r="D90" s="18">
        <f t="shared" si="6"/>
        <v>2.364443175655668</v>
      </c>
      <c r="E90" s="3">
        <f>47267.33+19.8+74845.15+14665.09+41.61+1.5</f>
        <v>136840.47999999998</v>
      </c>
      <c r="F90" s="3">
        <v>77.72</v>
      </c>
      <c r="G90" s="19">
        <f t="shared" si="5"/>
        <v>0.056796059177810554</v>
      </c>
      <c r="H90" s="5">
        <f t="shared" si="8"/>
        <v>457566.31000000006</v>
      </c>
      <c r="I90" s="5">
        <f t="shared" si="9"/>
        <v>7661.1</v>
      </c>
      <c r="J90" s="19">
        <f t="shared" si="7"/>
        <v>1.674314702059249</v>
      </c>
    </row>
    <row r="91" spans="1:10" ht="12.75">
      <c r="A91" s="1" t="s">
        <v>92</v>
      </c>
      <c r="B91" s="3">
        <f>330465.97+185.23+394.91-851.64-84.42</f>
        <v>330110.04999999993</v>
      </c>
      <c r="C91" s="3">
        <v>6564.42</v>
      </c>
      <c r="D91" s="19">
        <f t="shared" si="6"/>
        <v>1.988555028845684</v>
      </c>
      <c r="E91" s="3">
        <f>47610.88+1974.07+11851.65+2.22</f>
        <v>61438.82</v>
      </c>
      <c r="F91" s="3">
        <f>224.34+14</f>
        <v>238.34</v>
      </c>
      <c r="G91" s="19">
        <f>F91/E91*100</f>
        <v>0.38793062757390195</v>
      </c>
      <c r="H91" s="5">
        <f t="shared" si="8"/>
        <v>391548.86999999994</v>
      </c>
      <c r="I91" s="5">
        <f t="shared" si="9"/>
        <v>6802.76</v>
      </c>
      <c r="J91" s="19">
        <f t="shared" si="7"/>
        <v>1.7373974288318088</v>
      </c>
    </row>
    <row r="92" spans="1:10" ht="12.75">
      <c r="A92" s="1" t="s">
        <v>93</v>
      </c>
      <c r="B92" s="3">
        <f>1359233.66+419.53+5806.3-2822.59</f>
        <v>1362636.9</v>
      </c>
      <c r="C92" s="3">
        <v>48314.07</v>
      </c>
      <c r="D92" s="19">
        <f t="shared" si="6"/>
        <v>3.545630534443916</v>
      </c>
      <c r="E92" s="3">
        <f>232975.07+15.14+236037.31+47872.33+105.15+2192.91+2.67-164.79-5.09-75</f>
        <v>518955.7</v>
      </c>
      <c r="F92" s="3">
        <f>6552.82+6511.98+1874.76+745.81</f>
        <v>15685.369999999999</v>
      </c>
      <c r="G92" s="19">
        <f t="shared" si="5"/>
        <v>3.022487275888867</v>
      </c>
      <c r="H92" s="5">
        <f t="shared" si="8"/>
        <v>1881592.5999999999</v>
      </c>
      <c r="I92" s="5">
        <f t="shared" si="9"/>
        <v>63999.44</v>
      </c>
      <c r="J92" s="19">
        <f t="shared" si="7"/>
        <v>3.4013441591979054</v>
      </c>
    </row>
    <row r="93" spans="1:10" ht="12.75">
      <c r="A93" s="1" t="s">
        <v>94</v>
      </c>
      <c r="B93" s="3">
        <f>310009.6+41.11+35.38+1601.97+8.75-2265.11</f>
        <v>309431.69999999995</v>
      </c>
      <c r="C93" s="3">
        <f>19467.13+223.36</f>
        <v>19690.49</v>
      </c>
      <c r="D93" s="19">
        <f t="shared" si="6"/>
        <v>6.36343658390527</v>
      </c>
      <c r="E93" s="3">
        <f>65114.96+263.01+4137.23+3032.26+64.41+3382.91+1.76-289.31-1.25</f>
        <v>75705.98</v>
      </c>
      <c r="F93" s="3">
        <f>774.63+32.43</f>
        <v>807.06</v>
      </c>
      <c r="G93" s="19">
        <f t="shared" si="5"/>
        <v>1.066045245038767</v>
      </c>
      <c r="H93" s="5">
        <f t="shared" si="8"/>
        <v>385137.67999999993</v>
      </c>
      <c r="I93" s="5">
        <f t="shared" si="9"/>
        <v>20497.550000000003</v>
      </c>
      <c r="J93" s="19">
        <f t="shared" si="7"/>
        <v>5.3221357100141455</v>
      </c>
    </row>
    <row r="94" spans="1:10" ht="12.75">
      <c r="A94" s="1" t="s">
        <v>95</v>
      </c>
      <c r="B94" s="3">
        <f>1044665.92+41.11+10633.55+3192.09-6792.56-1778.15</f>
        <v>1049961.9600000002</v>
      </c>
      <c r="C94" s="3">
        <v>26778.34</v>
      </c>
      <c r="D94" s="19">
        <f t="shared" si="6"/>
        <v>2.550410492966811</v>
      </c>
      <c r="E94" s="3">
        <f>488357.53+12.26+80135.27+36776.6+248.9+125.86-12.71-497.92</f>
        <v>605145.79</v>
      </c>
      <c r="F94" s="3">
        <f>2265.3+71.35+89.96</f>
        <v>2426.61</v>
      </c>
      <c r="G94" s="19">
        <f t="shared" si="5"/>
        <v>0.4009959319059297</v>
      </c>
      <c r="H94" s="5">
        <f t="shared" si="8"/>
        <v>1655107.7500000002</v>
      </c>
      <c r="I94" s="5">
        <f t="shared" si="9"/>
        <v>29204.95</v>
      </c>
      <c r="J94" s="19">
        <f t="shared" si="7"/>
        <v>1.764534665492322</v>
      </c>
    </row>
    <row r="95" spans="1:10" ht="12.75">
      <c r="A95" s="1" t="s">
        <v>96</v>
      </c>
      <c r="B95" s="14">
        <f>2801494.21+1382.37+708.38+390-11783.12-437.37</f>
        <v>2791754.4699999997</v>
      </c>
      <c r="C95" s="14">
        <v>42921.49</v>
      </c>
      <c r="D95" s="18">
        <f t="shared" si="6"/>
        <v>1.5374378535516413</v>
      </c>
      <c r="E95" s="14">
        <f>395282.04+8325+511566.83+54967.98+2098.6-1109-480</f>
        <v>970651.45</v>
      </c>
      <c r="F95" s="14">
        <f>18801.47+1278.48+293.4</f>
        <v>20373.350000000002</v>
      </c>
      <c r="G95" s="18">
        <f t="shared" si="5"/>
        <v>2.098935719922945</v>
      </c>
      <c r="H95" s="15">
        <f t="shared" si="8"/>
        <v>3762405.92</v>
      </c>
      <c r="I95" s="15">
        <f t="shared" si="9"/>
        <v>63294.84</v>
      </c>
      <c r="J95" s="18">
        <f t="shared" si="7"/>
        <v>1.6822969489692914</v>
      </c>
    </row>
    <row r="96" spans="1:10" ht="12.75">
      <c r="A96" s="1" t="s">
        <v>97</v>
      </c>
      <c r="B96" s="3">
        <f>261086.35-351.24</f>
        <v>260735.11000000002</v>
      </c>
      <c r="C96" s="3">
        <v>6298.92</v>
      </c>
      <c r="D96" s="19">
        <f t="shared" si="6"/>
        <v>2.415831147558148</v>
      </c>
      <c r="E96" s="3">
        <f>13501.78+2368.06+1039.8+4.71+0.3</f>
        <v>16914.649999999998</v>
      </c>
      <c r="F96" s="3">
        <f>78.61+0.5</f>
        <v>79.11</v>
      </c>
      <c r="G96" s="19">
        <f t="shared" si="5"/>
        <v>0.467701075694738</v>
      </c>
      <c r="H96" s="5">
        <f t="shared" si="8"/>
        <v>277649.76</v>
      </c>
      <c r="I96" s="5">
        <f t="shared" si="9"/>
        <v>6378.03</v>
      </c>
      <c r="J96" s="19">
        <f t="shared" si="7"/>
        <v>2.2971494734949527</v>
      </c>
    </row>
    <row r="97" spans="1:10" ht="12.75">
      <c r="A97" s="1" t="s">
        <v>98</v>
      </c>
      <c r="B97" s="3">
        <f>780789.33+234.61+6729.92-4043.94-333.37</f>
        <v>783376.55</v>
      </c>
      <c r="C97" s="3">
        <v>22335.36</v>
      </c>
      <c r="D97" s="19">
        <f t="shared" si="6"/>
        <v>2.8511652537978063</v>
      </c>
      <c r="E97" s="3">
        <f>405837.53+1121.72+158229.91+21994.37+19.42+250.97+22.35-52.02</f>
        <v>587424.25</v>
      </c>
      <c r="F97" s="3">
        <f>1070.78+26.98</f>
        <v>1097.76</v>
      </c>
      <c r="G97" s="19">
        <f t="shared" si="5"/>
        <v>0.18687686114422414</v>
      </c>
      <c r="H97" s="5">
        <f t="shared" si="8"/>
        <v>1370800.8</v>
      </c>
      <c r="I97" s="5">
        <f t="shared" si="9"/>
        <v>23433.12</v>
      </c>
      <c r="J97" s="19">
        <f t="shared" si="7"/>
        <v>1.7094474995929385</v>
      </c>
    </row>
    <row r="98" spans="1:10" ht="12.75">
      <c r="A98" s="1" t="s">
        <v>99</v>
      </c>
      <c r="B98" s="3">
        <f>6585060.96+3358.61+1451.11+9096.3-19875.26</f>
        <v>6579091.720000001</v>
      </c>
      <c r="C98" s="3">
        <v>93801.9</v>
      </c>
      <c r="D98" s="19">
        <f t="shared" si="6"/>
        <v>1.4257575968252345</v>
      </c>
      <c r="E98" s="3">
        <f>405466.25+210.98+30858.02+36733.28+709.62+45.72-172653.12+7665.91+1.88</f>
        <v>309038.54</v>
      </c>
      <c r="F98" s="3">
        <f>8915.51+55.22+1603.2+0.7</f>
        <v>10574.630000000001</v>
      </c>
      <c r="G98" s="19">
        <f t="shared" si="5"/>
        <v>3.4217835743075935</v>
      </c>
      <c r="H98" s="5">
        <f t="shared" si="8"/>
        <v>6888130.260000001</v>
      </c>
      <c r="I98" s="5">
        <f t="shared" si="9"/>
        <v>104376.53</v>
      </c>
      <c r="J98" s="19">
        <f t="shared" si="7"/>
        <v>1.5153100487388282</v>
      </c>
    </row>
    <row r="99" spans="1:10" ht="12.75">
      <c r="A99" s="1" t="s">
        <v>100</v>
      </c>
      <c r="B99" s="3">
        <f>516788.47+491.05+710.36-1590.15</f>
        <v>516399.7299999999</v>
      </c>
      <c r="C99" s="3">
        <v>10728.01</v>
      </c>
      <c r="D99" s="19">
        <f t="shared" si="6"/>
        <v>2.0774623565353147</v>
      </c>
      <c r="E99" s="3">
        <f>52723.03+6503.54+4485.76+31.72+7.54-0.02</f>
        <v>63751.57000000001</v>
      </c>
      <c r="F99" s="3">
        <f>137.94+0.78+11.25</f>
        <v>149.97</v>
      </c>
      <c r="G99" s="19">
        <f t="shared" si="5"/>
        <v>0.2352412654307964</v>
      </c>
      <c r="H99" s="5">
        <f t="shared" si="8"/>
        <v>580151.2999999999</v>
      </c>
      <c r="I99" s="5">
        <f t="shared" si="9"/>
        <v>10877.98</v>
      </c>
      <c r="J99" s="19">
        <f t="shared" si="7"/>
        <v>1.8750246702885955</v>
      </c>
    </row>
    <row r="100" spans="1:10" ht="12.75">
      <c r="A100" s="1" t="s">
        <v>101</v>
      </c>
      <c r="B100" s="3">
        <f>92858.27+636.14-2168.5</f>
        <v>91325.91</v>
      </c>
      <c r="C100" s="3">
        <v>8397.06</v>
      </c>
      <c r="D100" s="19">
        <f t="shared" si="6"/>
        <v>9.194608627496839</v>
      </c>
      <c r="E100" s="3">
        <f>6771.27+1691.36+514.6-34.77</f>
        <v>8942.460000000001</v>
      </c>
      <c r="F100" s="3">
        <v>263.34</v>
      </c>
      <c r="G100" s="19">
        <f t="shared" si="5"/>
        <v>2.9448272622969514</v>
      </c>
      <c r="H100" s="5">
        <f t="shared" si="8"/>
        <v>100268.37000000001</v>
      </c>
      <c r="I100" s="5">
        <f t="shared" si="9"/>
        <v>8660.4</v>
      </c>
      <c r="J100" s="19">
        <f t="shared" si="7"/>
        <v>8.63722029190262</v>
      </c>
    </row>
    <row r="101" spans="1:10" ht="12.75">
      <c r="A101" s="1" t="s">
        <v>102</v>
      </c>
      <c r="B101" s="14">
        <f>642053.49+164.46+3085.33+1059.47-1680.67</f>
        <v>644682.0799999998</v>
      </c>
      <c r="C101" s="14">
        <v>12541.58</v>
      </c>
      <c r="D101" s="18">
        <f t="shared" si="6"/>
        <v>1.945389888920133</v>
      </c>
      <c r="E101" s="14">
        <f>120023.77+103609.76+6782.01+90.58+0.05-48.45</f>
        <v>230457.71999999997</v>
      </c>
      <c r="F101" s="14">
        <f>425.91+14.28+7.5</f>
        <v>447.69</v>
      </c>
      <c r="G101" s="18">
        <f t="shared" si="5"/>
        <v>0.19426122934827267</v>
      </c>
      <c r="H101" s="15">
        <f t="shared" si="8"/>
        <v>875139.7999999998</v>
      </c>
      <c r="I101" s="15">
        <f t="shared" si="9"/>
        <v>12989.27</v>
      </c>
      <c r="J101" s="18">
        <f t="shared" si="7"/>
        <v>1.4842508591198804</v>
      </c>
    </row>
    <row r="102" spans="1:10" ht="12.75">
      <c r="A102" s="1" t="s">
        <v>103</v>
      </c>
      <c r="B102" s="3">
        <f>929586.03+41.11+137665.22+1210.58-7559.14</f>
        <v>1060943.8000000003</v>
      </c>
      <c r="C102" s="3">
        <v>75986.21</v>
      </c>
      <c r="D102" s="19">
        <f t="shared" si="6"/>
        <v>7.162133375962043</v>
      </c>
      <c r="E102" s="3">
        <f>1192125.79+2321.17+130112.09+44300.5+8801.85+0.1-95.49</f>
        <v>1377566.0100000002</v>
      </c>
      <c r="F102" s="3">
        <f>56638.63+438.39</f>
        <v>57077.02</v>
      </c>
      <c r="G102" s="19">
        <f t="shared" si="5"/>
        <v>4.143323774372162</v>
      </c>
      <c r="H102" s="5">
        <f t="shared" si="8"/>
        <v>2438509.8100000005</v>
      </c>
      <c r="I102" s="5">
        <f t="shared" si="9"/>
        <v>133063.23</v>
      </c>
      <c r="J102" s="19">
        <f t="shared" si="7"/>
        <v>5.4567436823229345</v>
      </c>
    </row>
    <row r="103" spans="1:10" ht="12.75">
      <c r="A103" s="1" t="s">
        <v>104</v>
      </c>
      <c r="B103" s="3">
        <f>1769670.15+498937.51+6826.19-12166.45</f>
        <v>2263267.4</v>
      </c>
      <c r="C103" s="3">
        <v>141225.11</v>
      </c>
      <c r="D103" s="19">
        <f t="shared" si="6"/>
        <v>6.239877356073789</v>
      </c>
      <c r="E103" s="3">
        <f>1925153.49+51.47+307658.46+1152.12+90167.5+578.34+172.36-3572.81-387.73</f>
        <v>2320973.1999999997</v>
      </c>
      <c r="F103" s="3">
        <f>13101.93+1386.93</f>
        <v>14488.86</v>
      </c>
      <c r="G103" s="19">
        <f t="shared" si="5"/>
        <v>0.6242579621341601</v>
      </c>
      <c r="H103" s="5">
        <f t="shared" si="8"/>
        <v>4584240.6</v>
      </c>
      <c r="I103" s="5">
        <f t="shared" si="9"/>
        <v>155713.96999999997</v>
      </c>
      <c r="J103" s="19">
        <f t="shared" si="7"/>
        <v>3.3967233307955076</v>
      </c>
    </row>
    <row r="104" spans="1:10" ht="12.75">
      <c r="A104" s="1" t="s">
        <v>105</v>
      </c>
      <c r="B104" s="3">
        <f>437436.3+106.14+811.62+297.14-3063.63</f>
        <v>435587.57</v>
      </c>
      <c r="C104" s="3">
        <v>33451.28</v>
      </c>
      <c r="D104" s="19">
        <f t="shared" si="6"/>
        <v>7.679576347874205</v>
      </c>
      <c r="E104" s="3">
        <f>54074.38+9229.02+6730.06+28.65</f>
        <v>70062.10999999999</v>
      </c>
      <c r="F104" s="3">
        <f>727.53+100.63</f>
        <v>828.16</v>
      </c>
      <c r="G104" s="19">
        <f t="shared" si="5"/>
        <v>1.1820369098218713</v>
      </c>
      <c r="H104" s="5">
        <f t="shared" si="8"/>
        <v>505649.68</v>
      </c>
      <c r="I104" s="5">
        <f t="shared" si="9"/>
        <v>34279.44</v>
      </c>
      <c r="J104" s="19">
        <f t="shared" si="7"/>
        <v>6.77928640239622</v>
      </c>
    </row>
    <row r="105" spans="1:10" ht="12.75">
      <c r="A105" s="1" t="s">
        <v>106</v>
      </c>
      <c r="B105" s="3">
        <f>3717701+1935.29+1321.86+1141.55-25803.83</f>
        <v>3696295.8699999996</v>
      </c>
      <c r="C105" s="3">
        <v>97505.03</v>
      </c>
      <c r="D105" s="19">
        <f t="shared" si="6"/>
        <v>2.6379119374986613</v>
      </c>
      <c r="E105" s="3">
        <f>721060.28+369+5591.72+283615.62+107495.69+540.54+38.34+2121.45+0.45+30.39-7035.5-16.83-16.5-0.74</f>
        <v>1113793.91</v>
      </c>
      <c r="F105" s="3">
        <f>72946.67+846.11</f>
        <v>73792.78</v>
      </c>
      <c r="G105" s="19">
        <f t="shared" si="5"/>
        <v>6.625353158916088</v>
      </c>
      <c r="H105" s="5">
        <f t="shared" si="8"/>
        <v>4810089.779999999</v>
      </c>
      <c r="I105" s="5">
        <f t="shared" si="9"/>
        <v>171297.81</v>
      </c>
      <c r="J105" s="19">
        <f t="shared" si="7"/>
        <v>3.561218560041098</v>
      </c>
    </row>
    <row r="106" spans="1:10" ht="12.75">
      <c r="A106" s="1" t="s">
        <v>107</v>
      </c>
      <c r="B106" s="3">
        <f>68810.86-285.38</f>
        <v>68525.48</v>
      </c>
      <c r="C106" s="3">
        <v>1028.78</v>
      </c>
      <c r="D106" s="19">
        <f t="shared" si="6"/>
        <v>1.5013101695894724</v>
      </c>
      <c r="E106" s="3">
        <f>3378.19+160.33</f>
        <v>3538.52</v>
      </c>
      <c r="F106" s="3">
        <v>0</v>
      </c>
      <c r="G106" s="19">
        <f t="shared" si="5"/>
        <v>0</v>
      </c>
      <c r="H106" s="5">
        <f t="shared" si="8"/>
        <v>72064</v>
      </c>
      <c r="I106" s="5">
        <f t="shared" si="9"/>
        <v>1028.78</v>
      </c>
      <c r="J106" s="19">
        <f t="shared" si="7"/>
        <v>1.4275921403197158</v>
      </c>
    </row>
    <row r="107" spans="1:10" ht="12.75">
      <c r="A107" s="1" t="s">
        <v>108</v>
      </c>
      <c r="B107" s="3">
        <f>440629.39+198.22+417.24-3908.51</f>
        <v>437336.33999999997</v>
      </c>
      <c r="C107" s="3">
        <v>17497.8</v>
      </c>
      <c r="D107" s="19">
        <f t="shared" si="6"/>
        <v>4.000993834630802</v>
      </c>
      <c r="E107" s="3">
        <f>59809.73+503.21+11225.37+5631.25+64.36+3.9</f>
        <v>77237.81999999999</v>
      </c>
      <c r="F107" s="3">
        <f>1555.96+8.55</f>
        <v>1564.51</v>
      </c>
      <c r="G107" s="19">
        <f t="shared" si="5"/>
        <v>2.025575035649634</v>
      </c>
      <c r="H107" s="5">
        <f t="shared" si="8"/>
        <v>514574.16</v>
      </c>
      <c r="I107" s="5">
        <f t="shared" si="9"/>
        <v>19062.309999999998</v>
      </c>
      <c r="J107" s="19">
        <f t="shared" si="7"/>
        <v>3.704482556994311</v>
      </c>
    </row>
    <row r="108" spans="1:10" ht="12.75">
      <c r="A108" s="1" t="s">
        <v>109</v>
      </c>
      <c r="B108" s="14">
        <f>1042510.64+129.39+1690.69+386.34-15817.67</f>
        <v>1028899.3899999999</v>
      </c>
      <c r="C108" s="14">
        <f>60813.3+200.69</f>
        <v>61013.990000000005</v>
      </c>
      <c r="D108" s="18">
        <f t="shared" si="6"/>
        <v>5.930024897769646</v>
      </c>
      <c r="E108" s="14">
        <f>196504.42+88674.48+24906.78+1.82</f>
        <v>310087.50000000006</v>
      </c>
      <c r="F108" s="14">
        <f>3605+788.52+738.65</f>
        <v>5132.17</v>
      </c>
      <c r="G108" s="18">
        <f t="shared" si="5"/>
        <v>1.6550715523844073</v>
      </c>
      <c r="H108" s="15">
        <f t="shared" si="8"/>
        <v>1338986.89</v>
      </c>
      <c r="I108" s="15">
        <f t="shared" si="9"/>
        <v>66146.16</v>
      </c>
      <c r="J108" s="18">
        <f t="shared" si="7"/>
        <v>4.940015506798577</v>
      </c>
    </row>
    <row r="109" spans="1:10" ht="12.75">
      <c r="A109" s="1" t="s">
        <v>110</v>
      </c>
      <c r="B109" s="3">
        <f>927281.16+2118.29+258.29+130.54+1500-3087.7</f>
        <v>928200.5800000002</v>
      </c>
      <c r="C109" s="3">
        <v>19169.15</v>
      </c>
      <c r="D109" s="19">
        <f t="shared" si="6"/>
        <v>2.065194787962748</v>
      </c>
      <c r="E109" s="3">
        <f>101593.18+20.79+97153.46+40068.47+4239.38+3751.61+21-98.78-4270.65-72.95</f>
        <v>242405.50999999998</v>
      </c>
      <c r="F109" s="3">
        <f>1883.21+32.24+64.44</f>
        <v>1979.89</v>
      </c>
      <c r="G109" s="19">
        <f t="shared" si="5"/>
        <v>0.8167677376640491</v>
      </c>
      <c r="H109" s="5">
        <f t="shared" si="8"/>
        <v>1170606.09</v>
      </c>
      <c r="I109" s="5">
        <f t="shared" si="9"/>
        <v>21149.04</v>
      </c>
      <c r="J109" s="19">
        <f t="shared" si="7"/>
        <v>1.806674352770538</v>
      </c>
    </row>
    <row r="110" spans="1:10" ht="12.75">
      <c r="A110" s="1" t="s">
        <v>111</v>
      </c>
      <c r="B110" s="3">
        <f>4095530.07+3894.04+4526.76+54000-6391.07-849.97</f>
        <v>4150709.8299999996</v>
      </c>
      <c r="C110" s="3">
        <v>109246.08</v>
      </c>
      <c r="D110" s="19">
        <f t="shared" si="6"/>
        <v>2.6319854789752917</v>
      </c>
      <c r="E110" s="3">
        <f>436510.34+14718.39+309136.33+17.85+73045.51+660.35+553.99+22.5+12033.86-30967.35-618.37-179.09</f>
        <v>814934.31</v>
      </c>
      <c r="F110" s="3">
        <f>4728.89+35.19+42.78+1.69</f>
        <v>4808.549999999999</v>
      </c>
      <c r="G110" s="19">
        <f t="shared" si="5"/>
        <v>0.5900536940210555</v>
      </c>
      <c r="H110" s="5">
        <f t="shared" si="8"/>
        <v>4965644.14</v>
      </c>
      <c r="I110" s="5">
        <f t="shared" si="9"/>
        <v>114054.63</v>
      </c>
      <c r="J110" s="19">
        <f t="shared" si="7"/>
        <v>2.2968748219641855</v>
      </c>
    </row>
    <row r="111" spans="1:10" ht="12.75">
      <c r="A111" s="1" t="s">
        <v>112</v>
      </c>
      <c r="B111" s="14">
        <f>3203425.76+1047.31+252.54-8311.57</f>
        <v>3196414.04</v>
      </c>
      <c r="C111" s="14">
        <v>51458.51</v>
      </c>
      <c r="D111" s="18">
        <f t="shared" si="6"/>
        <v>1.6098824919440036</v>
      </c>
      <c r="E111" s="14">
        <f>476048.41+2.7+400528.57+72938.69+15.27+312.91+17.8-100.7-112.21</f>
        <v>949651.4400000001</v>
      </c>
      <c r="F111" s="14">
        <f>5913.43+1100.61+920.55</f>
        <v>7934.59</v>
      </c>
      <c r="G111" s="18">
        <f t="shared" si="5"/>
        <v>0.835526559092039</v>
      </c>
      <c r="H111" s="15">
        <f t="shared" si="8"/>
        <v>4146065.48</v>
      </c>
      <c r="I111" s="15">
        <f t="shared" si="9"/>
        <v>59393.100000000006</v>
      </c>
      <c r="J111" s="18">
        <f t="shared" si="7"/>
        <v>1.4325171728836277</v>
      </c>
    </row>
    <row r="112" spans="1:10" ht="12.75">
      <c r="A112" s="1" t="s">
        <v>113</v>
      </c>
      <c r="B112" s="3">
        <f>1174806.5+312.47-1616.6</f>
        <v>1173502.3699999999</v>
      </c>
      <c r="C112" s="3">
        <v>38645.43</v>
      </c>
      <c r="D112" s="19">
        <f t="shared" si="6"/>
        <v>3.29317017058943</v>
      </c>
      <c r="E112" s="3">
        <f>208210.56+232730.7+51810.87+934.83+204.79-252.57-18912.95</f>
        <v>474726.23</v>
      </c>
      <c r="F112" s="3">
        <f>1230.92+623.69+102.05+2.68</f>
        <v>1959.3400000000001</v>
      </c>
      <c r="G112" s="19">
        <f t="shared" si="5"/>
        <v>0.4127305120679766</v>
      </c>
      <c r="H112" s="5">
        <f t="shared" si="8"/>
        <v>1648228.5999999999</v>
      </c>
      <c r="I112" s="5">
        <f t="shared" si="9"/>
        <v>40604.770000000004</v>
      </c>
      <c r="J112" s="19">
        <f t="shared" si="7"/>
        <v>2.4635399482814466</v>
      </c>
    </row>
    <row r="113" spans="1:10" ht="12.75">
      <c r="A113" s="1" t="s">
        <v>114</v>
      </c>
      <c r="B113" s="3">
        <f>1206929.74+145.67+37.21-1994.15-229.6</f>
        <v>1204888.8699999999</v>
      </c>
      <c r="C113" s="3">
        <v>30313.85</v>
      </c>
      <c r="D113" s="19">
        <f t="shared" si="6"/>
        <v>2.5159042260885025</v>
      </c>
      <c r="E113" s="3">
        <f>34673.97+215.6+244.44+1761.57+132.97+6.45-228.74</f>
        <v>36806.26</v>
      </c>
      <c r="F113" s="3">
        <f>7063.63+7.9+268.61</f>
        <v>7340.139999999999</v>
      </c>
      <c r="G113" s="19">
        <f t="shared" si="5"/>
        <v>19.942640192184697</v>
      </c>
      <c r="H113" s="5">
        <f t="shared" si="8"/>
        <v>1241695.13</v>
      </c>
      <c r="I113" s="5">
        <f t="shared" si="9"/>
        <v>37653.99</v>
      </c>
      <c r="J113" s="19">
        <f t="shared" si="7"/>
        <v>3.0324665926651417</v>
      </c>
    </row>
    <row r="114" spans="1:10" ht="12.75">
      <c r="A114" s="1" t="s">
        <v>115</v>
      </c>
      <c r="B114" s="14">
        <f>1155058.43+128.65+19.97+528.63-3499.06-197.15</f>
        <v>1152039.4699999997</v>
      </c>
      <c r="C114" s="14">
        <v>21578.45</v>
      </c>
      <c r="D114" s="18">
        <f t="shared" si="6"/>
        <v>1.8730651650329313</v>
      </c>
      <c r="E114" s="14">
        <f>320114.2+59953.41+23569.88+913.48+2.58-51.19-9.62</f>
        <v>404492.74</v>
      </c>
      <c r="F114" s="14">
        <f>3615.68+223.69+0.45</f>
        <v>3839.8199999999997</v>
      </c>
      <c r="G114" s="18">
        <f t="shared" si="5"/>
        <v>0.9492926869342574</v>
      </c>
      <c r="H114" s="15">
        <f t="shared" si="8"/>
        <v>1556532.2099999997</v>
      </c>
      <c r="I114" s="15">
        <f t="shared" si="9"/>
        <v>25418.27</v>
      </c>
      <c r="J114" s="18">
        <f t="shared" si="7"/>
        <v>1.6330063609798349</v>
      </c>
    </row>
    <row r="115" spans="1:10" ht="12.75">
      <c r="A115" s="1" t="s">
        <v>116</v>
      </c>
      <c r="B115" s="3">
        <f>478322.48+82.81+99.49-1046.14-140.18</f>
        <v>477318.45999999996</v>
      </c>
      <c r="C115" s="3">
        <v>15311.89</v>
      </c>
      <c r="D115" s="19">
        <f t="shared" si="6"/>
        <v>3.2078981399546125</v>
      </c>
      <c r="E115" s="3">
        <f>40913.64+21104.6+8321.11+807.47+39.4-7970.85</f>
        <v>63215.37</v>
      </c>
      <c r="F115" s="3">
        <v>615.52</v>
      </c>
      <c r="G115" s="19">
        <f aca="true" t="shared" si="10" ref="G115:G125">F115/E115*100</f>
        <v>0.9736872535903847</v>
      </c>
      <c r="H115" s="5">
        <f t="shared" si="8"/>
        <v>540533.83</v>
      </c>
      <c r="I115" s="5">
        <f t="shared" si="9"/>
        <v>15927.41</v>
      </c>
      <c r="J115" s="19">
        <f t="shared" si="7"/>
        <v>2.946607430657948</v>
      </c>
    </row>
    <row r="116" spans="1:10" ht="12.75">
      <c r="A116" s="1" t="s">
        <v>117</v>
      </c>
      <c r="B116" s="3">
        <f>886307.05+144.92+2.44-2551.01-209.11</f>
        <v>883694.29</v>
      </c>
      <c r="C116" s="3">
        <v>14631.91</v>
      </c>
      <c r="D116" s="19">
        <f t="shared" si="6"/>
        <v>1.6557660455178453</v>
      </c>
      <c r="E116" s="3">
        <f>57779.7+37291.77+9450.36+22347.23+21.51-7594.6</f>
        <v>119295.96999999999</v>
      </c>
      <c r="F116" s="3">
        <f>249.99+633.49+48.59</f>
        <v>932.07</v>
      </c>
      <c r="G116" s="19">
        <f t="shared" si="10"/>
        <v>0.781308874055008</v>
      </c>
      <c r="H116" s="5">
        <f t="shared" si="8"/>
        <v>1002990.26</v>
      </c>
      <c r="I116" s="5">
        <f t="shared" si="9"/>
        <v>15563.98</v>
      </c>
      <c r="J116" s="19">
        <f t="shared" si="7"/>
        <v>1.5517578405995687</v>
      </c>
    </row>
    <row r="117" spans="1:10" ht="12.75">
      <c r="A117" s="1" t="s">
        <v>118</v>
      </c>
      <c r="B117" s="14">
        <f>357000.65+164.46+33.58+286.07-1310.77</f>
        <v>356173.99000000005</v>
      </c>
      <c r="C117" s="14">
        <v>9070.82</v>
      </c>
      <c r="D117" s="18">
        <f t="shared" si="6"/>
        <v>2.5467384634122214</v>
      </c>
      <c r="E117" s="14">
        <f>60566.25+652.73+745.54</f>
        <v>61964.520000000004</v>
      </c>
      <c r="F117" s="14">
        <v>12.4</v>
      </c>
      <c r="G117" s="18">
        <f t="shared" si="10"/>
        <v>0.020011451714626368</v>
      </c>
      <c r="H117" s="15">
        <f t="shared" si="8"/>
        <v>418138.51000000007</v>
      </c>
      <c r="I117" s="15">
        <f t="shared" si="9"/>
        <v>9083.22</v>
      </c>
      <c r="J117" s="18">
        <f t="shared" si="7"/>
        <v>2.1722993177547787</v>
      </c>
    </row>
    <row r="118" spans="1:10" ht="12.75">
      <c r="A118" s="1" t="s">
        <v>119</v>
      </c>
      <c r="B118" s="3">
        <f>571535.47+80.76+29160.71+24.05+1138.86-819.22</f>
        <v>601120.63</v>
      </c>
      <c r="C118" s="3">
        <v>9230.26</v>
      </c>
      <c r="D118" s="19">
        <f t="shared" si="6"/>
        <v>1.5355087713426172</v>
      </c>
      <c r="E118" s="3">
        <f>578089.42+167410+22806.07+351.54+15.36</f>
        <v>768672.39</v>
      </c>
      <c r="F118" s="3">
        <f>26.82+797.94+50.05+101.47+9.98</f>
        <v>986.2600000000001</v>
      </c>
      <c r="G118" s="19">
        <f t="shared" si="10"/>
        <v>0.12830693710749777</v>
      </c>
      <c r="H118" s="5">
        <f t="shared" si="8"/>
        <v>1369793.02</v>
      </c>
      <c r="I118" s="5">
        <f t="shared" si="9"/>
        <v>10216.52</v>
      </c>
      <c r="J118" s="19">
        <f t="shared" si="7"/>
        <v>0.7458440692010535</v>
      </c>
    </row>
    <row r="119" spans="1:10" ht="12.75">
      <c r="A119" s="1" t="s">
        <v>120</v>
      </c>
      <c r="B119" s="3">
        <f>7695465.64+1220.7+7078.55+3669.37-9964.63</f>
        <v>7697469.63</v>
      </c>
      <c r="C119" s="3">
        <v>121282.54</v>
      </c>
      <c r="D119" s="19">
        <f t="shared" si="6"/>
        <v>1.5756157000907842</v>
      </c>
      <c r="E119" s="3">
        <f>1781569.6+330.38+824078.82+13679.07+236466.15+6322.66+55489.02+5099.31+14.28+24.59-190605.55-1773.5-3.75</f>
        <v>2730691.0799999996</v>
      </c>
      <c r="F119" s="3">
        <f>10658.12+81.95+1010.2</f>
        <v>11750.270000000002</v>
      </c>
      <c r="G119" s="19">
        <f t="shared" si="10"/>
        <v>0.4303038921561205</v>
      </c>
      <c r="H119" s="5">
        <f t="shared" si="8"/>
        <v>10428160.709999999</v>
      </c>
      <c r="I119" s="5">
        <f t="shared" si="9"/>
        <v>133032.81</v>
      </c>
      <c r="J119" s="19">
        <f t="shared" si="7"/>
        <v>1.2757073246141026</v>
      </c>
    </row>
    <row r="120" spans="1:10" ht="12.75">
      <c r="A120" s="1" t="s">
        <v>121</v>
      </c>
      <c r="B120" s="14">
        <f>555990.55+12.63+150.06-1142.77</f>
        <v>555010.4700000001</v>
      </c>
      <c r="C120" s="14">
        <v>6809.92</v>
      </c>
      <c r="D120" s="18">
        <f t="shared" si="6"/>
        <v>1.226989465622153</v>
      </c>
      <c r="E120" s="14">
        <f>120080.95+85630.07+14975.79+90.8+12.65</f>
        <v>220790.26</v>
      </c>
      <c r="F120" s="14">
        <v>20164.32</v>
      </c>
      <c r="G120" s="18">
        <f t="shared" si="10"/>
        <v>9.132794173076293</v>
      </c>
      <c r="H120" s="15">
        <f t="shared" si="8"/>
        <v>775800.7300000001</v>
      </c>
      <c r="I120" s="15">
        <f t="shared" si="9"/>
        <v>26974.239999999998</v>
      </c>
      <c r="J120" s="18">
        <f t="shared" si="7"/>
        <v>3.4769547071707443</v>
      </c>
    </row>
    <row r="121" spans="1:10" ht="12.75">
      <c r="A121" s="1" t="s">
        <v>122</v>
      </c>
      <c r="B121" s="3">
        <f>812189.87+108.17+741.76+12.05-2881.63</f>
        <v>810170.2200000001</v>
      </c>
      <c r="C121" s="3">
        <v>21723.08</v>
      </c>
      <c r="D121" s="19">
        <f t="shared" si="6"/>
        <v>2.6812982585313985</v>
      </c>
      <c r="E121" s="3">
        <f>101999.11+65487.72+495.96+15732.74+3567.12+1992.04+61.19-1029.95-11984.41-3582.31-8.09</f>
        <v>172731.12</v>
      </c>
      <c r="F121" s="3">
        <f>4290.43+22.17+95.19</f>
        <v>4407.79</v>
      </c>
      <c r="G121" s="19">
        <f t="shared" si="10"/>
        <v>2.5518215825845396</v>
      </c>
      <c r="H121" s="5">
        <f t="shared" si="8"/>
        <v>982901.3400000001</v>
      </c>
      <c r="I121" s="5">
        <f t="shared" si="9"/>
        <v>26130.870000000003</v>
      </c>
      <c r="J121" s="19">
        <f t="shared" si="7"/>
        <v>2.6585445493440876</v>
      </c>
    </row>
    <row r="122" spans="1:10" ht="12.75">
      <c r="A122" s="1" t="s">
        <v>123</v>
      </c>
      <c r="B122" s="3">
        <f>436297.54+19.4+11936.27+264.04+2075.98-742.39</f>
        <v>449850.83999999997</v>
      </c>
      <c r="C122" s="3">
        <v>10622.29</v>
      </c>
      <c r="D122" s="19">
        <f t="shared" si="6"/>
        <v>2.3612915783373887</v>
      </c>
      <c r="E122" s="3">
        <f>389643.26+44734.93+11770.85+9.36</f>
        <v>446158.39999999997</v>
      </c>
      <c r="F122" s="3">
        <f>1740.18+29.87+80</f>
        <v>1850.05</v>
      </c>
      <c r="G122" s="19">
        <f t="shared" si="10"/>
        <v>0.41466214689670755</v>
      </c>
      <c r="H122" s="5">
        <f t="shared" si="8"/>
        <v>896009.24</v>
      </c>
      <c r="I122" s="5">
        <f t="shared" si="9"/>
        <v>12472.34</v>
      </c>
      <c r="J122" s="19">
        <f t="shared" si="7"/>
        <v>1.3919878772678729</v>
      </c>
    </row>
    <row r="123" spans="1:10" ht="12.75">
      <c r="A123" s="1" t="s">
        <v>124</v>
      </c>
      <c r="B123" s="3">
        <f>1172100.18+25453.41+2126.18+540-9487.09-1969.57</f>
        <v>1188763.1099999996</v>
      </c>
      <c r="C123" s="3">
        <f>109745.95+1033.05+344.04</f>
        <v>111123.04</v>
      </c>
      <c r="D123" s="19">
        <f t="shared" si="6"/>
        <v>9.347786709161932</v>
      </c>
      <c r="E123" s="3">
        <f>211847.98+5754.16+72967.41+121.11+40123.77+128.64+17.33+353.73+41.14-3372.16</f>
        <v>327983.1100000001</v>
      </c>
      <c r="F123" s="3">
        <f>9269.22+140.73+264.51+22.2</f>
        <v>9696.66</v>
      </c>
      <c r="G123" s="19">
        <f t="shared" si="10"/>
        <v>2.9564510196881773</v>
      </c>
      <c r="H123" s="5">
        <f t="shared" si="8"/>
        <v>1516746.2199999997</v>
      </c>
      <c r="I123" s="5">
        <f t="shared" si="9"/>
        <v>120819.7</v>
      </c>
      <c r="J123" s="19">
        <f t="shared" si="7"/>
        <v>7.965716242233325</v>
      </c>
    </row>
    <row r="124" spans="1:10" ht="12.75">
      <c r="A124" s="1" t="s">
        <v>125</v>
      </c>
      <c r="B124" s="3">
        <f>180976.25+8122.21+192.6-2183.19</f>
        <v>187107.87</v>
      </c>
      <c r="C124" s="3">
        <v>9951.55</v>
      </c>
      <c r="D124" s="19">
        <f t="shared" si="6"/>
        <v>5.318616475084666</v>
      </c>
      <c r="E124" s="3">
        <f>20578.08+563.12+5964.29-3.67</f>
        <v>27101.820000000003</v>
      </c>
      <c r="F124" s="3">
        <f>298.68+221.47</f>
        <v>520.15</v>
      </c>
      <c r="G124" s="19">
        <f t="shared" si="10"/>
        <v>1.919243799862887</v>
      </c>
      <c r="H124" s="5">
        <f t="shared" si="8"/>
        <v>214209.69</v>
      </c>
      <c r="I124" s="5">
        <f t="shared" si="9"/>
        <v>10471.699999999999</v>
      </c>
      <c r="J124" s="19">
        <f t="shared" si="7"/>
        <v>4.888527685185482</v>
      </c>
    </row>
    <row r="125" spans="1:10" ht="12.75">
      <c r="A125" s="1" t="s">
        <v>126</v>
      </c>
      <c r="B125" s="3">
        <f>2462892.21+164.33-2658.26</f>
        <v>2460398.2800000003</v>
      </c>
      <c r="C125" s="3">
        <f>66719.24+1.22</f>
        <v>66720.46</v>
      </c>
      <c r="D125" s="19">
        <f t="shared" si="6"/>
        <v>2.7117747781875376</v>
      </c>
      <c r="E125" s="3">
        <f>216700.84+312731.89+24846.11+118.5+2629.27+11.51-5344.02-147.08</f>
        <v>551547.02</v>
      </c>
      <c r="F125" s="3">
        <f>4955.59+32.48</f>
        <v>4988.07</v>
      </c>
      <c r="G125" s="19">
        <f t="shared" si="10"/>
        <v>0.904378016583246</v>
      </c>
      <c r="H125" s="5">
        <f t="shared" si="8"/>
        <v>3011945.3000000003</v>
      </c>
      <c r="I125" s="5">
        <f t="shared" si="9"/>
        <v>71708.53</v>
      </c>
      <c r="J125" s="19">
        <f t="shared" si="7"/>
        <v>2.380804525234904</v>
      </c>
    </row>
    <row r="126" spans="1:10" ht="13.5" thickBot="1">
      <c r="A126" s="2"/>
      <c r="B126" s="4"/>
      <c r="C126" s="4"/>
      <c r="D126" s="20"/>
      <c r="E126" s="4"/>
      <c r="F126" s="4"/>
      <c r="G126" s="20"/>
      <c r="H126" s="6"/>
      <c r="I126" s="6"/>
      <c r="J126" s="2"/>
    </row>
    <row r="127" spans="1:10" ht="13.5" thickTop="1">
      <c r="A127" s="1" t="s">
        <v>127</v>
      </c>
      <c r="B127" s="12">
        <f>SUM(B6:B125)</f>
        <v>271588402.50000006</v>
      </c>
      <c r="C127" s="12">
        <f>SUM(C6:C125)</f>
        <v>6171040.699999999</v>
      </c>
      <c r="D127" s="21">
        <f>C127/B127*100</f>
        <v>2.2722033206112315</v>
      </c>
      <c r="E127" s="12">
        <f>SUM(E6:E125)</f>
        <v>80793954.82</v>
      </c>
      <c r="F127" s="12">
        <f>SUM(F6:F125)</f>
        <v>1264119.73</v>
      </c>
      <c r="G127" s="21">
        <f>F127/E127*100</f>
        <v>1.5646216759859313</v>
      </c>
      <c r="H127" s="12">
        <f>SUM(H6:H125)</f>
        <v>352239757.5200001</v>
      </c>
      <c r="I127" s="12">
        <f>SUM(I6:I125)</f>
        <v>7414241.989999999</v>
      </c>
      <c r="J127" s="21">
        <f>I127/H127*100</f>
        <v>2.1048850482413304</v>
      </c>
    </row>
    <row r="129" spans="1:10" ht="12.75">
      <c r="A129" s="17">
        <v>40589</v>
      </c>
      <c r="B129" s="23" t="s">
        <v>128</v>
      </c>
      <c r="C129" s="23"/>
      <c r="D129" s="23"/>
      <c r="E129" s="23"/>
      <c r="F129" s="23"/>
      <c r="G129" s="23"/>
      <c r="H129" s="23"/>
      <c r="I129" s="23"/>
      <c r="J129" s="23"/>
    </row>
  </sheetData>
  <sheetProtection/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Sheriff Collection Delinquency Report 2010</dc:title>
  <dc:subject/>
  <dc:creator>rev0760</dc:creator>
  <cp:keywords/>
  <dc:description/>
  <cp:lastModifiedBy>rev0117</cp:lastModifiedBy>
  <cp:lastPrinted>2011-11-15T19:54:20Z</cp:lastPrinted>
  <dcterms:created xsi:type="dcterms:W3CDTF">2008-01-31T15:08:19Z</dcterms:created>
  <dcterms:modified xsi:type="dcterms:W3CDTF">2012-01-04T20:21:19Z</dcterms:modified>
  <cp:category/>
  <cp:version/>
  <cp:contentType/>
  <cp:contentStatus/>
</cp:coreProperties>
</file>