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31" windowWidth="14760" windowHeight="8325" activeTab="0"/>
  </bookViews>
  <sheets>
    <sheet name="2012" sheetId="1" r:id="rId1"/>
    <sheet name="Sheet2" sheetId="2" r:id="rId2"/>
    <sheet name="Sheet3" sheetId="3" r:id="rId3"/>
    <sheet name="Sheet1" sheetId="4" r:id="rId4"/>
  </sheets>
  <definedNames>
    <definedName name="_xlnm.Print_Area" localSheetId="0">'2012'!$A$1:$J$129</definedName>
    <definedName name="_xlnm.Print_Titles" localSheetId="0">'2012'!$5:$5</definedName>
  </definedNames>
  <calcPr fullCalcOnLoad="1"/>
</workbook>
</file>

<file path=xl/sharedStrings.xml><?xml version="1.0" encoding="utf-8"?>
<sst xmlns="http://schemas.openxmlformats.org/spreadsheetml/2006/main" count="134" uniqueCount="133">
  <si>
    <t>(STATE MONIES ONLY)</t>
  </si>
  <si>
    <t>COUNTY</t>
  </si>
  <si>
    <t>AMOUNT DELINQUENT</t>
  </si>
  <si>
    <t>DELINQUENT %</t>
  </si>
  <si>
    <t xml:space="preserve"> AMOUNT DELINQUENT </t>
  </si>
  <si>
    <t>TOTAL STATE AMOUNT DELINQUENT</t>
  </si>
  <si>
    <t>TOTAL STATE DELINQUENT %</t>
  </si>
  <si>
    <t>ADAIR</t>
  </si>
  <si>
    <t>ALLEN</t>
  </si>
  <si>
    <t>ANDERSON</t>
  </si>
  <si>
    <t>BALLARD</t>
  </si>
  <si>
    <t>BARREN</t>
  </si>
  <si>
    <t>BATH</t>
  </si>
  <si>
    <t>BELL</t>
  </si>
  <si>
    <t>BOONE</t>
  </si>
  <si>
    <t>BOURBON</t>
  </si>
  <si>
    <t>BOYD</t>
  </si>
  <si>
    <t>BOYLE</t>
  </si>
  <si>
    <t>BRACKEN</t>
  </si>
  <si>
    <t>BREATHITT</t>
  </si>
  <si>
    <t>BRECKINRIDGE</t>
  </si>
  <si>
    <t>BULLITT</t>
  </si>
  <si>
    <t>BUTLER</t>
  </si>
  <si>
    <t>CALDWELL</t>
  </si>
  <si>
    <t>CALLOWAY</t>
  </si>
  <si>
    <t>CAMPBELL</t>
  </si>
  <si>
    <t>CARLISLE</t>
  </si>
  <si>
    <t>CARROLL</t>
  </si>
  <si>
    <t>CARTER</t>
  </si>
  <si>
    <t>CASEY</t>
  </si>
  <si>
    <t>CHRISTIAN</t>
  </si>
  <si>
    <t>CLARK</t>
  </si>
  <si>
    <t>CLAY</t>
  </si>
  <si>
    <t>CLINTON</t>
  </si>
  <si>
    <t>CRITTENDEN</t>
  </si>
  <si>
    <t>CUMBERLAND</t>
  </si>
  <si>
    <t>DAVIESS</t>
  </si>
  <si>
    <t>EDMONSON</t>
  </si>
  <si>
    <t>ELLIOTT</t>
  </si>
  <si>
    <t>ESTILL</t>
  </si>
  <si>
    <t>FAYETTE</t>
  </si>
  <si>
    <t>FLEMING</t>
  </si>
  <si>
    <t>FLOYD</t>
  </si>
  <si>
    <t>FRANKLIN</t>
  </si>
  <si>
    <t>FULTON</t>
  </si>
  <si>
    <t>GALLATIN</t>
  </si>
  <si>
    <t>GARRARD</t>
  </si>
  <si>
    <t>GRANT</t>
  </si>
  <si>
    <t>GRAVES</t>
  </si>
  <si>
    <t>GRAYSON</t>
  </si>
  <si>
    <t>GREEN</t>
  </si>
  <si>
    <t>GREENUP</t>
  </si>
  <si>
    <t>HANCOCK</t>
  </si>
  <si>
    <t>HARDIN</t>
  </si>
  <si>
    <t>HARLAN</t>
  </si>
  <si>
    <t>HARRISON</t>
  </si>
  <si>
    <t>HART</t>
  </si>
  <si>
    <t>HENDERSON</t>
  </si>
  <si>
    <t>HENRY</t>
  </si>
  <si>
    <t>HICKMAN</t>
  </si>
  <si>
    <t>HOPKINS</t>
  </si>
  <si>
    <t>JACKSON</t>
  </si>
  <si>
    <t>JEFFERSON</t>
  </si>
  <si>
    <t>JESSAMINE</t>
  </si>
  <si>
    <t>JOHNSON</t>
  </si>
  <si>
    <t>KENTON</t>
  </si>
  <si>
    <t>KNOTT</t>
  </si>
  <si>
    <t>KNOX</t>
  </si>
  <si>
    <t>LARUE</t>
  </si>
  <si>
    <t>LAUREL</t>
  </si>
  <si>
    <t>LAWRENCE</t>
  </si>
  <si>
    <t>LEE</t>
  </si>
  <si>
    <t>LESLIE</t>
  </si>
  <si>
    <t>LETCHER</t>
  </si>
  <si>
    <t>LEWIS</t>
  </si>
  <si>
    <t>LINCOLN</t>
  </si>
  <si>
    <t>LIVINGSTON</t>
  </si>
  <si>
    <t>LOGAN</t>
  </si>
  <si>
    <t>LYON</t>
  </si>
  <si>
    <t>MADISON</t>
  </si>
  <si>
    <t>MAGOFFIN</t>
  </si>
  <si>
    <t>MARION</t>
  </si>
  <si>
    <t>MARSHALL</t>
  </si>
  <si>
    <t>MARTIN</t>
  </si>
  <si>
    <t>MASON</t>
  </si>
  <si>
    <t>MCCRACKEN</t>
  </si>
  <si>
    <t>MCCREARY</t>
  </si>
  <si>
    <t>MCLEAN</t>
  </si>
  <si>
    <t>MEADE</t>
  </si>
  <si>
    <t>MENIFEE</t>
  </si>
  <si>
    <t>MERCER</t>
  </si>
  <si>
    <t>METCALFE</t>
  </si>
  <si>
    <t>MONROE</t>
  </si>
  <si>
    <t>MONTGOMERY</t>
  </si>
  <si>
    <t>MORGAN</t>
  </si>
  <si>
    <t>MUHLENBERG</t>
  </si>
  <si>
    <t>NELSON</t>
  </si>
  <si>
    <t>NICHOLAS</t>
  </si>
  <si>
    <t>OHIO</t>
  </si>
  <si>
    <t>OLDHAM</t>
  </si>
  <si>
    <t>OWEN</t>
  </si>
  <si>
    <t>OWSLEY</t>
  </si>
  <si>
    <t>PENDLETON</t>
  </si>
  <si>
    <t>PERRY</t>
  </si>
  <si>
    <t>PIKE</t>
  </si>
  <si>
    <t>POWELL</t>
  </si>
  <si>
    <t>PULASKI</t>
  </si>
  <si>
    <t>ROBERTSON</t>
  </si>
  <si>
    <t>ROCKCASTLE</t>
  </si>
  <si>
    <t>ROWAN</t>
  </si>
  <si>
    <t>RUSSELL</t>
  </si>
  <si>
    <t>SCOTT</t>
  </si>
  <si>
    <t>SHELBY</t>
  </si>
  <si>
    <t>SIMPSON</t>
  </si>
  <si>
    <t>SPENCER</t>
  </si>
  <si>
    <t>TAYLOR</t>
  </si>
  <si>
    <t>TODD</t>
  </si>
  <si>
    <t>TRIGG</t>
  </si>
  <si>
    <t>TRIMBLE</t>
  </si>
  <si>
    <t>UNION</t>
  </si>
  <si>
    <t>WARREN</t>
  </si>
  <si>
    <t>WASHINGTON</t>
  </si>
  <si>
    <t>WAYNE</t>
  </si>
  <si>
    <t>WEBSTER</t>
  </si>
  <si>
    <t>WHITLEY</t>
  </si>
  <si>
    <t>WOLFE</t>
  </si>
  <si>
    <t>WOODFORD</t>
  </si>
  <si>
    <t>TOTALS</t>
  </si>
  <si>
    <t>NOTE: Effective 2006, Intagible Property Taxes are exempt.</t>
  </si>
  <si>
    <t>TOTAL REAL PROPERTY TAXES CHARGED</t>
  </si>
  <si>
    <t xml:space="preserve"> TOTAL TANGIBLE PROPERTY TAXES CHARGED </t>
  </si>
  <si>
    <t>TOTAL STATE PROPERTY TAXES CHARGED</t>
  </si>
  <si>
    <t xml:space="preserve"> SHERIFF COLLECTION-DELINQUENCY REPORT 2012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</si>
</sst>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"/>
    <numFmt numFmtId="166" formatCode="0.00;[Red]0.00"/>
    <numFmt numFmtId="167" formatCode="[$-409]dddd\,\ mmmm\ dd\,\ yyyy"/>
    <numFmt numFmtId="168" formatCode="mm/dd/yy;@"/>
    <numFmt numFmtId="169" formatCode="[$-409]h:mm:ss\ AM/PM"/>
    <numFmt numFmtId="170" formatCode="_(* #,##0.0_);_(* \(#,##0.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164" fontId="0" fillId="0" borderId="0" xfId="42" applyNumberFormat="1" applyFont="1" applyAlignment="1">
      <alignment/>
    </xf>
    <xf numFmtId="164" fontId="0" fillId="0" borderId="10" xfId="42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0" xfId="42" applyNumberFormat="1" applyFont="1" applyAlignment="1" applyProtection="1">
      <alignment/>
      <protection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 applyProtection="1">
      <alignment horizontal="center" wrapText="1"/>
      <protection/>
    </xf>
    <xf numFmtId="0" fontId="1" fillId="0" borderId="0" xfId="0" applyFont="1" applyAlignment="1">
      <alignment horizontal="center"/>
    </xf>
    <xf numFmtId="164" fontId="1" fillId="0" borderId="0" xfId="42" applyNumberFormat="1" applyFont="1" applyAlignment="1">
      <alignment/>
    </xf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/>
    </xf>
    <xf numFmtId="168" fontId="1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37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workbookViewId="0" topLeftCell="A1">
      <selection activeCell="I43" sqref="I43"/>
    </sheetView>
  </sheetViews>
  <sheetFormatPr defaultColWidth="9.140625" defaultRowHeight="12.75"/>
  <cols>
    <col min="1" max="1" width="14.28125" style="0" customWidth="1"/>
    <col min="2" max="2" width="12.7109375" style="0" customWidth="1"/>
    <col min="3" max="4" width="12.57421875" style="0" customWidth="1"/>
    <col min="5" max="5" width="13.7109375" style="0" customWidth="1"/>
    <col min="6" max="6" width="13.421875" style="0" customWidth="1"/>
    <col min="7" max="7" width="13.140625" style="0" customWidth="1"/>
    <col min="8" max="9" width="12.57421875" style="0" customWidth="1"/>
    <col min="10" max="10" width="12.7109375" style="0" customWidth="1"/>
  </cols>
  <sheetData>
    <row r="1" spans="1:11" ht="12.75">
      <c r="A1" s="24" t="s">
        <v>132</v>
      </c>
      <c r="B1" s="24"/>
      <c r="C1" s="24"/>
      <c r="D1" s="24"/>
      <c r="E1" s="24"/>
      <c r="F1" s="24"/>
      <c r="G1" s="24"/>
      <c r="H1" s="24"/>
      <c r="I1" s="24"/>
      <c r="J1" s="24"/>
      <c r="K1">
        <v>1</v>
      </c>
    </row>
    <row r="2" spans="1:10" ht="12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2.75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6:7" ht="12.75">
      <c r="F4" s="1"/>
      <c r="G4" s="1"/>
    </row>
    <row r="5" spans="1:10" ht="68.25" customHeight="1">
      <c r="A5" s="8" t="s">
        <v>1</v>
      </c>
      <c r="B5" s="9" t="s">
        <v>129</v>
      </c>
      <c r="C5" s="9" t="s">
        <v>2</v>
      </c>
      <c r="D5" s="9" t="s">
        <v>3</v>
      </c>
      <c r="E5" s="9" t="s">
        <v>130</v>
      </c>
      <c r="F5" s="9" t="s">
        <v>4</v>
      </c>
      <c r="G5" s="9" t="s">
        <v>3</v>
      </c>
      <c r="H5" s="9" t="s">
        <v>131</v>
      </c>
      <c r="I5" s="9" t="s">
        <v>5</v>
      </c>
      <c r="J5" s="10" t="s">
        <v>6</v>
      </c>
    </row>
    <row r="6" spans="1:10" ht="12.75">
      <c r="A6" s="1" t="s">
        <v>7</v>
      </c>
      <c r="B6" s="3">
        <f>641690.13+466.28+6883.05-2139.39</f>
        <v>646900.0700000001</v>
      </c>
      <c r="C6" s="3">
        <f>9200.95+781.81</f>
        <v>9982.76</v>
      </c>
      <c r="D6" s="19">
        <f aca="true" t="shared" si="0" ref="D6:D69">C6/B6*100</f>
        <v>1.5431687926699404</v>
      </c>
      <c r="E6" s="3">
        <f>85304.67+26177.67+19321.26+158.51+0.35-345.61-241.41</f>
        <v>130375.43999999999</v>
      </c>
      <c r="F6" s="3">
        <f>111.91+0.5+6</f>
        <v>118.41</v>
      </c>
      <c r="G6" s="19">
        <f aca="true" t="shared" si="1" ref="G6:G49">F6/E6*100</f>
        <v>0.09082232052294513</v>
      </c>
      <c r="H6" s="5">
        <f>(B6+E6)</f>
        <v>777275.51</v>
      </c>
      <c r="I6" s="5">
        <f>(C6+F6)</f>
        <v>10101.17</v>
      </c>
      <c r="J6" s="19">
        <f aca="true" t="shared" si="2" ref="J6:J69">I6/H6*100</f>
        <v>1.2995610784134959</v>
      </c>
    </row>
    <row r="7" spans="1:10" ht="12.75">
      <c r="A7" s="1" t="s">
        <v>8</v>
      </c>
      <c r="B7" s="3">
        <f>783580.14+2794.82+155.18-2805.69</f>
        <v>783724.4500000001</v>
      </c>
      <c r="C7" s="3">
        <v>21129.23</v>
      </c>
      <c r="D7" s="19">
        <f t="shared" si="0"/>
        <v>2.696002402374967</v>
      </c>
      <c r="E7" s="3">
        <f>109438.61+70.29+106667.96+150.94+21000.88+226.4+1262.55+2.34+1.34-70.29-150.94-59.48-2.34</f>
        <v>238538.25999999995</v>
      </c>
      <c r="F7" s="3">
        <f>522.33+193.53</f>
        <v>715.86</v>
      </c>
      <c r="G7" s="19">
        <f t="shared" si="1"/>
        <v>0.30010280111878074</v>
      </c>
      <c r="H7" s="5">
        <f aca="true" t="shared" si="3" ref="H7:H70">(B7+E7)</f>
        <v>1022262.71</v>
      </c>
      <c r="I7" s="5">
        <f aca="true" t="shared" si="4" ref="I7:I70">(C7+F7)</f>
        <v>21845.09</v>
      </c>
      <c r="J7" s="19">
        <f t="shared" si="2"/>
        <v>2.1369350350263683</v>
      </c>
    </row>
    <row r="8" spans="1:10" ht="12.75">
      <c r="A8" s="1" t="s">
        <v>9</v>
      </c>
      <c r="B8" s="14">
        <f>1557762.6+86.14-3727.1</f>
        <v>1554121.64</v>
      </c>
      <c r="C8" s="14">
        <f>27550.61+176.21</f>
        <v>27726.82</v>
      </c>
      <c r="D8" s="18">
        <f t="shared" si="0"/>
        <v>1.7840830013794804</v>
      </c>
      <c r="E8" s="14">
        <f>114858.24+25.26+142280.71+242.91+42919.11+1.68+550.73+12.35+2.5-48</f>
        <v>300845.48999999993</v>
      </c>
      <c r="F8" s="14">
        <f>431.54+63.63</f>
        <v>495.17</v>
      </c>
      <c r="G8" s="18">
        <f t="shared" si="1"/>
        <v>0.16459279479310132</v>
      </c>
      <c r="H8" s="15">
        <f t="shared" si="3"/>
        <v>1854967.13</v>
      </c>
      <c r="I8" s="15">
        <f t="shared" si="4"/>
        <v>28221.989999999998</v>
      </c>
      <c r="J8" s="18">
        <f t="shared" si="2"/>
        <v>1.5214280373798323</v>
      </c>
    </row>
    <row r="9" spans="1:10" ht="12.75">
      <c r="A9" s="1" t="s">
        <v>10</v>
      </c>
      <c r="B9" s="3">
        <f>441067.92+41.48-1319.43</f>
        <v>439789.97</v>
      </c>
      <c r="C9" s="3">
        <v>5405.87</v>
      </c>
      <c r="D9" s="19">
        <f t="shared" si="0"/>
        <v>1.2291935625544168</v>
      </c>
      <c r="E9" s="3">
        <f>212176.09+18.49+237395.94+9721.41+56.95+1010.88+3369.03+3.56</f>
        <v>463752.35000000003</v>
      </c>
      <c r="F9" s="3">
        <v>0</v>
      </c>
      <c r="G9" s="19">
        <f t="shared" si="1"/>
        <v>0</v>
      </c>
      <c r="H9" s="5">
        <f t="shared" si="3"/>
        <v>903542.3200000001</v>
      </c>
      <c r="I9" s="5">
        <f t="shared" si="4"/>
        <v>5405.87</v>
      </c>
      <c r="J9" s="19">
        <f t="shared" si="2"/>
        <v>0.5982973769286202</v>
      </c>
    </row>
    <row r="10" spans="1:10" ht="12.75">
      <c r="A10" s="1" t="s">
        <v>11</v>
      </c>
      <c r="B10" s="3">
        <f>2184914+554.12+2057.94+381.87+766.42-5050.25</f>
        <v>2183624.1</v>
      </c>
      <c r="C10" s="3">
        <f>36600.85+5914</f>
        <v>42514.85</v>
      </c>
      <c r="D10" s="19">
        <f t="shared" si="0"/>
        <v>1.9469857472263656</v>
      </c>
      <c r="E10" s="3">
        <f>398713.69+41.53+453968.52+89824.06+244.42+2853.13-3466.52-2582.59-12.75</f>
        <v>939583.4900000001</v>
      </c>
      <c r="F10" s="3">
        <f>2280.74+2.4+80.62+7.8</f>
        <v>2371.56</v>
      </c>
      <c r="G10" s="19">
        <f t="shared" si="1"/>
        <v>0.25240545680512116</v>
      </c>
      <c r="H10" s="5">
        <f t="shared" si="3"/>
        <v>3123207.5900000003</v>
      </c>
      <c r="I10" s="5">
        <f t="shared" si="4"/>
        <v>44886.409999999996</v>
      </c>
      <c r="J10" s="19">
        <f t="shared" si="2"/>
        <v>1.4371894504777376</v>
      </c>
    </row>
    <row r="11" spans="1:10" ht="12.75">
      <c r="A11" s="1" t="s">
        <v>12</v>
      </c>
      <c r="B11" s="3">
        <f>349767.85+117.12+357.74-4236.21</f>
        <v>346006.49999999994</v>
      </c>
      <c r="C11" s="3">
        <v>12442.89</v>
      </c>
      <c r="D11" s="19">
        <f t="shared" si="0"/>
        <v>3.596143425051264</v>
      </c>
      <c r="E11" s="3">
        <f>37121.43+4188.55+6335.3+3.09+7.69</f>
        <v>47656.060000000005</v>
      </c>
      <c r="F11" s="3">
        <f>400.8+5.36</f>
        <v>406.16</v>
      </c>
      <c r="G11" s="19">
        <f t="shared" si="1"/>
        <v>0.8522735618513154</v>
      </c>
      <c r="H11" s="5">
        <f t="shared" si="3"/>
        <v>393662.55999999994</v>
      </c>
      <c r="I11" s="5">
        <f t="shared" si="4"/>
        <v>12849.05</v>
      </c>
      <c r="J11" s="19">
        <f t="shared" si="2"/>
        <v>3.2639756241995688</v>
      </c>
    </row>
    <row r="12" spans="1:10" ht="12.75">
      <c r="A12" s="1" t="s">
        <v>13</v>
      </c>
      <c r="B12" s="3">
        <f>781954.53+533.14+65148.09-6175.52</f>
        <v>841460.24</v>
      </c>
      <c r="C12" s="3">
        <v>38247.84</v>
      </c>
      <c r="D12" s="19">
        <f t="shared" si="0"/>
        <v>4.545412626982827</v>
      </c>
      <c r="E12" s="3">
        <f>600093.75+81941.98+33570.78+37.56</f>
        <v>715644.0700000001</v>
      </c>
      <c r="F12" s="3">
        <f>52805.75+2546.34+396.23+0.15</f>
        <v>55748.47</v>
      </c>
      <c r="G12" s="19">
        <f t="shared" si="1"/>
        <v>7.789971626537756</v>
      </c>
      <c r="H12" s="5">
        <f t="shared" si="3"/>
        <v>1557104.31</v>
      </c>
      <c r="I12" s="5">
        <f t="shared" si="4"/>
        <v>93996.31</v>
      </c>
      <c r="J12" s="19">
        <f t="shared" si="2"/>
        <v>6.036609711779682</v>
      </c>
    </row>
    <row r="13" spans="1:10" ht="12.75">
      <c r="A13" s="1" t="s">
        <v>14</v>
      </c>
      <c r="B13" s="3">
        <f>12181870.31+1489.74+640+45757.56+3876.75-11622.18</f>
        <v>12222012.180000002</v>
      </c>
      <c r="C13" s="3">
        <f>105480+1659.31</f>
        <v>107139.31</v>
      </c>
      <c r="D13" s="19">
        <f t="shared" si="0"/>
        <v>0.8766094193174007</v>
      </c>
      <c r="E13" s="3">
        <f>3100156.83+88.5+52366.63+1495273.29+52147.25+573569.12+612.95+17380.89+4666+84.06+19134.9+5370.25+0.01-48588.9-134474.23-27706.87</f>
        <v>5110080.679999999</v>
      </c>
      <c r="F13" s="3">
        <f>37213.12+10719.87+4333.18+9128.28+7170.76+75.25</f>
        <v>68640.46</v>
      </c>
      <c r="G13" s="19">
        <f t="shared" si="1"/>
        <v>1.343236326358746</v>
      </c>
      <c r="H13" s="5">
        <f t="shared" si="3"/>
        <v>17332092.86</v>
      </c>
      <c r="I13" s="5">
        <f t="shared" si="4"/>
        <v>175779.77000000002</v>
      </c>
      <c r="J13" s="19">
        <f t="shared" si="2"/>
        <v>1.0141866387392526</v>
      </c>
    </row>
    <row r="14" spans="1:10" s="13" customFormat="1" ht="12.75">
      <c r="A14" s="1" t="s">
        <v>15</v>
      </c>
      <c r="B14" s="14">
        <f>1265703.03+537.51+549.61+374.25-4309.65</f>
        <v>1262854.7500000002</v>
      </c>
      <c r="C14" s="3">
        <v>21896.59</v>
      </c>
      <c r="D14" s="19">
        <f t="shared" si="0"/>
        <v>1.7338961586833321</v>
      </c>
      <c r="E14" s="14">
        <f>200161.46+12.66+42201.27+221535.2+1773.03-31.07</f>
        <v>465652.55</v>
      </c>
      <c r="F14" s="14">
        <f>2268.14+108.57+0.7</f>
        <v>2377.41</v>
      </c>
      <c r="G14" s="19">
        <f t="shared" si="1"/>
        <v>0.5105544896081853</v>
      </c>
      <c r="H14" s="5">
        <f t="shared" si="3"/>
        <v>1728507.3000000003</v>
      </c>
      <c r="I14" s="15">
        <f>(C14+F14)</f>
        <v>24274</v>
      </c>
      <c r="J14" s="19">
        <f t="shared" si="2"/>
        <v>1.4043330913326195</v>
      </c>
    </row>
    <row r="15" spans="1:10" ht="12.75">
      <c r="A15" s="1" t="s">
        <v>16</v>
      </c>
      <c r="B15" s="14">
        <f>2165565.17+18.3+3927.88+25.57+58.68+3.39-8780.34</f>
        <v>2160818.65</v>
      </c>
      <c r="C15" s="14">
        <f>99305.55+26.68</f>
        <v>99332.23</v>
      </c>
      <c r="D15" s="18">
        <f t="shared" si="0"/>
        <v>4.596972078151954</v>
      </c>
      <c r="E15" s="14">
        <f>667310.35+705680.75+161023.84+13066.07-1478.14-123.53-24.83</f>
        <v>1545454.5100000002</v>
      </c>
      <c r="F15" s="14">
        <f>23919.62+127.76+1288.25</f>
        <v>25335.629999999997</v>
      </c>
      <c r="G15" s="18">
        <f t="shared" si="1"/>
        <v>1.6393643317265931</v>
      </c>
      <c r="H15" s="15">
        <f t="shared" si="3"/>
        <v>3706273.16</v>
      </c>
      <c r="I15" s="15">
        <f t="shared" si="4"/>
        <v>124667.85999999999</v>
      </c>
      <c r="J15" s="18">
        <f t="shared" si="2"/>
        <v>3.363698643302373</v>
      </c>
    </row>
    <row r="16" spans="1:10" ht="12.75">
      <c r="A16" s="1" t="s">
        <v>17</v>
      </c>
      <c r="B16" s="3">
        <f>1895097.47+47.58+283.17+39.28-1714.71</f>
        <v>1893752.79</v>
      </c>
      <c r="C16" s="3">
        <v>30207.44</v>
      </c>
      <c r="D16" s="19">
        <f t="shared" si="0"/>
        <v>1.5951099932108879</v>
      </c>
      <c r="E16" s="3">
        <f>416587.99+5.39+379504.24+90.14+69007.37+6867.13+1043.29+0.89+1.01+5.75-1009.82-3833.92-1.95</f>
        <v>868267.5100000001</v>
      </c>
      <c r="F16" s="3">
        <f>3318.25+566.33+202.9+3</f>
        <v>4090.48</v>
      </c>
      <c r="G16" s="19">
        <f t="shared" si="1"/>
        <v>0.47110826477890433</v>
      </c>
      <c r="H16" s="5">
        <f t="shared" si="3"/>
        <v>2762020.3000000003</v>
      </c>
      <c r="I16" s="5">
        <f t="shared" si="4"/>
        <v>34297.92</v>
      </c>
      <c r="J16" s="19">
        <f t="shared" si="2"/>
        <v>1.2417692947441406</v>
      </c>
    </row>
    <row r="17" spans="1:10" ht="12.75">
      <c r="A17" s="1" t="s">
        <v>18</v>
      </c>
      <c r="B17" s="3">
        <f>322135.82-214.84</f>
        <v>321920.98</v>
      </c>
      <c r="C17" s="3">
        <v>3751.71</v>
      </c>
      <c r="D17" s="19">
        <f t="shared" si="0"/>
        <v>1.1654133259658939</v>
      </c>
      <c r="E17" s="3">
        <f>36853.14+40563.84+6510.91+0.2</f>
        <v>83928.09</v>
      </c>
      <c r="F17" s="3">
        <v>0</v>
      </c>
      <c r="G17" s="19">
        <f t="shared" si="1"/>
        <v>0</v>
      </c>
      <c r="H17" s="5">
        <f t="shared" si="3"/>
        <v>405849.06999999995</v>
      </c>
      <c r="I17" s="5">
        <f t="shared" si="4"/>
        <v>3751.71</v>
      </c>
      <c r="J17" s="19">
        <f t="shared" si="2"/>
        <v>0.9244101507981775</v>
      </c>
    </row>
    <row r="18" spans="1:10" ht="12.75">
      <c r="A18" s="1" t="s">
        <v>19</v>
      </c>
      <c r="B18" s="3">
        <f>334808.51+5948.7+427.11-4217.49</f>
        <v>336966.83</v>
      </c>
      <c r="C18" s="3">
        <f>23355.18+87.99+117.12</f>
        <v>23560.29</v>
      </c>
      <c r="D18" s="19">
        <f t="shared" si="0"/>
        <v>6.991872167358432</v>
      </c>
      <c r="E18" s="3">
        <f>144882.5+18850.5+10442.25+9+0.77-24.97</f>
        <v>174160.05</v>
      </c>
      <c r="F18" s="3">
        <f>2200.6+5.68</f>
        <v>2206.2799999999997</v>
      </c>
      <c r="G18" s="19">
        <f t="shared" si="1"/>
        <v>1.2668117630880331</v>
      </c>
      <c r="H18" s="5">
        <f t="shared" si="3"/>
        <v>511126.88</v>
      </c>
      <c r="I18" s="5">
        <f t="shared" si="4"/>
        <v>25766.57</v>
      </c>
      <c r="J18" s="19">
        <f t="shared" si="2"/>
        <v>5.041129904966062</v>
      </c>
    </row>
    <row r="19" spans="1:10" ht="12.75">
      <c r="A19" s="1" t="s">
        <v>20</v>
      </c>
      <c r="B19" s="3">
        <f>937183.24+1742.32+286.45-1879.04</f>
        <v>937332.9699999999</v>
      </c>
      <c r="C19" s="3">
        <v>14044.24</v>
      </c>
      <c r="D19" s="19">
        <f t="shared" si="0"/>
        <v>1.4983192152090843</v>
      </c>
      <c r="E19" s="3">
        <f>86144.9+17591.55+14513.51+247.5+1.01</f>
        <v>118498.46999999999</v>
      </c>
      <c r="F19" s="3">
        <f>315.04+23.62</f>
        <v>338.66</v>
      </c>
      <c r="G19" s="19">
        <f t="shared" si="1"/>
        <v>0.28579271951781327</v>
      </c>
      <c r="H19" s="5">
        <f>(B19+E19)</f>
        <v>1055831.44</v>
      </c>
      <c r="I19" s="5">
        <f t="shared" si="4"/>
        <v>14382.9</v>
      </c>
      <c r="J19" s="19">
        <f t="shared" si="2"/>
        <v>1.3622344869745497</v>
      </c>
    </row>
    <row r="20" spans="1:10" ht="12.75">
      <c r="A20" s="1" t="s">
        <v>21</v>
      </c>
      <c r="B20" s="3">
        <f>5550852.9+6853.59+952.22+1545.18+3576.23-9620.82</f>
        <v>5554159.3</v>
      </c>
      <c r="C20" s="3">
        <v>76074.46</v>
      </c>
      <c r="D20" s="19">
        <f t="shared" si="0"/>
        <v>1.3696845173310028</v>
      </c>
      <c r="E20" s="3">
        <f>531836.24+23.99+191111.23+422342.77+1539.39+3319.48-15806.11-183</f>
        <v>1134183.9899999998</v>
      </c>
      <c r="F20" s="3">
        <f>7550.75+150.7+845.74</f>
        <v>8547.19</v>
      </c>
      <c r="G20" s="19">
        <f t="shared" si="1"/>
        <v>0.7535981882445724</v>
      </c>
      <c r="H20" s="5">
        <f t="shared" si="3"/>
        <v>6688343.289999999</v>
      </c>
      <c r="I20" s="5">
        <f t="shared" si="4"/>
        <v>84621.65000000001</v>
      </c>
      <c r="J20" s="19">
        <f t="shared" si="2"/>
        <v>1.265210924901554</v>
      </c>
    </row>
    <row r="21" spans="1:10" ht="12.75">
      <c r="A21" s="1" t="s">
        <v>22</v>
      </c>
      <c r="B21" s="3">
        <f>416305.03+2038.91+123.66-1196.58</f>
        <v>417271.01999999996</v>
      </c>
      <c r="C21" s="3">
        <v>13017.63</v>
      </c>
      <c r="D21" s="19">
        <f t="shared" si="0"/>
        <v>3.119706228340516</v>
      </c>
      <c r="E21" s="3">
        <f>61031.59+67858.46+13844.16+9+21.15</f>
        <v>142764.36</v>
      </c>
      <c r="F21" s="3">
        <f>453.94+32.02</f>
        <v>485.96</v>
      </c>
      <c r="G21" s="19">
        <f t="shared" si="1"/>
        <v>0.340393078496622</v>
      </c>
      <c r="H21" s="5">
        <f t="shared" si="3"/>
        <v>560035.3799999999</v>
      </c>
      <c r="I21" s="5">
        <f t="shared" si="4"/>
        <v>13503.589999999998</v>
      </c>
      <c r="J21" s="19">
        <f>I21/H21*100</f>
        <v>2.41120302078058</v>
      </c>
    </row>
    <row r="22" spans="1:10" ht="12.75">
      <c r="A22" s="1" t="s">
        <v>23</v>
      </c>
      <c r="B22" s="3">
        <f>481354.8+195.2+1311.68-3734.59</f>
        <v>479127.08999999997</v>
      </c>
      <c r="C22" s="3">
        <v>7286.31</v>
      </c>
      <c r="D22" s="19">
        <f t="shared" si="0"/>
        <v>1.520746823144565</v>
      </c>
      <c r="E22" s="3">
        <f>92168.34+170541.1+23694.58+1386.34+599.93-12559.76-7.5</f>
        <v>275823.03</v>
      </c>
      <c r="F22" s="3">
        <f>507.63+116.77</f>
        <v>624.4</v>
      </c>
      <c r="G22" s="19">
        <f t="shared" si="1"/>
        <v>0.22637703602922496</v>
      </c>
      <c r="H22" s="5">
        <f t="shared" si="3"/>
        <v>754950.12</v>
      </c>
      <c r="I22" s="5">
        <f t="shared" si="4"/>
        <v>7910.71</v>
      </c>
      <c r="J22" s="19">
        <f t="shared" si="2"/>
        <v>1.0478453861296162</v>
      </c>
    </row>
    <row r="23" spans="1:10" ht="12.75">
      <c r="A23" s="1" t="s">
        <v>24</v>
      </c>
      <c r="B23" s="3">
        <f>2066097.76+513.62+186.4+253.76-6786.05</f>
        <v>2060265.49</v>
      </c>
      <c r="C23" s="3">
        <v>31681.06</v>
      </c>
      <c r="D23" s="19">
        <f t="shared" si="0"/>
        <v>1.537717355057964</v>
      </c>
      <c r="E23" s="3">
        <f>312257.56+1641.3+191872+41825.59+74206.26+2469.81+676.95+19.88</f>
        <v>624969.35</v>
      </c>
      <c r="F23" s="3">
        <f>6021.38+19071.57+42314.68+1591.55+5253.36+2.1+0.96</f>
        <v>74255.60000000002</v>
      </c>
      <c r="G23" s="19">
        <f t="shared" si="1"/>
        <v>11.881478667713868</v>
      </c>
      <c r="H23" s="5">
        <f t="shared" si="3"/>
        <v>2685234.84</v>
      </c>
      <c r="I23" s="5">
        <f t="shared" si="4"/>
        <v>105936.66000000002</v>
      </c>
      <c r="J23" s="19">
        <f t="shared" si="2"/>
        <v>3.9451543835920146</v>
      </c>
    </row>
    <row r="24" spans="1:10" ht="12.75">
      <c r="A24" s="1" t="s">
        <v>25</v>
      </c>
      <c r="B24" s="14">
        <f>6391471.05+82.96+727.76-2880.5</f>
        <v>6389401.27</v>
      </c>
      <c r="C24" s="14">
        <v>119828.08</v>
      </c>
      <c r="D24" s="18">
        <f t="shared" si="0"/>
        <v>1.8754195414619812</v>
      </c>
      <c r="E24" s="14">
        <f>746871.04+689.81+378212.38+100046.11+9.23+6.24+3.03+143.52-24796.51-47.56-2494.8-3.01</f>
        <v>1198639.48</v>
      </c>
      <c r="F24" s="14">
        <f>7426.02+430.67+6770.43</f>
        <v>14627.12</v>
      </c>
      <c r="G24" s="18">
        <f t="shared" si="1"/>
        <v>1.220310213709964</v>
      </c>
      <c r="H24" s="15">
        <f t="shared" si="3"/>
        <v>7588040.75</v>
      </c>
      <c r="I24" s="15">
        <f t="shared" si="4"/>
        <v>134455.2</v>
      </c>
      <c r="J24" s="18">
        <f t="shared" si="2"/>
        <v>1.7719356607303407</v>
      </c>
    </row>
    <row r="25" spans="1:10" ht="12.75">
      <c r="A25" s="1" t="s">
        <v>26</v>
      </c>
      <c r="B25" s="3">
        <f>184833.1+202.09+80.65+142.74-2244.6</f>
        <v>183013.97999999998</v>
      </c>
      <c r="C25" s="3">
        <v>2580.12</v>
      </c>
      <c r="D25" s="19">
        <f t="shared" si="0"/>
        <v>1.4097939403317714</v>
      </c>
      <c r="E25" s="3">
        <f>22620.11+280.8+1577.33+0.65</f>
        <v>24478.89</v>
      </c>
      <c r="F25" s="3">
        <v>51.6</v>
      </c>
      <c r="G25" s="19">
        <f t="shared" si="1"/>
        <v>0.21079387178095085</v>
      </c>
      <c r="H25" s="5">
        <f t="shared" si="3"/>
        <v>207492.87</v>
      </c>
      <c r="I25" s="5">
        <f t="shared" si="4"/>
        <v>2631.72</v>
      </c>
      <c r="J25" s="19">
        <f t="shared" si="2"/>
        <v>1.2683423772585534</v>
      </c>
    </row>
    <row r="26" spans="1:10" ht="12.75">
      <c r="A26" s="1" t="s">
        <v>27</v>
      </c>
      <c r="B26" s="14">
        <f>584846.68+158842.65+595.1+25.92-994.16</f>
        <v>743316.1900000001</v>
      </c>
      <c r="C26" s="14">
        <v>12826.23</v>
      </c>
      <c r="D26" s="18">
        <f t="shared" si="0"/>
        <v>1.7255415895084967</v>
      </c>
      <c r="E26" s="14">
        <f>398484.98+266241.12+137225.74+107.1+2353.13-4.5</f>
        <v>804407.57</v>
      </c>
      <c r="F26" s="14">
        <f>391.02+53.04</f>
        <v>444.06</v>
      </c>
      <c r="G26" s="18">
        <f t="shared" si="1"/>
        <v>0.05520335916281842</v>
      </c>
      <c r="H26" s="15">
        <f t="shared" si="3"/>
        <v>1547723.76</v>
      </c>
      <c r="I26" s="15">
        <f t="shared" si="4"/>
        <v>13270.289999999999</v>
      </c>
      <c r="J26" s="18">
        <f t="shared" si="2"/>
        <v>0.8574068798943811</v>
      </c>
    </row>
    <row r="27" spans="1:10" ht="12.75">
      <c r="A27" s="1" t="s">
        <v>28</v>
      </c>
      <c r="B27" s="14">
        <f>759028.66+283.04+197.64+1579.64+18085.64-8156.43</f>
        <v>771018.1900000001</v>
      </c>
      <c r="C27" s="14">
        <f>32643.3+48.8</f>
        <v>32692.1</v>
      </c>
      <c r="D27" s="18">
        <f t="shared" si="0"/>
        <v>4.240120456820869</v>
      </c>
      <c r="E27" s="14">
        <f>98273.65+106.7+48596.92+18042.6+212.82+34.95+0.34-1460.43-6.48</f>
        <v>163801.07</v>
      </c>
      <c r="F27" s="14">
        <f>642.02+1433.03</f>
        <v>2075.05</v>
      </c>
      <c r="G27" s="18">
        <f t="shared" si="1"/>
        <v>1.2668110165580726</v>
      </c>
      <c r="H27" s="15">
        <f t="shared" si="3"/>
        <v>934819.26</v>
      </c>
      <c r="I27" s="15">
        <f t="shared" si="4"/>
        <v>34767.15</v>
      </c>
      <c r="J27" s="18">
        <f t="shared" si="2"/>
        <v>3.719130690567929</v>
      </c>
    </row>
    <row r="28" spans="1:10" ht="12.75">
      <c r="A28" s="1" t="s">
        <v>29</v>
      </c>
      <c r="B28" s="3">
        <f>532839.7+166.31-3427.83</f>
        <v>529578.18</v>
      </c>
      <c r="C28" s="3">
        <v>6000.69</v>
      </c>
      <c r="D28" s="19">
        <f t="shared" si="0"/>
        <v>1.1331074856596242</v>
      </c>
      <c r="E28" s="3">
        <f>37410.52+19821.44+20.47+9384.59-61.41</f>
        <v>66575.60999999999</v>
      </c>
      <c r="F28" s="3">
        <f>113.26+24.6+2.15</f>
        <v>140.01000000000002</v>
      </c>
      <c r="G28" s="19">
        <f t="shared" si="1"/>
        <v>0.21030224131630193</v>
      </c>
      <c r="H28" s="5">
        <f t="shared" si="3"/>
        <v>596153.79</v>
      </c>
      <c r="I28" s="5">
        <f t="shared" si="4"/>
        <v>6140.7</v>
      </c>
      <c r="J28" s="19">
        <f t="shared" si="2"/>
        <v>1.0300530002501533</v>
      </c>
    </row>
    <row r="29" spans="1:10" ht="12.75">
      <c r="A29" s="1" t="s">
        <v>30</v>
      </c>
      <c r="B29" s="3">
        <f>3139961.81+146.83+6981.04+395.75+4394.1-8480.85</f>
        <v>3143398.68</v>
      </c>
      <c r="C29" s="3">
        <v>58516.54</v>
      </c>
      <c r="D29" s="19">
        <f t="shared" si="0"/>
        <v>1.861569147188164</v>
      </c>
      <c r="E29" s="3">
        <f>657718.85+30790.65+30910.24+615321.52+172753.2+15.23+35752.88+27-381.01</f>
        <v>1542908.5599999998</v>
      </c>
      <c r="F29" s="3">
        <f>1774.04+12+28.3</f>
        <v>1814.34</v>
      </c>
      <c r="G29" s="19">
        <f t="shared" si="1"/>
        <v>0.11759219224242298</v>
      </c>
      <c r="H29" s="5">
        <f t="shared" si="3"/>
        <v>4686307.24</v>
      </c>
      <c r="I29" s="5">
        <f t="shared" si="4"/>
        <v>60330.88</v>
      </c>
      <c r="J29" s="19">
        <f t="shared" si="2"/>
        <v>1.2873863558292862</v>
      </c>
    </row>
    <row r="30" spans="1:10" ht="12.75">
      <c r="A30" s="1" t="s">
        <v>31</v>
      </c>
      <c r="B30" s="3">
        <f>2631673.15+967.71-4794.97</f>
        <v>2627845.8899999997</v>
      </c>
      <c r="C30" s="3">
        <v>69786.44</v>
      </c>
      <c r="D30" s="19">
        <f t="shared" si="0"/>
        <v>2.655651926376855</v>
      </c>
      <c r="E30" s="3">
        <f>376518+518.55+369711.91+80158.27+29.06+407.85+8.99-563.17</f>
        <v>826789.46</v>
      </c>
      <c r="F30" s="3">
        <f>2366.26+734.22+64.95</f>
        <v>3165.4300000000003</v>
      </c>
      <c r="G30" s="19">
        <f t="shared" si="1"/>
        <v>0.3828580494966639</v>
      </c>
      <c r="H30" s="5">
        <f t="shared" si="3"/>
        <v>3454635.3499999996</v>
      </c>
      <c r="I30" s="5">
        <f t="shared" si="4"/>
        <v>72951.87</v>
      </c>
      <c r="J30" s="19">
        <f t="shared" si="2"/>
        <v>2.1117097062067636</v>
      </c>
    </row>
    <row r="31" spans="1:10" ht="12.75">
      <c r="A31" s="1" t="s">
        <v>32</v>
      </c>
      <c r="B31" s="3">
        <f>399484.75+178.45+33021.58+218.62-2982.29</f>
        <v>429921.11000000004</v>
      </c>
      <c r="C31" s="3">
        <f>28380.53+6.1+64.42</f>
        <v>28451.049999999996</v>
      </c>
      <c r="D31" s="19">
        <f t="shared" si="0"/>
        <v>6.617737379771836</v>
      </c>
      <c r="E31" s="3">
        <f>136861.42+276.17+16697.07+547.41+12328.98+2.14-1642.24</f>
        <v>165070.95000000007</v>
      </c>
      <c r="F31" s="3">
        <f>4448.55+99.36</f>
        <v>4547.91</v>
      </c>
      <c r="G31" s="19">
        <f t="shared" si="1"/>
        <v>2.755124387422498</v>
      </c>
      <c r="H31" s="5">
        <f t="shared" si="3"/>
        <v>594992.06</v>
      </c>
      <c r="I31" s="5">
        <f t="shared" si="4"/>
        <v>32998.95999999999</v>
      </c>
      <c r="J31" s="19">
        <f t="shared" si="2"/>
        <v>5.54611770785647</v>
      </c>
    </row>
    <row r="32" spans="1:10" ht="12.75">
      <c r="A32" s="1" t="s">
        <v>33</v>
      </c>
      <c r="B32" s="5">
        <f>451418.12+11503.06+1343.61-4406.23</f>
        <v>459858.56</v>
      </c>
      <c r="C32" s="3">
        <v>24037.68</v>
      </c>
      <c r="D32" s="19">
        <f>C32/B32*100</f>
        <v>5.227189855941792</v>
      </c>
      <c r="E32" s="3">
        <f>74009.03+21342.52+5453.49+1016.77+2.06-17307.9</f>
        <v>84515.97</v>
      </c>
      <c r="F32" s="3">
        <f>699.06+306.36+136.1+13.5</f>
        <v>1155.02</v>
      </c>
      <c r="G32" s="19">
        <f t="shared" si="1"/>
        <v>1.366629289115418</v>
      </c>
      <c r="H32" s="5">
        <f>(B33+E32)</f>
        <v>442591.88</v>
      </c>
      <c r="I32" s="5">
        <f>(C33+F32)</f>
        <v>9953.060000000001</v>
      </c>
      <c r="J32" s="19">
        <f t="shared" si="2"/>
        <v>2.248812156246518</v>
      </c>
    </row>
    <row r="33" spans="1:10" ht="12.75">
      <c r="A33" s="1" t="s">
        <v>34</v>
      </c>
      <c r="B33" s="3">
        <f>358351.69+448.71+234-958.49</f>
        <v>358075.91000000003</v>
      </c>
      <c r="C33" s="3">
        <v>8798.04</v>
      </c>
      <c r="D33" s="19">
        <f>C33/B33*100</f>
        <v>2.457032085738468</v>
      </c>
      <c r="E33" s="3">
        <f>38704.5+18002.7+15013.04+24.27+0.95-13.89</f>
        <v>71731.56999999999</v>
      </c>
      <c r="F33" s="3">
        <v>15.62</v>
      </c>
      <c r="G33" s="19">
        <f t="shared" si="1"/>
        <v>0.021775628220600775</v>
      </c>
      <c r="H33" s="5">
        <f>(B34+E33)</f>
        <v>392617.8599999999</v>
      </c>
      <c r="I33" s="5">
        <f>(C33+F33)</f>
        <v>8813.660000000002</v>
      </c>
      <c r="J33" s="19">
        <f t="shared" si="2"/>
        <v>2.244844388892549</v>
      </c>
    </row>
    <row r="34" spans="1:10" ht="12.75">
      <c r="A34" s="1" t="s">
        <v>35</v>
      </c>
      <c r="B34" s="3">
        <f>314570.97+7826.72-1511.4</f>
        <v>320886.2899999999</v>
      </c>
      <c r="C34" s="3">
        <v>7757.72</v>
      </c>
      <c r="D34" s="19">
        <f t="shared" si="0"/>
        <v>2.4175916023087187</v>
      </c>
      <c r="E34" s="3">
        <f>21502.83+954.57+3276.2+369.61+0.4</f>
        <v>26103.610000000004</v>
      </c>
      <c r="F34" s="3">
        <v>190.94</v>
      </c>
      <c r="G34" s="19">
        <f t="shared" si="1"/>
        <v>0.7314697085958608</v>
      </c>
      <c r="H34" s="5">
        <f t="shared" si="3"/>
        <v>346989.8999999999</v>
      </c>
      <c r="I34" s="5">
        <f t="shared" si="4"/>
        <v>7948.66</v>
      </c>
      <c r="J34" s="19">
        <f t="shared" si="2"/>
        <v>2.2907467911890236</v>
      </c>
    </row>
    <row r="35" spans="1:10" ht="12.75">
      <c r="A35" s="1" t="s">
        <v>36</v>
      </c>
      <c r="B35" s="3">
        <f>5712885.53+14314.17+11250.48+2758.81-19456.88</f>
        <v>5721752.11</v>
      </c>
      <c r="C35" s="3">
        <v>46563.86</v>
      </c>
      <c r="D35" s="19">
        <f t="shared" si="0"/>
        <v>0.8138042177433653</v>
      </c>
      <c r="E35" s="3">
        <f>1094067.2+3893.09+561367.11+19.2+252705.14+611.51+18689.4+1615.98+75.56-702.66-235.94-6147.22-5.73</f>
        <v>1925952.64</v>
      </c>
      <c r="F35" s="3">
        <f>15005.25+72.76+1583.99</f>
        <v>16662</v>
      </c>
      <c r="G35" s="19">
        <f t="shared" si="1"/>
        <v>0.8651303076694554</v>
      </c>
      <c r="H35" s="5">
        <f t="shared" si="3"/>
        <v>7647704.75</v>
      </c>
      <c r="I35" s="5">
        <f t="shared" si="4"/>
        <v>63225.86</v>
      </c>
      <c r="J35" s="19">
        <f t="shared" si="2"/>
        <v>0.8267298760454893</v>
      </c>
    </row>
    <row r="36" spans="1:10" ht="12.75">
      <c r="A36" s="1" t="s">
        <v>37</v>
      </c>
      <c r="B36" s="3">
        <f>586901.06+59.6+3211.37+3.66-1478.11</f>
        <v>588697.5800000001</v>
      </c>
      <c r="C36" s="3">
        <v>16898.61</v>
      </c>
      <c r="D36" s="19">
        <f t="shared" si="0"/>
        <v>2.8705078081007227</v>
      </c>
      <c r="E36" s="3">
        <f>22294.07+154.65+566.16+1692.55+74.7+17.55+3.38</f>
        <v>24803.06</v>
      </c>
      <c r="F36" s="3">
        <f>116.86+71.41</f>
        <v>188.26999999999998</v>
      </c>
      <c r="G36" s="19">
        <f t="shared" si="1"/>
        <v>0.7590595676501204</v>
      </c>
      <c r="H36" s="5">
        <f t="shared" si="3"/>
        <v>613500.6400000001</v>
      </c>
      <c r="I36" s="5">
        <f t="shared" si="4"/>
        <v>17086.88</v>
      </c>
      <c r="J36" s="19">
        <f t="shared" si="2"/>
        <v>2.7851446088140994</v>
      </c>
    </row>
    <row r="37" spans="1:10" ht="12.75">
      <c r="A37" s="1" t="s">
        <v>38</v>
      </c>
      <c r="B37" s="3">
        <f>164104.44+43.41+456.32+4089.07-2172.76</f>
        <v>166520.48</v>
      </c>
      <c r="C37" s="3">
        <f>5506.3+93.74</f>
        <v>5600.04</v>
      </c>
      <c r="D37" s="19">
        <f t="shared" si="0"/>
        <v>3.3629737315193897</v>
      </c>
      <c r="E37" s="3">
        <f>10995.18+701.19+26.57+3.69-26.57</f>
        <v>11700.060000000001</v>
      </c>
      <c r="F37" s="3">
        <v>111.65</v>
      </c>
      <c r="G37" s="19">
        <f t="shared" si="1"/>
        <v>0.9542686105883217</v>
      </c>
      <c r="H37" s="5">
        <f t="shared" si="3"/>
        <v>178220.54</v>
      </c>
      <c r="I37" s="5">
        <f t="shared" si="4"/>
        <v>5711.69</v>
      </c>
      <c r="J37" s="19">
        <f t="shared" si="2"/>
        <v>3.2048438412317677</v>
      </c>
    </row>
    <row r="38" spans="1:10" ht="12.75">
      <c r="A38" s="1" t="s">
        <v>39</v>
      </c>
      <c r="B38" s="3">
        <f>447680+243.76+6582.04+568.68-2775.17</f>
        <v>452299.31</v>
      </c>
      <c r="C38" s="3">
        <v>25218.5</v>
      </c>
      <c r="D38" s="19">
        <f t="shared" si="0"/>
        <v>5.575622036655329</v>
      </c>
      <c r="E38" s="3">
        <f>62926.94+0.03+1305.7+3976.34+1.25-0.68</f>
        <v>68209.58</v>
      </c>
      <c r="F38" s="3">
        <f>73.26+83.39</f>
        <v>156.65</v>
      </c>
      <c r="G38" s="19">
        <f t="shared" si="1"/>
        <v>0.2296598219780858</v>
      </c>
      <c r="H38" s="5">
        <f t="shared" si="3"/>
        <v>520508.89</v>
      </c>
      <c r="I38" s="5">
        <f t="shared" si="4"/>
        <v>25375.15</v>
      </c>
      <c r="J38" s="19">
        <f t="shared" si="2"/>
        <v>4.875065630483276</v>
      </c>
    </row>
    <row r="39" spans="1:10" ht="12.75">
      <c r="A39" s="1" t="s">
        <v>40</v>
      </c>
      <c r="B39" s="3">
        <f>27662620.62+165.92+1295.6-14687.95</f>
        <v>27649394.190000005</v>
      </c>
      <c r="C39" s="3">
        <f>254818.82+378.57</f>
        <v>255197.39</v>
      </c>
      <c r="D39" s="19">
        <f t="shared" si="0"/>
        <v>0.9229764248950438</v>
      </c>
      <c r="E39" s="3">
        <f>4284179.68+531.98+594966.5+517626.9+26.19+11917.12+6796.49+1375.09-5281.22-282.92</f>
        <v>5411855.810000001</v>
      </c>
      <c r="F39" s="3">
        <f>33538.01+43.55+841.16+0.68</f>
        <v>34423.40000000001</v>
      </c>
      <c r="G39" s="19">
        <f t="shared" si="1"/>
        <v>0.6360738572596967</v>
      </c>
      <c r="H39" s="5">
        <f t="shared" si="3"/>
        <v>33061250.000000007</v>
      </c>
      <c r="I39" s="5">
        <f t="shared" si="4"/>
        <v>289620.79000000004</v>
      </c>
      <c r="J39" s="19">
        <f t="shared" si="2"/>
        <v>0.8760128246814624</v>
      </c>
    </row>
    <row r="40" spans="1:10" ht="12.75">
      <c r="A40" s="1" t="s">
        <v>41</v>
      </c>
      <c r="B40" s="14">
        <f>573555.66+81.17-2118.04</f>
        <v>571518.79</v>
      </c>
      <c r="C40" s="14">
        <v>12904.98</v>
      </c>
      <c r="D40" s="18">
        <f t="shared" si="0"/>
        <v>2.2580149989469285</v>
      </c>
      <c r="E40" s="14">
        <f>67908.34+40.31+40539.02+14549.41+75.35+0.93-4.5</f>
        <v>123108.85999999999</v>
      </c>
      <c r="F40" s="14">
        <f>643.36+5.82</f>
        <v>649.1800000000001</v>
      </c>
      <c r="G40" s="18">
        <f t="shared" si="1"/>
        <v>0.5273219165541783</v>
      </c>
      <c r="H40" s="15">
        <f t="shared" si="3"/>
        <v>694627.65</v>
      </c>
      <c r="I40" s="15">
        <f t="shared" si="4"/>
        <v>13554.16</v>
      </c>
      <c r="J40" s="18">
        <f t="shared" si="2"/>
        <v>1.951284259991666</v>
      </c>
    </row>
    <row r="41" spans="1:10" ht="12.75">
      <c r="A41" s="1" t="s">
        <v>42</v>
      </c>
      <c r="B41" s="3">
        <f>1197029.63+157218.5-9749.81</f>
        <v>1344498.3199999998</v>
      </c>
      <c r="C41" s="3">
        <v>111446.22</v>
      </c>
      <c r="D41" s="19">
        <f t="shared" si="0"/>
        <v>8.289056099378392</v>
      </c>
      <c r="E41" s="3">
        <f>699459.3+188488.77+48355.36+399.9-1171.06</f>
        <v>935532.27</v>
      </c>
      <c r="F41" s="3">
        <f>14684.56+858.53+2.4</f>
        <v>15545.49</v>
      </c>
      <c r="G41" s="19">
        <f t="shared" si="1"/>
        <v>1.6616733060421316</v>
      </c>
      <c r="H41" s="5">
        <f t="shared" si="3"/>
        <v>2280030.59</v>
      </c>
      <c r="I41" s="5">
        <f t="shared" si="4"/>
        <v>126991.71</v>
      </c>
      <c r="J41" s="19">
        <f t="shared" si="2"/>
        <v>5.569737114798974</v>
      </c>
    </row>
    <row r="42" spans="1:10" ht="12.75">
      <c r="A42" s="1" t="s">
        <v>43</v>
      </c>
      <c r="B42" s="14">
        <f>3452576.61+7521.79+430.2+124.07+269.63-12948.48</f>
        <v>3447973.82</v>
      </c>
      <c r="C42" s="5">
        <v>85673.06</v>
      </c>
      <c r="D42" s="19">
        <f t="shared" si="0"/>
        <v>2.484736383526253</v>
      </c>
      <c r="E42" s="14">
        <f>515314.56+87.31+8.07+310311.66+28.19+60335.36+552.4+22.88+4.73+0.15-781.8-1.62</f>
        <v>885881.8899999999</v>
      </c>
      <c r="F42" s="14">
        <f>6739.68+109.73+178.49+0.3</f>
        <v>7028.2</v>
      </c>
      <c r="G42" s="18">
        <f>F42/E42*100</f>
        <v>0.7933563242838162</v>
      </c>
      <c r="H42" s="15">
        <f>(B42+E42)</f>
        <v>4333855.71</v>
      </c>
      <c r="I42" s="15">
        <f>(C42+F42)</f>
        <v>92701.26</v>
      </c>
      <c r="J42" s="18">
        <f t="shared" si="2"/>
        <v>2.1390019927543915</v>
      </c>
    </row>
    <row r="43" spans="1:10" ht="12.75">
      <c r="A43" s="1" t="s">
        <v>44</v>
      </c>
      <c r="B43" s="3">
        <f>237005.14+251.14+124.19-1439.59</f>
        <v>235940.88000000003</v>
      </c>
      <c r="C43" s="3">
        <v>6610.03</v>
      </c>
      <c r="D43" s="19">
        <f t="shared" si="0"/>
        <v>2.8015619845106956</v>
      </c>
      <c r="E43" s="3">
        <f>99617.24+47038.37+38203.02+2607.1+15.41-56.81</f>
        <v>187424.33000000002</v>
      </c>
      <c r="F43" s="3">
        <f>265.34+39.94</f>
        <v>305.28</v>
      </c>
      <c r="G43" s="19">
        <f t="shared" si="1"/>
        <v>0.16288173472462192</v>
      </c>
      <c r="H43" s="5">
        <f t="shared" si="3"/>
        <v>423365.2100000001</v>
      </c>
      <c r="I43" s="5">
        <f t="shared" si="4"/>
        <v>6915.3099999999995</v>
      </c>
      <c r="J43" s="19">
        <f t="shared" si="2"/>
        <v>1.6334148004272713</v>
      </c>
    </row>
    <row r="44" spans="1:10" ht="12.75">
      <c r="A44" s="1" t="s">
        <v>45</v>
      </c>
      <c r="B44" s="16">
        <f>473528.69+2294.1+331.84+7641.86-1159.27</f>
        <v>482637.22</v>
      </c>
      <c r="C44" s="14">
        <v>12599.06</v>
      </c>
      <c r="D44" s="18">
        <f t="shared" si="0"/>
        <v>2.6104617459880113</v>
      </c>
      <c r="E44" s="14">
        <f>94298.96+343277.78+73212.29+2689.94+0.5-9.47</f>
        <v>513470.00000000006</v>
      </c>
      <c r="F44" s="14">
        <f>852.03+34.2</f>
        <v>886.23</v>
      </c>
      <c r="G44" s="18">
        <f t="shared" si="1"/>
        <v>0.17259625684071123</v>
      </c>
      <c r="H44" s="15">
        <f t="shared" si="3"/>
        <v>996107.22</v>
      </c>
      <c r="I44" s="15">
        <f t="shared" si="4"/>
        <v>13485.289999999999</v>
      </c>
      <c r="J44" s="18">
        <f t="shared" si="2"/>
        <v>1.3537990418340706</v>
      </c>
    </row>
    <row r="45" spans="1:10" ht="12.75">
      <c r="A45" s="1" t="s">
        <v>46</v>
      </c>
      <c r="B45" s="14">
        <f>820259.4+458.48+95.81+297.8-2333.31</f>
        <v>818778.18</v>
      </c>
      <c r="C45" s="14">
        <v>19626.38</v>
      </c>
      <c r="D45" s="18">
        <f t="shared" si="0"/>
        <v>2.3970326126668398</v>
      </c>
      <c r="E45" s="14">
        <f>31314.07+65.86+12348.35+4698.68+47.32+0.99</f>
        <v>48475.27</v>
      </c>
      <c r="F45" s="14">
        <f>61.72+25.76</f>
        <v>87.48</v>
      </c>
      <c r="G45" s="18">
        <f t="shared" si="1"/>
        <v>0.18046315162349794</v>
      </c>
      <c r="H45" s="15">
        <f t="shared" si="3"/>
        <v>867253.4500000001</v>
      </c>
      <c r="I45" s="15">
        <f t="shared" si="4"/>
        <v>19713.86</v>
      </c>
      <c r="J45" s="18">
        <f t="shared" si="2"/>
        <v>2.273137108880916</v>
      </c>
    </row>
    <row r="46" spans="1:10" ht="12.75">
      <c r="A46" s="1" t="s">
        <v>47</v>
      </c>
      <c r="B46" s="3">
        <f>1212413.59+90+751.6-1538.91</f>
        <v>1211716.2800000003</v>
      </c>
      <c r="C46" s="3">
        <v>21367.91</v>
      </c>
      <c r="D46" s="19">
        <f t="shared" si="0"/>
        <v>1.763441686200667</v>
      </c>
      <c r="E46" s="3">
        <f>97363.89+38842.9+32282.51</f>
        <v>168489.30000000002</v>
      </c>
      <c r="F46" s="3">
        <f>365.11+82.74</f>
        <v>447.85</v>
      </c>
      <c r="G46" s="19">
        <f t="shared" si="1"/>
        <v>0.26580322904777925</v>
      </c>
      <c r="H46" s="5">
        <f t="shared" si="3"/>
        <v>1380205.5800000003</v>
      </c>
      <c r="I46" s="5">
        <f t="shared" si="4"/>
        <v>21815.76</v>
      </c>
      <c r="J46" s="19">
        <f t="shared" si="2"/>
        <v>1.580616707838552</v>
      </c>
    </row>
    <row r="47" spans="1:10" ht="12.75">
      <c r="A47" s="1" t="s">
        <v>48</v>
      </c>
      <c r="B47" s="3">
        <f>1609379.5+310.28+1249.4-7700.6</f>
        <v>1603238.5799999998</v>
      </c>
      <c r="C47" s="3">
        <f>39607.81+387.96</f>
        <v>39995.77</v>
      </c>
      <c r="D47" s="19">
        <f t="shared" si="0"/>
        <v>2.494686099682057</v>
      </c>
      <c r="E47" s="3">
        <f>257306.53+1119.94+39382.54+452.21+71231.76+828.66+2631.38+19.55-379.95-3.92</f>
        <v>372588.7</v>
      </c>
      <c r="F47" s="3">
        <f>7740.61+249.59+102.65+146.88</f>
        <v>8239.73</v>
      </c>
      <c r="G47" s="19">
        <f t="shared" si="1"/>
        <v>2.2114814539464023</v>
      </c>
      <c r="H47" s="5">
        <f t="shared" si="3"/>
        <v>1975827.2799999998</v>
      </c>
      <c r="I47" s="5">
        <f t="shared" si="4"/>
        <v>48235.5</v>
      </c>
      <c r="J47" s="19">
        <f t="shared" si="2"/>
        <v>2.4412812034865725</v>
      </c>
    </row>
    <row r="48" spans="1:10" ht="12.75">
      <c r="A48" s="1" t="s">
        <v>49</v>
      </c>
      <c r="B48" s="3">
        <f>1208874.84+1380.46+82.96+2647.5-4844.26</f>
        <v>1208141.5</v>
      </c>
      <c r="C48" s="3">
        <f>30379.02+3</f>
        <v>30382.02</v>
      </c>
      <c r="D48" s="19">
        <f t="shared" si="0"/>
        <v>2.514773310907704</v>
      </c>
      <c r="E48" s="3">
        <f>162956.49+33.33+126410.74+54993.82+6486.96+131.1+1.75-704.29-6485.46</f>
        <v>343824.44</v>
      </c>
      <c r="F48" s="3">
        <f>1610.11+363.21</f>
        <v>1973.32</v>
      </c>
      <c r="G48" s="19">
        <f t="shared" si="1"/>
        <v>0.573932440637437</v>
      </c>
      <c r="H48" s="5">
        <f t="shared" si="3"/>
        <v>1551965.94</v>
      </c>
      <c r="I48" s="5">
        <f t="shared" si="4"/>
        <v>32355.34</v>
      </c>
      <c r="J48" s="19">
        <f t="shared" si="2"/>
        <v>2.0847970413577506</v>
      </c>
    </row>
    <row r="49" spans="1:10" ht="12.75">
      <c r="A49" s="1" t="s">
        <v>50</v>
      </c>
      <c r="B49" s="3">
        <f>384175.19+92.29+5124.22-2435.55</f>
        <v>386956.14999999997</v>
      </c>
      <c r="C49" s="3">
        <f>10152.6+2828.15</f>
        <v>12980.75</v>
      </c>
      <c r="D49" s="19">
        <f t="shared" si="0"/>
        <v>3.3545790653540464</v>
      </c>
      <c r="E49" s="3">
        <f>29635.86+4.5+3013.46+3312.2+264.03-82.88-2.4</f>
        <v>36144.77</v>
      </c>
      <c r="F49" s="3">
        <f>1150.12+45.39</f>
        <v>1195.51</v>
      </c>
      <c r="G49" s="19">
        <f t="shared" si="1"/>
        <v>3.307560125572801</v>
      </c>
      <c r="H49" s="5">
        <f t="shared" si="3"/>
        <v>423100.92</v>
      </c>
      <c r="I49" s="5">
        <f t="shared" si="4"/>
        <v>14176.26</v>
      </c>
      <c r="J49" s="19">
        <f t="shared" si="2"/>
        <v>3.350562319741588</v>
      </c>
    </row>
    <row r="50" spans="1:10" ht="12.75">
      <c r="A50" s="1" t="s">
        <v>51</v>
      </c>
      <c r="B50" s="14">
        <f>1548668.05+349.68+3255.13+12085.48-12766.85-1.24</f>
        <v>1551590.2499999998</v>
      </c>
      <c r="C50" s="14">
        <v>59823.61</v>
      </c>
      <c r="D50" s="18">
        <f t="shared" si="0"/>
        <v>3.855631987891134</v>
      </c>
      <c r="E50" s="14">
        <f>207697.89+180430.65+85805.28+173.2+2.55+0.1-8229.9</f>
        <v>465879.77</v>
      </c>
      <c r="F50" s="14">
        <f>2740.92+1517.24+1521.86</f>
        <v>5780.0199999999995</v>
      </c>
      <c r="G50" s="18">
        <f>F50/E50*100</f>
        <v>1.2406677370859007</v>
      </c>
      <c r="H50" s="15">
        <f t="shared" si="3"/>
        <v>2017470.0199999998</v>
      </c>
      <c r="I50" s="15">
        <f t="shared" si="4"/>
        <v>65603.63</v>
      </c>
      <c r="J50" s="18">
        <f t="shared" si="2"/>
        <v>3.2517771936953004</v>
      </c>
    </row>
    <row r="51" spans="1:10" ht="12.75">
      <c r="A51" s="1" t="s">
        <v>52</v>
      </c>
      <c r="B51" s="14">
        <f>417016.43+58.07+1456.82+0.98+48750-1421.42</f>
        <v>465860.88</v>
      </c>
      <c r="C51" s="14">
        <v>5627.26</v>
      </c>
      <c r="D51" s="18">
        <f t="shared" si="0"/>
        <v>1.2079271391064217</v>
      </c>
      <c r="E51" s="14">
        <f>270599.97+704947.67+85622.01+104.72+11.24</f>
        <v>1061285.6099999999</v>
      </c>
      <c r="F51" s="14">
        <v>166.24</v>
      </c>
      <c r="G51" s="18">
        <f aca="true" t="shared" si="5" ref="G51:G114">F51/E51*100</f>
        <v>0.015664020922699598</v>
      </c>
      <c r="H51" s="15">
        <f t="shared" si="3"/>
        <v>1527146.4899999998</v>
      </c>
      <c r="I51" s="15">
        <f t="shared" si="4"/>
        <v>5793.5</v>
      </c>
      <c r="J51" s="18">
        <f t="shared" si="2"/>
        <v>0.3793676662937555</v>
      </c>
    </row>
    <row r="52" spans="1:10" ht="12.75">
      <c r="A52" s="1" t="s">
        <v>53</v>
      </c>
      <c r="B52" s="3">
        <f>6613750.03+8355.9+1021.03+2093.2+1237.5-11592.32</f>
        <v>6614865.340000001</v>
      </c>
      <c r="C52" s="3">
        <v>111785.18</v>
      </c>
      <c r="D52" s="19">
        <f t="shared" si="0"/>
        <v>1.6899086263183098</v>
      </c>
      <c r="E52" s="3">
        <f>848300+981.34+619247.99+4877.79+172171.23+200+391.76+14.47-15973.7-2544.19-5.4</f>
        <v>1627661.2900000003</v>
      </c>
      <c r="F52" s="3">
        <f>8780.67+72.29+9.3</f>
        <v>8862.26</v>
      </c>
      <c r="G52" s="19">
        <f t="shared" si="5"/>
        <v>0.5444781450814008</v>
      </c>
      <c r="H52" s="5">
        <f t="shared" si="3"/>
        <v>8242526.630000001</v>
      </c>
      <c r="I52" s="5">
        <f t="shared" si="4"/>
        <v>120647.43999999999</v>
      </c>
      <c r="J52" s="19">
        <f t="shared" si="2"/>
        <v>1.4637191411779518</v>
      </c>
    </row>
    <row r="53" spans="1:10" ht="12.75">
      <c r="A53" s="1" t="s">
        <v>54</v>
      </c>
      <c r="B53" s="3">
        <f>702520.67+77894.39+574.32-3232.28</f>
        <v>777757.1</v>
      </c>
      <c r="C53" s="3">
        <v>56979.59</v>
      </c>
      <c r="D53" s="19">
        <f t="shared" si="0"/>
        <v>7.326142056433814</v>
      </c>
      <c r="E53" s="3">
        <f>1052234.11+338.72+126486.05+26511.66+1238.59+37.65-231.77-1238.59</f>
        <v>1205376.42</v>
      </c>
      <c r="F53" s="3">
        <f>46674.09+2594.22+365.77</f>
        <v>49634.079999999994</v>
      </c>
      <c r="G53" s="19">
        <f t="shared" si="5"/>
        <v>4.1177244864305536</v>
      </c>
      <c r="H53" s="5">
        <f t="shared" si="3"/>
        <v>1983133.52</v>
      </c>
      <c r="I53" s="5">
        <f>(C53+F53)</f>
        <v>106613.66999999998</v>
      </c>
      <c r="J53" s="19">
        <f t="shared" si="2"/>
        <v>5.376020773427297</v>
      </c>
    </row>
    <row r="54" spans="1:10" ht="12.75">
      <c r="A54" s="1" t="s">
        <v>55</v>
      </c>
      <c r="B54" s="14">
        <f>956154.75+82.96+80.52-3326.11</f>
        <v>952992.12</v>
      </c>
      <c r="C54" s="14">
        <v>12858.53</v>
      </c>
      <c r="D54" s="18">
        <f t="shared" si="0"/>
        <v>1.3492797820825635</v>
      </c>
      <c r="E54" s="14">
        <f>128581.92+122584.46+17932.16+72.82+0.44-4.5</f>
        <v>269167.3</v>
      </c>
      <c r="F54" s="14">
        <f>258.79+1.35</f>
        <v>260.14000000000004</v>
      </c>
      <c r="G54" s="18">
        <f t="shared" si="5"/>
        <v>0.09664621222563069</v>
      </c>
      <c r="H54" s="15">
        <f t="shared" si="3"/>
        <v>1222159.42</v>
      </c>
      <c r="I54" s="15">
        <f t="shared" si="4"/>
        <v>13118.67</v>
      </c>
      <c r="J54" s="18">
        <f t="shared" si="2"/>
        <v>1.0734008825133468</v>
      </c>
    </row>
    <row r="55" spans="1:10" ht="12.75">
      <c r="A55" s="1" t="s">
        <v>56</v>
      </c>
      <c r="B55" s="14">
        <f>763901.05+48.8+2878.14+1395.69-2504.9</f>
        <v>765718.78</v>
      </c>
      <c r="C55" s="14">
        <f>13168.69+12.86</f>
        <v>13181.550000000001</v>
      </c>
      <c r="D55" s="18">
        <f>C55/B55*100</f>
        <v>1.7214609781413486</v>
      </c>
      <c r="E55" s="14">
        <f>63924.85+330492.75+45056.83+672.49+2.83</f>
        <v>440149.75</v>
      </c>
      <c r="F55" s="14">
        <f>231.01+25.69+17.91+0.34</f>
        <v>274.95</v>
      </c>
      <c r="G55" s="18">
        <f>F55/E55*100</f>
        <v>0.06246737616004553</v>
      </c>
      <c r="H55" s="15">
        <f>(B55+E55)</f>
        <v>1205868.53</v>
      </c>
      <c r="I55" s="15">
        <f>(C55+F55)</f>
        <v>13456.500000000002</v>
      </c>
      <c r="J55" s="18">
        <f>I55/H55*100</f>
        <v>1.1159176697313762</v>
      </c>
    </row>
    <row r="56" spans="1:10" ht="12.75">
      <c r="A56" s="1" t="s">
        <v>57</v>
      </c>
      <c r="B56" s="3">
        <f>2447586.3+165.92+43328.92+1036.78+19533.1-2129.47</f>
        <v>2509521.5499999993</v>
      </c>
      <c r="C56" s="3">
        <v>3370.64</v>
      </c>
      <c r="D56" s="19">
        <f t="shared" si="0"/>
        <v>0.13431404882735518</v>
      </c>
      <c r="E56" s="3">
        <f>614833.33+467473.63+152298.01+7666.6+37.07-119.27-1816.88-376.19</f>
        <v>1239996.3000000003</v>
      </c>
      <c r="F56" s="3">
        <f>3781.47+108.35</f>
        <v>3889.8199999999997</v>
      </c>
      <c r="G56" s="19">
        <f t="shared" si="5"/>
        <v>0.313696097319</v>
      </c>
      <c r="H56" s="5">
        <f t="shared" si="3"/>
        <v>3749517.8499999996</v>
      </c>
      <c r="I56" s="5">
        <f t="shared" si="4"/>
        <v>7260.459999999999</v>
      </c>
      <c r="J56" s="19">
        <f t="shared" si="2"/>
        <v>0.19363716324220193</v>
      </c>
    </row>
    <row r="57" spans="1:10" ht="12.75">
      <c r="A57" s="1" t="s">
        <v>58</v>
      </c>
      <c r="B57" s="14">
        <f>829624.44+207.4+602.29+2491.37-5717.9</f>
        <v>827207.6</v>
      </c>
      <c r="C57" s="14">
        <v>20592.01</v>
      </c>
      <c r="D57" s="18">
        <f t="shared" si="0"/>
        <v>2.4893400399125927</v>
      </c>
      <c r="E57" s="14">
        <f>62263.77+48210.46+24529.43+69.89+16.6</f>
        <v>135090.15000000002</v>
      </c>
      <c r="F57" s="14">
        <v>2739.18</v>
      </c>
      <c r="G57" s="18">
        <f t="shared" si="5"/>
        <v>2.027668190463923</v>
      </c>
      <c r="H57" s="15">
        <f t="shared" si="3"/>
        <v>962297.75</v>
      </c>
      <c r="I57" s="15">
        <f t="shared" si="4"/>
        <v>23331.19</v>
      </c>
      <c r="J57" s="18">
        <f t="shared" si="2"/>
        <v>2.424529206266979</v>
      </c>
    </row>
    <row r="58" spans="1:10" ht="12.75">
      <c r="A58" s="1" t="s">
        <v>59</v>
      </c>
      <c r="B58" s="3">
        <f>192877.55+5.22+104.44-1002.97</f>
        <v>191984.24</v>
      </c>
      <c r="C58" s="3">
        <v>3447.29</v>
      </c>
      <c r="D58" s="19">
        <f t="shared" si="0"/>
        <v>1.7956109313972857</v>
      </c>
      <c r="E58" s="7">
        <f>44737.31+728.38+7263.5+3+23.86</f>
        <v>52756.049999999996</v>
      </c>
      <c r="F58" s="3">
        <f>214.41+1.02</f>
        <v>215.43</v>
      </c>
      <c r="G58" s="19">
        <f t="shared" si="5"/>
        <v>0.4083512696648062</v>
      </c>
      <c r="H58" s="5">
        <f t="shared" si="3"/>
        <v>244740.28999999998</v>
      </c>
      <c r="I58" s="5">
        <f t="shared" si="4"/>
        <v>3662.72</v>
      </c>
      <c r="J58" s="19">
        <f t="shared" si="2"/>
        <v>1.4965741848226135</v>
      </c>
    </row>
    <row r="59" spans="1:10" ht="12.75">
      <c r="A59" s="1" t="s">
        <v>60</v>
      </c>
      <c r="B59" s="3">
        <f>2091220.05+642.74+13394.72+3679.63+892.5-9334.4</f>
        <v>2100495.24</v>
      </c>
      <c r="C59" s="3">
        <v>45012.57</v>
      </c>
      <c r="D59" s="19">
        <f t="shared" si="0"/>
        <v>2.1429503453671237</v>
      </c>
      <c r="E59" s="3">
        <f>1026237.81+34.73+185218.9+85643.46+428.59+979.16+15.54-11.77-2295.63</f>
        <v>1296250.79</v>
      </c>
      <c r="F59" s="3">
        <f>4448.48+254.26+7.35</f>
        <v>4710.09</v>
      </c>
      <c r="G59" s="19">
        <f t="shared" si="5"/>
        <v>0.36336255579061205</v>
      </c>
      <c r="H59" s="5">
        <f t="shared" si="3"/>
        <v>3396746.0300000003</v>
      </c>
      <c r="I59" s="5">
        <f t="shared" si="4"/>
        <v>49722.66</v>
      </c>
      <c r="J59" s="19">
        <f t="shared" si="2"/>
        <v>1.4638321370173206</v>
      </c>
    </row>
    <row r="60" spans="1:10" ht="12.75">
      <c r="A60" s="1" t="s">
        <v>61</v>
      </c>
      <c r="B60" s="3">
        <f>295837.34+268.94+139.44-2644.57</f>
        <v>293601.15</v>
      </c>
      <c r="C60" s="3">
        <v>22511.96</v>
      </c>
      <c r="D60" s="19">
        <f t="shared" si="0"/>
        <v>7.667531274996708</v>
      </c>
      <c r="E60" s="3">
        <f>27301.14+770.97+4476.1+6.2+3042.89+109.05+0.35-183.65-6.2-57.16</f>
        <v>35459.69</v>
      </c>
      <c r="F60" s="3">
        <f>330.92+34.19+88.07</f>
        <v>453.18</v>
      </c>
      <c r="G60" s="19">
        <f t="shared" si="5"/>
        <v>1.2780145568108463</v>
      </c>
      <c r="H60" s="5">
        <f t="shared" si="3"/>
        <v>329060.84</v>
      </c>
      <c r="I60" s="5">
        <f t="shared" si="4"/>
        <v>22965.14</v>
      </c>
      <c r="J60" s="19">
        <f t="shared" si="2"/>
        <v>6.978995130505348</v>
      </c>
    </row>
    <row r="61" spans="1:10" ht="12.75">
      <c r="A61" s="1" t="s">
        <v>62</v>
      </c>
      <c r="B61" s="3">
        <f>63016214.27+27226.66+25384.09-127222.12</f>
        <v>62941602.900000006</v>
      </c>
      <c r="C61" s="3">
        <f>961986.24+5088.98</f>
        <v>967075.22</v>
      </c>
      <c r="D61" s="19">
        <f t="shared" si="0"/>
        <v>1.536464238981114</v>
      </c>
      <c r="E61" s="3">
        <f>10502096.07+106952.45+3395363.44+223924.57+1640584.63+65910.53+26532.17+1013.22+17062.12+414.27-130568.63-80.41-34992.37-393.58-6.11</f>
        <v>15813812.37</v>
      </c>
      <c r="F61" s="3">
        <f>114651.39+18071.08+14422.04+43.51</f>
        <v>147188.02000000002</v>
      </c>
      <c r="G61" s="19">
        <f>F61/E61*100</f>
        <v>0.9307560792818489</v>
      </c>
      <c r="H61" s="5">
        <f t="shared" si="3"/>
        <v>78755415.27000001</v>
      </c>
      <c r="I61" s="5">
        <f t="shared" si="4"/>
        <v>1114263.24</v>
      </c>
      <c r="J61" s="19">
        <f t="shared" si="2"/>
        <v>1.41484015566413</v>
      </c>
    </row>
    <row r="62" spans="1:10" ht="12.75">
      <c r="A62" s="1" t="s">
        <v>63</v>
      </c>
      <c r="B62" s="3">
        <f>4001886.15+311.01+630.13-3779.02</f>
        <v>3999048.2699999996</v>
      </c>
      <c r="C62" s="3">
        <v>71452.78</v>
      </c>
      <c r="D62" s="19">
        <f t="shared" si="0"/>
        <v>1.7867446246153964</v>
      </c>
      <c r="E62" s="3">
        <f>439299.93+986.41+139969.45+84898.68+264.88+3133.55+18.15-603.09-363.67</f>
        <v>667604.29</v>
      </c>
      <c r="F62" s="3">
        <f>3419.9+322.86</f>
        <v>3742.76</v>
      </c>
      <c r="G62" s="19">
        <f>F62/E62*100</f>
        <v>0.5606255166514883</v>
      </c>
      <c r="H62" s="5">
        <f t="shared" si="3"/>
        <v>4666652.56</v>
      </c>
      <c r="I62" s="5">
        <f t="shared" si="4"/>
        <v>75195.54</v>
      </c>
      <c r="J62" s="19">
        <f t="shared" si="2"/>
        <v>1.6113378708441923</v>
      </c>
    </row>
    <row r="63" spans="1:10" ht="12.75">
      <c r="A63" s="1" t="s">
        <v>64</v>
      </c>
      <c r="B63" s="3">
        <f>841258.56+14491.7+587.11-7443.08</f>
        <v>848894.29</v>
      </c>
      <c r="C63" s="3">
        <f>36754.05+250.1</f>
        <v>37004.15</v>
      </c>
      <c r="D63" s="19">
        <f t="shared" si="0"/>
        <v>4.359099882742762</v>
      </c>
      <c r="E63" s="3">
        <f>243416.57+288.55+2698.84+18304.45+3.7+36.45-54.31</f>
        <v>264694.25</v>
      </c>
      <c r="F63" s="3">
        <f>3182.4+185.38+1.5</f>
        <v>3369.28</v>
      </c>
      <c r="G63" s="19">
        <f t="shared" si="5"/>
        <v>1.272895047776822</v>
      </c>
      <c r="H63" s="5">
        <f t="shared" si="3"/>
        <v>1113588.54</v>
      </c>
      <c r="I63" s="5">
        <f t="shared" si="4"/>
        <v>40373.43</v>
      </c>
      <c r="J63" s="19">
        <f t="shared" si="2"/>
        <v>3.625524917848023</v>
      </c>
    </row>
    <row r="64" spans="1:10" ht="12.75">
      <c r="A64" s="1" t="s">
        <v>65</v>
      </c>
      <c r="B64" s="14">
        <f>11778612.3+1099.71+110.26-10080.84</f>
        <v>11769741.430000002</v>
      </c>
      <c r="C64" s="14">
        <v>152524.51</v>
      </c>
      <c r="D64" s="18">
        <f t="shared" si="0"/>
        <v>1.2959036603066647</v>
      </c>
      <c r="E64" s="14">
        <f>1223379.82+26080.77+436369.53+192.46+220726.77+7.33+2.95+0.58-401.15-11.63</f>
        <v>1906347.4300000004</v>
      </c>
      <c r="F64" s="14">
        <f>33327.8+101.65+438.35</f>
        <v>33867.8</v>
      </c>
      <c r="G64" s="18">
        <f t="shared" si="5"/>
        <v>1.7765806729154294</v>
      </c>
      <c r="H64" s="15">
        <f t="shared" si="3"/>
        <v>13676088.860000001</v>
      </c>
      <c r="I64" s="15">
        <f t="shared" si="4"/>
        <v>186392.31</v>
      </c>
      <c r="J64" s="18">
        <f t="shared" si="2"/>
        <v>1.3629065437353407</v>
      </c>
    </row>
    <row r="65" spans="1:10" ht="12.75">
      <c r="A65" s="1" t="s">
        <v>66</v>
      </c>
      <c r="B65" s="3">
        <f>354673.05+183661.3+289.14-3057.5</f>
        <v>535565.99</v>
      </c>
      <c r="C65" s="3">
        <v>51751.4</v>
      </c>
      <c r="D65" s="19">
        <f t="shared" si="0"/>
        <v>9.662936214452303</v>
      </c>
      <c r="E65" s="3">
        <f>381127.14+36037.65+9321.85+15.08+0.09</f>
        <v>426501.81000000006</v>
      </c>
      <c r="F65" s="3">
        <f>4823.78+8.67</f>
        <v>4832.45</v>
      </c>
      <c r="G65" s="19">
        <f t="shared" si="5"/>
        <v>1.1330432571903972</v>
      </c>
      <c r="H65" s="5">
        <f t="shared" si="3"/>
        <v>962067.8</v>
      </c>
      <c r="I65" s="5">
        <f t="shared" si="4"/>
        <v>56583.85</v>
      </c>
      <c r="J65" s="19">
        <f t="shared" si="2"/>
        <v>5.881482573265625</v>
      </c>
    </row>
    <row r="66" spans="1:10" ht="12.75">
      <c r="A66" s="1" t="s">
        <v>67</v>
      </c>
      <c r="B66" s="3">
        <f>1006381.99+988.19+49765.07+1630.55-7447.17</f>
        <v>1051318.6300000001</v>
      </c>
      <c r="C66" s="3">
        <f>57523.14+17.69</f>
        <v>57540.83</v>
      </c>
      <c r="D66" s="19">
        <f t="shared" si="0"/>
        <v>5.473205587539145</v>
      </c>
      <c r="E66" s="3">
        <f>183627.86+7.55+65.85+39138.52+33139.63+864.82-321.98-71.99</f>
        <v>256450.25999999998</v>
      </c>
      <c r="F66" s="3">
        <f>10517.35+104.08</f>
        <v>10621.43</v>
      </c>
      <c r="G66" s="19">
        <f t="shared" si="5"/>
        <v>4.141711535016576</v>
      </c>
      <c r="H66" s="5">
        <f t="shared" si="3"/>
        <v>1307768.8900000001</v>
      </c>
      <c r="I66" s="5">
        <f t="shared" si="4"/>
        <v>68162.26000000001</v>
      </c>
      <c r="J66" s="19">
        <f t="shared" si="2"/>
        <v>5.2121028815726</v>
      </c>
    </row>
    <row r="67" spans="1:10" ht="12.75">
      <c r="A67" s="1" t="s">
        <v>68</v>
      </c>
      <c r="B67" s="3">
        <f>637241.04+50.02+1.31-1909.18</f>
        <v>635383.1900000001</v>
      </c>
      <c r="C67" s="3">
        <v>29363.78</v>
      </c>
      <c r="D67" s="19">
        <f t="shared" si="0"/>
        <v>4.621428527248257</v>
      </c>
      <c r="E67" s="3">
        <f>42992.15+16758.05+11507.6+1014.6+3.44+7.28-529.31-2356.08</f>
        <v>69397.73000000001</v>
      </c>
      <c r="F67" s="3">
        <f>2439.54+83</f>
        <v>2522.54</v>
      </c>
      <c r="G67" s="19">
        <f t="shared" si="5"/>
        <v>3.6349027554647675</v>
      </c>
      <c r="H67" s="5">
        <f t="shared" si="3"/>
        <v>704780.92</v>
      </c>
      <c r="I67" s="5">
        <f t="shared" si="4"/>
        <v>31886.32</v>
      </c>
      <c r="J67" s="19">
        <f t="shared" si="2"/>
        <v>4.524288200083509</v>
      </c>
    </row>
    <row r="68" spans="1:10" ht="12.75">
      <c r="A68" s="1" t="s">
        <v>69</v>
      </c>
      <c r="B68" s="3">
        <f>2719707.42+905.24+173.09+1504.99+3686.61-11384.82</f>
        <v>2714592.5300000003</v>
      </c>
      <c r="C68" s="3">
        <f>95201.19+671.19+63.39</f>
        <v>95935.77</v>
      </c>
      <c r="D68" s="19">
        <f>C68/B68*100</f>
        <v>3.5340762541625352</v>
      </c>
      <c r="E68" s="3">
        <f>783084.44+75.66+167.44+197347.66+93430.89+49.96+2266.67+25.92+0.56-1132.17-200.91-67.06-1.5</f>
        <v>1075047.5599999998</v>
      </c>
      <c r="F68" s="3">
        <f>16603.98+392.24</f>
        <v>16996.22</v>
      </c>
      <c r="G68" s="19">
        <f t="shared" si="5"/>
        <v>1.5809737757090487</v>
      </c>
      <c r="H68" s="5">
        <f t="shared" si="3"/>
        <v>3789640.09</v>
      </c>
      <c r="I68" s="5">
        <f t="shared" si="4"/>
        <v>112931.99</v>
      </c>
      <c r="J68" s="19">
        <f t="shared" si="2"/>
        <v>2.9800188756183443</v>
      </c>
    </row>
    <row r="69" spans="1:10" ht="12.75">
      <c r="A69" s="1" t="s">
        <v>70</v>
      </c>
      <c r="B69" s="3">
        <f>517163.37+707.6+24418.28+1749.02+14.1-6754.65</f>
        <v>537297.72</v>
      </c>
      <c r="C69" s="3">
        <f>25120.9+938.68</f>
        <v>26059.58</v>
      </c>
      <c r="D69" s="19">
        <f t="shared" si="0"/>
        <v>4.850119222542021</v>
      </c>
      <c r="E69" s="3">
        <f>161672.44+7320.68+9160.75-118.71</f>
        <v>178035.16</v>
      </c>
      <c r="F69" s="3">
        <f>559.49+110.12</f>
        <v>669.61</v>
      </c>
      <c r="G69" s="19">
        <f t="shared" si="5"/>
        <v>0.3761111007511101</v>
      </c>
      <c r="H69" s="5">
        <f t="shared" si="3"/>
        <v>715332.88</v>
      </c>
      <c r="I69" s="5">
        <f t="shared" si="4"/>
        <v>26729.190000000002</v>
      </c>
      <c r="J69" s="19">
        <f t="shared" si="2"/>
        <v>3.7366086122030353</v>
      </c>
    </row>
    <row r="70" spans="1:10" ht="12.75">
      <c r="A70" s="1" t="s">
        <v>71</v>
      </c>
      <c r="B70" s="3">
        <f>214953.83+106.63+40774.97+391.56-1835.63</f>
        <v>254391.36</v>
      </c>
      <c r="C70" s="3">
        <f>14462.55+12.2</f>
        <v>14474.75</v>
      </c>
      <c r="D70" s="19">
        <f aca="true" t="shared" si="6" ref="D70:D125">C70/B70*100</f>
        <v>5.689953463828331</v>
      </c>
      <c r="E70" s="3">
        <f>30879.03+376.27+3174.29+73.4+6</f>
        <v>34508.99</v>
      </c>
      <c r="F70" s="3">
        <f>97.76+102.8+28.49</f>
        <v>229.05</v>
      </c>
      <c r="G70" s="19">
        <f t="shared" si="5"/>
        <v>0.6637400862789667</v>
      </c>
      <c r="H70" s="5">
        <f t="shared" si="3"/>
        <v>288900.35</v>
      </c>
      <c r="I70" s="5">
        <f t="shared" si="4"/>
        <v>14703.8</v>
      </c>
      <c r="J70" s="19">
        <f aca="true" t="shared" si="7" ref="J70:J125">I70/H70*100</f>
        <v>5.089575003976285</v>
      </c>
    </row>
    <row r="71" spans="1:10" ht="12.75">
      <c r="A71" s="1" t="s">
        <v>72</v>
      </c>
      <c r="B71" s="3">
        <f>239628.02+75012.55+290.45-1513.5</f>
        <v>313417.52</v>
      </c>
      <c r="C71" s="3">
        <v>22546.96</v>
      </c>
      <c r="D71" s="19">
        <f t="shared" si="6"/>
        <v>7.193905433238064</v>
      </c>
      <c r="E71" s="3">
        <f>472903.49+28840.96+3220.7-213.27</f>
        <v>504751.88</v>
      </c>
      <c r="F71" s="3">
        <f>35215.58+26.63</f>
        <v>35242.21</v>
      </c>
      <c r="G71" s="19">
        <f t="shared" si="5"/>
        <v>6.982085931012283</v>
      </c>
      <c r="H71" s="5">
        <f aca="true" t="shared" si="8" ref="H71:H125">(B71+E71)</f>
        <v>818169.4</v>
      </c>
      <c r="I71" s="5">
        <f aca="true" t="shared" si="9" ref="I71:I125">(C71+F71)</f>
        <v>57789.17</v>
      </c>
      <c r="J71" s="19">
        <f t="shared" si="7"/>
        <v>7.063227981882481</v>
      </c>
    </row>
    <row r="72" spans="1:10" ht="12.75">
      <c r="A72" s="1" t="s">
        <v>73</v>
      </c>
      <c r="B72" s="3">
        <f>462204.81+245656.44+1304.34-5293.28</f>
        <v>703872.3099999999</v>
      </c>
      <c r="C72" s="3">
        <v>27211.98</v>
      </c>
      <c r="D72" s="19">
        <f t="shared" si="6"/>
        <v>3.8660392820396647</v>
      </c>
      <c r="E72" s="3">
        <f>651777.85+37219.09+48712.65+12219.3-10.27-21.9</f>
        <v>749896.72</v>
      </c>
      <c r="F72" s="3">
        <f>2160.15+42.48+146.63</f>
        <v>2349.26</v>
      </c>
      <c r="G72" s="19">
        <f t="shared" si="5"/>
        <v>0.31327780710922437</v>
      </c>
      <c r="H72" s="5">
        <f t="shared" si="8"/>
        <v>1453769.0299999998</v>
      </c>
      <c r="I72" s="5">
        <f t="shared" si="9"/>
        <v>29561.239999999998</v>
      </c>
      <c r="J72" s="19">
        <f t="shared" si="7"/>
        <v>2.033420673433936</v>
      </c>
    </row>
    <row r="73" spans="1:10" ht="12.75">
      <c r="A73" s="1" t="s">
        <v>74</v>
      </c>
      <c r="B73" s="14">
        <f>387059.01+83.77-2258.71</f>
        <v>384884.07</v>
      </c>
      <c r="C73" s="14">
        <v>13093.71</v>
      </c>
      <c r="D73" s="18">
        <f t="shared" si="6"/>
        <v>3.4019880323963525</v>
      </c>
      <c r="E73" s="14">
        <f>33453.5+24611.22+4727.76+7.2+0.15</f>
        <v>62799.83</v>
      </c>
      <c r="F73" s="14">
        <f>2.44+0.07</f>
        <v>2.51</v>
      </c>
      <c r="G73" s="18">
        <f t="shared" si="5"/>
        <v>0.00399682610605793</v>
      </c>
      <c r="H73" s="15">
        <f t="shared" si="8"/>
        <v>447683.9</v>
      </c>
      <c r="I73" s="15">
        <f t="shared" si="9"/>
        <v>13096.22</v>
      </c>
      <c r="J73" s="18">
        <f t="shared" si="7"/>
        <v>2.9253274464415626</v>
      </c>
    </row>
    <row r="74" spans="1:10" ht="12.75">
      <c r="A74" s="1" t="s">
        <v>75</v>
      </c>
      <c r="B74" s="3">
        <f>930808.39+365.6+113.23+497.15-3362.46</f>
        <v>928421.91</v>
      </c>
      <c r="C74" s="3">
        <v>23181.01</v>
      </c>
      <c r="D74" s="19">
        <f t="shared" si="6"/>
        <v>2.496818499253211</v>
      </c>
      <c r="E74" s="3">
        <f>73206.43+65.87+32350.88+14502.08+2.27+21.13-91.17-38.19</f>
        <v>120019.3</v>
      </c>
      <c r="F74" s="3">
        <f>274.42+86.97</f>
        <v>361.39</v>
      </c>
      <c r="G74" s="19">
        <f t="shared" si="5"/>
        <v>0.30110990482364086</v>
      </c>
      <c r="H74" s="5">
        <f t="shared" si="8"/>
        <v>1048441.2100000001</v>
      </c>
      <c r="I74" s="5">
        <f t="shared" si="9"/>
        <v>23542.399999999998</v>
      </c>
      <c r="J74" s="19">
        <f t="shared" si="7"/>
        <v>2.2454668679038283</v>
      </c>
    </row>
    <row r="75" spans="1:10" ht="12.75">
      <c r="A75" s="1" t="s">
        <v>76</v>
      </c>
      <c r="B75" s="3">
        <f>534064.39+78.08+18533.26+384.16-3756.94</f>
        <v>549302.9500000001</v>
      </c>
      <c r="C75" s="3">
        <f>6749.89+3.73</f>
        <v>6753.62</v>
      </c>
      <c r="D75" s="19">
        <f t="shared" si="6"/>
        <v>1.2294891188914967</v>
      </c>
      <c r="E75" s="3">
        <f>209294.65+114391.25+13876.46+836.85+3.45</f>
        <v>338402.66000000003</v>
      </c>
      <c r="F75" s="3">
        <f>36.45+0.61+21.75</f>
        <v>58.81</v>
      </c>
      <c r="G75" s="19">
        <f t="shared" si="5"/>
        <v>0.017378705001905123</v>
      </c>
      <c r="H75" s="5">
        <f t="shared" si="8"/>
        <v>887705.6100000001</v>
      </c>
      <c r="I75" s="5">
        <f t="shared" si="9"/>
        <v>6812.43</v>
      </c>
      <c r="J75" s="19">
        <f t="shared" si="7"/>
        <v>0.767419955811702</v>
      </c>
    </row>
    <row r="76" spans="1:10" ht="12.75">
      <c r="A76" s="1" t="s">
        <v>77</v>
      </c>
      <c r="B76" s="3">
        <f>1240749.87+230.58+390.8+251.81-4029.53</f>
        <v>1237593.5300000003</v>
      </c>
      <c r="C76" s="3">
        <v>25714.81</v>
      </c>
      <c r="D76" s="19">
        <f t="shared" si="6"/>
        <v>2.077807404180595</v>
      </c>
      <c r="E76" s="3">
        <f>246615.78+624337.02+11.2+132322.28+1138.6+36.8-33.59</f>
        <v>1004428.0900000001</v>
      </c>
      <c r="F76" s="3">
        <f>755.56+146.77+52.46</f>
        <v>954.79</v>
      </c>
      <c r="G76" s="19">
        <f t="shared" si="5"/>
        <v>0.09505807429180918</v>
      </c>
      <c r="H76" s="5">
        <f t="shared" si="8"/>
        <v>2242021.62</v>
      </c>
      <c r="I76" s="5">
        <f t="shared" si="9"/>
        <v>26669.600000000002</v>
      </c>
      <c r="J76" s="19">
        <f t="shared" si="7"/>
        <v>1.1895335781819982</v>
      </c>
    </row>
    <row r="77" spans="1:10" ht="12.75">
      <c r="A77" s="1" t="s">
        <v>78</v>
      </c>
      <c r="B77" s="3">
        <f>684395.39+629.28+217.77-1694.55</f>
        <v>683547.89</v>
      </c>
      <c r="C77" s="3">
        <v>9496.72</v>
      </c>
      <c r="D77" s="19">
        <f t="shared" si="6"/>
        <v>1.3893276738810503</v>
      </c>
      <c r="E77" s="3">
        <f>44896.74+7661.53+11345.83+481.86+0.52</f>
        <v>64386.479999999996</v>
      </c>
      <c r="F77" s="3">
        <f>355.8+28.37+8.25</f>
        <v>392.42</v>
      </c>
      <c r="G77" s="19">
        <f t="shared" si="5"/>
        <v>0.6094757781447285</v>
      </c>
      <c r="H77" s="5">
        <f t="shared" si="8"/>
        <v>747934.37</v>
      </c>
      <c r="I77" s="5">
        <f t="shared" si="9"/>
        <v>9889.14</v>
      </c>
      <c r="J77" s="19">
        <f t="shared" si="7"/>
        <v>1.3221935502175144</v>
      </c>
    </row>
    <row r="78" spans="1:10" ht="12.75">
      <c r="A78" s="1" t="s">
        <v>79</v>
      </c>
      <c r="B78" s="3">
        <f>4994317.96+11956.46+1343.08+38359.76-13745.97</f>
        <v>5032231.29</v>
      </c>
      <c r="C78" s="3">
        <f>153879.3+16.38+16.38</f>
        <v>153912.06</v>
      </c>
      <c r="D78" s="19">
        <f t="shared" si="6"/>
        <v>3.0585251577337575</v>
      </c>
      <c r="E78" s="23">
        <f>647962.13+527.93+259.14+615527.8+161467.42+110.44+186.04+364.54+13.65-1706.64-124.42</f>
        <v>1424588.03</v>
      </c>
      <c r="F78" s="3">
        <f>17510.82+4880.97+848.47</f>
        <v>23240.260000000002</v>
      </c>
      <c r="G78" s="19">
        <f t="shared" si="5"/>
        <v>1.6313670696783826</v>
      </c>
      <c r="H78" s="5">
        <f t="shared" si="8"/>
        <v>6456819.32</v>
      </c>
      <c r="I78" s="5">
        <f t="shared" si="9"/>
        <v>177152.32</v>
      </c>
      <c r="J78" s="19">
        <f t="shared" si="7"/>
        <v>2.743646851806285</v>
      </c>
    </row>
    <row r="79" spans="1:10" ht="12.75">
      <c r="A79" s="1" t="s">
        <v>80</v>
      </c>
      <c r="B79" s="3">
        <f>232190.05+40.63+22442.4-2132.44</f>
        <v>252540.63999999998</v>
      </c>
      <c r="C79" s="3">
        <v>22480.1</v>
      </c>
      <c r="D79" s="19">
        <f>C79/B79*100</f>
        <v>8.901577187735011</v>
      </c>
      <c r="E79" s="3">
        <f>215415+7243.18+9981.91+0.5-30.33</f>
        <v>232610.26</v>
      </c>
      <c r="F79" s="3">
        <f>476.65+30.62</f>
        <v>507.27</v>
      </c>
      <c r="G79" s="19">
        <f>F79/E79*100</f>
        <v>0.21807722496849452</v>
      </c>
      <c r="H79" s="5">
        <f>(B79+E79)</f>
        <v>485150.9</v>
      </c>
      <c r="I79" s="5">
        <f>(C79+F79)</f>
        <v>22987.37</v>
      </c>
      <c r="J79" s="19">
        <f>I79/H79*100</f>
        <v>4.7381897055122435</v>
      </c>
    </row>
    <row r="80" spans="1:10" ht="12.75">
      <c r="A80" s="1" t="s">
        <v>81</v>
      </c>
      <c r="B80" s="3">
        <f>1027581.14+296.052+17.08+525-1886.43</f>
        <v>1026532.842</v>
      </c>
      <c r="C80" s="3">
        <f>13150.3+6.1</f>
        <v>13156.4</v>
      </c>
      <c r="D80" s="19">
        <f>C80/B80*100</f>
        <v>1.2816345918721226</v>
      </c>
      <c r="E80" s="3">
        <f>193408.85+336854.38+44884.19+7.57-140.02-12.3</f>
        <v>575002.6699999998</v>
      </c>
      <c r="F80" s="3">
        <f>164.48+60.1+0.65</f>
        <v>225.23</v>
      </c>
      <c r="G80" s="19">
        <f>F80/E80*100</f>
        <v>0.03917025289639091</v>
      </c>
      <c r="H80" s="5">
        <f>(B80+E80)</f>
        <v>1601535.5119999996</v>
      </c>
      <c r="I80" s="5">
        <f>(C80+F80)</f>
        <v>13381.63</v>
      </c>
      <c r="J80" s="19">
        <f>I80/H80*100</f>
        <v>0.8355500018409833</v>
      </c>
    </row>
    <row r="81" spans="1:10" ht="12.75">
      <c r="A81" s="1" t="s">
        <v>82</v>
      </c>
      <c r="B81" s="3">
        <f>1985968.33+254.98+37.85+919.55-13210.91</f>
        <v>1973969.8000000003</v>
      </c>
      <c r="C81" s="3">
        <v>33203.45</v>
      </c>
      <c r="D81" s="19">
        <f t="shared" si="6"/>
        <v>1.682064740808091</v>
      </c>
      <c r="E81" s="3">
        <f>547202.28+322.11+1268137.27+115612.34+784.27+703.14+8.88-362.02-902.59</f>
        <v>1931505.68</v>
      </c>
      <c r="F81" s="3">
        <f>2550.81+303.65</f>
        <v>2854.46</v>
      </c>
      <c r="G81" s="19">
        <f t="shared" si="5"/>
        <v>0.14778418875786067</v>
      </c>
      <c r="H81" s="5">
        <f t="shared" si="8"/>
        <v>3905475.4800000004</v>
      </c>
      <c r="I81" s="5">
        <f t="shared" si="9"/>
        <v>36057.909999999996</v>
      </c>
      <c r="J81" s="19">
        <f t="shared" si="7"/>
        <v>0.9232655584359216</v>
      </c>
    </row>
    <row r="82" spans="1:10" ht="12.75">
      <c r="A82" s="1" t="s">
        <v>83</v>
      </c>
      <c r="B82" s="3">
        <f>233608.37+158.6+117720.79+307.73+2142.3-1798.49-6.76</f>
        <v>352132.54</v>
      </c>
      <c r="C82" s="3">
        <f>19251.52+2427.4</f>
        <v>21678.920000000002</v>
      </c>
      <c r="D82" s="19">
        <f t="shared" si="6"/>
        <v>6.156465971591266</v>
      </c>
      <c r="E82" s="3">
        <f>508339.09+46249.61+8442.87-14.75-140.55</f>
        <v>562876.27</v>
      </c>
      <c r="F82" s="3">
        <f>2274.19+0.12+1034.75</f>
        <v>3309.06</v>
      </c>
      <c r="G82" s="19">
        <f t="shared" si="5"/>
        <v>0.5878840832995145</v>
      </c>
      <c r="H82" s="5">
        <f t="shared" si="8"/>
        <v>915008.81</v>
      </c>
      <c r="I82" s="5">
        <f t="shared" si="9"/>
        <v>24987.980000000003</v>
      </c>
      <c r="J82" s="19">
        <f t="shared" si="7"/>
        <v>2.730900481712302</v>
      </c>
    </row>
    <row r="83" spans="1:10" ht="12.75">
      <c r="A83" s="1" t="s">
        <v>84</v>
      </c>
      <c r="B83" s="14">
        <f>889011.39+74.94+2564.3+3576.02-3243.55</f>
        <v>891983.1</v>
      </c>
      <c r="C83" s="14">
        <v>7514.7</v>
      </c>
      <c r="D83" s="18">
        <f t="shared" si="6"/>
        <v>0.8424711185671566</v>
      </c>
      <c r="E83" s="14">
        <f>349098.67+511.19+59.29+288067.38+43429.73+4232.36-148.05</f>
        <v>685250.57</v>
      </c>
      <c r="F83" s="14">
        <f>6.27+22.3</f>
        <v>28.57</v>
      </c>
      <c r="G83" s="18">
        <f t="shared" si="5"/>
        <v>0.0041692778161424955</v>
      </c>
      <c r="H83" s="15">
        <f t="shared" si="8"/>
        <v>1577233.67</v>
      </c>
      <c r="I83" s="15">
        <f t="shared" si="9"/>
        <v>7543.2699999999995</v>
      </c>
      <c r="J83" s="18">
        <f t="shared" si="7"/>
        <v>0.47825950862436256</v>
      </c>
    </row>
    <row r="84" spans="1:10" ht="12.75">
      <c r="A84" s="1" t="s">
        <v>85</v>
      </c>
      <c r="B84" s="3">
        <f>4067004.58+15614.14+152.4+2505.33-15190.58</f>
        <v>4070085.87</v>
      </c>
      <c r="C84" s="3">
        <f>99987.32+144.69</f>
        <v>100132.01000000001</v>
      </c>
      <c r="D84" s="18">
        <f t="shared" si="6"/>
        <v>2.4601940400829925</v>
      </c>
      <c r="E84" s="22">
        <f>1136558.95+3978.42+1719.17+89745.01+1353085.65+3863.07+7.71+2309.46+19.25-6582.01-4098.98-27</f>
        <v>2580578.6999999997</v>
      </c>
      <c r="F84" s="3">
        <f>8366.68+887.38</f>
        <v>9254.06</v>
      </c>
      <c r="G84" s="19">
        <f t="shared" si="5"/>
        <v>0.3586040603993205</v>
      </c>
      <c r="H84" s="5">
        <f>(B84+F84)</f>
        <v>4079339.93</v>
      </c>
      <c r="I84" s="15">
        <f t="shared" si="9"/>
        <v>109386.07</v>
      </c>
      <c r="J84" s="19">
        <f t="shared" si="7"/>
        <v>2.681464939843834</v>
      </c>
    </row>
    <row r="85" spans="1:10" ht="12.75">
      <c r="A85" s="1" t="s">
        <v>86</v>
      </c>
      <c r="B85" s="3">
        <f>419076.31+1693.27+36.6-1968.96</f>
        <v>418837.22</v>
      </c>
      <c r="C85" s="3">
        <v>29300.65</v>
      </c>
      <c r="D85" s="19">
        <f t="shared" si="6"/>
        <v>6.995713036200556</v>
      </c>
      <c r="E85" s="3">
        <f>34278.39+9242.67+6469.07+2.21-9.51</f>
        <v>49982.829999999994</v>
      </c>
      <c r="F85" s="3">
        <f>440.04+1810.05+148.37</f>
        <v>2398.46</v>
      </c>
      <c r="G85" s="19">
        <f t="shared" si="5"/>
        <v>4.798567828192201</v>
      </c>
      <c r="H85" s="5">
        <f t="shared" si="8"/>
        <v>468820.05</v>
      </c>
      <c r="I85" s="5">
        <f t="shared" si="9"/>
        <v>31699.11</v>
      </c>
      <c r="J85" s="19">
        <f t="shared" si="7"/>
        <v>6.761466366466196</v>
      </c>
    </row>
    <row r="86" spans="1:10" ht="12.75">
      <c r="A86" s="1" t="s">
        <v>87</v>
      </c>
      <c r="B86" s="3">
        <f>432908.31+170.8+7302.74+102.6-2379.73</f>
        <v>438104.72</v>
      </c>
      <c r="C86" s="3">
        <v>7609.88</v>
      </c>
      <c r="D86" s="19">
        <f t="shared" si="6"/>
        <v>1.7370002313602102</v>
      </c>
      <c r="E86" s="3">
        <f>44326.31+7387.58+12296.14+2826.02+35.89-21.76-17.56</f>
        <v>66832.62000000001</v>
      </c>
      <c r="F86" s="3">
        <f>1395.87+132.43+3.9</f>
        <v>1532.2</v>
      </c>
      <c r="G86" s="19">
        <f t="shared" si="5"/>
        <v>2.292593048125301</v>
      </c>
      <c r="H86" s="5">
        <f t="shared" si="8"/>
        <v>504937.33999999997</v>
      </c>
      <c r="I86" s="5">
        <f t="shared" si="9"/>
        <v>9142.08</v>
      </c>
      <c r="J86" s="19">
        <f t="shared" si="7"/>
        <v>1.8105375213486887</v>
      </c>
    </row>
    <row r="87" spans="1:10" ht="12.75">
      <c r="A87" s="1" t="s">
        <v>88</v>
      </c>
      <c r="B87" s="3">
        <f>1303190.09+144.81+14807.07-2941.21</f>
        <v>1315200.7600000002</v>
      </c>
      <c r="C87" s="3">
        <f>22168.32+7.32</f>
        <v>22175.64</v>
      </c>
      <c r="D87" s="19">
        <f t="shared" si="6"/>
        <v>1.6861030402689243</v>
      </c>
      <c r="E87" s="3">
        <f>162599.06+90692.24+16284.4+51.98-11219.14</f>
        <v>258408.53999999998</v>
      </c>
      <c r="F87" s="3">
        <f>1652.98+105.56</f>
        <v>1758.54</v>
      </c>
      <c r="G87" s="19">
        <f t="shared" si="5"/>
        <v>0.6805270445009287</v>
      </c>
      <c r="H87" s="5">
        <f t="shared" si="8"/>
        <v>1573609.3000000003</v>
      </c>
      <c r="I87" s="5">
        <f t="shared" si="9"/>
        <v>23934.18</v>
      </c>
      <c r="J87" s="19">
        <f t="shared" si="7"/>
        <v>1.5209734716234835</v>
      </c>
    </row>
    <row r="88" spans="1:10" ht="12.75">
      <c r="A88" s="1" t="s">
        <v>89</v>
      </c>
      <c r="B88" s="3">
        <f>160739.1+225.1-2335.98</f>
        <v>158628.22</v>
      </c>
      <c r="C88" s="3">
        <v>11356.65</v>
      </c>
      <c r="D88" s="19">
        <f t="shared" si="6"/>
        <v>7.15928729453057</v>
      </c>
      <c r="E88" s="3">
        <f>11794.47+5718.41+2561.09</f>
        <v>20073.969999999998</v>
      </c>
      <c r="F88" s="3">
        <v>106.83</v>
      </c>
      <c r="G88" s="19">
        <f t="shared" si="5"/>
        <v>0.5321817258868077</v>
      </c>
      <c r="H88" s="5">
        <f t="shared" si="8"/>
        <v>178702.19</v>
      </c>
      <c r="I88" s="5">
        <f t="shared" si="9"/>
        <v>11463.48</v>
      </c>
      <c r="J88" s="19">
        <f t="shared" si="7"/>
        <v>6.414851435228633</v>
      </c>
    </row>
    <row r="89" spans="1:10" ht="12.75">
      <c r="A89" s="1" t="s">
        <v>90</v>
      </c>
      <c r="B89" s="14">
        <f>1422621.07+992.75+177.54+322.54-2893.35</f>
        <v>1421220.55</v>
      </c>
      <c r="C89" s="14">
        <v>36850.14</v>
      </c>
      <c r="D89" s="18">
        <f t="shared" si="6"/>
        <v>2.5928516161689332</v>
      </c>
      <c r="E89" s="14">
        <f>190899.44+22.37+306738.74+19833.73+20.57+99.87+1834.74-199.75-20.57-3.22</f>
        <v>519225.92</v>
      </c>
      <c r="F89" s="14">
        <f>5116.4+50.92</f>
        <v>5167.32</v>
      </c>
      <c r="G89" s="18">
        <f t="shared" si="5"/>
        <v>0.9951968499569512</v>
      </c>
      <c r="H89" s="15">
        <f t="shared" si="8"/>
        <v>1940446.47</v>
      </c>
      <c r="I89" s="15">
        <f t="shared" si="9"/>
        <v>42017.46</v>
      </c>
      <c r="J89" s="18">
        <f t="shared" si="7"/>
        <v>2.165350121717091</v>
      </c>
    </row>
    <row r="90" spans="1:10" ht="12.75">
      <c r="A90" s="1" t="s">
        <v>91</v>
      </c>
      <c r="B90" s="3">
        <f>325439.36+22.77+7996.73+139.08-2122.27</f>
        <v>331475.67</v>
      </c>
      <c r="C90" s="3">
        <f>15258.83+389.4</f>
        <v>15648.23</v>
      </c>
      <c r="D90" s="18">
        <f t="shared" si="6"/>
        <v>4.720777847737664</v>
      </c>
      <c r="E90" s="3">
        <f>48735.7+222.51+91527.67+17514.98+13.42+0.35+1.5-139.07</f>
        <v>157877.06000000003</v>
      </c>
      <c r="F90" s="3">
        <f>470.12+23.73+14.58</f>
        <v>508.43</v>
      </c>
      <c r="G90" s="19">
        <f t="shared" si="5"/>
        <v>0.3220417203107278</v>
      </c>
      <c r="H90" s="5">
        <f t="shared" si="8"/>
        <v>489352.73</v>
      </c>
      <c r="I90" s="5">
        <f t="shared" si="9"/>
        <v>16156.66</v>
      </c>
      <c r="J90" s="19">
        <f t="shared" si="7"/>
        <v>3.3016388812217317</v>
      </c>
    </row>
    <row r="91" spans="1:10" ht="12.75">
      <c r="A91" s="1" t="s">
        <v>92</v>
      </c>
      <c r="B91" s="3">
        <f>340503.67+212.57+36.6-860.59</f>
        <v>339892.24999999994</v>
      </c>
      <c r="C91" s="3">
        <v>9046.31</v>
      </c>
      <c r="D91" s="19">
        <f t="shared" si="6"/>
        <v>2.66152287967731</v>
      </c>
      <c r="E91" s="3">
        <f>59903.51+21275.68+14700.18+19.39+1.59-1254.79-7.42</f>
        <v>94638.14</v>
      </c>
      <c r="F91" s="3">
        <v>69.52</v>
      </c>
      <c r="G91" s="19">
        <f>F91/E91*100</f>
        <v>0.07345875563488462</v>
      </c>
      <c r="H91" s="5">
        <f t="shared" si="8"/>
        <v>434530.38999999996</v>
      </c>
      <c r="I91" s="5">
        <f t="shared" si="9"/>
        <v>9115.83</v>
      </c>
      <c r="J91" s="19">
        <f t="shared" si="7"/>
        <v>2.097857873646076</v>
      </c>
    </row>
    <row r="92" spans="1:10" ht="12.75">
      <c r="A92" s="1" t="s">
        <v>93</v>
      </c>
      <c r="B92" s="3">
        <f>1382214.96+163.48+177.52+98.82+2811.92-1868.19</f>
        <v>1383598.51</v>
      </c>
      <c r="C92" s="3">
        <v>28420.57</v>
      </c>
      <c r="D92" s="19">
        <f t="shared" si="6"/>
        <v>2.0541052765371943</v>
      </c>
      <c r="E92" s="3">
        <f>217103.71+959.68+2117.79+908.12+56459.37+267.65+209967.74+5.38-229.83</f>
        <v>487559.61</v>
      </c>
      <c r="F92" s="3">
        <f>426.79+59.43+16.47</f>
        <v>502.69000000000005</v>
      </c>
      <c r="G92" s="19">
        <f t="shared" si="5"/>
        <v>0.10310329028280256</v>
      </c>
      <c r="H92" s="5">
        <f t="shared" si="8"/>
        <v>1871158.12</v>
      </c>
      <c r="I92" s="5">
        <f t="shared" si="9"/>
        <v>28923.26</v>
      </c>
      <c r="J92" s="19">
        <f t="shared" si="7"/>
        <v>1.5457410942908447</v>
      </c>
    </row>
    <row r="93" spans="1:10" ht="12.75">
      <c r="A93" s="1" t="s">
        <v>94</v>
      </c>
      <c r="B93" s="3">
        <f>315653.92+2917.95+228.21+80.52+8.46-1996.29</f>
        <v>316892.7700000001</v>
      </c>
      <c r="C93" s="3">
        <v>20190.66</v>
      </c>
      <c r="D93" s="19">
        <f t="shared" si="6"/>
        <v>6.371448613359022</v>
      </c>
      <c r="E93" s="3">
        <f>63779.76+1571.53+5841.39+20.38+3308.77+3.67-20.38</f>
        <v>74505.12000000001</v>
      </c>
      <c r="F93" s="3">
        <v>0</v>
      </c>
      <c r="G93" s="19">
        <f t="shared" si="5"/>
        <v>0</v>
      </c>
      <c r="H93" s="5">
        <f t="shared" si="8"/>
        <v>391397.8900000001</v>
      </c>
      <c r="I93" s="5">
        <f t="shared" si="9"/>
        <v>20190.66</v>
      </c>
      <c r="J93" s="19">
        <f t="shared" si="7"/>
        <v>5.158602158023896</v>
      </c>
    </row>
    <row r="94" spans="1:10" ht="12.75">
      <c r="A94" s="1" t="s">
        <v>95</v>
      </c>
      <c r="B94" s="3">
        <f>1092655.86+251.32+207-10518.06</f>
        <v>1082596.12</v>
      </c>
      <c r="C94" s="3">
        <v>28416.11</v>
      </c>
      <c r="D94" s="19">
        <f t="shared" si="6"/>
        <v>2.6248117349616953</v>
      </c>
      <c r="E94" s="3">
        <f>427467.71+92742.99+40111.05+373.33+134.81-1012.24</f>
        <v>559817.65</v>
      </c>
      <c r="F94" s="3">
        <f>3501.89+94.35</f>
        <v>3596.24</v>
      </c>
      <c r="G94" s="19">
        <f t="shared" si="5"/>
        <v>0.6423948941231131</v>
      </c>
      <c r="H94" s="5">
        <f t="shared" si="8"/>
        <v>1642413.77</v>
      </c>
      <c r="I94" s="5">
        <f t="shared" si="9"/>
        <v>32012.35</v>
      </c>
      <c r="J94" s="19">
        <f t="shared" si="7"/>
        <v>1.949103848538727</v>
      </c>
    </row>
    <row r="95" spans="1:10" ht="12.75">
      <c r="A95" s="1" t="s">
        <v>96</v>
      </c>
      <c r="B95" s="14">
        <f>2872484.26+477.84+942.81+354.41+390-8755.63</f>
        <v>2865893.69</v>
      </c>
      <c r="C95" s="14">
        <v>29942.68</v>
      </c>
      <c r="D95" s="18">
        <f t="shared" si="6"/>
        <v>1.0447938143860458</v>
      </c>
      <c r="E95" s="14">
        <f>344725.74+63.85+526194.47+66992.56+190.13+497.85+5.65-118.85-90.1-0.26</f>
        <v>938461.0399999999</v>
      </c>
      <c r="F95" s="14">
        <f>1663.83+65.18+3.96</f>
        <v>1732.97</v>
      </c>
      <c r="G95" s="18">
        <f t="shared" si="5"/>
        <v>0.18466083578706688</v>
      </c>
      <c r="H95" s="15">
        <f t="shared" si="8"/>
        <v>3804354.73</v>
      </c>
      <c r="I95" s="15">
        <f t="shared" si="9"/>
        <v>31675.65</v>
      </c>
      <c r="J95" s="18">
        <f t="shared" si="7"/>
        <v>0.8326155747311187</v>
      </c>
    </row>
    <row r="96" spans="1:10" ht="12.75">
      <c r="A96" s="1" t="s">
        <v>97</v>
      </c>
      <c r="B96" s="3">
        <f>259323.07+-701.34</f>
        <v>258621.73</v>
      </c>
      <c r="C96" s="3">
        <v>5831.01</v>
      </c>
      <c r="D96" s="19">
        <f t="shared" si="6"/>
        <v>2.254648130302121</v>
      </c>
      <c r="E96" s="3">
        <f>11177.1+1733.58+1076.85+0.35</f>
        <v>13987.880000000001</v>
      </c>
      <c r="F96" s="3">
        <f>537.66+1.14</f>
        <v>538.8</v>
      </c>
      <c r="G96" s="19">
        <f t="shared" si="5"/>
        <v>3.85190607869098</v>
      </c>
      <c r="H96" s="5">
        <f t="shared" si="8"/>
        <v>272609.61</v>
      </c>
      <c r="I96" s="5">
        <f t="shared" si="9"/>
        <v>6369.81</v>
      </c>
      <c r="J96" s="19">
        <f t="shared" si="7"/>
        <v>2.3366050815303248</v>
      </c>
    </row>
    <row r="97" spans="1:10" ht="12.75">
      <c r="A97" s="1" t="s">
        <v>98</v>
      </c>
      <c r="B97" s="3">
        <f>796529.08+87.84+9952.17+9694.02-4346.38</f>
        <v>811916.73</v>
      </c>
      <c r="C97" s="3">
        <f>19432.53+1696.81</f>
        <v>21129.34</v>
      </c>
      <c r="D97" s="19">
        <f t="shared" si="6"/>
        <v>2.602402342417553</v>
      </c>
      <c r="E97" s="3">
        <f>707852.18+2094.31+182746.54+25898.75+555.67+14.85-4002.51</f>
        <v>915159.7900000002</v>
      </c>
      <c r="F97" s="3">
        <f>296.23+20.71</f>
        <v>316.94</v>
      </c>
      <c r="G97" s="19">
        <f t="shared" si="5"/>
        <v>0.03463220341007334</v>
      </c>
      <c r="H97" s="5">
        <f t="shared" si="8"/>
        <v>1727076.52</v>
      </c>
      <c r="I97" s="5">
        <f t="shared" si="9"/>
        <v>21446.28</v>
      </c>
      <c r="J97" s="19">
        <f t="shared" si="7"/>
        <v>1.2417677938207392</v>
      </c>
    </row>
    <row r="98" spans="1:10" ht="12.75">
      <c r="A98" s="1" t="s">
        <v>99</v>
      </c>
      <c r="B98" s="3">
        <f>6545534.81+471.9+849.08+11524.49-17758.54</f>
        <v>6540621.74</v>
      </c>
      <c r="C98" s="3">
        <v>58990.13</v>
      </c>
      <c r="D98" s="19">
        <f t="shared" si="6"/>
        <v>0.9019040137918142</v>
      </c>
      <c r="E98" s="3">
        <f>211192.1+41.77+5460.15+31153.19+671.48+81.87-3697.65-201.82</f>
        <v>244701.09</v>
      </c>
      <c r="F98" s="3">
        <f>4375.63+3.56+25.86+2.25+0.05</f>
        <v>4407.35</v>
      </c>
      <c r="G98" s="19">
        <f t="shared" si="5"/>
        <v>1.8011158021404812</v>
      </c>
      <c r="H98" s="5">
        <f t="shared" si="8"/>
        <v>6785322.83</v>
      </c>
      <c r="I98" s="5">
        <f t="shared" si="9"/>
        <v>63397.479999999996</v>
      </c>
      <c r="J98" s="19">
        <f t="shared" si="7"/>
        <v>0.9343325526045752</v>
      </c>
    </row>
    <row r="99" spans="1:10" ht="12.75">
      <c r="A99" s="1" t="s">
        <v>100</v>
      </c>
      <c r="B99" s="3">
        <f>539727.26+884.74-2572.49</f>
        <v>538039.51</v>
      </c>
      <c r="C99" s="3">
        <f>11490.08+118.43</f>
        <v>11608.51</v>
      </c>
      <c r="D99" s="19">
        <f t="shared" si="6"/>
        <v>2.1575571652721193</v>
      </c>
      <c r="E99" s="3">
        <f>53449.67+6904.88+5616.9+68.66+22.24+0.77</f>
        <v>66063.12000000001</v>
      </c>
      <c r="F99" s="3">
        <v>0</v>
      </c>
      <c r="G99" s="19">
        <f t="shared" si="5"/>
        <v>0</v>
      </c>
      <c r="H99" s="5">
        <f t="shared" si="8"/>
        <v>604102.63</v>
      </c>
      <c r="I99" s="5">
        <f t="shared" si="9"/>
        <v>11608.51</v>
      </c>
      <c r="J99" s="19">
        <f t="shared" si="7"/>
        <v>1.921612226717172</v>
      </c>
    </row>
    <row r="100" spans="1:10" ht="12.75">
      <c r="A100" s="1" t="s">
        <v>101</v>
      </c>
      <c r="B100" s="3">
        <f>94417.5+252.44-1146.31</f>
        <v>93523.63</v>
      </c>
      <c r="C100" s="3">
        <v>8751.24</v>
      </c>
      <c r="D100" s="19">
        <f t="shared" si="6"/>
        <v>9.357250140953681</v>
      </c>
      <c r="E100" s="3">
        <f>18523.21+1420.77+360.65</f>
        <v>20304.63</v>
      </c>
      <c r="F100" s="3">
        <v>129.84</v>
      </c>
      <c r="G100" s="19">
        <f t="shared" si="5"/>
        <v>0.639460064034656</v>
      </c>
      <c r="H100" s="5">
        <f t="shared" si="8"/>
        <v>113828.26000000001</v>
      </c>
      <c r="I100" s="5">
        <f t="shared" si="9"/>
        <v>8881.08</v>
      </c>
      <c r="J100" s="19">
        <f t="shared" si="7"/>
        <v>7.802174960769846</v>
      </c>
    </row>
    <row r="101" spans="1:10" ht="12.75">
      <c r="A101" s="1" t="s">
        <v>102</v>
      </c>
      <c r="B101" s="14">
        <f>631431.14+2.44+2716.98-1007.48</f>
        <v>633143.08</v>
      </c>
      <c r="C101" s="14">
        <v>13343.18</v>
      </c>
      <c r="D101" s="18">
        <f t="shared" si="6"/>
        <v>2.107450973009134</v>
      </c>
      <c r="E101" s="14">
        <f>97619.51+98831.07+7446.85+78.92</f>
        <v>203976.35000000003</v>
      </c>
      <c r="F101" s="14">
        <f>23.34+35</f>
        <v>58.34</v>
      </c>
      <c r="G101" s="18">
        <f t="shared" si="5"/>
        <v>0.028601355010029344</v>
      </c>
      <c r="H101" s="15">
        <f t="shared" si="8"/>
        <v>837119.4299999999</v>
      </c>
      <c r="I101" s="15">
        <f t="shared" si="9"/>
        <v>13401.52</v>
      </c>
      <c r="J101" s="18">
        <f t="shared" si="7"/>
        <v>1.6009089646861978</v>
      </c>
    </row>
    <row r="102" spans="1:10" ht="12.75">
      <c r="A102" s="1" t="s">
        <v>103</v>
      </c>
      <c r="B102" s="3">
        <f>953115.36+154666.34+1192.61-6507.72</f>
        <v>1102466.59</v>
      </c>
      <c r="C102" s="3">
        <v>91457.1</v>
      </c>
      <c r="D102" s="19">
        <f t="shared" si="6"/>
        <v>8.295679962510247</v>
      </c>
      <c r="E102" s="3">
        <f>1181904.36+1057.92+113712.59+56755.19+8083.5-2178.35-43.1</f>
        <v>1359292.1099999999</v>
      </c>
      <c r="F102" s="3">
        <f>1057.92+7272.03+199.09</f>
        <v>8529.04</v>
      </c>
      <c r="G102" s="19">
        <f t="shared" si="5"/>
        <v>0.62746189264646</v>
      </c>
      <c r="H102" s="5">
        <f t="shared" si="8"/>
        <v>2461758.7</v>
      </c>
      <c r="I102" s="5">
        <f t="shared" si="9"/>
        <v>99986.14000000001</v>
      </c>
      <c r="J102" s="19">
        <f t="shared" si="7"/>
        <v>4.061573540899845</v>
      </c>
    </row>
    <row r="103" spans="1:10" ht="12.75">
      <c r="A103" s="1" t="s">
        <v>104</v>
      </c>
      <c r="B103" s="3">
        <f>1822986.75+526898.58+2293.15-6218.07</f>
        <v>2345960.41</v>
      </c>
      <c r="C103" s="3">
        <v>143469.07</v>
      </c>
      <c r="D103" s="19">
        <f t="shared" si="6"/>
        <v>6.11557933324203</v>
      </c>
      <c r="E103" s="3">
        <f>2456785.63+4804.13+358242.59+100889.31+73.55+533.3-10260.51-2571.43</f>
        <v>2908496.5699999994</v>
      </c>
      <c r="F103" s="3">
        <f>21600.12+47.33+1142.81+45</f>
        <v>22835.260000000002</v>
      </c>
      <c r="G103" s="19">
        <f t="shared" si="5"/>
        <v>0.785122466209407</v>
      </c>
      <c r="H103" s="5">
        <f t="shared" si="8"/>
        <v>5254456.9799999995</v>
      </c>
      <c r="I103" s="5">
        <f t="shared" si="9"/>
        <v>166304.33000000002</v>
      </c>
      <c r="J103" s="19">
        <f t="shared" si="7"/>
        <v>3.1650145891954766</v>
      </c>
    </row>
    <row r="104" spans="1:10" ht="12.75">
      <c r="A104" s="1" t="s">
        <v>105</v>
      </c>
      <c r="B104" s="3">
        <f>450144.19+1138.35+8.36-2147.33</f>
        <v>449143.56999999995</v>
      </c>
      <c r="C104" s="3">
        <v>25837.7</v>
      </c>
      <c r="D104" s="19">
        <f t="shared" si="6"/>
        <v>5.752659444729445</v>
      </c>
      <c r="E104" s="3">
        <f>52042.75+7738.37+7066.58+14.93-185.03-1.5</f>
        <v>66676.09999999999</v>
      </c>
      <c r="F104" s="3">
        <f>433.65+1360.83+514.45</f>
        <v>2308.9300000000003</v>
      </c>
      <c r="G104" s="19">
        <f t="shared" si="5"/>
        <v>3.462904998942651</v>
      </c>
      <c r="H104" s="5">
        <f t="shared" si="8"/>
        <v>515819.6699999999</v>
      </c>
      <c r="I104" s="5">
        <f t="shared" si="9"/>
        <v>28146.63</v>
      </c>
      <c r="J104" s="19">
        <f t="shared" si="7"/>
        <v>5.456680238657825</v>
      </c>
    </row>
    <row r="105" spans="1:10" ht="12.75">
      <c r="A105" s="1" t="s">
        <v>106</v>
      </c>
      <c r="B105" s="3">
        <f>3767602.09+814.96+1004.58+4560.73-31947.49</f>
        <v>3742034.8699999996</v>
      </c>
      <c r="C105" s="3">
        <v>88251.39</v>
      </c>
      <c r="D105" s="19">
        <f t="shared" si="6"/>
        <v>2.3583796801979027</v>
      </c>
      <c r="E105" s="3">
        <f>617159.84+20.01+148.1+311005.62+66.03+102065.43+0.15+1919.22+36.8-2772.04-30.95-93.93</f>
        <v>1029524.28</v>
      </c>
      <c r="F105" s="3">
        <f>10264.97+762.3+1024.21</f>
        <v>12051.48</v>
      </c>
      <c r="G105" s="19">
        <f t="shared" si="5"/>
        <v>1.1705872541442148</v>
      </c>
      <c r="H105" s="5">
        <f t="shared" si="8"/>
        <v>4771559.149999999</v>
      </c>
      <c r="I105" s="5">
        <f t="shared" si="9"/>
        <v>100302.87</v>
      </c>
      <c r="J105" s="19">
        <f t="shared" si="7"/>
        <v>2.1020984304469956</v>
      </c>
    </row>
    <row r="106" spans="1:10" ht="12.75">
      <c r="A106" s="1" t="s">
        <v>107</v>
      </c>
      <c r="B106" s="3">
        <f>71295.81-288.33</f>
        <v>71007.48</v>
      </c>
      <c r="C106" s="3">
        <v>683.98</v>
      </c>
      <c r="D106" s="19">
        <f t="shared" si="6"/>
        <v>0.963250632186919</v>
      </c>
      <c r="E106" s="3">
        <f>3672.45+134.13</f>
        <v>3806.58</v>
      </c>
      <c r="F106" s="3">
        <v>1.21</v>
      </c>
      <c r="G106" s="19">
        <f t="shared" si="5"/>
        <v>0.031787063453283526</v>
      </c>
      <c r="H106" s="5">
        <f t="shared" si="8"/>
        <v>74814.06</v>
      </c>
      <c r="I106" s="5">
        <f t="shared" si="9"/>
        <v>685.19</v>
      </c>
      <c r="J106" s="19">
        <f t="shared" si="7"/>
        <v>0.9158572599856231</v>
      </c>
    </row>
    <row r="107" spans="1:10" ht="12.75">
      <c r="A107" s="1" t="s">
        <v>108</v>
      </c>
      <c r="B107" s="3">
        <f>450429.4+295.65+134.69-4636.85</f>
        <v>446222.8900000001</v>
      </c>
      <c r="C107" s="3">
        <v>15432.48</v>
      </c>
      <c r="D107" s="19">
        <f t="shared" si="6"/>
        <v>3.458468927938681</v>
      </c>
      <c r="E107" s="3">
        <f>52033.01+212.57+15158.91+4600.03+12.69+4.38-95.45</f>
        <v>71926.14000000001</v>
      </c>
      <c r="F107" s="3">
        <f>606.71+4.71</f>
        <v>611.4200000000001</v>
      </c>
      <c r="G107" s="19">
        <f t="shared" si="5"/>
        <v>0.8500664709659103</v>
      </c>
      <c r="H107" s="5">
        <f t="shared" si="8"/>
        <v>518149.0300000001</v>
      </c>
      <c r="I107" s="5">
        <f t="shared" si="9"/>
        <v>16043.9</v>
      </c>
      <c r="J107" s="19">
        <f t="shared" si="7"/>
        <v>3.096387153325366</v>
      </c>
    </row>
    <row r="108" spans="1:10" ht="12.75">
      <c r="A108" s="1" t="s">
        <v>109</v>
      </c>
      <c r="B108" s="14">
        <f>1055337.12+124.44+86.38+1732.8+288.11-3775.56</f>
        <v>1053793.29</v>
      </c>
      <c r="C108" s="14">
        <v>43070.02</v>
      </c>
      <c r="D108" s="18">
        <f t="shared" si="6"/>
        <v>4.087141226720091</v>
      </c>
      <c r="E108" s="14">
        <f>210227.02+1580.19+76734.03+1347.3+28797.19+215.14+2.44+1.95-5683.09-3.25</f>
        <v>313218.92</v>
      </c>
      <c r="F108" s="14">
        <f>2895.13+73.93+211.66</f>
        <v>3180.72</v>
      </c>
      <c r="G108" s="18">
        <f t="shared" si="5"/>
        <v>1.0154942108861114</v>
      </c>
      <c r="H108" s="15">
        <f t="shared" si="8"/>
        <v>1367012.21</v>
      </c>
      <c r="I108" s="15">
        <f t="shared" si="9"/>
        <v>46250.74</v>
      </c>
      <c r="J108" s="18">
        <f t="shared" si="7"/>
        <v>3.3833450543942107</v>
      </c>
    </row>
    <row r="109" spans="1:10" ht="12.75">
      <c r="A109" s="1" t="s">
        <v>110</v>
      </c>
      <c r="B109" s="3">
        <f>964346.99+79.3+475.52+15.86+1500-4456.81-219.6</f>
        <v>961741.26</v>
      </c>
      <c r="C109" s="3">
        <v>19235.56</v>
      </c>
      <c r="D109" s="19">
        <f t="shared" si="6"/>
        <v>2.000076403085795</v>
      </c>
      <c r="E109" s="3">
        <f>287963.44+588.14+113319.05+44377.77+125.39+3852.34+28.29+17.63-467.59-273.04-4.09</f>
        <v>449527.33</v>
      </c>
      <c r="F109" s="3">
        <f>703.81+2.75+28.27</f>
        <v>734.8299999999999</v>
      </c>
      <c r="G109" s="19">
        <f t="shared" si="5"/>
        <v>0.1634672579306802</v>
      </c>
      <c r="H109" s="5">
        <f t="shared" si="8"/>
        <v>1411268.59</v>
      </c>
      <c r="I109" s="5">
        <f t="shared" si="9"/>
        <v>19970.39</v>
      </c>
      <c r="J109" s="19">
        <f t="shared" si="7"/>
        <v>1.4150665678742271</v>
      </c>
    </row>
    <row r="110" spans="1:10" ht="12.75">
      <c r="A110" s="1" t="s">
        <v>111</v>
      </c>
      <c r="B110" s="3">
        <f>4111646.94+7862.61+372.79+541.37+60000-4751.78</f>
        <v>4175671.93</v>
      </c>
      <c r="C110" s="3">
        <v>65463</v>
      </c>
      <c r="D110" s="19">
        <f t="shared" si="6"/>
        <v>1.5677237363807934</v>
      </c>
      <c r="E110" s="3">
        <f>413605.74+482.81+295823.76+14796+103502.91+608.31+12284.76-1077.89</f>
        <v>840026.4000000001</v>
      </c>
      <c r="F110" s="3">
        <f>3286.27+30.12+70.54+4.79</f>
        <v>3391.72</v>
      </c>
      <c r="G110" s="19">
        <f t="shared" si="5"/>
        <v>0.40376350076616635</v>
      </c>
      <c r="H110" s="5">
        <f t="shared" si="8"/>
        <v>5015698.33</v>
      </c>
      <c r="I110" s="5">
        <f t="shared" si="9"/>
        <v>68854.72</v>
      </c>
      <c r="J110" s="19">
        <f t="shared" si="7"/>
        <v>1.3727843157584798</v>
      </c>
    </row>
    <row r="111" spans="1:10" ht="12.75">
      <c r="A111" s="1" t="s">
        <v>112</v>
      </c>
      <c r="B111" s="14">
        <f>3199408.51+394.55-10140.82</f>
        <v>3189662.2399999998</v>
      </c>
      <c r="C111" s="14">
        <v>49054.93</v>
      </c>
      <c r="D111" s="18">
        <f t="shared" si="6"/>
        <v>1.5379349382146494</v>
      </c>
      <c r="E111" s="14">
        <f>517157.7+3709.36+340918.92+11237.1+77700.7+350.96+240.08+31.83-33793.62-958.43-324.61</f>
        <v>916269.9899999998</v>
      </c>
      <c r="F111" s="14">
        <f>3849.72+28.39+67.66</f>
        <v>3945.7699999999995</v>
      </c>
      <c r="G111" s="18">
        <f t="shared" si="5"/>
        <v>0.43063398813269005</v>
      </c>
      <c r="H111" s="15">
        <f t="shared" si="8"/>
        <v>4105932.2299999995</v>
      </c>
      <c r="I111" s="15">
        <f t="shared" si="9"/>
        <v>53000.7</v>
      </c>
      <c r="J111" s="18">
        <f t="shared" si="7"/>
        <v>1.2908323136156585</v>
      </c>
    </row>
    <row r="112" spans="1:10" ht="12.75">
      <c r="A112" s="1" t="s">
        <v>113</v>
      </c>
      <c r="B112" s="3">
        <f>1192121.33+41.48+348.88+31.72+155.54-2074.61</f>
        <v>1190624.3399999999</v>
      </c>
      <c r="C112" s="3">
        <v>30296.87</v>
      </c>
      <c r="D112" s="19">
        <f t="shared" si="6"/>
        <v>2.544620413185909</v>
      </c>
      <c r="E112" s="3">
        <f>318611.77+294182.26+60066.8+1698.04+92.63+225.77-79651.79-4265.88</f>
        <v>590959.6000000001</v>
      </c>
      <c r="F112" s="3">
        <f>895.59+3209.23+7.5+1.5</f>
        <v>4113.82</v>
      </c>
      <c r="G112" s="19">
        <f t="shared" si="5"/>
        <v>0.69612542041791</v>
      </c>
      <c r="H112" s="5">
        <f t="shared" si="8"/>
        <v>1781583.94</v>
      </c>
      <c r="I112" s="5">
        <f t="shared" si="9"/>
        <v>34410.69</v>
      </c>
      <c r="J112" s="19">
        <f t="shared" si="7"/>
        <v>1.9314661087481515</v>
      </c>
    </row>
    <row r="113" spans="1:10" ht="12.75">
      <c r="A113" s="1" t="s">
        <v>114</v>
      </c>
      <c r="B113" s="3">
        <f>1237256.52+392.6+33.55-6558.82</f>
        <v>1231123.85</v>
      </c>
      <c r="C113" s="3">
        <v>16167.07</v>
      </c>
      <c r="D113" s="19">
        <f t="shared" si="6"/>
        <v>1.3131960687789452</v>
      </c>
      <c r="E113" s="3">
        <f>31372.53+218.61+250.41+1675.84+2.43+130.57+10.83-253.07-32.12</f>
        <v>33376.03</v>
      </c>
      <c r="F113" s="3">
        <f>1260.58+12.76+30.71</f>
        <v>1304.05</v>
      </c>
      <c r="G113" s="19">
        <f t="shared" si="5"/>
        <v>3.907145337537149</v>
      </c>
      <c r="H113" s="5">
        <f t="shared" si="8"/>
        <v>1264499.8800000001</v>
      </c>
      <c r="I113" s="5">
        <f t="shared" si="9"/>
        <v>17471.12</v>
      </c>
      <c r="J113" s="19">
        <f t="shared" si="7"/>
        <v>1.3816624482400108</v>
      </c>
    </row>
    <row r="114" spans="1:10" ht="12.75">
      <c r="A114" s="1" t="s">
        <v>115</v>
      </c>
      <c r="B114" s="14">
        <f>1183729.18+3.6+4.4+140.93-6460.29</f>
        <v>1177417.8199999998</v>
      </c>
      <c r="C114" s="14">
        <v>20072.93</v>
      </c>
      <c r="D114" s="18">
        <f t="shared" si="6"/>
        <v>1.704826414127145</v>
      </c>
      <c r="E114" s="14">
        <f>259026.79+67968.73+28949.52+950.54+0.89-11.12</f>
        <v>356885.35000000003</v>
      </c>
      <c r="F114" s="14">
        <f>6424.72+446.33</f>
        <v>6871.05</v>
      </c>
      <c r="G114" s="18">
        <f t="shared" si="5"/>
        <v>1.9252821669480127</v>
      </c>
      <c r="H114" s="15">
        <f t="shared" si="8"/>
        <v>1534303.17</v>
      </c>
      <c r="I114" s="15">
        <f t="shared" si="9"/>
        <v>26943.98</v>
      </c>
      <c r="J114" s="18">
        <f t="shared" si="7"/>
        <v>1.7561053465072356</v>
      </c>
    </row>
    <row r="115" spans="1:10" ht="12.75">
      <c r="A115" s="1" t="s">
        <v>116</v>
      </c>
      <c r="B115" s="3">
        <f>510313.35+41.48+640.49+35.14-1301.55</f>
        <v>509728.91</v>
      </c>
      <c r="C115" s="3">
        <v>17881.13</v>
      </c>
      <c r="D115" s="19">
        <f t="shared" si="6"/>
        <v>3.507968578827519</v>
      </c>
      <c r="E115" s="3">
        <f>79716.68+14567.08+11081.42+153.93+1614.82+17.38-42.74-153.93</f>
        <v>106954.64</v>
      </c>
      <c r="F115" s="3">
        <f>7416.46+32.53</f>
        <v>7448.99</v>
      </c>
      <c r="G115" s="19">
        <f aca="true" t="shared" si="10" ref="G115:G125">F115/E115*100</f>
        <v>6.964625377636725</v>
      </c>
      <c r="H115" s="5">
        <f t="shared" si="8"/>
        <v>616683.5499999999</v>
      </c>
      <c r="I115" s="5">
        <f t="shared" si="9"/>
        <v>25330.120000000003</v>
      </c>
      <c r="J115" s="19">
        <f t="shared" si="7"/>
        <v>4.107474571034043</v>
      </c>
    </row>
    <row r="116" spans="1:10" ht="12.75">
      <c r="A116" s="1" t="s">
        <v>117</v>
      </c>
      <c r="B116" s="3">
        <f>932583.92+176.88+88.87-2615.61</f>
        <v>930234.06</v>
      </c>
      <c r="C116" s="3">
        <v>14232.83</v>
      </c>
      <c r="D116" s="19">
        <f t="shared" si="6"/>
        <v>1.5300267547718045</v>
      </c>
      <c r="E116" s="3">
        <f>56643.2+15882.93+10565.71+22242.87+9.55</f>
        <v>105344.26</v>
      </c>
      <c r="F116" s="3">
        <f>1207.8+0.19</f>
        <v>1207.99</v>
      </c>
      <c r="G116" s="19">
        <f t="shared" si="10"/>
        <v>1.1467069966602832</v>
      </c>
      <c r="H116" s="5">
        <f t="shared" si="8"/>
        <v>1035578.3200000001</v>
      </c>
      <c r="I116" s="5">
        <f t="shared" si="9"/>
        <v>15440.82</v>
      </c>
      <c r="J116" s="19">
        <f t="shared" si="7"/>
        <v>1.4910335318723165</v>
      </c>
    </row>
    <row r="117" spans="1:10" ht="12.75">
      <c r="A117" s="1" t="s">
        <v>118</v>
      </c>
      <c r="B117" s="14">
        <f>363032.36+41.48+7.79+84.42-849.61</f>
        <v>362316.43999999994</v>
      </c>
      <c r="C117" s="14">
        <v>16434.13</v>
      </c>
      <c r="D117" s="18">
        <f t="shared" si="6"/>
        <v>4.535849932727315</v>
      </c>
      <c r="E117" s="14">
        <f>16237.31+3062.58+978.7+11.25-49.67</f>
        <v>20240.170000000002</v>
      </c>
      <c r="F117" s="14">
        <v>1350.45</v>
      </c>
      <c r="G117" s="18">
        <f t="shared" si="10"/>
        <v>6.672127753867679</v>
      </c>
      <c r="H117" s="15">
        <f t="shared" si="8"/>
        <v>382556.6099999999</v>
      </c>
      <c r="I117" s="15">
        <f t="shared" si="9"/>
        <v>17784.58</v>
      </c>
      <c r="J117" s="18">
        <f t="shared" si="7"/>
        <v>4.648875365138771</v>
      </c>
    </row>
    <row r="118" spans="1:10" ht="12.75">
      <c r="A118" s="1" t="s">
        <v>119</v>
      </c>
      <c r="B118" s="3">
        <f>599321.1+38774.67+196.5-943.8</f>
        <v>637348.47</v>
      </c>
      <c r="C118" s="3">
        <v>9294.87</v>
      </c>
      <c r="D118" s="19">
        <f t="shared" si="6"/>
        <v>1.4583654684226355</v>
      </c>
      <c r="E118" s="3">
        <f>816193.82+152239.7+26236.68+3616+19.64</f>
        <v>998305.8400000001</v>
      </c>
      <c r="F118" s="3">
        <f>127.97+6.92</f>
        <v>134.89</v>
      </c>
      <c r="G118" s="19">
        <f t="shared" si="10"/>
        <v>0.013511891305774588</v>
      </c>
      <c r="H118" s="5">
        <f t="shared" si="8"/>
        <v>1635654.31</v>
      </c>
      <c r="I118" s="5">
        <f t="shared" si="9"/>
        <v>9429.76</v>
      </c>
      <c r="J118" s="19">
        <f t="shared" si="7"/>
        <v>0.576513016372023</v>
      </c>
    </row>
    <row r="119" spans="1:10" ht="12.75">
      <c r="A119" s="1" t="s">
        <v>120</v>
      </c>
      <c r="B119" s="3">
        <f>8083927.81+204.2+11653.58+1961.97-12606.41</f>
        <v>8085141.149999999</v>
      </c>
      <c r="C119" s="3">
        <v>109782.57</v>
      </c>
      <c r="D119" s="19">
        <f t="shared" si="6"/>
        <v>1.3578312111471302</v>
      </c>
      <c r="E119" s="3">
        <f>1724524.79+45.55+42.35+1016513.25+2135.31+298336.08+2622.97+48.74+56604.23+7.13+8.45+8.26-10105.41-5539.87-798.95</f>
        <v>3084452.8800000004</v>
      </c>
      <c r="F119" s="3">
        <f>22127.8+407.33+401.09</f>
        <v>22936.22</v>
      </c>
      <c r="G119" s="19">
        <f t="shared" si="10"/>
        <v>0.7436074043705281</v>
      </c>
      <c r="H119" s="5">
        <f t="shared" si="8"/>
        <v>11169594.03</v>
      </c>
      <c r="I119" s="5">
        <f t="shared" si="9"/>
        <v>132718.79</v>
      </c>
      <c r="J119" s="19">
        <f t="shared" si="7"/>
        <v>1.188214984748197</v>
      </c>
    </row>
    <row r="120" spans="1:10" ht="12.75">
      <c r="A120" s="1" t="s">
        <v>121</v>
      </c>
      <c r="B120" s="14">
        <f>568862.13+41.48-789.22</f>
        <v>568114.39</v>
      </c>
      <c r="C120" s="14">
        <v>7371.24</v>
      </c>
      <c r="D120" s="18">
        <f t="shared" si="6"/>
        <v>1.2974922180724906</v>
      </c>
      <c r="E120" s="14">
        <f>99811.62+20.68+3896.06+84523.17+6338.22+16136.94+96.93+2.55+10.44-22009.13-9</f>
        <v>188818.47999999995</v>
      </c>
      <c r="F120" s="14">
        <v>5.16</v>
      </c>
      <c r="G120" s="18">
        <f t="shared" si="10"/>
        <v>0.002732783358916988</v>
      </c>
      <c r="H120" s="15">
        <f t="shared" si="8"/>
        <v>756932.87</v>
      </c>
      <c r="I120" s="15">
        <f>(C120+F120)</f>
        <v>7376.4</v>
      </c>
      <c r="J120" s="18">
        <f t="shared" si="7"/>
        <v>0.974511782002544</v>
      </c>
    </row>
    <row r="121" spans="1:10" ht="12.75">
      <c r="A121" s="1" t="s">
        <v>122</v>
      </c>
      <c r="B121" s="3">
        <f>820974.5+189.1+1024.46+18.3-2181.5</f>
        <v>820024.86</v>
      </c>
      <c r="C121" s="14">
        <v>15885.12</v>
      </c>
      <c r="D121" s="18">
        <f t="shared" si="6"/>
        <v>1.9371510273481223</v>
      </c>
      <c r="E121" s="3">
        <f>91909.61+11.65+7.55+50685.21+13.5+16172.98+30.22+1698.39+54.96-156.09</f>
        <v>160427.98</v>
      </c>
      <c r="F121" s="3">
        <f>2899.48+28.78+33.75</f>
        <v>2962.01</v>
      </c>
      <c r="G121" s="18">
        <f t="shared" si="10"/>
        <v>1.8463175812598276</v>
      </c>
      <c r="H121" s="15">
        <f t="shared" si="8"/>
        <v>980452.84</v>
      </c>
      <c r="I121" s="15">
        <f>(C121+F121)</f>
        <v>18847.13</v>
      </c>
      <c r="J121" s="19">
        <f t="shared" si="7"/>
        <v>1.922288276507007</v>
      </c>
    </row>
    <row r="122" spans="1:10" ht="12.75">
      <c r="A122" s="1" t="s">
        <v>123</v>
      </c>
      <c r="B122" s="3">
        <f>464912.71+16872.15+345.32+2292.01-3160.65</f>
        <v>481261.54000000004</v>
      </c>
      <c r="C122" s="3">
        <v>12061.11</v>
      </c>
      <c r="D122" s="19">
        <f t="shared" si="6"/>
        <v>2.5061445799304884</v>
      </c>
      <c r="E122" s="3">
        <f>488034.66+47332.15+12935.3+7.81</f>
        <v>548309.92</v>
      </c>
      <c r="F122" s="3">
        <f>111.41+49.53</f>
        <v>160.94</v>
      </c>
      <c r="G122" s="19">
        <f t="shared" si="10"/>
        <v>0.02935201318261759</v>
      </c>
      <c r="H122" s="5">
        <f t="shared" si="8"/>
        <v>1029571.4600000001</v>
      </c>
      <c r="I122" s="5">
        <f t="shared" si="9"/>
        <v>12222.050000000001</v>
      </c>
      <c r="J122" s="19">
        <f t="shared" si="7"/>
        <v>1.187100699158852</v>
      </c>
    </row>
    <row r="123" spans="1:10" ht="12.75">
      <c r="A123" s="1" t="s">
        <v>124</v>
      </c>
      <c r="B123" s="3">
        <f>1197828.78+326.35+21339+2624.39+360-10902</f>
        <v>1211576.52</v>
      </c>
      <c r="C123" s="3">
        <f>72948.9+283.11</f>
        <v>73232.01</v>
      </c>
      <c r="D123" s="19">
        <f t="shared" si="6"/>
        <v>6.044356983742141</v>
      </c>
      <c r="E123" s="3">
        <f>243350.15+3187+72023.41+16.33+42413.61+609.38+281.9+97.35+0.05-91.35-1.88</f>
        <v>361885.95</v>
      </c>
      <c r="F123" s="3">
        <f>7030.81+19.73+522.95</f>
        <v>7573.49</v>
      </c>
      <c r="G123" s="19">
        <f t="shared" si="10"/>
        <v>2.092783651866009</v>
      </c>
      <c r="H123" s="5">
        <f t="shared" si="8"/>
        <v>1573462.47</v>
      </c>
      <c r="I123" s="5">
        <f t="shared" si="9"/>
        <v>80805.5</v>
      </c>
      <c r="J123" s="19">
        <f t="shared" si="7"/>
        <v>5.135521281292461</v>
      </c>
    </row>
    <row r="124" spans="1:10" ht="12.75">
      <c r="A124" s="1" t="s">
        <v>125</v>
      </c>
      <c r="B124" s="3">
        <f>182685.19+11358.02-1006.5</f>
        <v>193036.71</v>
      </c>
      <c r="C124" s="3">
        <v>8774.67</v>
      </c>
      <c r="D124" s="19">
        <f t="shared" si="6"/>
        <v>4.5455965344622795</v>
      </c>
      <c r="E124" s="3">
        <f>21446.46+663.98+5729.42+0.5-35.55</f>
        <v>27804.81</v>
      </c>
      <c r="F124" s="3">
        <f>302.26+9.86</f>
        <v>312.12</v>
      </c>
      <c r="G124" s="19">
        <f t="shared" si="10"/>
        <v>1.1225395893732055</v>
      </c>
      <c r="H124" s="5">
        <f t="shared" si="8"/>
        <v>220841.52</v>
      </c>
      <c r="I124" s="5">
        <f t="shared" si="9"/>
        <v>9086.79</v>
      </c>
      <c r="J124" s="19">
        <f t="shared" si="7"/>
        <v>4.114620294227281</v>
      </c>
    </row>
    <row r="125" spans="1:10" ht="12.75">
      <c r="A125" s="1" t="s">
        <v>126</v>
      </c>
      <c r="B125" s="3">
        <f>2417452.96+124.44+628.79-3889.24</f>
        <v>2414316.9499999997</v>
      </c>
      <c r="C125" s="3">
        <v>33164.36</v>
      </c>
      <c r="D125" s="19">
        <f t="shared" si="6"/>
        <v>1.3736539438204254</v>
      </c>
      <c r="E125" s="3">
        <f>203849.16+292567.18+60010.25+5.7+1903.79-1178.74</f>
        <v>557157.34</v>
      </c>
      <c r="F125" s="3">
        <f>1687.11+30.92</f>
        <v>1718.03</v>
      </c>
      <c r="G125" s="19">
        <f t="shared" si="10"/>
        <v>0.308356343290748</v>
      </c>
      <c r="H125" s="5">
        <f t="shared" si="8"/>
        <v>2971474.2899999996</v>
      </c>
      <c r="I125" s="5">
        <f t="shared" si="9"/>
        <v>34882.39</v>
      </c>
      <c r="J125" s="19">
        <f t="shared" si="7"/>
        <v>1.173908524714175</v>
      </c>
    </row>
    <row r="126" spans="1:10" ht="13.5" thickBot="1">
      <c r="A126" s="2"/>
      <c r="B126" s="4"/>
      <c r="C126" s="4"/>
      <c r="D126" s="20"/>
      <c r="E126" s="4"/>
      <c r="F126" s="4"/>
      <c r="G126" s="20"/>
      <c r="H126" s="6"/>
      <c r="I126" s="6"/>
      <c r="J126" s="2"/>
    </row>
    <row r="127" spans="1:10" ht="13.5" thickTop="1">
      <c r="A127" s="1" t="s">
        <v>127</v>
      </c>
      <c r="B127" s="12">
        <f>SUM(B6:B125)</f>
        <v>273326610.9219999</v>
      </c>
      <c r="C127" s="12">
        <f>SUM(C6:C125)</f>
        <v>5283447.279999999</v>
      </c>
      <c r="D127" s="21">
        <f>C127/B127*100</f>
        <v>1.9330160580331324</v>
      </c>
      <c r="E127" s="12">
        <f>SUM(E6:E125)</f>
        <v>88562494.61</v>
      </c>
      <c r="F127" s="12">
        <f>SUM(F6:F125)</f>
        <v>881203.9500000002</v>
      </c>
      <c r="G127" s="21">
        <f>F127/E127*100</f>
        <v>0.9950080492656983</v>
      </c>
      <c r="H127" s="12">
        <f>SUM(H6:H125)</f>
        <v>359178808.622</v>
      </c>
      <c r="I127" s="12">
        <f>SUM(I6:I125)</f>
        <v>6149411.590000003</v>
      </c>
      <c r="J127" s="21">
        <f>I127/H127*100</f>
        <v>1.7120752790490066</v>
      </c>
    </row>
    <row r="129" spans="1:10" ht="12.75">
      <c r="A129" s="17">
        <v>41578</v>
      </c>
      <c r="B129" s="25" t="s">
        <v>128</v>
      </c>
      <c r="C129" s="25"/>
      <c r="D129" s="25"/>
      <c r="E129" s="25"/>
      <c r="F129" s="25"/>
      <c r="G129" s="25"/>
      <c r="H129" s="25"/>
      <c r="I129" s="25"/>
      <c r="J129" s="25"/>
    </row>
  </sheetData>
  <sheetProtection/>
  <mergeCells count="3">
    <mergeCell ref="A1:J1"/>
    <mergeCell ref="A2:J2"/>
    <mergeCell ref="B129:J129"/>
  </mergeCells>
  <printOptions horizontalCentered="1"/>
  <pageMargins left="0.25" right="0.2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Sheriff Collection Delinquency Report 2012</dc:title>
  <dc:subject/>
  <dc:creator>rev0760</dc:creator>
  <cp:keywords/>
  <dc:description/>
  <cp:lastModifiedBy>%USERNAME%</cp:lastModifiedBy>
  <cp:lastPrinted>2013-11-01T13:19:26Z</cp:lastPrinted>
  <dcterms:created xsi:type="dcterms:W3CDTF">2008-01-31T15:08:19Z</dcterms:created>
  <dcterms:modified xsi:type="dcterms:W3CDTF">2014-07-15T15:52:34Z</dcterms:modified>
  <cp:category/>
  <cp:version/>
  <cp:contentType/>
  <cp:contentStatus/>
</cp:coreProperties>
</file>