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K:\C A P  R A T E  S T U D I E S\CAP RATE STUDY 2023\2023 CAP Rate Study - All Industries\(3) Reviewed\"/>
    </mc:Choice>
  </mc:AlternateContent>
  <xr:revisionPtr revIDLastSave="0" documentId="13_ncr:1_{A477847B-F3A3-456A-A553-ACBE79C2EDA2}" xr6:coauthVersionLast="47" xr6:coauthVersionMax="47" xr10:uidLastSave="{00000000-0000-0000-0000-000000000000}"/>
  <bookViews>
    <workbookView xWindow="-120" yWindow="-120" windowWidth="24240" windowHeight="13140" activeTab="1" xr2:uid="{00000000-000D-0000-FFFF-FFFF00000000}"/>
  </bookViews>
  <sheets>
    <sheet name="Cover Sheet" sheetId="6" r:id="rId1"/>
    <sheet name="Yield CapRate" sheetId="7" r:id="rId2"/>
    <sheet name="Direct CapRates" sheetId="10" r:id="rId3"/>
    <sheet name="S&amp;D" sheetId="3" r:id="rId4"/>
    <sheet name="Market to Book Ratios" sheetId="29" r:id="rId5"/>
    <sheet name="Maintenance CapEx" sheetId="11" r:id="rId6"/>
    <sheet name="Beta for CAPM" sheetId="14" r:id="rId7"/>
    <sheet name="Dividends " sheetId="17" r:id="rId8"/>
    <sheet name="Earnings" sheetId="27" r:id="rId9"/>
    <sheet name="Direct Debt" sheetId="13" r:id="rId10"/>
    <sheet name="Yield Debt" sheetId="8" r:id="rId11"/>
    <sheet name="Direct GCF" sheetId="5" r:id="rId12"/>
    <sheet name="Direct NOPAT" sheetId="12" r:id="rId13"/>
    <sheet name="Growth &amp; Inflation Rates" sheetId="24" r:id="rId14"/>
    <sheet name="Indicated Yield Equity Rate " sheetId="33" r:id="rId15"/>
    <sheet name="CAPM" sheetId="34" r:id="rId16"/>
    <sheet name="Single Stage Div Growth Model" sheetId="19" r:id="rId17"/>
    <sheet name="Two-Stage Div Growth Model" sheetId="20" r:id="rId18"/>
    <sheet name="Multiples" sheetId="25" r:id="rId19"/>
    <sheet name="Info" sheetId="9" r:id="rId20"/>
  </sheets>
  <definedNames>
    <definedName name="_xlnm.Print_Area" localSheetId="6">'Beta for CAPM'!$A$1:$I$34</definedName>
    <definedName name="_xlnm.Print_Area" localSheetId="15">CAPM!$A$1:$H$84</definedName>
    <definedName name="_xlnm.Print_Area" localSheetId="0">'Cover Sheet'!$A$1:$I$37</definedName>
    <definedName name="_xlnm.Print_Area" localSheetId="2">'Direct CapRates'!$A$1:$H$66</definedName>
    <definedName name="_xlnm.Print_Area" localSheetId="9">'Direct Debt'!$A$1:$K$32</definedName>
    <definedName name="_xlnm.Print_Area" localSheetId="11">'Direct GCF'!$A$1:$N$37</definedName>
    <definedName name="_xlnm.Print_Area" localSheetId="12">'Direct NOPAT'!$A$1:$N$56</definedName>
    <definedName name="_xlnm.Print_Area" localSheetId="7">'Dividends '!$A$1:$K$29</definedName>
    <definedName name="_xlnm.Print_Area" localSheetId="8">Earnings!$A$1:$K$29</definedName>
    <definedName name="_xlnm.Print_Area" localSheetId="13">'Growth &amp; Inflation Rates'!$A$1:$H$116</definedName>
    <definedName name="_xlnm.Print_Area" localSheetId="14">'Indicated Yield Equity Rate '!$A$1:$F$56</definedName>
    <definedName name="_xlnm.Print_Area" localSheetId="5">'Maintenance CapEx'!$A$1:$L$74</definedName>
    <definedName name="_xlnm.Print_Area" localSheetId="4">'Market to Book Ratios'!$A$1:$G$56</definedName>
    <definedName name="_xlnm.Print_Area" localSheetId="18">Multiples!$A$1:$J$39</definedName>
    <definedName name="_xlnm.Print_Area" localSheetId="3">'S&amp;D'!$A$1:$L$71</definedName>
    <definedName name="_xlnm.Print_Area" localSheetId="16">'Single Stage Div Growth Model'!$A$1:$K$45</definedName>
    <definedName name="_xlnm.Print_Area" localSheetId="17">'Two-Stage Div Growth Model'!$A$1:$I$43</definedName>
    <definedName name="_xlnm.Print_Area" localSheetId="1">'Yield CapRate'!$A$1:$H$35</definedName>
    <definedName name="_xlnm.Print_Area" localSheetId="10">'Yield Debt'!$A$1:$M$58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3" i="24" l="1"/>
  <c r="E90" i="24"/>
  <c r="E89" i="24"/>
  <c r="D89" i="24"/>
  <c r="F89" i="24" s="1"/>
  <c r="D86" i="24"/>
  <c r="F86" i="24" s="1"/>
  <c r="D85" i="24"/>
  <c r="F85" i="24" s="1"/>
  <c r="D84" i="24"/>
  <c r="F84" i="24" s="1"/>
  <c r="D83" i="24"/>
  <c r="F83" i="24" s="1"/>
  <c r="D82" i="24"/>
  <c r="F82" i="24" s="1"/>
  <c r="D81" i="24"/>
  <c r="F81" i="24" s="1"/>
  <c r="D80" i="24"/>
  <c r="F80" i="24" s="1"/>
  <c r="D79" i="24"/>
  <c r="D90" i="24" s="1"/>
  <c r="F90" i="24" s="1"/>
  <c r="D32" i="33"/>
  <c r="D18" i="33"/>
  <c r="A48" i="34"/>
  <c r="A47" i="34"/>
  <c r="A46" i="34"/>
  <c r="A45" i="34"/>
  <c r="C20" i="34"/>
  <c r="D20" i="34"/>
  <c r="F20" i="34" s="1"/>
  <c r="F46" i="34"/>
  <c r="E46" i="34"/>
  <c r="F58" i="34"/>
  <c r="B58" i="34"/>
  <c r="E58" i="34" s="1"/>
  <c r="F48" i="34"/>
  <c r="B48" i="34"/>
  <c r="E48" i="34" s="1"/>
  <c r="F47" i="34"/>
  <c r="B47" i="34"/>
  <c r="E47" i="34" s="1"/>
  <c r="A6" i="25"/>
  <c r="A6" i="20"/>
  <c r="A6" i="19"/>
  <c r="A6" i="34"/>
  <c r="A6" i="33"/>
  <c r="A7" i="24"/>
  <c r="A6" i="12"/>
  <c r="A6" i="5"/>
  <c r="A6" i="8"/>
  <c r="A6" i="13"/>
  <c r="A6" i="27"/>
  <c r="A8" i="14"/>
  <c r="A8" i="11"/>
  <c r="A16" i="6"/>
  <c r="D16" i="7"/>
  <c r="D15" i="10"/>
  <c r="A9" i="29"/>
  <c r="F25" i="20"/>
  <c r="F24" i="20"/>
  <c r="F23" i="20"/>
  <c r="F22" i="20"/>
  <c r="F61" i="34"/>
  <c r="F59" i="34"/>
  <c r="B61" i="34"/>
  <c r="F50" i="34"/>
  <c r="F52" i="34"/>
  <c r="F54" i="34"/>
  <c r="F55" i="34"/>
  <c r="F57" i="34"/>
  <c r="F45" i="34"/>
  <c r="F43" i="34"/>
  <c r="F42" i="34"/>
  <c r="B42" i="34"/>
  <c r="E42" i="34" s="1"/>
  <c r="B43" i="34"/>
  <c r="E43" i="34" s="1"/>
  <c r="I27" i="14"/>
  <c r="H27" i="14"/>
  <c r="D23" i="7"/>
  <c r="D46" i="33"/>
  <c r="D45" i="33"/>
  <c r="D44" i="33"/>
  <c r="D43" i="33"/>
  <c r="C16" i="34"/>
  <c r="C31" i="34" s="1"/>
  <c r="C57" i="34" s="1"/>
  <c r="B55" i="34"/>
  <c r="E55" i="34" s="1"/>
  <c r="B54" i="34"/>
  <c r="E54" i="34" s="1"/>
  <c r="B52" i="34"/>
  <c r="E52" i="34" s="1"/>
  <c r="B50" i="34"/>
  <c r="E50" i="34" s="1"/>
  <c r="B45" i="34"/>
  <c r="E45" i="34" s="1"/>
  <c r="B59" i="34"/>
  <c r="E59" i="34" s="1"/>
  <c r="B57" i="34"/>
  <c r="F79" i="24" l="1"/>
  <c r="C22" i="34"/>
  <c r="C32" i="34"/>
  <c r="C21" i="34"/>
  <c r="D21" i="34" s="1"/>
  <c r="F21" i="34" s="1"/>
  <c r="D19" i="33" s="1"/>
  <c r="E61" i="34"/>
  <c r="C35" i="34"/>
  <c r="D35" i="34" s="1"/>
  <c r="F35" i="34" s="1"/>
  <c r="D28" i="33" s="1"/>
  <c r="C26" i="34"/>
  <c r="D26" i="34" s="1"/>
  <c r="F26" i="34" s="1"/>
  <c r="D22" i="33" s="1"/>
  <c r="C33" i="34"/>
  <c r="C61" i="34" s="1"/>
  <c r="D61" i="34" s="1"/>
  <c r="C17" i="34"/>
  <c r="C29" i="34"/>
  <c r="C59" i="34" s="1"/>
  <c r="D59" i="34" s="1"/>
  <c r="G59" i="34" s="1"/>
  <c r="D41" i="33" s="1"/>
  <c r="C42" i="34"/>
  <c r="D42" i="34" s="1"/>
  <c r="G42" i="34" s="1"/>
  <c r="D29" i="33" s="1"/>
  <c r="C28" i="34"/>
  <c r="C19" i="34"/>
  <c r="C46" i="34" s="1"/>
  <c r="D46" i="34" s="1"/>
  <c r="G46" i="34" s="1"/>
  <c r="D16" i="34"/>
  <c r="F16" i="34" s="1"/>
  <c r="D15" i="33" s="1"/>
  <c r="C24" i="34"/>
  <c r="D57" i="34"/>
  <c r="E57" i="34"/>
  <c r="D31" i="34"/>
  <c r="F31" i="34" s="1"/>
  <c r="D25" i="33" s="1"/>
  <c r="G61" i="34" l="1"/>
  <c r="D42" i="33" s="1"/>
  <c r="D32" i="34"/>
  <c r="F32" i="34" s="1"/>
  <c r="D26" i="33" s="1"/>
  <c r="C58" i="34"/>
  <c r="D58" i="34" s="1"/>
  <c r="G58" i="34" s="1"/>
  <c r="D40" i="33" s="1"/>
  <c r="C47" i="34"/>
  <c r="D47" i="34" s="1"/>
  <c r="G47" i="34" s="1"/>
  <c r="D33" i="33" s="1"/>
  <c r="C48" i="34"/>
  <c r="D48" i="34" s="1"/>
  <c r="G48" i="34" s="1"/>
  <c r="D34" i="33" s="1"/>
  <c r="D22" i="34"/>
  <c r="F22" i="34" s="1"/>
  <c r="D20" i="33" s="1"/>
  <c r="C52" i="34"/>
  <c r="D52" i="34" s="1"/>
  <c r="G52" i="34" s="1"/>
  <c r="D36" i="33" s="1"/>
  <c r="D33" i="34"/>
  <c r="F33" i="34" s="1"/>
  <c r="D27" i="33" s="1"/>
  <c r="D19" i="34"/>
  <c r="F19" i="34" s="1"/>
  <c r="D17" i="33" s="1"/>
  <c r="C45" i="34"/>
  <c r="D45" i="34" s="1"/>
  <c r="G45" i="34" s="1"/>
  <c r="D31" i="33" s="1"/>
  <c r="D29" i="34"/>
  <c r="F29" i="34" s="1"/>
  <c r="D24" i="33" s="1"/>
  <c r="C55" i="34"/>
  <c r="D55" i="34" s="1"/>
  <c r="G55" i="34" s="1"/>
  <c r="D38" i="33" s="1"/>
  <c r="D24" i="34"/>
  <c r="F24" i="34" s="1"/>
  <c r="D21" i="33" s="1"/>
  <c r="C50" i="34"/>
  <c r="D50" i="34" s="1"/>
  <c r="G50" i="34" s="1"/>
  <c r="D35" i="33" s="1"/>
  <c r="C54" i="34"/>
  <c r="D54" i="34" s="1"/>
  <c r="G54" i="34" s="1"/>
  <c r="D37" i="33" s="1"/>
  <c r="D28" i="34"/>
  <c r="F28" i="34" s="1"/>
  <c r="D23" i="33" s="1"/>
  <c r="C43" i="34"/>
  <c r="D43" i="34" s="1"/>
  <c r="G43" i="34" s="1"/>
  <c r="D30" i="33" s="1"/>
  <c r="D17" i="34"/>
  <c r="F17" i="34" s="1"/>
  <c r="D16" i="33" s="1"/>
  <c r="G57" i="34"/>
  <c r="D39" i="33" s="1"/>
  <c r="D52" i="33" l="1"/>
  <c r="D50" i="33"/>
  <c r="D51" i="33" l="1"/>
  <c r="G37" i="3"/>
  <c r="G36" i="3"/>
  <c r="J22" i="3"/>
  <c r="C19" i="13"/>
  <c r="C20" i="13" l="1"/>
  <c r="E23" i="29"/>
  <c r="C24" i="11"/>
  <c r="C23" i="11"/>
  <c r="C22" i="11"/>
  <c r="C21" i="11"/>
  <c r="C20" i="11"/>
  <c r="G24" i="24"/>
  <c r="E23" i="13" l="1"/>
  <c r="F36" i="3" l="1"/>
  <c r="E20" i="11"/>
  <c r="D20" i="11"/>
  <c r="G20" i="11"/>
  <c r="E22" i="29"/>
  <c r="J23" i="3"/>
  <c r="E21" i="11"/>
  <c r="D21" i="11"/>
  <c r="G21" i="11"/>
  <c r="F37" i="3"/>
  <c r="J24" i="3" l="1"/>
  <c r="G38" i="3" s="1"/>
  <c r="G39" i="3"/>
  <c r="J26" i="3"/>
  <c r="G40" i="3" s="1"/>
  <c r="F26" i="3"/>
  <c r="F25" i="3"/>
  <c r="F24" i="3"/>
  <c r="F23" i="3"/>
  <c r="F22" i="3"/>
  <c r="E21" i="20"/>
  <c r="A44" i="12" l="1"/>
  <c r="C44" i="12"/>
  <c r="D44" i="12"/>
  <c r="A45" i="12"/>
  <c r="C45" i="12"/>
  <c r="D45" i="12"/>
  <c r="A46" i="12"/>
  <c r="C46" i="12"/>
  <c r="D46" i="12"/>
  <c r="A47" i="12"/>
  <c r="C47" i="12"/>
  <c r="D47" i="12"/>
  <c r="A48" i="12"/>
  <c r="C48" i="12"/>
  <c r="D48" i="12"/>
  <c r="E52" i="12" l="1"/>
  <c r="F48" i="12"/>
  <c r="G48" i="12" s="1"/>
  <c r="F47" i="12"/>
  <c r="G47" i="12" s="1"/>
  <c r="F46" i="12"/>
  <c r="G46" i="12" s="1"/>
  <c r="F45" i="12"/>
  <c r="G45" i="12" s="1"/>
  <c r="F44" i="12"/>
  <c r="E53" i="12"/>
  <c r="F53" i="12" l="1"/>
  <c r="F52" i="12"/>
  <c r="G44" i="12"/>
  <c r="G52" i="12" s="1"/>
  <c r="G53" i="12" l="1"/>
  <c r="D40" i="3" l="1"/>
  <c r="D20" i="25"/>
  <c r="C20" i="25"/>
  <c r="B20" i="25"/>
  <c r="D19" i="25"/>
  <c r="C19" i="25"/>
  <c r="B19" i="25"/>
  <c r="D18" i="25"/>
  <c r="C18" i="25"/>
  <c r="B18" i="25"/>
  <c r="D17" i="25"/>
  <c r="C17" i="25"/>
  <c r="B17" i="25"/>
  <c r="E25" i="20"/>
  <c r="C25" i="20"/>
  <c r="B25" i="20"/>
  <c r="A25" i="20"/>
  <c r="E24" i="20"/>
  <c r="C24" i="20"/>
  <c r="B24" i="20"/>
  <c r="A24" i="20"/>
  <c r="E23" i="20"/>
  <c r="C23" i="20"/>
  <c r="B23" i="20"/>
  <c r="A23" i="20"/>
  <c r="E22" i="20"/>
  <c r="C22" i="20"/>
  <c r="B22" i="20"/>
  <c r="A22" i="20"/>
  <c r="D21" i="19"/>
  <c r="C21" i="19"/>
  <c r="B21" i="19"/>
  <c r="A21" i="19"/>
  <c r="D20" i="19"/>
  <c r="C20" i="19"/>
  <c r="B20" i="19"/>
  <c r="A20" i="19"/>
  <c r="D19" i="19"/>
  <c r="C19" i="19"/>
  <c r="B19" i="19"/>
  <c r="A19" i="19"/>
  <c r="D18" i="19"/>
  <c r="C18" i="19"/>
  <c r="B18" i="19"/>
  <c r="A18" i="19"/>
  <c r="D20" i="12"/>
  <c r="J20" i="12" s="1"/>
  <c r="L20" i="12" s="1"/>
  <c r="M20" i="12" s="1"/>
  <c r="C20" i="12"/>
  <c r="I20" i="12" s="1"/>
  <c r="A20" i="12"/>
  <c r="D19" i="12"/>
  <c r="J19" i="12" s="1"/>
  <c r="L19" i="12" s="1"/>
  <c r="M19" i="12" s="1"/>
  <c r="C19" i="12"/>
  <c r="I19" i="12" s="1"/>
  <c r="A19" i="12"/>
  <c r="D18" i="12"/>
  <c r="F18" i="12" s="1"/>
  <c r="G18" i="12" s="1"/>
  <c r="C18" i="12"/>
  <c r="I18" i="12" s="1"/>
  <c r="A18" i="12"/>
  <c r="D17" i="12"/>
  <c r="J17" i="12" s="1"/>
  <c r="L17" i="12" s="1"/>
  <c r="M17" i="12" s="1"/>
  <c r="C17" i="12"/>
  <c r="I17" i="12" s="1"/>
  <c r="A17" i="12"/>
  <c r="C21" i="5"/>
  <c r="E21" i="5" s="1"/>
  <c r="F21" i="5" s="1"/>
  <c r="B21" i="5"/>
  <c r="H21" i="5" s="1"/>
  <c r="A21" i="5"/>
  <c r="C20" i="5"/>
  <c r="I20" i="5" s="1"/>
  <c r="L20" i="5" s="1"/>
  <c r="M20" i="5" s="1"/>
  <c r="B20" i="5"/>
  <c r="H20" i="5" s="1"/>
  <c r="A20" i="5"/>
  <c r="C19" i="5"/>
  <c r="I19" i="5" s="1"/>
  <c r="L19" i="5" s="1"/>
  <c r="M19" i="5" s="1"/>
  <c r="B19" i="5"/>
  <c r="H19" i="5" s="1"/>
  <c r="A19" i="5"/>
  <c r="C18" i="5"/>
  <c r="E18" i="5" s="1"/>
  <c r="F18" i="5" s="1"/>
  <c r="B18" i="5"/>
  <c r="H18" i="5" s="1"/>
  <c r="A18" i="5"/>
  <c r="E19" i="8"/>
  <c r="D19" i="8"/>
  <c r="C19" i="8"/>
  <c r="B19" i="8"/>
  <c r="A19" i="8"/>
  <c r="E18" i="8"/>
  <c r="D18" i="8"/>
  <c r="C18" i="8"/>
  <c r="B18" i="8"/>
  <c r="A18" i="8"/>
  <c r="E17" i="8"/>
  <c r="D17" i="8"/>
  <c r="C17" i="8"/>
  <c r="B17" i="8"/>
  <c r="A17" i="8"/>
  <c r="E16" i="8"/>
  <c r="D16" i="8"/>
  <c r="C16" i="8"/>
  <c r="B16" i="8"/>
  <c r="A16" i="8"/>
  <c r="B23" i="13"/>
  <c r="A23" i="13"/>
  <c r="B22" i="13"/>
  <c r="A22" i="13"/>
  <c r="B21" i="13"/>
  <c r="A21" i="13"/>
  <c r="B20" i="13"/>
  <c r="A20" i="13"/>
  <c r="K20" i="27"/>
  <c r="D20" i="27"/>
  <c r="J20" i="27" s="1"/>
  <c r="C20" i="27"/>
  <c r="B20" i="27"/>
  <c r="A20" i="27"/>
  <c r="K19" i="27"/>
  <c r="D19" i="27"/>
  <c r="J19" i="27" s="1"/>
  <c r="C19" i="27"/>
  <c r="B19" i="27"/>
  <c r="A19" i="27"/>
  <c r="K18" i="27"/>
  <c r="D18" i="27"/>
  <c r="J18" i="27" s="1"/>
  <c r="C18" i="27"/>
  <c r="B18" i="27"/>
  <c r="A18" i="27"/>
  <c r="K17" i="27"/>
  <c r="D17" i="27"/>
  <c r="J17" i="27" s="1"/>
  <c r="C17" i="27"/>
  <c r="B17" i="27"/>
  <c r="A17" i="27"/>
  <c r="K20" i="17"/>
  <c r="D20" i="17"/>
  <c r="J20" i="17" s="1"/>
  <c r="C20" i="17"/>
  <c r="B20" i="17"/>
  <c r="A20" i="17"/>
  <c r="K19" i="17"/>
  <c r="D19" i="17"/>
  <c r="J19" i="17" s="1"/>
  <c r="C19" i="17"/>
  <c r="B19" i="17"/>
  <c r="A19" i="17"/>
  <c r="K18" i="17"/>
  <c r="D18" i="17"/>
  <c r="J18" i="17" s="1"/>
  <c r="C18" i="17"/>
  <c r="B18" i="17"/>
  <c r="A18" i="17"/>
  <c r="K17" i="17"/>
  <c r="D17" i="17"/>
  <c r="J17" i="17" s="1"/>
  <c r="C17" i="17"/>
  <c r="B17" i="17"/>
  <c r="A17" i="17"/>
  <c r="C22" i="14"/>
  <c r="B22" i="14"/>
  <c r="A22" i="14"/>
  <c r="C21" i="14"/>
  <c r="B21" i="14"/>
  <c r="A21" i="14"/>
  <c r="C20" i="14"/>
  <c r="B20" i="14"/>
  <c r="A20" i="14"/>
  <c r="C19" i="14"/>
  <c r="B19" i="14"/>
  <c r="A19" i="14"/>
  <c r="F24" i="11"/>
  <c r="H24" i="11" s="1"/>
  <c r="B24" i="11"/>
  <c r="A24" i="11"/>
  <c r="F23" i="11"/>
  <c r="H23" i="11" s="1"/>
  <c r="J23" i="11" s="1"/>
  <c r="B23" i="11"/>
  <c r="A23" i="11"/>
  <c r="F22" i="11"/>
  <c r="H22" i="11" s="1"/>
  <c r="B22" i="11"/>
  <c r="A22" i="11"/>
  <c r="F21" i="11"/>
  <c r="H21" i="11" s="1"/>
  <c r="B21" i="11"/>
  <c r="A21" i="11"/>
  <c r="C26" i="29"/>
  <c r="C42" i="29" s="1"/>
  <c r="B26" i="29"/>
  <c r="B42" i="29" s="1"/>
  <c r="A26" i="29"/>
  <c r="A42" i="29" s="1"/>
  <c r="C25" i="29"/>
  <c r="C41" i="29" s="1"/>
  <c r="B25" i="29"/>
  <c r="B41" i="29" s="1"/>
  <c r="A25" i="29"/>
  <c r="A41" i="29" s="1"/>
  <c r="C24" i="29"/>
  <c r="C40" i="29" s="1"/>
  <c r="B24" i="29"/>
  <c r="B40" i="29" s="1"/>
  <c r="A24" i="29"/>
  <c r="A40" i="29" s="1"/>
  <c r="C23" i="29"/>
  <c r="C39" i="29" s="1"/>
  <c r="B23" i="29"/>
  <c r="B39" i="29" s="1"/>
  <c r="A23" i="29"/>
  <c r="A39" i="29" s="1"/>
  <c r="E40" i="3"/>
  <c r="E39" i="3"/>
  <c r="D39" i="3"/>
  <c r="E20" i="19" s="1"/>
  <c r="E38" i="3"/>
  <c r="D38" i="3"/>
  <c r="E19" i="19" s="1"/>
  <c r="E37" i="3"/>
  <c r="D37" i="3"/>
  <c r="G23" i="13"/>
  <c r="E41" i="29"/>
  <c r="E40" i="29"/>
  <c r="C40" i="3"/>
  <c r="B40" i="3"/>
  <c r="A40" i="3"/>
  <c r="C39" i="3"/>
  <c r="B39" i="3"/>
  <c r="A39" i="3"/>
  <c r="C38" i="3"/>
  <c r="B38" i="3"/>
  <c r="A38" i="3"/>
  <c r="C37" i="3"/>
  <c r="B37" i="3"/>
  <c r="A37" i="3"/>
  <c r="F18" i="25" l="1"/>
  <c r="G18" i="25" s="1"/>
  <c r="I18" i="25"/>
  <c r="J18" i="25" s="1"/>
  <c r="F17" i="25"/>
  <c r="G17" i="25" s="1"/>
  <c r="I17" i="25"/>
  <c r="J17" i="25" s="1"/>
  <c r="F20" i="25"/>
  <c r="G20" i="25" s="1"/>
  <c r="I20" i="25"/>
  <c r="J20" i="25" s="1"/>
  <c r="F19" i="25"/>
  <c r="G19" i="25" s="1"/>
  <c r="I19" i="25"/>
  <c r="J19" i="25" s="1"/>
  <c r="J24" i="11"/>
  <c r="I23" i="11"/>
  <c r="K23" i="11" s="1"/>
  <c r="L23" i="11" s="1"/>
  <c r="I21" i="11"/>
  <c r="F19" i="17"/>
  <c r="E42" i="29"/>
  <c r="G21" i="13"/>
  <c r="F20" i="13"/>
  <c r="H20" i="13" s="1"/>
  <c r="I20" i="13" s="1"/>
  <c r="D39" i="29"/>
  <c r="F20" i="27"/>
  <c r="F18" i="17"/>
  <c r="F20" i="17"/>
  <c r="F18" i="27"/>
  <c r="G20" i="13"/>
  <c r="H39" i="3"/>
  <c r="I39" i="3" s="1"/>
  <c r="E39" i="29"/>
  <c r="G22" i="13"/>
  <c r="H40" i="3"/>
  <c r="I40" i="3" s="1"/>
  <c r="F19" i="12"/>
  <c r="G19" i="12" s="1"/>
  <c r="E19" i="5"/>
  <c r="F19" i="5" s="1"/>
  <c r="F17" i="27"/>
  <c r="F19" i="27"/>
  <c r="E20" i="5"/>
  <c r="F20" i="5" s="1"/>
  <c r="F17" i="17"/>
  <c r="F17" i="12"/>
  <c r="G17" i="12" s="1"/>
  <c r="E21" i="19"/>
  <c r="D26" i="29"/>
  <c r="F26" i="29" s="1"/>
  <c r="D23" i="29"/>
  <c r="F23" i="29" s="1"/>
  <c r="D24" i="29"/>
  <c r="F24" i="29" s="1"/>
  <c r="D25" i="29"/>
  <c r="F25" i="29" s="1"/>
  <c r="E18" i="19"/>
  <c r="F20" i="12"/>
  <c r="G20" i="12" s="1"/>
  <c r="J18" i="12"/>
  <c r="L18" i="12" s="1"/>
  <c r="M18" i="12" s="1"/>
  <c r="I21" i="5"/>
  <c r="L21" i="5" s="1"/>
  <c r="M21" i="5" s="1"/>
  <c r="I18" i="5"/>
  <c r="L18" i="5" s="1"/>
  <c r="M18" i="5" s="1"/>
  <c r="H17" i="27"/>
  <c r="H18" i="27"/>
  <c r="H19" i="27"/>
  <c r="H20" i="27"/>
  <c r="H17" i="17"/>
  <c r="H18" i="17"/>
  <c r="H19" i="17"/>
  <c r="H20" i="17"/>
  <c r="J21" i="11"/>
  <c r="I22" i="11"/>
  <c r="I24" i="11"/>
  <c r="J22" i="11"/>
  <c r="H37" i="3"/>
  <c r="I37" i="3" s="1"/>
  <c r="D23" i="20" l="1"/>
  <c r="F19" i="19"/>
  <c r="J19" i="19" s="1"/>
  <c r="F18" i="19"/>
  <c r="D22" i="20"/>
  <c r="F21" i="19"/>
  <c r="D25" i="20"/>
  <c r="D24" i="20"/>
  <c r="F20" i="19"/>
  <c r="J20" i="19" s="1"/>
  <c r="J21" i="19"/>
  <c r="K24" i="11"/>
  <c r="L24" i="11" s="1"/>
  <c r="K21" i="11"/>
  <c r="L21" i="11" s="1"/>
  <c r="K22" i="11"/>
  <c r="L22" i="11" s="1"/>
  <c r="I21" i="19"/>
  <c r="D41" i="29"/>
  <c r="F41" i="29" s="1"/>
  <c r="F22" i="13"/>
  <c r="H38" i="3"/>
  <c r="F21" i="13"/>
  <c r="D40" i="29"/>
  <c r="F40" i="29" s="1"/>
  <c r="J20" i="13"/>
  <c r="D42" i="29"/>
  <c r="F42" i="29" s="1"/>
  <c r="F23" i="13"/>
  <c r="F39" i="29"/>
  <c r="J40" i="3"/>
  <c r="J37" i="3"/>
  <c r="J39" i="3"/>
  <c r="I19" i="19" l="1"/>
  <c r="I20" i="19"/>
  <c r="J21" i="13"/>
  <c r="H21" i="13"/>
  <c r="I21" i="13" s="1"/>
  <c r="I38" i="3"/>
  <c r="J38" i="3"/>
  <c r="J22" i="13"/>
  <c r="H22" i="13"/>
  <c r="I22" i="13" s="1"/>
  <c r="H23" i="13"/>
  <c r="I23" i="13" s="1"/>
  <c r="J23" i="13"/>
  <c r="J18" i="19"/>
  <c r="I18" i="19"/>
  <c r="G25" i="8"/>
  <c r="G24" i="8"/>
  <c r="G23" i="8"/>
  <c r="G19" i="13" l="1"/>
  <c r="F19" i="13" l="1"/>
  <c r="A20" i="11"/>
  <c r="C21" i="20" l="1"/>
  <c r="B21" i="20"/>
  <c r="A21" i="20"/>
  <c r="C17" i="19"/>
  <c r="B17" i="19"/>
  <c r="A17" i="19"/>
  <c r="C16" i="12"/>
  <c r="I16" i="12" s="1"/>
  <c r="A16" i="12"/>
  <c r="B17" i="5"/>
  <c r="H17" i="5" s="1"/>
  <c r="A17" i="5"/>
  <c r="D15" i="8"/>
  <c r="C16" i="25" l="1"/>
  <c r="B16" i="25"/>
  <c r="C15" i="8"/>
  <c r="B15" i="8"/>
  <c r="A15" i="8"/>
  <c r="B19" i="13"/>
  <c r="A19" i="13"/>
  <c r="C16" i="27"/>
  <c r="B16" i="27"/>
  <c r="A16" i="27"/>
  <c r="C16" i="17"/>
  <c r="B16" i="17"/>
  <c r="A16" i="17"/>
  <c r="C18" i="14" l="1"/>
  <c r="B18" i="14"/>
  <c r="A18" i="14"/>
  <c r="B20" i="11" l="1"/>
  <c r="C22" i="29"/>
  <c r="C38" i="29" s="1"/>
  <c r="B22" i="29"/>
  <c r="B38" i="29" s="1"/>
  <c r="A22" i="29"/>
  <c r="A38" i="29" s="1"/>
  <c r="A6" i="17" l="1"/>
  <c r="G64" i="10"/>
  <c r="K16" i="17"/>
  <c r="B51" i="29"/>
  <c r="I25" i="27"/>
  <c r="G25" i="27"/>
  <c r="E25" i="27"/>
  <c r="I24" i="27"/>
  <c r="G24" i="27"/>
  <c r="E24" i="27"/>
  <c r="K16" i="27"/>
  <c r="D16" i="27"/>
  <c r="J16" i="27" s="1"/>
  <c r="J25" i="8"/>
  <c r="I25" i="8"/>
  <c r="A15" i="24" l="1"/>
  <c r="A24" i="24"/>
  <c r="G22" i="20"/>
  <c r="H22" i="20" s="1"/>
  <c r="G24" i="20"/>
  <c r="H24" i="20" s="1"/>
  <c r="G23" i="20"/>
  <c r="H23" i="20" s="1"/>
  <c r="G25" i="20"/>
  <c r="H25" i="20" s="1"/>
  <c r="D48" i="10"/>
  <c r="K25" i="27"/>
  <c r="D16" i="24" s="1"/>
  <c r="K24" i="27"/>
  <c r="D15" i="24" s="1"/>
  <c r="F16" i="27"/>
  <c r="H16" i="27"/>
  <c r="K24" i="17"/>
  <c r="C15" i="24" s="1"/>
  <c r="K25" i="17"/>
  <c r="C16" i="24" s="1"/>
  <c r="J25" i="27" l="1"/>
  <c r="J24" i="27"/>
  <c r="F25" i="27"/>
  <c r="F24" i="27"/>
  <c r="H25" i="27"/>
  <c r="H24" i="27"/>
  <c r="I25" i="17" l="1"/>
  <c r="I24" i="17"/>
  <c r="H24" i="24" l="1"/>
  <c r="D58" i="10"/>
  <c r="G31" i="10" l="1"/>
  <c r="D16" i="25"/>
  <c r="I16" i="25" s="1"/>
  <c r="J16" i="25" s="1"/>
  <c r="D25" i="10"/>
  <c r="J24" i="25" l="1"/>
  <c r="J25" i="25"/>
  <c r="I25" i="25"/>
  <c r="I24" i="25"/>
  <c r="G21" i="20"/>
  <c r="F16" i="25"/>
  <c r="G16" i="25" s="1"/>
  <c r="H25" i="19"/>
  <c r="G25" i="19"/>
  <c r="H24" i="19"/>
  <c r="G24" i="19"/>
  <c r="D17" i="19"/>
  <c r="G25" i="17"/>
  <c r="G24" i="17"/>
  <c r="D16" i="17"/>
  <c r="J16" i="17" s="1"/>
  <c r="E25" i="17"/>
  <c r="E24" i="17"/>
  <c r="I26" i="14"/>
  <c r="I25" i="14"/>
  <c r="I24" i="8"/>
  <c r="I23" i="8"/>
  <c r="F20" i="11"/>
  <c r="H20" i="11" s="1"/>
  <c r="E15" i="8"/>
  <c r="C17" i="5"/>
  <c r="I17" i="5" s="1"/>
  <c r="L17" i="5" s="1"/>
  <c r="J31" i="12"/>
  <c r="D23" i="10" s="1"/>
  <c r="I31" i="12"/>
  <c r="H30" i="5"/>
  <c r="G30" i="5"/>
  <c r="H26" i="14"/>
  <c r="H25" i="14"/>
  <c r="J19" i="13"/>
  <c r="H19" i="13"/>
  <c r="I19" i="13" s="1"/>
  <c r="K25" i="12"/>
  <c r="E25" i="12"/>
  <c r="K24" i="12"/>
  <c r="E24" i="12"/>
  <c r="D16" i="12"/>
  <c r="J16" i="12" s="1"/>
  <c r="G24" i="25" l="1"/>
  <c r="G25" i="25"/>
  <c r="J28" i="13"/>
  <c r="I28" i="13"/>
  <c r="J25" i="17"/>
  <c r="J24" i="17"/>
  <c r="J27" i="13"/>
  <c r="I27" i="13"/>
  <c r="L16" i="12"/>
  <c r="H16" i="17"/>
  <c r="F16" i="17"/>
  <c r="F25" i="25"/>
  <c r="F24" i="25"/>
  <c r="F16" i="12"/>
  <c r="G16" i="12" s="1"/>
  <c r="F17" i="19" l="1"/>
  <c r="D21" i="20"/>
  <c r="H21" i="20" s="1"/>
  <c r="F24" i="17"/>
  <c r="F25" i="17"/>
  <c r="H24" i="17"/>
  <c r="H25" i="17"/>
  <c r="G24" i="12"/>
  <c r="F25" i="12"/>
  <c r="F24" i="12"/>
  <c r="M16" i="12"/>
  <c r="G25" i="12"/>
  <c r="H29" i="20" l="1"/>
  <c r="H28" i="20"/>
  <c r="L25" i="12"/>
  <c r="L24" i="12"/>
  <c r="J17" i="19"/>
  <c r="F25" i="19"/>
  <c r="F24" i="19"/>
  <c r="I17" i="19"/>
  <c r="M25" i="12"/>
  <c r="M24" i="12"/>
  <c r="J25" i="19" l="1"/>
  <c r="J24" i="19"/>
  <c r="I25" i="19"/>
  <c r="I24" i="19"/>
  <c r="J26" i="5"/>
  <c r="J25" i="5"/>
  <c r="J20" i="11"/>
  <c r="I20" i="11"/>
  <c r="D56" i="10"/>
  <c r="F56" i="10" s="1"/>
  <c r="C58" i="10"/>
  <c r="C56" i="10"/>
  <c r="F58" i="10"/>
  <c r="F25" i="10"/>
  <c r="C25" i="10"/>
  <c r="F23" i="10"/>
  <c r="C23" i="10"/>
  <c r="K20" i="11" l="1"/>
  <c r="L20" i="11" s="1"/>
  <c r="G25" i="10"/>
  <c r="C27" i="10"/>
  <c r="C60" i="10"/>
  <c r="G23" i="10"/>
  <c r="G56" i="10"/>
  <c r="G58" i="10"/>
  <c r="D38" i="29" l="1"/>
  <c r="E38" i="29"/>
  <c r="L28" i="11"/>
  <c r="L29" i="11"/>
  <c r="G27" i="10"/>
  <c r="G60" i="10"/>
  <c r="F38" i="29" l="1"/>
  <c r="M17" i="5"/>
  <c r="L25" i="5"/>
  <c r="L26" i="5"/>
  <c r="F43" i="29" l="1"/>
  <c r="D51" i="29" s="1"/>
  <c r="M26" i="5"/>
  <c r="M25" i="5"/>
  <c r="E17" i="5" l="1"/>
  <c r="C23" i="7" l="1"/>
  <c r="C50" i="29" s="1"/>
  <c r="C25" i="7"/>
  <c r="C51" i="29" s="1"/>
  <c r="E51" i="29" s="1"/>
  <c r="D25" i="7" l="1"/>
  <c r="J23" i="8" l="1"/>
  <c r="J24" i="8" l="1"/>
  <c r="D36" i="3" l="1"/>
  <c r="E17" i="19" l="1"/>
  <c r="D22" i="29"/>
  <c r="F22" i="29" s="1"/>
  <c r="F27" i="29" s="1"/>
  <c r="D50" i="29" s="1"/>
  <c r="E50" i="29" s="1"/>
  <c r="E52" i="29" s="1"/>
  <c r="D26" i="5" l="1"/>
  <c r="D25" i="5"/>
  <c r="E36" i="3" l="1"/>
  <c r="H36" i="3" l="1"/>
  <c r="J36" i="3" s="1"/>
  <c r="I36" i="3" l="1"/>
  <c r="I44" i="3" s="1"/>
  <c r="J45" i="3"/>
  <c r="C36" i="3" l="1"/>
  <c r="B36" i="3" l="1"/>
  <c r="A36" i="3"/>
  <c r="E25" i="5" l="1"/>
  <c r="J44" i="3"/>
  <c r="E26" i="5"/>
  <c r="I45" i="3"/>
  <c r="F17" i="5"/>
  <c r="F25" i="5" s="1"/>
  <c r="F23" i="7" l="1"/>
  <c r="G23" i="7" s="1"/>
  <c r="F26" i="5"/>
  <c r="C27" i="7"/>
  <c r="F25" i="7"/>
  <c r="G25" i="7" s="1"/>
  <c r="G2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rev4287</author>
    <author>Baker, Mike A (DOR)</author>
    <author>rev3569</author>
    <author>rev3857</author>
  </authors>
  <commentList>
    <comment ref="H22" authorId="0" shapeId="0" xr:uid="{B4A28626-1652-4FB8-9EB9-E535E8F69B6C}">
      <text>
        <r>
          <rPr>
            <b/>
            <sz val="9"/>
            <color indexed="81"/>
            <rFont val="Tahoma"/>
            <family val="2"/>
          </rPr>
          <t>rev4287:</t>
        </r>
        <r>
          <rPr>
            <sz val="9"/>
            <color indexed="81"/>
            <rFont val="Tahoma"/>
            <family val="2"/>
          </rPr>
          <t xml:space="preserve">
Page 2 of 40-F</t>
        </r>
      </text>
    </comment>
    <comment ref="J22" authorId="1" shapeId="0" xr:uid="{FBE6CA57-1AFA-497C-A7DF-31F36E620913}">
      <text>
        <r>
          <rPr>
            <b/>
            <sz val="9"/>
            <color indexed="81"/>
            <rFont val="Tahoma"/>
            <family val="2"/>
          </rPr>
          <t>Baker, Mike A (DOR):</t>
        </r>
        <r>
          <rPr>
            <sz val="9"/>
            <color indexed="81"/>
            <rFont val="Tahoma"/>
            <family val="2"/>
          </rPr>
          <t xml:space="preserve">
See 10K page 73 - 3</t>
        </r>
      </text>
    </comment>
    <comment ref="H23" authorId="0" shapeId="0" xr:uid="{67109EC3-A6F0-47FE-BBCB-763595EEFCB7}">
      <text>
        <r>
          <rPr>
            <b/>
            <sz val="9"/>
            <color indexed="81"/>
            <rFont val="Tahoma"/>
            <family val="2"/>
          </rPr>
          <t>rev4287:</t>
        </r>
        <r>
          <rPr>
            <sz val="9"/>
            <color indexed="81"/>
            <rFont val="Tahoma"/>
            <family val="2"/>
          </rPr>
          <t xml:space="preserve">
Page 92 of 10-K</t>
        </r>
      </text>
    </comment>
    <comment ref="J23" authorId="1" shapeId="0" xr:uid="{9372418E-1608-4DC8-8904-F3BBA45F32BD}">
      <text>
        <r>
          <rPr>
            <b/>
            <sz val="9"/>
            <color indexed="81"/>
            <rFont val="Tahoma"/>
            <family val="2"/>
          </rPr>
          <t>Baker, Mike A (DOR):</t>
        </r>
        <r>
          <rPr>
            <sz val="9"/>
            <color indexed="81"/>
            <rFont val="Tahoma"/>
            <family val="2"/>
          </rPr>
          <t xml:space="preserve">
See page 90-92</t>
        </r>
      </text>
    </comment>
    <comment ref="H24" authorId="0" shapeId="0" xr:uid="{C545E967-A4AC-4260-A82A-069E3DD90599}">
      <text>
        <r>
          <rPr>
            <b/>
            <sz val="9"/>
            <color indexed="81"/>
            <rFont val="Tahoma"/>
            <family val="2"/>
          </rPr>
          <t>rev4287:</t>
        </r>
        <r>
          <rPr>
            <sz val="9"/>
            <color indexed="81"/>
            <rFont val="Tahoma"/>
            <family val="2"/>
          </rPr>
          <t xml:space="preserve">
Page 52 of 10-K</t>
        </r>
      </text>
    </comment>
    <comment ref="J24" authorId="1" shapeId="0" xr:uid="{0A1DB4DD-C5D8-4C7E-AD04-820ABB6CFAE8}">
      <text>
        <r>
          <rPr>
            <b/>
            <sz val="9"/>
            <color indexed="81"/>
            <rFont val="Tahoma"/>
            <family val="2"/>
          </rPr>
          <t>Baker, Mike A (DOR):</t>
        </r>
        <r>
          <rPr>
            <sz val="9"/>
            <color indexed="81"/>
            <rFont val="Tahoma"/>
            <family val="2"/>
          </rPr>
          <t xml:space="preserve">
See page 50</t>
        </r>
      </text>
    </comment>
    <comment ref="H25" authorId="0" shapeId="0" xr:uid="{D5ADE54E-D721-434B-87FF-32D488A5E949}">
      <text>
        <r>
          <rPr>
            <b/>
            <sz val="9"/>
            <color indexed="81"/>
            <rFont val="Tahoma"/>
            <family val="2"/>
          </rPr>
          <t>rev4287:</t>
        </r>
        <r>
          <rPr>
            <sz val="9"/>
            <color indexed="81"/>
            <rFont val="Tahoma"/>
            <family val="2"/>
          </rPr>
          <t xml:space="preserve">
Page 41 of 10-K</t>
        </r>
      </text>
    </comment>
    <comment ref="J25" authorId="1" shapeId="0" xr:uid="{CA669990-4E17-457D-9DE4-3BC04DEB5E20}">
      <text>
        <r>
          <rPr>
            <b/>
            <sz val="9"/>
            <color indexed="81"/>
            <rFont val="Tahoma"/>
            <family val="2"/>
          </rPr>
          <t>Baker, Mike A (DOR):</t>
        </r>
        <r>
          <rPr>
            <sz val="9"/>
            <color indexed="81"/>
            <rFont val="Tahoma"/>
            <family val="2"/>
          </rPr>
          <t xml:space="preserve">
See 10K page K55</t>
        </r>
      </text>
    </comment>
    <comment ref="H26" authorId="1" shapeId="0" xr:uid="{82FDFEC0-2F35-4E95-A1F2-7A7CC05E77BE}">
      <text>
        <r>
          <rPr>
            <b/>
            <sz val="9"/>
            <color indexed="81"/>
            <rFont val="Tahoma"/>
            <family val="2"/>
          </rPr>
          <t>Baker, Mike A (DOR):</t>
        </r>
        <r>
          <rPr>
            <sz val="9"/>
            <color indexed="81"/>
            <rFont val="Tahoma"/>
            <family val="2"/>
          </rPr>
          <t xml:space="preserve">
See 10K page 45</t>
        </r>
      </text>
    </comment>
    <comment ref="F32" authorId="2" shapeId="0" xr:uid="{CEF678F7-6580-4CF3-AC8E-A803AFF27478}">
      <text>
        <r>
          <rPr>
            <b/>
            <sz val="11"/>
            <color indexed="81"/>
            <rFont val="Tahoma"/>
            <family val="2"/>
          </rPr>
          <t>rev3569:</t>
        </r>
        <r>
          <rPr>
            <sz val="11"/>
            <color indexed="81"/>
            <rFont val="Tahoma"/>
            <family val="2"/>
          </rPr>
          <t xml:space="preserve">
identify present value in 10K</t>
        </r>
      </text>
    </comment>
    <comment ref="F36" authorId="1" shapeId="0" xr:uid="{5D3A7E9E-31FD-48DE-A814-52821D26E9B2}">
      <text>
        <r>
          <rPr>
            <b/>
            <sz val="9"/>
            <color indexed="81"/>
            <rFont val="Tahoma"/>
            <family val="2"/>
          </rPr>
          <t>Baker, Mike A (DOR):</t>
        </r>
        <r>
          <rPr>
            <sz val="9"/>
            <color indexed="81"/>
            <rFont val="Tahoma"/>
            <family val="2"/>
          </rPr>
          <t xml:space="preserve">
Page 94   10K</t>
        </r>
      </text>
    </comment>
    <comment ref="G36" authorId="3" shapeId="0" xr:uid="{32758C80-C783-4890-9BF5-A04AE5CA4564}">
      <text>
        <r>
          <rPr>
            <sz val="9"/>
            <color indexed="81"/>
            <rFont val="Tahoma"/>
            <family val="2"/>
          </rPr>
          <t>Page 119  of Annual Report</t>
        </r>
      </text>
    </comment>
    <comment ref="F37" authorId="1" shapeId="0" xr:uid="{D5DE34DD-BBCB-45CC-A888-19FBADE7ED9F}">
      <text>
        <r>
          <rPr>
            <b/>
            <sz val="9"/>
            <color indexed="81"/>
            <rFont val="Tahoma"/>
            <family val="2"/>
          </rPr>
          <t>Baker, Mike A (DOR):</t>
        </r>
        <r>
          <rPr>
            <sz val="9"/>
            <color indexed="81"/>
            <rFont val="Tahoma"/>
            <family val="2"/>
          </rPr>
          <t xml:space="preserve">
Page 120   10K</t>
        </r>
      </text>
    </comment>
    <comment ref="G37" authorId="3" shapeId="0" xr:uid="{C67C4F7B-0191-4B81-B05E-7AAF2C5A5112}">
      <text>
        <r>
          <rPr>
            <sz val="9"/>
            <color indexed="81"/>
            <rFont val="Tahoma"/>
            <family val="2"/>
          </rPr>
          <t>Page 114 - 116 of Annual report</t>
        </r>
      </text>
    </comment>
    <comment ref="F38" authorId="1" shapeId="0" xr:uid="{1D90F27A-A7F2-471D-AF0F-0A07FE12A269}">
      <text>
        <r>
          <rPr>
            <b/>
            <sz val="9"/>
            <color indexed="81"/>
            <rFont val="Tahoma"/>
            <family val="2"/>
          </rPr>
          <t>Baker, Mike A (DOR):</t>
        </r>
        <r>
          <rPr>
            <sz val="9"/>
            <color indexed="81"/>
            <rFont val="Tahoma"/>
            <family val="2"/>
          </rPr>
          <t xml:space="preserve">
Page 77   10K</t>
        </r>
      </text>
    </comment>
    <comment ref="G38" authorId="3" shapeId="0" xr:uid="{118A4245-1E4E-4489-9842-381063F6BE3C}">
      <text>
        <r>
          <rPr>
            <sz val="9"/>
            <color indexed="81"/>
            <rFont val="Tahoma"/>
            <family val="2"/>
          </rPr>
          <t>Page 100 of PDF, 10-K</t>
        </r>
      </text>
    </comment>
    <comment ref="F39" authorId="1" shapeId="0" xr:uid="{514262DD-9C63-49F2-975A-5F701A02C8C0}">
      <text>
        <r>
          <rPr>
            <b/>
            <sz val="9"/>
            <color indexed="81"/>
            <rFont val="Tahoma"/>
            <family val="2"/>
          </rPr>
          <t xml:space="preserve">Baker, Mike A (DOR)See 10K page K58
</t>
        </r>
      </text>
    </comment>
    <comment ref="G39" authorId="3" shapeId="0" xr:uid="{24D5EDAA-506C-4DDE-B87B-860D8404FE6B}">
      <text>
        <r>
          <rPr>
            <sz val="9"/>
            <color indexed="81"/>
            <rFont val="Tahoma"/>
            <family val="2"/>
          </rPr>
          <t xml:space="preserve">See 10K page K51
</t>
        </r>
      </text>
    </comment>
    <comment ref="F40" authorId="1" shapeId="0" xr:uid="{F024C223-BA72-4628-B239-44116A7A227B}">
      <text>
        <r>
          <rPr>
            <b/>
            <sz val="9"/>
            <color indexed="81"/>
            <rFont val="Tahoma"/>
            <family val="2"/>
          </rPr>
          <t>Baker, Mike A (DOR):</t>
        </r>
        <r>
          <rPr>
            <sz val="9"/>
            <color indexed="81"/>
            <rFont val="Tahoma"/>
            <family val="2"/>
          </rPr>
          <t xml:space="preserve">
See 10K page 69
</t>
        </r>
      </text>
    </comment>
    <comment ref="G40" authorId="3" shapeId="0" xr:uid="{37C35D04-F59E-4873-B94D-D4BB678FFCAA}">
      <text>
        <r>
          <rPr>
            <sz val="9"/>
            <color indexed="81"/>
            <rFont val="Tahoma"/>
            <family val="2"/>
          </rPr>
          <t xml:space="preserve">See 10K page 66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Baker, Mike A (DOR)</author>
  </authors>
  <commentList>
    <comment ref="E22" authorId="0" shapeId="0" xr:uid="{2F0FDA52-CB6F-4CD4-BF4C-4F5BF41A4A77}">
      <text>
        <r>
          <rPr>
            <b/>
            <sz val="9"/>
            <color indexed="81"/>
            <rFont val="Tahoma"/>
            <family val="2"/>
          </rPr>
          <t>Baker, Mike A (DOR):</t>
        </r>
        <r>
          <rPr>
            <sz val="9"/>
            <color indexed="81"/>
            <rFont val="Tahoma"/>
            <family val="2"/>
          </rPr>
          <t xml:space="preserve">
See 10K page 100</t>
        </r>
      </text>
    </comment>
    <comment ref="E23" authorId="0" shapeId="0" xr:uid="{3944DC1D-226A-455A-BA5B-6EB06081F58F}">
      <text>
        <r>
          <rPr>
            <b/>
            <sz val="9"/>
            <color indexed="81"/>
            <rFont val="Tahoma"/>
            <family val="2"/>
          </rPr>
          <t>Baker, Mike A (DOR):</t>
        </r>
        <r>
          <rPr>
            <sz val="9"/>
            <color indexed="81"/>
            <rFont val="Tahoma"/>
            <family val="2"/>
          </rPr>
          <t xml:space="preserve">
See 10K page 90</t>
        </r>
      </text>
    </comment>
    <comment ref="E24" authorId="0" shapeId="0" xr:uid="{1B3B2C9B-AFEF-47D6-BB11-E03F97DBCC00}">
      <text>
        <r>
          <rPr>
            <b/>
            <sz val="9"/>
            <color indexed="81"/>
            <rFont val="Tahoma"/>
            <family val="2"/>
          </rPr>
          <t>Baker, Mike A (DOR):</t>
        </r>
        <r>
          <rPr>
            <sz val="9"/>
            <color indexed="81"/>
            <rFont val="Tahoma"/>
            <family val="2"/>
          </rPr>
          <t xml:space="preserve">
See 10K page 50
</t>
        </r>
      </text>
    </comment>
    <comment ref="E25" authorId="0" shapeId="0" xr:uid="{5459910F-46C2-4AE5-B03D-5D0CD02262E5}">
      <text>
        <r>
          <rPr>
            <b/>
            <sz val="9"/>
            <color indexed="81"/>
            <rFont val="Tahoma"/>
            <family val="2"/>
          </rPr>
          <t>Baker, Mike A (DOR):</t>
        </r>
        <r>
          <rPr>
            <sz val="9"/>
            <color indexed="81"/>
            <rFont val="Tahoma"/>
            <family val="2"/>
          </rPr>
          <t xml:space="preserve">
See 10K page K41</t>
        </r>
      </text>
    </comment>
    <comment ref="E26" authorId="0" shapeId="0" xr:uid="{FA7B8A1A-ACB9-4BC9-8D87-C792654396BD}">
      <text>
        <r>
          <rPr>
            <b/>
            <sz val="9"/>
            <color indexed="81"/>
            <rFont val="Tahoma"/>
            <family val="2"/>
          </rPr>
          <t>Baker, Mike A (DOR):</t>
        </r>
        <r>
          <rPr>
            <sz val="9"/>
            <color indexed="81"/>
            <rFont val="Tahoma"/>
            <family val="2"/>
          </rPr>
          <t xml:space="preserve">
See 10K page 45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Baker, Mike A (DOR)</author>
  </authors>
  <commentList>
    <comment ref="D20" authorId="0" shapeId="0" xr:uid="{6D4EDF53-C434-4993-AD79-C8F570F3F05C}">
      <text>
        <r>
          <rPr>
            <b/>
            <sz val="9"/>
            <color indexed="81"/>
            <rFont val="Tahoma"/>
            <family val="2"/>
          </rPr>
          <t>Baker, Mike A (DOR):</t>
        </r>
        <r>
          <rPr>
            <sz val="9"/>
            <color indexed="81"/>
            <rFont val="Tahoma"/>
            <family val="2"/>
          </rPr>
          <t xml:space="preserve">
See 10K page 113/119</t>
        </r>
      </text>
    </comment>
    <comment ref="G20" authorId="0" shapeId="0" xr:uid="{E70CB2D7-73F6-4310-A7E7-FAB0FE210A72}">
      <text>
        <r>
          <rPr>
            <b/>
            <sz val="9"/>
            <color indexed="81"/>
            <rFont val="Tahoma"/>
            <family val="2"/>
          </rPr>
          <t>Baker, Mike A (DOR):</t>
        </r>
        <r>
          <rPr>
            <sz val="9"/>
            <color indexed="81"/>
            <rFont val="Tahoma"/>
            <family val="2"/>
          </rPr>
          <t xml:space="preserve">
See 10K page 5</t>
        </r>
      </text>
    </comment>
    <comment ref="D21" authorId="0" shapeId="0" xr:uid="{8124B00B-41E4-4DF3-B694-E8F5C21535AA}">
      <text>
        <r>
          <rPr>
            <b/>
            <sz val="9"/>
            <color indexed="81"/>
            <rFont val="Tahoma"/>
            <family val="2"/>
          </rPr>
          <t>Baker, Mike A (DOR):</t>
        </r>
        <r>
          <rPr>
            <sz val="9"/>
            <color indexed="81"/>
            <rFont val="Tahoma"/>
            <family val="2"/>
          </rPr>
          <t xml:space="preserve">
See 10K page 170</t>
        </r>
      </text>
    </comment>
    <comment ref="G21" authorId="0" shapeId="0" xr:uid="{E174D504-A3C6-47AF-A85B-B58B7663A27D}">
      <text>
        <r>
          <rPr>
            <b/>
            <sz val="9"/>
            <color indexed="81"/>
            <rFont val="Tahoma"/>
            <family val="2"/>
          </rPr>
          <t>Baker, Mike A (DOR):</t>
        </r>
        <r>
          <rPr>
            <sz val="9"/>
            <color indexed="81"/>
            <rFont val="Tahoma"/>
            <family val="2"/>
          </rPr>
          <t xml:space="preserve">
See 10K page 88</t>
        </r>
      </text>
    </comment>
    <comment ref="D22" authorId="0" shapeId="0" xr:uid="{64252B38-C287-420F-BB69-01D3EFD13653}">
      <text>
        <r>
          <rPr>
            <b/>
            <sz val="9"/>
            <color indexed="81"/>
            <rFont val="Tahoma"/>
            <family val="2"/>
          </rPr>
          <t>Baker, Mike A (DOR):</t>
        </r>
        <r>
          <rPr>
            <sz val="9"/>
            <color indexed="81"/>
            <rFont val="Tahoma"/>
            <family val="2"/>
          </rPr>
          <t xml:space="preserve">
See 10K page 50
</t>
        </r>
      </text>
    </comment>
    <comment ref="E22" authorId="0" shapeId="0" xr:uid="{073D1A9F-281C-4946-940E-3CEC3B2B41C9}">
      <text>
        <r>
          <rPr>
            <b/>
            <sz val="9"/>
            <color indexed="81"/>
            <rFont val="Tahoma"/>
            <family val="2"/>
          </rPr>
          <t>Baker, Mike A (DOR): See 10K page 50</t>
        </r>
        <r>
          <rPr>
            <sz val="9"/>
            <color indexed="81"/>
            <rFont val="Tahoma"/>
            <family val="2"/>
          </rPr>
          <t xml:space="preserve">
</t>
        </r>
      </text>
    </comment>
    <comment ref="G22" authorId="0" shapeId="0" xr:uid="{DD6A4E54-DB0F-42C4-A4EF-18C100227F26}">
      <text>
        <r>
          <rPr>
            <b/>
            <sz val="9"/>
            <color indexed="81"/>
            <rFont val="Tahoma"/>
            <family val="2"/>
          </rPr>
          <t>Baker, Mike A (DOR):</t>
        </r>
        <r>
          <rPr>
            <sz val="9"/>
            <color indexed="81"/>
            <rFont val="Tahoma"/>
            <family val="2"/>
          </rPr>
          <t xml:space="preserve">
See 10K page 48</t>
        </r>
      </text>
    </comment>
    <comment ref="D23" authorId="0" shapeId="0" xr:uid="{AE6A0920-F7DF-4F4E-89B5-1EB21F92EC6E}">
      <text>
        <r>
          <rPr>
            <b/>
            <sz val="9"/>
            <color indexed="81"/>
            <rFont val="Tahoma"/>
            <family val="2"/>
          </rPr>
          <t>Baker, Mike A (DOR):</t>
        </r>
        <r>
          <rPr>
            <sz val="9"/>
            <color indexed="81"/>
            <rFont val="Tahoma"/>
            <family val="2"/>
          </rPr>
          <t xml:space="preserve">
See 10K page K53</t>
        </r>
      </text>
    </comment>
    <comment ref="E23" authorId="0" shapeId="0" xr:uid="{59354ABE-FDED-48E9-A39C-6936D75E7509}">
      <text>
        <r>
          <rPr>
            <b/>
            <sz val="9"/>
            <color indexed="81"/>
            <rFont val="Tahoma"/>
            <family val="2"/>
          </rPr>
          <t>Baker, Mike A (DOR): See 10K page 54</t>
        </r>
        <r>
          <rPr>
            <sz val="9"/>
            <color indexed="81"/>
            <rFont val="Tahoma"/>
            <family val="2"/>
          </rPr>
          <t xml:space="preserve">
</t>
        </r>
      </text>
    </comment>
    <comment ref="G23" authorId="0" shapeId="0" xr:uid="{586232E7-2617-42DD-BD71-400165FBC48A}">
      <text>
        <r>
          <rPr>
            <b/>
            <sz val="9"/>
            <color indexed="81"/>
            <rFont val="Tahoma"/>
            <family val="2"/>
          </rPr>
          <t>Baker, Mike A (DOR):</t>
        </r>
        <r>
          <rPr>
            <sz val="9"/>
            <color indexed="81"/>
            <rFont val="Tahoma"/>
            <family val="2"/>
          </rPr>
          <t xml:space="preserve">
See 10K page K39
</t>
        </r>
      </text>
    </comment>
    <comment ref="D24" authorId="0" shapeId="0" xr:uid="{B632E231-4FEE-4792-A714-12CDA76C0DBC}">
      <text>
        <r>
          <rPr>
            <b/>
            <sz val="9"/>
            <color indexed="81"/>
            <rFont val="Tahoma"/>
            <family val="2"/>
          </rPr>
          <t>Baker, Mike A (DOR):</t>
        </r>
        <r>
          <rPr>
            <sz val="9"/>
            <color indexed="81"/>
            <rFont val="Tahoma"/>
            <family val="2"/>
          </rPr>
          <t xml:space="preserve">
See 10K page 64
</t>
        </r>
      </text>
    </comment>
    <comment ref="E24" authorId="0" shapeId="0" xr:uid="{BE0A1BA4-1F7B-482B-845E-887E286D1F5F}">
      <text>
        <r>
          <rPr>
            <b/>
            <sz val="9"/>
            <color indexed="81"/>
            <rFont val="Tahoma"/>
            <family val="2"/>
          </rPr>
          <t>Baker, Mike A (DOR): See 10K page 64</t>
        </r>
        <r>
          <rPr>
            <sz val="9"/>
            <color indexed="81"/>
            <rFont val="Tahoma"/>
            <family val="2"/>
          </rPr>
          <t xml:space="preserve">
</t>
        </r>
      </text>
    </comment>
    <comment ref="G24" authorId="0" shapeId="0" xr:uid="{47BE0292-C9A2-4290-8744-91A3C07C9CA2}">
      <text>
        <r>
          <rPr>
            <b/>
            <sz val="9"/>
            <color indexed="81"/>
            <rFont val="Tahoma"/>
            <family val="2"/>
          </rPr>
          <t>Baker, Mike A (DOR):</t>
        </r>
        <r>
          <rPr>
            <sz val="9"/>
            <color indexed="81"/>
            <rFont val="Tahoma"/>
            <family val="2"/>
          </rPr>
          <t xml:space="preserve">
See 10K page44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Baker, Mike A (DOR)</author>
  </authors>
  <commentList>
    <comment ref="C19" authorId="0" shapeId="0" xr:uid="{DF87B987-4A49-4247-881E-B19FE67D73B8}">
      <text>
        <r>
          <rPr>
            <b/>
            <sz val="9"/>
            <color indexed="81"/>
            <rFont val="Tahoma"/>
            <family val="2"/>
          </rPr>
          <t>Baker, Mike A (DOR):</t>
        </r>
        <r>
          <rPr>
            <sz val="9"/>
            <color indexed="81"/>
            <rFont val="Tahoma"/>
            <family val="2"/>
          </rPr>
          <t xml:space="preserve">
See 10K page 101
</t>
        </r>
      </text>
    </comment>
    <comment ref="E19" authorId="0" shapeId="0" xr:uid="{36F8F6F9-F898-4577-90C5-C3327672F5B4}">
      <text>
        <r>
          <rPr>
            <b/>
            <sz val="9"/>
            <color indexed="81"/>
            <rFont val="Tahoma"/>
            <family val="2"/>
          </rPr>
          <t>Baker, Mike A (DOR):</t>
        </r>
        <r>
          <rPr>
            <sz val="9"/>
            <color indexed="81"/>
            <rFont val="Tahoma"/>
            <family val="2"/>
          </rPr>
          <t xml:space="preserve">
See 10K page 100</t>
        </r>
      </text>
    </comment>
    <comment ref="C20" authorId="0" shapeId="0" xr:uid="{7F9B82CC-4502-4CB5-9F00-F40F3CE6FE36}">
      <text>
        <r>
          <rPr>
            <b/>
            <sz val="9"/>
            <color indexed="81"/>
            <rFont val="Tahoma"/>
            <family val="2"/>
          </rPr>
          <t>Baker, Mike A (DOR):</t>
        </r>
        <r>
          <rPr>
            <sz val="9"/>
            <color indexed="81"/>
            <rFont val="Tahoma"/>
            <family val="2"/>
          </rPr>
          <t xml:space="preserve">
See 10K page 172</t>
        </r>
      </text>
    </comment>
    <comment ref="C21" authorId="0" shapeId="0" xr:uid="{6D3DCC1B-29F1-4E91-9135-E5B77E5190D4}">
      <text>
        <r>
          <rPr>
            <b/>
            <sz val="9"/>
            <color indexed="81"/>
            <rFont val="Tahoma"/>
            <family val="2"/>
          </rPr>
          <t>Baker, Mike A (DOR):</t>
        </r>
        <r>
          <rPr>
            <sz val="9"/>
            <color indexed="81"/>
            <rFont val="Tahoma"/>
            <family val="2"/>
          </rPr>
          <t xml:space="preserve">
See 10K page 48</t>
        </r>
      </text>
    </comment>
    <comment ref="E21" authorId="0" shapeId="0" xr:uid="{4F35622F-2E65-474B-9396-C106EBB6BC91}">
      <text>
        <r>
          <rPr>
            <b/>
            <sz val="9"/>
            <color indexed="81"/>
            <rFont val="Tahoma"/>
            <family val="2"/>
          </rPr>
          <t>Baker, Mike A (DOR):</t>
        </r>
        <r>
          <rPr>
            <sz val="9"/>
            <color indexed="81"/>
            <rFont val="Tahoma"/>
            <family val="2"/>
          </rPr>
          <t xml:space="preserve">
See 10K page 137
</t>
        </r>
      </text>
    </comment>
    <comment ref="C22" authorId="0" shapeId="0" xr:uid="{044D8E16-2235-4084-B9C4-734E17938A37}">
      <text>
        <r>
          <rPr>
            <b/>
            <sz val="9"/>
            <color indexed="81"/>
            <rFont val="Tahoma"/>
            <family val="2"/>
          </rPr>
          <t>Baker, Mike A (DOR):</t>
        </r>
        <r>
          <rPr>
            <sz val="9"/>
            <color indexed="81"/>
            <rFont val="Tahoma"/>
            <family val="2"/>
          </rPr>
          <t xml:space="preserve">
See 10K page K39</t>
        </r>
      </text>
    </comment>
    <comment ref="E22" authorId="0" shapeId="0" xr:uid="{95BEA78B-88FA-4934-881C-DC740A8F6ECF}">
      <text>
        <r>
          <rPr>
            <b/>
            <sz val="9"/>
            <color indexed="81"/>
            <rFont val="Tahoma"/>
            <family val="2"/>
          </rPr>
          <t>Baker, Mike A (DOR):</t>
        </r>
        <r>
          <rPr>
            <sz val="9"/>
            <color indexed="81"/>
            <rFont val="Tahoma"/>
            <family val="2"/>
          </rPr>
          <t xml:space="preserve">
See 10K page K55</t>
        </r>
      </text>
    </comment>
    <comment ref="C23" authorId="0" shapeId="0" xr:uid="{5FCCC751-EE61-45BA-96BD-C9ABFD34CC6A}">
      <text>
        <r>
          <rPr>
            <b/>
            <sz val="9"/>
            <color indexed="81"/>
            <rFont val="Tahoma"/>
            <family val="2"/>
          </rPr>
          <t>Baker, Mike A (DOR):</t>
        </r>
        <r>
          <rPr>
            <sz val="9"/>
            <color indexed="81"/>
            <rFont val="Tahoma"/>
            <family val="2"/>
          </rPr>
          <t xml:space="preserve">
See 10K page 44</t>
        </r>
      </text>
    </comment>
    <comment ref="E23" authorId="0" shapeId="0" xr:uid="{9241A505-F2CB-4D1C-8914-B9B90DC1EB28}">
      <text>
        <r>
          <rPr>
            <b/>
            <sz val="9"/>
            <color indexed="81"/>
            <rFont val="Tahoma"/>
            <family val="2"/>
          </rPr>
          <t>Baker, Mike A (DOR):</t>
        </r>
        <r>
          <rPr>
            <sz val="9"/>
            <color indexed="81"/>
            <rFont val="Tahoma"/>
            <family val="2"/>
          </rPr>
          <t xml:space="preserve">
See 10K page 45
</t>
        </r>
      </text>
    </comment>
  </commentList>
</comments>
</file>

<file path=xl/sharedStrings.xml><?xml version="1.0" encoding="utf-8"?>
<sst xmlns="http://schemas.openxmlformats.org/spreadsheetml/2006/main" count="1547" uniqueCount="506">
  <si>
    <t xml:space="preserve"> </t>
  </si>
  <si>
    <t>KENTUCKY DEPARTMENT OF REVENUE</t>
  </si>
  <si>
    <t>Company</t>
  </si>
  <si>
    <t>Ticker</t>
  </si>
  <si>
    <t>Symbol</t>
  </si>
  <si>
    <t xml:space="preserve">Industry </t>
  </si>
  <si>
    <t>Group</t>
  </si>
  <si>
    <t>VL</t>
  </si>
  <si>
    <t>10K / SEC</t>
  </si>
  <si>
    <t>DIVISION OF STATE VALUATION, PUBLIC SERVICE BRANCH</t>
  </si>
  <si>
    <t>Stock Price</t>
  </si>
  <si>
    <t>Preferred Stock</t>
  </si>
  <si>
    <t>Common Stock</t>
  </si>
  <si>
    <t>4th Qtr</t>
  </si>
  <si>
    <t>FMV</t>
  </si>
  <si>
    <t>Calculated</t>
  </si>
  <si>
    <t>Total Market Value</t>
  </si>
  <si>
    <t>% Common Stock</t>
  </si>
  <si>
    <t>Median</t>
  </si>
  <si>
    <t>Average</t>
  </si>
  <si>
    <t xml:space="preserve">Financial </t>
  </si>
  <si>
    <t xml:space="preserve">Actual </t>
  </si>
  <si>
    <t>Strength</t>
  </si>
  <si>
    <t>Tax Rate</t>
  </si>
  <si>
    <t>A</t>
  </si>
  <si>
    <t>B+</t>
  </si>
  <si>
    <t>B++</t>
  </si>
  <si>
    <t>Computed</t>
  </si>
  <si>
    <t>Price</t>
  </si>
  <si>
    <t>Multiple</t>
  </si>
  <si>
    <t>Inverse</t>
  </si>
  <si>
    <t>KENTUCKY</t>
  </si>
  <si>
    <t xml:space="preserve">Source of </t>
  </si>
  <si>
    <t>Capital</t>
  </si>
  <si>
    <t>Cost of Capital</t>
  </si>
  <si>
    <t>Weighted</t>
  </si>
  <si>
    <t>Structure</t>
  </si>
  <si>
    <t>Rate</t>
  </si>
  <si>
    <t>After Tax</t>
  </si>
  <si>
    <t>Cost</t>
  </si>
  <si>
    <t>EQUITY</t>
  </si>
  <si>
    <t>-</t>
  </si>
  <si>
    <t>DEBT</t>
  </si>
  <si>
    <t>TOTAL</t>
  </si>
  <si>
    <t>Industry &gt; Electric Companies</t>
  </si>
  <si>
    <t>A+</t>
  </si>
  <si>
    <t xml:space="preserve">  </t>
  </si>
  <si>
    <t>High</t>
  </si>
  <si>
    <t>Low</t>
  </si>
  <si>
    <t>Mergent Bond</t>
  </si>
  <si>
    <t>Rating</t>
  </si>
  <si>
    <t>Debt Rate</t>
  </si>
  <si>
    <t>S &amp; P</t>
  </si>
  <si>
    <t>% LT Debt &amp; Pref Stock</t>
  </si>
  <si>
    <t>Baa1</t>
  </si>
  <si>
    <t>Baa2</t>
  </si>
  <si>
    <t>The capital structure of this industry is a representative or typical capital structure of the group, not that of the present owner.  The capital structure selected reflects the most likely arrangement of a prospective buyer.</t>
  </si>
  <si>
    <t>A1</t>
  </si>
  <si>
    <t>Ba1</t>
  </si>
  <si>
    <t>A3</t>
  </si>
  <si>
    <t>Baa3</t>
  </si>
  <si>
    <t>A-</t>
  </si>
  <si>
    <t>Book Value</t>
  </si>
  <si>
    <t>Shares Issued less Treasury</t>
  </si>
  <si>
    <t>2023 Tax Year</t>
  </si>
  <si>
    <t>DIRECT CAPITALIZATION RATE CONCLUSION</t>
  </si>
  <si>
    <t>YIELD CAPITALIZATION RATE CONCLUSION</t>
  </si>
  <si>
    <t>GCF After Tax</t>
  </si>
  <si>
    <t>Capitalization Rate</t>
  </si>
  <si>
    <t>Capitalization</t>
  </si>
  <si>
    <t>Marginal</t>
  </si>
  <si>
    <t>CAP RATE</t>
  </si>
  <si>
    <t>NOI After Tax  (NOPAT)</t>
  </si>
  <si>
    <t>WACC</t>
  </si>
  <si>
    <t>Notes:</t>
  </si>
  <si>
    <t>Shares Outstanding *</t>
  </si>
  <si>
    <t>Selected</t>
  </si>
  <si>
    <t>2023 CAPITALIZATION RATE STUDY</t>
  </si>
  <si>
    <t>YEAR END 12/31/2022</t>
  </si>
  <si>
    <t>CAPITAL STRUCTURE</t>
  </si>
  <si>
    <t>Maintenance Capital Expenditures</t>
  </si>
  <si>
    <t>Estimate using Guideline Companies</t>
  </si>
  <si>
    <t>Inflation</t>
  </si>
  <si>
    <t>Rate %</t>
  </si>
  <si>
    <t>CPI</t>
  </si>
  <si>
    <t>PP&amp;E Gross</t>
  </si>
  <si>
    <t>PP&amp;E</t>
  </si>
  <si>
    <t>Previous Year</t>
  </si>
  <si>
    <t>Current Year</t>
  </si>
  <si>
    <t>Depreciation</t>
  </si>
  <si>
    <t>Expense</t>
  </si>
  <si>
    <t xml:space="preserve">Average Life of </t>
  </si>
  <si>
    <t>Assets</t>
  </si>
  <si>
    <t>B</t>
  </si>
  <si>
    <t>C</t>
  </si>
  <si>
    <t>D</t>
  </si>
  <si>
    <t>E</t>
  </si>
  <si>
    <t>F</t>
  </si>
  <si>
    <t>G</t>
  </si>
  <si>
    <t>H</t>
  </si>
  <si>
    <t>I</t>
  </si>
  <si>
    <t>J</t>
  </si>
  <si>
    <t>K</t>
  </si>
  <si>
    <t>F/G</t>
  </si>
  <si>
    <t>C*H</t>
  </si>
  <si>
    <t>1/(1=C)^H</t>
  </si>
  <si>
    <t>Replacement</t>
  </si>
  <si>
    <t xml:space="preserve">Cost </t>
  </si>
  <si>
    <t>RC as % of</t>
  </si>
  <si>
    <t>K/G</t>
  </si>
  <si>
    <t>L</t>
  </si>
  <si>
    <t>(D+E)/2</t>
  </si>
  <si>
    <t>(G*I) / (1-J)</t>
  </si>
  <si>
    <t>*</t>
  </si>
  <si>
    <t>Gross Cash Flow</t>
  </si>
  <si>
    <t>NOPAT</t>
  </si>
  <si>
    <t>VL Projected NOI</t>
  </si>
  <si>
    <t xml:space="preserve">Year End </t>
  </si>
  <si>
    <t>VL Historic</t>
  </si>
  <si>
    <t>VL Projected</t>
  </si>
  <si>
    <t>Interest Expense</t>
  </si>
  <si>
    <t>Mkt Value LT Debt</t>
  </si>
  <si>
    <t>Book Value LT Debt</t>
  </si>
  <si>
    <t>Current</t>
  </si>
  <si>
    <t>Yield</t>
  </si>
  <si>
    <t>C/H</t>
  </si>
  <si>
    <t>(D+F)/2</t>
  </si>
  <si>
    <t>BETA SELECTION for CAPM</t>
  </si>
  <si>
    <t>SELECTED AVERAGE &gt;</t>
  </si>
  <si>
    <t>Source</t>
  </si>
  <si>
    <t>GDP</t>
  </si>
  <si>
    <t>Nominal</t>
  </si>
  <si>
    <t>Growth</t>
  </si>
  <si>
    <t>DEBT RATE for Yield Approach</t>
  </si>
  <si>
    <t>Book Ratio</t>
  </si>
  <si>
    <t>Mkt to</t>
  </si>
  <si>
    <t>Numeric</t>
  </si>
  <si>
    <t>10K / GAAP</t>
  </si>
  <si>
    <t>Caa3</t>
  </si>
  <si>
    <t>Caa2</t>
  </si>
  <si>
    <t>Caa1</t>
  </si>
  <si>
    <t>B3</t>
  </si>
  <si>
    <t>B2</t>
  </si>
  <si>
    <t>B1</t>
  </si>
  <si>
    <t>Ba3</t>
  </si>
  <si>
    <t>Ba2</t>
  </si>
  <si>
    <t>A2</t>
  </si>
  <si>
    <t>Aa3</t>
  </si>
  <si>
    <t>Aa2</t>
  </si>
  <si>
    <t>Aa1</t>
  </si>
  <si>
    <t>Bond Rating Scale</t>
  </si>
  <si>
    <t>Levered Beta</t>
  </si>
  <si>
    <t>Notes</t>
  </si>
  <si>
    <t>https://www.philadelphiafed.org/research-and-data/real-time-center/livingston-survey</t>
  </si>
  <si>
    <t>https://www.philadelphiafed.org/surveys-and-data/real-time-data-research/survey-of-professional-forecasters</t>
  </si>
  <si>
    <t>https://www.cbo.gov/about/products/budget-economic-data#4</t>
  </si>
  <si>
    <t>Preferred Stock ***</t>
  </si>
  <si>
    <t>Long Term Debt **</t>
  </si>
  <si>
    <t xml:space="preserve">** Debt includes  LT Debt , Current portion of LT Debt, and Finance leases from 10K </t>
  </si>
  <si>
    <t>*** Market value of preferred stock assumed to equal book value</t>
  </si>
  <si>
    <t>* Outstanding stock shares are generally already net of Treasury stock shares</t>
  </si>
  <si>
    <t>MODEL</t>
  </si>
  <si>
    <t>EQUITY RATES for YIELD APPROACH</t>
  </si>
  <si>
    <t>CAPM - The CFO Survey</t>
  </si>
  <si>
    <t>CAPM - Fernandez, Banuls, &amp; Acin</t>
  </si>
  <si>
    <t>CAPM - Ex Post (BVR Historical, Arithmeic)</t>
  </si>
  <si>
    <t>CAPM - Ex Post (BVR Historical, Geometric)</t>
  </si>
  <si>
    <t>Empirical CAPM - The CFO Survey</t>
  </si>
  <si>
    <t>Empirical CAPM - Fernandez, Banuls, &amp; Acin</t>
  </si>
  <si>
    <t>Empirical CAPM - Ex Post (BVR Historical, Arithmeic)</t>
  </si>
  <si>
    <t>Empirical CAPM - Ex Post (BVR Historical, Geometric)</t>
  </si>
  <si>
    <t>Stock</t>
  </si>
  <si>
    <t>Dividends</t>
  </si>
  <si>
    <t>Per Share</t>
  </si>
  <si>
    <t>Dividend</t>
  </si>
  <si>
    <t>Historic</t>
  </si>
  <si>
    <t>Dividend Data</t>
  </si>
  <si>
    <t>Earnings</t>
  </si>
  <si>
    <t>Equity</t>
  </si>
  <si>
    <t>Equity Rate</t>
  </si>
  <si>
    <t>(F+G)</t>
  </si>
  <si>
    <t>(F+H)</t>
  </si>
  <si>
    <t>Dividend Yield</t>
  </si>
  <si>
    <t xml:space="preserve">Projected Short Term </t>
  </si>
  <si>
    <t>DGM - Earnings Growth Rate &gt;</t>
  </si>
  <si>
    <t>DGM - Dividend Growth Rate &gt;</t>
  </si>
  <si>
    <t>Yield Equity Rate - DGM (Two-Stage)</t>
  </si>
  <si>
    <t>Stable</t>
  </si>
  <si>
    <t>Growth Rate</t>
  </si>
  <si>
    <t>Earnings Per Share</t>
  </si>
  <si>
    <t>Cost of</t>
  </si>
  <si>
    <t>g</t>
  </si>
  <si>
    <t>DY</t>
  </si>
  <si>
    <t>G1</t>
  </si>
  <si>
    <t>(G1 + g)/2</t>
  </si>
  <si>
    <t>KE = (DY X (1 + .5(G))) + .67 (G1) + .33(g)</t>
  </si>
  <si>
    <t>Kentucky</t>
  </si>
  <si>
    <r>
      <t xml:space="preserve">DEBT RATE for Direct Approach </t>
    </r>
    <r>
      <rPr>
        <b/>
        <sz val="12"/>
        <color theme="1"/>
        <rFont val="Microsoft GothicNeo"/>
        <family val="2"/>
        <charset val="129"/>
      </rPr>
      <t>(Embedded)</t>
    </r>
  </si>
  <si>
    <t>Common Equity</t>
  </si>
  <si>
    <t xml:space="preserve">Obligations rated Ca are highly speculative and are likely in, or very near, default, with some prospect of recovery in principal and interest. </t>
  </si>
  <si>
    <t xml:space="preserve">Obligations rated C are the lowest-rated class of bonds and are typical­ly in default, with little prospect for recovery of principal and interest. </t>
  </si>
  <si>
    <t xml:space="preserve">Obligations rated Caa are judged to be of poor standing and are subject to very high credit risk . </t>
  </si>
  <si>
    <t>Obligations rated Aaa are judged to be of the highest quality, with minimal risk.</t>
  </si>
  <si>
    <t xml:space="preserve">Obligations rated A are considered upper-medium-grade and are sub­ject to low credit risk. </t>
  </si>
  <si>
    <t xml:space="preserve">Obligations rated B are considered speculative and are subject to high credit risk. </t>
  </si>
  <si>
    <t xml:space="preserve">Obligations rated Ba are judged to have speculative elements and are subject to substantial credit risk. </t>
  </si>
  <si>
    <t xml:space="preserve">Obligations rated Baa are subject to moderate credit risk. They are considered medium-grade and as such may possess speculative characteristics. </t>
  </si>
  <si>
    <t>D1 = Expected Dividends</t>
  </si>
  <si>
    <r>
      <t>K</t>
    </r>
    <r>
      <rPr>
        <b/>
        <sz val="10"/>
        <color theme="1"/>
        <rFont val="Microsoft GothicNeo"/>
        <family val="2"/>
        <charset val="129"/>
      </rPr>
      <t>E</t>
    </r>
    <r>
      <rPr>
        <b/>
        <sz val="16"/>
        <color theme="1"/>
        <rFont val="Microsoft GothicNeo"/>
        <family val="2"/>
        <charset val="129"/>
      </rPr>
      <t xml:space="preserve"> = (D</t>
    </r>
    <r>
      <rPr>
        <b/>
        <sz val="10"/>
        <color theme="1"/>
        <rFont val="Microsoft GothicNeo"/>
        <family val="2"/>
        <charset val="129"/>
      </rPr>
      <t>1</t>
    </r>
    <r>
      <rPr>
        <b/>
        <sz val="16"/>
        <color theme="1"/>
        <rFont val="Microsoft GothicNeo"/>
        <family val="2"/>
        <charset val="129"/>
      </rPr>
      <t xml:space="preserve"> / P</t>
    </r>
    <r>
      <rPr>
        <b/>
        <sz val="10"/>
        <color theme="1"/>
        <rFont val="Microsoft GothicNeo"/>
        <family val="2"/>
        <charset val="129"/>
      </rPr>
      <t>o</t>
    </r>
    <r>
      <rPr>
        <b/>
        <sz val="16"/>
        <color theme="1"/>
        <rFont val="Microsoft GothicNeo"/>
        <family val="2"/>
        <charset val="129"/>
      </rPr>
      <t>) + G</t>
    </r>
  </si>
  <si>
    <t>KE = Cost of Equity</t>
  </si>
  <si>
    <t>Po   = Current Price</t>
  </si>
  <si>
    <r>
      <t>Price (P</t>
    </r>
    <r>
      <rPr>
        <b/>
        <sz val="9"/>
        <color theme="1"/>
        <rFont val="Microsoft GothicNeo"/>
        <family val="2"/>
        <charset val="129"/>
      </rPr>
      <t>0</t>
    </r>
    <r>
      <rPr>
        <b/>
        <sz val="11"/>
        <color theme="1"/>
        <rFont val="Microsoft GothicNeo"/>
        <family val="2"/>
        <charset val="129"/>
      </rPr>
      <t>)</t>
    </r>
  </si>
  <si>
    <t xml:space="preserve">Dividend Growth Rate </t>
  </si>
  <si>
    <t xml:space="preserve">Earnings Per Share Growth Rate </t>
  </si>
  <si>
    <r>
      <t>Long Term Debt</t>
    </r>
    <r>
      <rPr>
        <b/>
        <sz val="10"/>
        <color theme="1"/>
        <rFont val="Microsoft GothicNeo"/>
        <family val="2"/>
        <charset val="129"/>
      </rPr>
      <t xml:space="preserve"> </t>
    </r>
  </si>
  <si>
    <t>CAPITAL ASSET PRICING MODEL (CAPM)</t>
  </si>
  <si>
    <t>Selected &gt;</t>
  </si>
  <si>
    <t>Inflation and Gross Domestic Product (GDP) Data</t>
  </si>
  <si>
    <t>INFLATION &amp; GDP</t>
  </si>
  <si>
    <t>(2)  Federal Reserve Bank of Philadelphia The Livingston Survey December 17, 2022 Table 3, page 8   Median annual CPI Rate and Real GDP Growth Rate for next 10 years</t>
  </si>
  <si>
    <t>SELECTED &gt;</t>
  </si>
  <si>
    <t>Equity Risk Premium (ERP)</t>
  </si>
  <si>
    <t>Indicated Equity Rate</t>
  </si>
  <si>
    <t>Industry Risk Premium</t>
  </si>
  <si>
    <t>Weighted Industry Risk Premium (75%)</t>
  </si>
  <si>
    <t>Weighted Equity Risk Premium (25%)</t>
  </si>
  <si>
    <t xml:space="preserve">The CFO Survey  (4) </t>
  </si>
  <si>
    <t>BVR - Historical, Arithmetic Mean  (6)</t>
  </si>
  <si>
    <t>BVR - Historical, Geometric Mean  (7)</t>
  </si>
  <si>
    <t>Empirical CAPM Models</t>
  </si>
  <si>
    <t>CAPM Models</t>
  </si>
  <si>
    <t>KE = Rf + (B  X  ERP X  75%) = (ERP  X  25%)</t>
  </si>
  <si>
    <t>KE = Rf + (B  X  ERP)</t>
  </si>
  <si>
    <t>Industry Beta (B)</t>
  </si>
  <si>
    <t>Value Line Earnings</t>
  </si>
  <si>
    <t>Value Line Dividends</t>
  </si>
  <si>
    <t>Yahoo Finance</t>
  </si>
  <si>
    <t>Return on</t>
  </si>
  <si>
    <t>Gross Revenue</t>
  </si>
  <si>
    <t>Multiplier</t>
  </si>
  <si>
    <t>NOPAT CASH FLOW MULTIPLE &amp; EQUITY RATE</t>
  </si>
  <si>
    <r>
      <t xml:space="preserve">NOPAT CASH FLOW MULTIPLE &amp; EQUITY RATE </t>
    </r>
    <r>
      <rPr>
        <b/>
        <sz val="12"/>
        <color theme="1"/>
        <rFont val="Microsoft GothicNeo"/>
        <family val="2"/>
        <charset val="129"/>
      </rPr>
      <t>(1 Yr Projected VL)</t>
    </r>
  </si>
  <si>
    <t>Long Term Debt includes LT Debt plus Current Portion of LT debt, plus Finance Leases</t>
  </si>
  <si>
    <t>Two-Stage DGM Rate &gt;</t>
  </si>
  <si>
    <t>DGM - Single Stage - Earnings Growth</t>
  </si>
  <si>
    <t>DGM - Single Stage - Dividend Growth</t>
  </si>
  <si>
    <t>DGM - Two Stage - Dividend Growth</t>
  </si>
  <si>
    <r>
      <t xml:space="preserve">NOPAT CASH FLOW MULTIPLE &amp; EQUITY RATE </t>
    </r>
    <r>
      <rPr>
        <b/>
        <sz val="12"/>
        <color theme="1"/>
        <rFont val="Microsoft GothicNeo"/>
        <family val="2"/>
        <charset val="129"/>
      </rPr>
      <t>(LT 25-27 Yr Projected VL)</t>
    </r>
  </si>
  <si>
    <t>VL LT Projected NOI</t>
  </si>
  <si>
    <t>Indicated Rate of Debt &gt;</t>
  </si>
  <si>
    <t>Year End</t>
  </si>
  <si>
    <t>&amp; Finance Leases</t>
  </si>
  <si>
    <t>10K Income Statement</t>
  </si>
  <si>
    <t>10K Balance Sheet</t>
  </si>
  <si>
    <t>Indicated Rate of Equity Selected &gt;</t>
  </si>
  <si>
    <t>SHORT-TERM GROWTH RATES (5 years)</t>
  </si>
  <si>
    <t>INFLATION RATES</t>
  </si>
  <si>
    <t>LONG TERM GROWTH RATES</t>
  </si>
  <si>
    <t xml:space="preserve">The Federal Reserve Bank projects their "longer run" estimate of change in the U.S. real Gross Domestice Product (GDP) </t>
  </si>
  <si>
    <t>The World Bank forecasts U.S. GDP</t>
  </si>
  <si>
    <t>The Economist Intelligence Unit forecasts U.S. real GDP will grow from 2021 to 2050</t>
  </si>
  <si>
    <t>GROWTH &amp; INFLATION RATES</t>
  </si>
  <si>
    <t>Real LT Growth</t>
  </si>
  <si>
    <t>Federal Reserve Board members and Federal Reserve Bank presidents estimate of long run personal consumption expenditures inflation (5)</t>
  </si>
  <si>
    <t xml:space="preserve">FRB members &amp; FRB presidents opinion (5) </t>
  </si>
  <si>
    <t xml:space="preserve">(5) Board of Governors of the Federal Reserve System, Economic projections of Federal Reserve Board members and Federal Reserve Bank presidents under their individual assessments of projected appropriate monetary policy. December 2022 </t>
  </si>
  <si>
    <t xml:space="preserve">Federal Reserve Bank of Philadelphia - The Livingston Survey - Inflation Mean (measured by the CPI over next 10 years) Table 3   (2) </t>
  </si>
  <si>
    <t xml:space="preserve">Federal Reserve Bank of Philadelphia - The Livingston Survey - Inflation Median (measured by the CPI over next 10 years) Page 8  (2)  </t>
  </si>
  <si>
    <t>Survey of Professional Forecasters Tables 8 &amp; 9   (3)</t>
  </si>
  <si>
    <t>Federal Reserve Statistical Release  10 Yr Inflation protected Treasury securities (1)</t>
  </si>
  <si>
    <t xml:space="preserve">Federal Reserve Statistical Release  20 Yr Inflation protected Treasury securities (1) </t>
  </si>
  <si>
    <t xml:space="preserve">Federal Reserve Statistical Release  30 Yr Inflation protected Treasury securities (1) </t>
  </si>
  <si>
    <t>Federal Reserve Bank of Philadelphia / Livingston Survey Mean  (2)</t>
  </si>
  <si>
    <t>Federal Reserve Bank of Philadelphia / Livingston Survey  Median (2)</t>
  </si>
  <si>
    <t>“Since no firm can grow forever at a rate higher than the growth rate of the economy in which it operates, the constant growth rate cannot be greater</t>
  </si>
  <si>
    <t xml:space="preserve">than the overall growth rate of the economy.”  Dr. Aswath Damodaran (n.d.) The Stable Growth Rate, </t>
  </si>
  <si>
    <t>http://pages.stern.nyu.edu/~adamodar/New_Home_Page/valquestions/stablegrowthrate.htm</t>
  </si>
  <si>
    <t>Trimmed Average</t>
  </si>
  <si>
    <t>*Cornell, B. &amp; Gerger, R. (2017) Estimating Terminal Values with Inflation : The Inputs Matter - It is Not a Formulaic Exercise.  Business Valuation Review, Vol.36, Number 4, 117-123.</t>
  </si>
  <si>
    <t>C1  C2  C3</t>
  </si>
  <si>
    <t>MEDIAN GROWTH RATES</t>
  </si>
  <si>
    <t>SOURCE &gt;</t>
  </si>
  <si>
    <t>SOURCES &gt;</t>
  </si>
  <si>
    <t>Vl Projected 2023</t>
  </si>
  <si>
    <t>1 Yr Projected</t>
  </si>
  <si>
    <t>3-5 Yr Projected</t>
  </si>
  <si>
    <t>Short Term</t>
  </si>
  <si>
    <t>(1)</t>
  </si>
  <si>
    <t>(1)    4 Year compound annual growth rate (CAGR)  - 3 periods</t>
  </si>
  <si>
    <t>Earnings Data</t>
  </si>
  <si>
    <r>
      <t xml:space="preserve">KY DOR                    Earnings Growth Rate                 </t>
    </r>
    <r>
      <rPr>
        <b/>
        <sz val="9"/>
        <color theme="1"/>
        <rFont val="Microsoft GothicNeo"/>
        <family val="2"/>
        <charset val="129"/>
      </rPr>
      <t xml:space="preserve"> (Median / Average)</t>
    </r>
  </si>
  <si>
    <r>
      <t xml:space="preserve">KY DOR                Dividends Growth Rate </t>
    </r>
    <r>
      <rPr>
        <b/>
        <sz val="9"/>
        <color theme="1"/>
        <rFont val="Microsoft GothicNeo"/>
        <family val="2"/>
        <charset val="129"/>
      </rPr>
      <t xml:space="preserve"> (Median / Average)</t>
    </r>
  </si>
  <si>
    <t>YIELD EQUITY RATE</t>
  </si>
  <si>
    <t>g = b X ROE</t>
  </si>
  <si>
    <t>g = LT growth rate</t>
  </si>
  <si>
    <t>b = reinvestment rate</t>
  </si>
  <si>
    <t>ROE = Return on equity (or return on investment)</t>
  </si>
  <si>
    <t>b = g  / ROE</t>
  </si>
  <si>
    <t>The plowback ratio is multiplied by Net Cash Flow to estimate the amount of additional capital expenditures needed to achieve projected results.</t>
  </si>
  <si>
    <t>Reinvestment Rate =</t>
  </si>
  <si>
    <t>EBIT (1-Tax Rate)</t>
  </si>
  <si>
    <t>Capital Expenditures - Depreciation + Change in Working Capital</t>
  </si>
  <si>
    <t>Aswath Damodaran's model to determine the Reinvesment Rate &gt;</t>
  </si>
  <si>
    <t>It is assumed that the ROE is a fixed (unchanging) rate.</t>
  </si>
  <si>
    <t>Maintenance Capital Expenditures and Change in Working Capital</t>
  </si>
  <si>
    <t>http://www.federalreserve.gov/</t>
  </si>
  <si>
    <t>Board of Governors of the Federal Reserve System, H.15, Selected Interest Rates, Market Yield on U.S. Treasury Securities 30-year constant maturity quoted on investment bases, daily observations, January 3, 2022.</t>
  </si>
  <si>
    <t>Operating Leases ****</t>
  </si>
  <si>
    <t>Market Value</t>
  </si>
  <si>
    <t>10K</t>
  </si>
  <si>
    <t>Market to</t>
  </si>
  <si>
    <t>Long Term Debt</t>
  </si>
  <si>
    <t xml:space="preserve">Capital </t>
  </si>
  <si>
    <t>Market</t>
  </si>
  <si>
    <t>to Book</t>
  </si>
  <si>
    <t>Composite</t>
  </si>
  <si>
    <t>Total</t>
  </si>
  <si>
    <t>AVERAGE</t>
  </si>
  <si>
    <t>Market to Book Ratios - Obsolescence Measurement</t>
  </si>
  <si>
    <t>Common Total Equity</t>
  </si>
  <si>
    <t>FMV / PV</t>
  </si>
  <si>
    <t>GCF CASH FLOW MULTIPLE &amp; EQUITY RATE</t>
  </si>
  <si>
    <r>
      <t xml:space="preserve">GCF CASH FLOW MULTIPLE &amp; EQUITY RATE </t>
    </r>
    <r>
      <rPr>
        <b/>
        <sz val="12"/>
        <color theme="1"/>
        <rFont val="Microsoft GothicNeo"/>
        <family val="2"/>
        <charset val="129"/>
      </rPr>
      <t>(1 Yr Projected VL)</t>
    </r>
  </si>
  <si>
    <t>https://tradingeconomics.com/united-states/gdp-growth</t>
  </si>
  <si>
    <t xml:space="preserve">http://www.worldbank.org/en/publication/global-economic-prospects </t>
  </si>
  <si>
    <t>CFRA                                    S&amp;P Net Advantage</t>
  </si>
  <si>
    <t>Zacks Investment Research</t>
  </si>
  <si>
    <t>Companies excluded from the study &gt;</t>
  </si>
  <si>
    <r>
      <t>K</t>
    </r>
    <r>
      <rPr>
        <b/>
        <sz val="10"/>
        <color theme="1"/>
        <rFont val="Microsoft GothicNeo"/>
        <family val="2"/>
        <charset val="129"/>
      </rPr>
      <t>E</t>
    </r>
    <r>
      <rPr>
        <b/>
        <sz val="16"/>
        <color theme="1"/>
        <rFont val="Microsoft GothicNeo"/>
        <family val="2"/>
        <charset val="129"/>
      </rPr>
      <t xml:space="preserve"> = (DY  X  (1+ .5(G)))  + .67(G1)  +  .33(g)</t>
    </r>
  </si>
  <si>
    <t>G   = Average growth rate</t>
  </si>
  <si>
    <t>G1 = Short term growth estimate</t>
  </si>
  <si>
    <t>DY = Dividend Yield     See ValueLine</t>
  </si>
  <si>
    <t>g   = Stable Growth - Nominal growth rate</t>
  </si>
  <si>
    <t>AA+</t>
  </si>
  <si>
    <t>AAA</t>
  </si>
  <si>
    <t>AA</t>
  </si>
  <si>
    <t>Obligations rated Aa are judged to be of high quality, with minimal risk.</t>
  </si>
  <si>
    <t>AA-</t>
  </si>
  <si>
    <t>BBB+</t>
  </si>
  <si>
    <t>BBB</t>
  </si>
  <si>
    <t>BBB-</t>
  </si>
  <si>
    <t>BB+</t>
  </si>
  <si>
    <t>BB</t>
  </si>
  <si>
    <t>BB-</t>
  </si>
  <si>
    <t>B-</t>
  </si>
  <si>
    <t>CCC+</t>
  </si>
  <si>
    <t>CCC</t>
  </si>
  <si>
    <t>CCC-</t>
  </si>
  <si>
    <t>CC</t>
  </si>
  <si>
    <t>Scale</t>
  </si>
  <si>
    <t>Retained to</t>
  </si>
  <si>
    <t>Shareholders Equity</t>
  </si>
  <si>
    <t>Retained to Common Equity -- Net profit less all common and preferred dividends divided by common equity including intangible assets, expressed as a percentage.  Also known as the plowback ratio.</t>
  </si>
  <si>
    <t>Return on Shareholders Equity -- Annual net profit divided by year-end shareholders equity, expressed as a percentage.</t>
  </si>
  <si>
    <t>Ca1</t>
  </si>
  <si>
    <t>Ca2</t>
  </si>
  <si>
    <t>Ca3</t>
  </si>
  <si>
    <t>CC+</t>
  </si>
  <si>
    <t>CC-</t>
  </si>
  <si>
    <t>AAA-</t>
  </si>
  <si>
    <t>AAA+</t>
  </si>
  <si>
    <t>Aaa1</t>
  </si>
  <si>
    <t>Aaa2</t>
  </si>
  <si>
    <t>Aaa3</t>
  </si>
  <si>
    <t>Share</t>
  </si>
  <si>
    <t>Gross Revenues</t>
  </si>
  <si>
    <t>NOPAT Earnings</t>
  </si>
  <si>
    <t>The purpose of this ratio is to test whether the market price is worth more (or less) than the cost of the assets.</t>
  </si>
  <si>
    <t>If the result is greater than one(1), it indicates the market value exceeds book value and can often be used as a sign of competent management.</t>
  </si>
  <si>
    <t>The higher the return on revenue the higher the price to revenue will be.</t>
  </si>
  <si>
    <t>Cash flow is typically defined to be net income plus depreciation and amortization.</t>
  </si>
  <si>
    <t xml:space="preserve">This measure is considered relevant for companies with high non-cash charges reflected in the income statement.  Non-cash charges include depreciation &amp; amortization, goodwill impairments, asset write downs, </t>
  </si>
  <si>
    <t>stock based compensation, and deferred income taxes and investment tax credits.</t>
  </si>
  <si>
    <t>P/E Ratio - Long Term Projection NOPAT</t>
  </si>
  <si>
    <t>CS+LTD +PS + OL</t>
  </si>
  <si>
    <t>&amp; Op Leases</t>
  </si>
  <si>
    <t xml:space="preserve">(6) &amp; (7) Business Valuation Resources, Cost of Capital Professional. (2023). Historical ERP, using arithmetic mean and 20-Year Treasury Securities. </t>
  </si>
  <si>
    <t>Earnings Growth = DY + EG</t>
  </si>
  <si>
    <t>Dividend Growth = DY + DG</t>
  </si>
  <si>
    <t>EG = Earnings Growth</t>
  </si>
  <si>
    <t>DG = Dividend Growth</t>
  </si>
  <si>
    <t>DY = Dividend Yield</t>
  </si>
  <si>
    <t>G = Projected Growth (Earnings Per Share 5 Yr Growth Rate)</t>
  </si>
  <si>
    <t>G = Projected Growth (Div. 5 Yr Growth Rate)</t>
  </si>
  <si>
    <t>Dec. 31, 2022</t>
  </si>
  <si>
    <t>General Partner Units</t>
  </si>
  <si>
    <t>Estimated 19-21 to 26-28</t>
  </si>
  <si>
    <t>Gross Book Value Equity</t>
  </si>
  <si>
    <t>GROSS REVENUE &amp; GROSS BOOK (EQUITY) MULTIPLES</t>
  </si>
  <si>
    <t>Multiple *</t>
  </si>
  <si>
    <t>* This multiple is applicable to service type companies, or those with few assets.  These companies sell at prices related to their revenues.</t>
  </si>
  <si>
    <t>** The book value, or common equity, per share is total owners' equity minus preferred stock divided by the number of common shares outstanding.</t>
  </si>
  <si>
    <t>Projected</t>
  </si>
  <si>
    <t xml:space="preserve">Property, Plant &amp; Equipment includes CWIP, but should exclude intangibles and the associated amortization.  </t>
  </si>
  <si>
    <t>Common Total Equity excludes 'noncontrolling interests' equity value.</t>
  </si>
  <si>
    <t xml:space="preserve">(2)  Federal Reserve Bank of Philadelphia The Livingston Survey December 17, 2022 Table 3, page 8   Inflation Rate and Real GDP mean  </t>
  </si>
  <si>
    <t xml:space="preserve">(1)  Federal Reserve Statistical Release  December 31, 2022 </t>
  </si>
  <si>
    <t xml:space="preserve">http://www.federalreserve.gov/Releases/H15/Current/ </t>
  </si>
  <si>
    <t>Railroad Carriers</t>
  </si>
  <si>
    <t>Canadian National</t>
  </si>
  <si>
    <t>CNI</t>
  </si>
  <si>
    <t>Railroad</t>
  </si>
  <si>
    <t>Canadian Pacific</t>
  </si>
  <si>
    <t>CP</t>
  </si>
  <si>
    <t>CSX Corp</t>
  </si>
  <si>
    <t>CSX</t>
  </si>
  <si>
    <t>Norfolk Southern</t>
  </si>
  <si>
    <t>NSC</t>
  </si>
  <si>
    <t>Union Pacific Railroad</t>
  </si>
  <si>
    <t>UNP</t>
  </si>
  <si>
    <t>1.357 USD to CAD or 0.7369 is CAD to USD Conversion on 12/30/22, https://www.exchange-rates.org/Rate/CAD/USD/12-31-2022</t>
  </si>
  <si>
    <t>CP completed acquisition of KCS on 12/14/21</t>
  </si>
  <si>
    <t>American Railcar Industries Inc -  Designer and manufacturer of railcars.  Not a railroad.</t>
  </si>
  <si>
    <t>GATX Corporation -  Railcar lessor.  Not a railroad.</t>
  </si>
  <si>
    <t>Genesee &amp; Wyoming- Removed, was sold to infastructure asset management firm Brookfield Infastructure in '19. No longer listed on stock indexes as separate entity.</t>
  </si>
  <si>
    <t>GreenBrier Companies Inc.  -  Designer, manufacturer, plus repairs of railcars.  Not a railroad.</t>
  </si>
  <si>
    <t>Trinity Industries Inc. -  Manufacturer of railcars and component parts.  Not a railroad.</t>
  </si>
  <si>
    <t>Kansas City Southern merged with CP in December 2021</t>
  </si>
  <si>
    <t>Companies added to the study &gt;</t>
  </si>
  <si>
    <t>A++</t>
  </si>
  <si>
    <t>Per Share **</t>
  </si>
  <si>
    <t>Inflation is the % change in the value of the Wholesale Price Index (WPI) on a year-to-year basis.</t>
  </si>
  <si>
    <t>Federal Reserve Statistical release - Inflation Protected Treasury Indexed Securities - 10 Year  (1)</t>
  </si>
  <si>
    <t xml:space="preserve">Federal Reserve Statistical release - Inflation Protected Treasury Indexed Securities - 20 Year  (1) </t>
  </si>
  <si>
    <t xml:space="preserve">Federal Reserve Statistical release - Inflation Protected Treasury Indexed Securities - 30 Year (1) </t>
  </si>
  <si>
    <t>(3)  Federal Reserve Bank of Philadelphia Survey of Professional Forecasters February 11, 2023 Table 8 and Table 9 Average over next 10-Year mean   See below.</t>
  </si>
  <si>
    <t>spfq123.pdf (philadelphiafed.org)</t>
  </si>
  <si>
    <t>https://www.federalreserve.gov/monetarypolicy/files/fomcprojtabl20221215.pdf</t>
  </si>
  <si>
    <t>5 Yr  Dec 30 2022</t>
  </si>
  <si>
    <t>10 Yr  Dec 30 2022</t>
  </si>
  <si>
    <t>20 Yr  Dec 30 2022</t>
  </si>
  <si>
    <t>30 Yr  Dec 30 2022</t>
  </si>
  <si>
    <t>3.97 - 1.66 = 2.31</t>
  </si>
  <si>
    <t>4.14 - 1.61 = 2.53</t>
  </si>
  <si>
    <t>3.88 - 1.58 = 2.30</t>
  </si>
  <si>
    <t>3.99 - 1.63 = 2.36</t>
  </si>
  <si>
    <r>
      <t xml:space="preserve">.5% </t>
    </r>
    <r>
      <rPr>
        <b/>
        <sz val="14"/>
        <color theme="1"/>
        <rFont val="Microsoft GothicNeo"/>
        <family val="2"/>
        <charset val="129"/>
      </rPr>
      <t>in 2023</t>
    </r>
    <r>
      <rPr>
        <b/>
        <sz val="18"/>
        <color theme="1"/>
        <rFont val="Microsoft GothicNeo"/>
        <family val="2"/>
        <charset val="129"/>
      </rPr>
      <t xml:space="preserve">   &amp;  1.60%</t>
    </r>
    <r>
      <rPr>
        <b/>
        <sz val="14"/>
        <color theme="1"/>
        <rFont val="Microsoft GothicNeo"/>
        <family val="2"/>
        <charset val="129"/>
      </rPr>
      <t xml:space="preserve"> in 2024 </t>
    </r>
  </si>
  <si>
    <t>Mergent Rating</t>
  </si>
  <si>
    <t>**** Market value of operating leases for all companies including the airlines and railroads</t>
  </si>
  <si>
    <t xml:space="preserve">Risk Free Rate (Rf) </t>
  </si>
  <si>
    <t>Yield Equity Rate - DGM (Dividend Growth) &amp; DGM (Earnings Growth)  -- Gordon Growth</t>
  </si>
  <si>
    <t>Three Stage Ex Ante  Version 1  (1) (2)</t>
  </si>
  <si>
    <t>Three Stage Ex Ante  Version 2   (1) (2)</t>
  </si>
  <si>
    <t>CAPM - Ex Ante, Three Stage - V1</t>
  </si>
  <si>
    <t>CAPM - Ex Ante, Three Stage - V2</t>
  </si>
  <si>
    <t>Empirical CAPM - Ex Ante, Three Stage - V1</t>
  </si>
  <si>
    <t>Empirical CAPM - Ex Ante, Three Stage - V2</t>
  </si>
  <si>
    <t xml:space="preserve">(8) KROLL, Cost of Capital Navigator. (2023). </t>
  </si>
  <si>
    <t>Mean</t>
  </si>
  <si>
    <t>Harmonic Mean</t>
  </si>
  <si>
    <t>Federal Reserve Bank of Philadelphia  /Survey of Professional Forecasters  Mean (3)</t>
  </si>
  <si>
    <t xml:space="preserve">S&amp;P Rating </t>
  </si>
  <si>
    <t>Corporate 4th Qtr Avg</t>
  </si>
  <si>
    <t>Utility 4th Qtr Avg</t>
  </si>
  <si>
    <t xml:space="preserve">(1) &amp; (2) Three Stage Dividend Growth Model, S&amp;P 500.  The Three Stage Ex Ante calculations were performed by Minnesota and Montana.  The Equity risk premiums are shown above.  </t>
  </si>
  <si>
    <t xml:space="preserve">(9) S&amp;P Global Market Intelligence ( Jan. 2023). </t>
  </si>
  <si>
    <t>S&amp;P Global Market Intelligence (9)</t>
  </si>
  <si>
    <t>Empirical CAPM - S&amp;P Global Market Intelligence</t>
  </si>
  <si>
    <t>CAPM - S&amp;P Global Market Intelligence</t>
  </si>
  <si>
    <t>https://simplywall.st/stocks/us/transportation</t>
  </si>
  <si>
    <t>https://papers.ssrn.com/sol3/papers.cfm?abstract_id=3803990</t>
  </si>
  <si>
    <t>https://www.bvresources.com/products/faqs/cost-of-capital-professional</t>
  </si>
  <si>
    <t>https://www.richmondfed.org/research/national_economy/cfo_survey</t>
  </si>
  <si>
    <t>(3) Implied Equity Risk Premium on January 5, 2023 as determined by Dr. Aswath Damodaran</t>
  </si>
  <si>
    <t>http://pages.stern.nyu.edu/~adamodar/New_Home_Page/datacurrent.html</t>
  </si>
  <si>
    <t>A market to book ratio over one would be an indication of no obsolescence.</t>
  </si>
  <si>
    <t>.</t>
  </si>
  <si>
    <t>Damodaran Implied ERP Ex Ante   Trailing 12 mo Cash Yield (3)</t>
  </si>
  <si>
    <t>Damodaran Implied ERP Ex Ante   Net Cash Yield (3)</t>
  </si>
  <si>
    <t>Damodaran Implied ERP Ex Ante   Norm. Earnings &amp; Payout (3)</t>
  </si>
  <si>
    <t>KROLL Ex Post  - ERP Historical (8)</t>
  </si>
  <si>
    <t>KROLL Ex Post - ERP Supply Side (8)</t>
  </si>
  <si>
    <t>KROLL Ex Ante - ERP Conditional (8)</t>
  </si>
  <si>
    <t>CAPM - Ex Ante  Damodaran 12 Mo Cash Yield</t>
  </si>
  <si>
    <t>CAPM - Ex Ante  Damodaran Net Cash Yield</t>
  </si>
  <si>
    <t>CAPM - Ex Ante  Damodaran NEP</t>
  </si>
  <si>
    <t>CAPM - Ex Post KROLL ERP Historical</t>
  </si>
  <si>
    <t>CAPM - Ex Post  KROLL ERP Supply Side</t>
  </si>
  <si>
    <t>CAPM - Ex Ante  KROLL ERP Conditional</t>
  </si>
  <si>
    <t>Empirical CAPM - Ex Ante  Damodaran 12 Mo Cash Yield</t>
  </si>
  <si>
    <t>Empirical CAPM - Ex Ante  Damodaran Net Cash Yield</t>
  </si>
  <si>
    <t>Empirical CAPM - Ex Ante  Damodaran NEP</t>
  </si>
  <si>
    <t>Empirical CAPM - Ex Post KROLL ERP Historical</t>
  </si>
  <si>
    <t>Empirical CAPM - Ex Post  KROLL ERP Supply Side</t>
  </si>
  <si>
    <t>Empirical CAPM - Ex Ante  KROLL ERP Conditional</t>
  </si>
  <si>
    <t>P. Fernandez, T. Garcia de Santos &amp; J.F.Acin  (5)</t>
  </si>
  <si>
    <t xml:space="preserve">(5) Fernandez, P., Garcia de Santos, T., &amp; Acin, J. F. (2022). Survey: Market Risk Premium and Risk-Free Rate Used for 95 Countries in 2022. 1591 US ERP only respondents.  SSRN Electronic Journal. </t>
  </si>
  <si>
    <t>Three Stage Ex Ante  Version 1  (1)(2)</t>
  </si>
  <si>
    <t>Three Stage Ex Ante  Version 2   (1)(2)</t>
  </si>
  <si>
    <t>Damodaran Implied ERP Ex Ante   Avg CF Yield Last 10 Yrs (3)</t>
  </si>
  <si>
    <t>CAPM - Ex Ante  Damodaran Avg CF Yield Last 10 Yrs</t>
  </si>
  <si>
    <t>Empirical CAPM - Ex Ante  Damodaran Avg CF Yield Last 10 Yrs</t>
  </si>
  <si>
    <t xml:space="preserve">(4) The CFO Survey (2022). Data &amp; Results December 2, 2022. Mean average annual S&amp;P return over next ten years (8.5%) less annual yield on 10-year Treasury Bonds. </t>
  </si>
  <si>
    <t>The market yield on 30 yerar US Treasury  Dec 30, 2022</t>
  </si>
  <si>
    <t xml:space="preserve">Board of Governors of the Federal Reserve System, Economic projections of Federal Reserve Board members and Federal Reserve Bank presidents under their individual assessments of projected appropriate monetary policy. December 2022  </t>
  </si>
  <si>
    <t>https://www.federalreserve.gov/monetarypolicy/files/fomcprojtabl20221214.pdf</t>
  </si>
  <si>
    <t>World Bank Group Flagship Report, Global Economic Prospects. January 2023. Page 4.</t>
  </si>
  <si>
    <t>The Trading Economics projects the U.S. GDP annual growth rate for 2025</t>
  </si>
  <si>
    <t xml:space="preserve">Trading Economics, United States Full Year GDP Growth Rate Forecast  </t>
  </si>
  <si>
    <t xml:space="preserve">The Economist Intelligence Unit. July 21, 2022  </t>
  </si>
  <si>
    <t>http://country.eiu.com/article.aspx?articleid=1652314548&amp;Country=United+States&amp;topic=Economy&amp;subtopic=Long-term+outlook&amp;subsubtopic=Summary</t>
  </si>
  <si>
    <t>To calculate the inflation rate, compare the inflation-indexed securities to the non-inflation indexed securities. The difference between the securities (using the 10-year, 20-year, and 30- year constant securities) provides the inflation rate.</t>
  </si>
  <si>
    <t>Congressional Budget Office  Average % change Yr to Yr  2023-2033  (4)</t>
  </si>
  <si>
    <t xml:space="preserve">Congressional Budget Office Real Economic Projections (4)  </t>
  </si>
  <si>
    <t>(4)  Budget Office, The Budget and Economic Outlook: 2023 to 2033, Table 2-1  and 2023 to 2033, Table C-1  See bellow.</t>
  </si>
  <si>
    <t>https://www.cbo.gov/system/files/2021-02/56970-Outlook.p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</si>
</sst>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0_);_(* \(#,##0.0000\);_(* &quot;-&quot;??_);_(@_)"/>
    <numFmt numFmtId="167" formatCode="_(* #,##0.000_);_(* \(#,##0.000\);_(* &quot;-&quot;??_);_(@_)"/>
    <numFmt numFmtId="168" formatCode="0.000%"/>
    <numFmt numFmtId="169" formatCode="0.0000%"/>
  </numFmts>
  <fonts count="71">
    <font>
      <sz val="11"/>
      <color theme="1"/>
      <name val="Calibri"/>
      <family val="2"/>
      <scheme val="minor"/>
    </font>
    <font>
      <sz val="11"/>
      <color theme="1"/>
      <name val="Calibri"/>
      <family val="2"/>
      <scheme val="minor"/>
    </font>
    <font>
      <b/>
      <sz val="12"/>
      <color theme="1"/>
      <name val="Calibri"/>
      <family val="2"/>
      <scheme val="minor"/>
    </font>
    <font>
      <b/>
      <sz val="11"/>
      <color theme="1"/>
      <name val="Helvetica Narrow Bold"/>
      <family val="2"/>
    </font>
    <font>
      <sz val="12"/>
      <color theme="1"/>
      <name val="Calibri"/>
      <family val="2"/>
      <scheme val="minor"/>
    </font>
    <font>
      <b/>
      <sz val="14"/>
      <color theme="1"/>
      <name val="Calibri"/>
      <family val="2"/>
      <scheme val="minor"/>
    </font>
    <font>
      <sz val="14"/>
      <color theme="1"/>
      <name val="Calibri"/>
      <family val="2"/>
      <scheme val="minor"/>
    </font>
    <font>
      <b/>
      <sz val="22"/>
      <color theme="1"/>
      <name val="Georgia"/>
      <family val="1"/>
    </font>
    <font>
      <sz val="11"/>
      <color theme="1"/>
      <name val="Georgia"/>
      <family val="1"/>
    </font>
    <font>
      <b/>
      <i/>
      <sz val="22"/>
      <color theme="1"/>
      <name val="Georgia"/>
      <family val="1"/>
    </font>
    <font>
      <i/>
      <sz val="11"/>
      <color theme="1"/>
      <name val="Georgia"/>
      <family val="1"/>
    </font>
    <font>
      <b/>
      <sz val="11"/>
      <color theme="1"/>
      <name val="Palatino Roman"/>
      <family val="1"/>
    </font>
    <font>
      <sz val="11"/>
      <color theme="1"/>
      <name val="Palatino Roman"/>
      <family val="1"/>
    </font>
    <font>
      <b/>
      <sz val="26"/>
      <color theme="1"/>
      <name val="Calibri"/>
      <family val="2"/>
      <scheme val="minor"/>
    </font>
    <font>
      <sz val="26"/>
      <color theme="1"/>
      <name val="Calibri"/>
      <family val="2"/>
      <scheme val="minor"/>
    </font>
    <font>
      <b/>
      <sz val="11"/>
      <name val="Calibri"/>
      <family val="2"/>
      <scheme val="minor"/>
    </font>
    <font>
      <sz val="9"/>
      <color indexed="81"/>
      <name val="Tahoma"/>
      <family val="2"/>
    </font>
    <font>
      <sz val="12"/>
      <name val="TIMES"/>
    </font>
    <font>
      <u/>
      <sz val="11"/>
      <color theme="10"/>
      <name val="Calibri"/>
      <family val="2"/>
      <scheme val="minor"/>
    </font>
    <font>
      <sz val="11"/>
      <color theme="1"/>
      <name val="Microsoft GothicNeo"/>
      <family val="2"/>
      <charset val="129"/>
    </font>
    <font>
      <sz val="11"/>
      <name val="Microsoft GothicNeo"/>
      <family val="2"/>
      <charset val="129"/>
    </font>
    <font>
      <b/>
      <sz val="11"/>
      <color theme="1"/>
      <name val="Microsoft GothicNeo"/>
      <family val="2"/>
      <charset val="129"/>
    </font>
    <font>
      <b/>
      <sz val="11"/>
      <name val="Microsoft GothicNeo"/>
      <family val="2"/>
      <charset val="129"/>
    </font>
    <font>
      <b/>
      <sz val="18"/>
      <color theme="1"/>
      <name val="Microsoft GothicNeo"/>
      <family val="2"/>
      <charset val="129"/>
    </font>
    <font>
      <b/>
      <sz val="16"/>
      <color theme="1"/>
      <name val="Microsoft GothicNeo"/>
      <family val="2"/>
      <charset val="129"/>
    </font>
    <font>
      <b/>
      <sz val="12"/>
      <color indexed="8"/>
      <name val="Microsoft GothicNeo"/>
      <family val="2"/>
      <charset val="129"/>
    </font>
    <font>
      <b/>
      <sz val="11"/>
      <color indexed="8"/>
      <name val="Microsoft GothicNeo"/>
      <family val="2"/>
      <charset val="129"/>
    </font>
    <font>
      <b/>
      <sz val="11"/>
      <color rgb="FFFF0000"/>
      <name val="Microsoft GothicNeo"/>
      <family val="2"/>
      <charset val="129"/>
    </font>
    <font>
      <b/>
      <sz val="14"/>
      <color theme="1"/>
      <name val="Microsoft GothicNeo"/>
      <family val="2"/>
      <charset val="129"/>
    </font>
    <font>
      <b/>
      <sz val="10"/>
      <color theme="1"/>
      <name val="Microsoft GothicNeo"/>
      <family val="2"/>
      <charset val="129"/>
    </font>
    <font>
      <sz val="9"/>
      <color theme="1"/>
      <name val="Microsoft GothicNeo"/>
      <family val="2"/>
      <charset val="129"/>
    </font>
    <font>
      <sz val="10"/>
      <color theme="1"/>
      <name val="Microsoft GothicNeo"/>
      <family val="2"/>
      <charset val="129"/>
    </font>
    <font>
      <i/>
      <sz val="9"/>
      <color theme="1"/>
      <name val="Microsoft GothicNeo"/>
      <family val="2"/>
      <charset val="129"/>
    </font>
    <font>
      <b/>
      <sz val="9"/>
      <color theme="1"/>
      <name val="Microsoft GothicNeo"/>
      <family val="2"/>
      <charset val="129"/>
    </font>
    <font>
      <b/>
      <sz val="12"/>
      <color theme="1"/>
      <name val="Microsoft GothicNeo"/>
      <family val="2"/>
      <charset val="129"/>
    </font>
    <font>
      <b/>
      <i/>
      <sz val="10"/>
      <color theme="1"/>
      <name val="Microsoft GothicNeo"/>
      <family val="2"/>
      <charset val="129"/>
    </font>
    <font>
      <sz val="16"/>
      <color theme="1"/>
      <name val="Microsoft GothicNeo"/>
      <family val="2"/>
      <charset val="129"/>
    </font>
    <font>
      <sz val="12"/>
      <color theme="1"/>
      <name val="Microsoft GothicNeo"/>
      <family val="2"/>
      <charset val="129"/>
    </font>
    <font>
      <b/>
      <sz val="12"/>
      <name val="Microsoft GothicNeo"/>
      <family val="2"/>
      <charset val="129"/>
    </font>
    <font>
      <b/>
      <i/>
      <u/>
      <sz val="11"/>
      <color theme="1"/>
      <name val="Microsoft GothicNeo"/>
      <family val="2"/>
      <charset val="129"/>
    </font>
    <font>
      <b/>
      <i/>
      <sz val="11"/>
      <color theme="1"/>
      <name val="Microsoft GothicNeo"/>
      <family val="2"/>
      <charset val="129"/>
    </font>
    <font>
      <i/>
      <sz val="10"/>
      <color theme="1"/>
      <name val="Microsoft GothicNeo"/>
      <family val="2"/>
      <charset val="129"/>
    </font>
    <font>
      <b/>
      <sz val="16"/>
      <name val="Microsoft GothicNeo"/>
      <family val="2"/>
      <charset val="129"/>
    </font>
    <font>
      <b/>
      <sz val="16"/>
      <color rgb="FFFF0000"/>
      <name val="Microsoft GothicNeo"/>
      <family val="2"/>
      <charset val="129"/>
    </font>
    <font>
      <sz val="12"/>
      <color rgb="FFFF0000"/>
      <name val="Microsoft GothicNeo"/>
      <family val="2"/>
      <charset val="129"/>
    </font>
    <font>
      <b/>
      <sz val="12"/>
      <color rgb="FF0000CC"/>
      <name val="Microsoft GothicNeo"/>
      <family val="2"/>
      <charset val="129"/>
    </font>
    <font>
      <b/>
      <sz val="14"/>
      <name val="Microsoft GothicNeo"/>
      <family val="2"/>
      <charset val="129"/>
    </font>
    <font>
      <u/>
      <sz val="11"/>
      <color theme="10"/>
      <name val="Microsoft GothicNeo"/>
      <family val="2"/>
      <charset val="129"/>
    </font>
    <font>
      <sz val="10"/>
      <name val="Microsoft GothicNeo"/>
      <family val="2"/>
      <charset val="129"/>
    </font>
    <font>
      <b/>
      <sz val="12"/>
      <color rgb="FFFF0000"/>
      <name val="Microsoft GothicNeo"/>
      <family val="2"/>
      <charset val="129"/>
    </font>
    <font>
      <b/>
      <sz val="14"/>
      <color rgb="FFFF0000"/>
      <name val="Microsoft GothicNeo"/>
      <family val="2"/>
      <charset val="129"/>
    </font>
    <font>
      <b/>
      <sz val="11"/>
      <color theme="1"/>
      <name val="Calibri"/>
      <family val="2"/>
      <scheme val="minor"/>
    </font>
    <font>
      <sz val="14"/>
      <color theme="1"/>
      <name val="Microsoft GothicNeo"/>
      <family val="2"/>
      <charset val="129"/>
    </font>
    <font>
      <sz val="11"/>
      <color rgb="FFFF0000"/>
      <name val="Microsoft GothicNeo"/>
      <family val="2"/>
      <charset val="129"/>
    </font>
    <font>
      <sz val="18"/>
      <color theme="1"/>
      <name val="Microsoft GothicNeo"/>
      <family val="2"/>
      <charset val="129"/>
    </font>
    <font>
      <sz val="20"/>
      <color theme="1"/>
      <name val="Microsoft GothicNeo"/>
      <family val="2"/>
      <charset val="129"/>
    </font>
    <font>
      <b/>
      <sz val="20"/>
      <color theme="1"/>
      <name val="Microsoft GothicNeo"/>
      <family val="2"/>
      <charset val="129"/>
    </font>
    <font>
      <b/>
      <sz val="11"/>
      <color indexed="81"/>
      <name val="Tahoma"/>
      <family val="2"/>
    </font>
    <font>
      <sz val="11"/>
      <color indexed="81"/>
      <name val="Tahoma"/>
      <family val="2"/>
    </font>
    <font>
      <b/>
      <i/>
      <sz val="18"/>
      <color rgb="FF0000CC"/>
      <name val="Microsoft GothicNeo"/>
      <family val="2"/>
      <charset val="129"/>
    </font>
    <font>
      <b/>
      <sz val="9"/>
      <color indexed="81"/>
      <name val="Tahoma"/>
      <family val="2"/>
    </font>
    <font>
      <sz val="11"/>
      <name val="Calibri"/>
      <family val="2"/>
      <scheme val="minor"/>
    </font>
    <font>
      <b/>
      <i/>
      <sz val="18"/>
      <name val="Calibri"/>
      <family val="2"/>
      <scheme val="minor"/>
    </font>
    <font>
      <b/>
      <i/>
      <sz val="10"/>
      <color rgb="FF0000CC"/>
      <name val="Microsoft GothicNeo"/>
      <family val="2"/>
      <charset val="129"/>
    </font>
    <font>
      <b/>
      <sz val="12"/>
      <name val="Calibri"/>
      <family val="2"/>
      <scheme val="minor"/>
    </font>
    <font>
      <u/>
      <sz val="11"/>
      <color rgb="FF0000CC"/>
      <name val="Calibri"/>
      <family val="2"/>
      <scheme val="minor"/>
    </font>
    <font>
      <b/>
      <i/>
      <sz val="14"/>
      <color theme="1"/>
      <name val="Calibri"/>
      <family val="2"/>
      <scheme val="minor"/>
    </font>
    <font>
      <b/>
      <sz val="9"/>
      <name val="Microsoft GothicNeo"/>
      <family val="2"/>
      <charset val="129"/>
    </font>
    <font>
      <sz val="12"/>
      <color rgb="FF000000"/>
      <name val="Arial"/>
      <family val="2"/>
    </font>
    <font>
      <i/>
      <sz val="11"/>
      <color theme="1"/>
      <name val="Microsoft GothicNeo"/>
      <family val="2"/>
      <charset val="129"/>
    </font>
    <font>
      <b/>
      <sz val="18"/>
      <name val="Microsoft GothicNeo"/>
      <family val="2"/>
      <charset val="129"/>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43">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style="thin">
        <color indexed="64"/>
      </left>
      <right/>
      <top/>
      <bottom style="double">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7" fillId="0" borderId="0"/>
    <xf numFmtId="0" fontId="17" fillId="0" borderId="0"/>
    <xf numFmtId="0" fontId="18" fillId="0" borderId="0" applyNumberFormat="0" applyFill="0" applyBorder="0" applyAlignment="0" applyProtection="0"/>
  </cellStyleXfs>
  <cellXfs count="469">
    <xf numFmtId="0" fontId="0" fillId="0" borderId="0" xfId="0"/>
    <xf numFmtId="0" fontId="2" fillId="0" borderId="0" xfId="0" applyFont="1"/>
    <xf numFmtId="0" fontId="3" fillId="0" borderId="0" xfId="0" applyFont="1"/>
    <xf numFmtId="164" fontId="3" fillId="0" borderId="0" xfId="1" applyNumberFormat="1" applyFont="1"/>
    <xf numFmtId="0" fontId="4" fillId="0" borderId="0" xfId="0" applyFont="1"/>
    <xf numFmtId="0" fontId="2"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9" fillId="0" borderId="0" xfId="0" applyFont="1"/>
    <xf numFmtId="0" fontId="19" fillId="0" borderId="0" xfId="0" applyFont="1" applyAlignment="1">
      <alignment horizontal="center"/>
    </xf>
    <xf numFmtId="0" fontId="21" fillId="0" borderId="0" xfId="0" applyFont="1" applyAlignment="1">
      <alignment horizontal="right"/>
    </xf>
    <xf numFmtId="43" fontId="22" fillId="0" borderId="0" xfId="1" applyFont="1" applyAlignment="1">
      <alignment horizontal="right" vertical="center"/>
    </xf>
    <xf numFmtId="43" fontId="22" fillId="0" borderId="0" xfId="1" applyFont="1" applyFill="1" applyAlignment="1">
      <alignment horizontal="right" vertical="center"/>
    </xf>
    <xf numFmtId="43" fontId="21" fillId="0" borderId="0" xfId="1" applyFont="1" applyFill="1" applyAlignment="1">
      <alignment horizontal="right"/>
    </xf>
    <xf numFmtId="43" fontId="21" fillId="0" borderId="0" xfId="1" applyFont="1" applyFill="1" applyAlignment="1">
      <alignment horizontal="center"/>
    </xf>
    <xf numFmtId="43" fontId="21" fillId="0" borderId="0" xfId="1" applyFont="1" applyFill="1" applyAlignment="1">
      <alignment horizontal="center" vertical="center"/>
    </xf>
    <xf numFmtId="43" fontId="21" fillId="0" borderId="0" xfId="1" applyFont="1" applyFill="1" applyBorder="1" applyAlignment="1">
      <alignment horizontal="center" vertical="center"/>
    </xf>
    <xf numFmtId="43" fontId="21" fillId="0" borderId="0" xfId="1" applyFont="1" applyFill="1"/>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28" fillId="0" borderId="16" xfId="0" applyFont="1" applyBorder="1"/>
    <xf numFmtId="0" fontId="19" fillId="0" borderId="2" xfId="0" applyFont="1" applyBorder="1"/>
    <xf numFmtId="0" fontId="27" fillId="0" borderId="2" xfId="0" applyFont="1" applyBorder="1"/>
    <xf numFmtId="0" fontId="28" fillId="0" borderId="0" xfId="0" applyFont="1"/>
    <xf numFmtId="0" fontId="24" fillId="0" borderId="0" xfId="0" applyFont="1" applyAlignment="1">
      <alignment horizontal="center"/>
    </xf>
    <xf numFmtId="0" fontId="29" fillId="0" borderId="2" xfId="0" applyFont="1" applyBorder="1" applyAlignment="1">
      <alignment horizontal="center"/>
    </xf>
    <xf numFmtId="0" fontId="30" fillId="0" borderId="2" xfId="0" applyFont="1" applyBorder="1" applyAlignment="1">
      <alignment horizontal="center"/>
    </xf>
    <xf numFmtId="0" fontId="21" fillId="0" borderId="0" xfId="0" applyFont="1" applyAlignment="1">
      <alignment horizontal="center"/>
    </xf>
    <xf numFmtId="0" fontId="29" fillId="0" borderId="0" xfId="0" applyFont="1" applyAlignment="1">
      <alignment horizontal="center"/>
    </xf>
    <xf numFmtId="0" fontId="21" fillId="0" borderId="2" xfId="0" applyFont="1" applyBorder="1" applyAlignment="1">
      <alignment horizontal="center"/>
    </xf>
    <xf numFmtId="0" fontId="31" fillId="0" borderId="2" xfId="0" applyFont="1" applyBorder="1" applyAlignment="1">
      <alignment horizontal="center"/>
    </xf>
    <xf numFmtId="0" fontId="30" fillId="0" borderId="1" xfId="0" applyFont="1" applyBorder="1" applyAlignment="1">
      <alignment horizontal="center"/>
    </xf>
    <xf numFmtId="0" fontId="32" fillId="0" borderId="1" xfId="0" applyFont="1" applyBorder="1" applyAlignment="1">
      <alignment horizontal="center"/>
    </xf>
    <xf numFmtId="0" fontId="30" fillId="0" borderId="0" xfId="0" applyFont="1" applyAlignment="1">
      <alignment horizontal="center"/>
    </xf>
    <xf numFmtId="0" fontId="33" fillId="0" borderId="2" xfId="0" applyFont="1" applyBorder="1" applyAlignment="1">
      <alignment horizontal="center"/>
    </xf>
    <xf numFmtId="0" fontId="35" fillId="0" borderId="1" xfId="0" applyFont="1" applyBorder="1" applyAlignment="1">
      <alignment horizontal="center"/>
    </xf>
    <xf numFmtId="0" fontId="21" fillId="0" borderId="0" xfId="0" applyFont="1"/>
    <xf numFmtId="166" fontId="22" fillId="0" borderId="0" xfId="1" applyNumberFormat="1" applyFont="1" applyFill="1" applyAlignment="1">
      <alignment horizontal="center"/>
    </xf>
    <xf numFmtId="166" fontId="22" fillId="0" borderId="0" xfId="1" applyNumberFormat="1" applyFont="1" applyFill="1"/>
    <xf numFmtId="0" fontId="21" fillId="0" borderId="4" xfId="0" applyFont="1" applyBorder="1"/>
    <xf numFmtId="0" fontId="22" fillId="0" borderId="0" xfId="0" applyFont="1" applyAlignment="1">
      <alignment horizontal="center" vertical="center"/>
    </xf>
    <xf numFmtId="166" fontId="21" fillId="0" borderId="0" xfId="1" applyNumberFormat="1" applyFont="1" applyFill="1" applyAlignment="1">
      <alignment horizontal="center"/>
    </xf>
    <xf numFmtId="0" fontId="24" fillId="0" borderId="0" xfId="0" applyFont="1" applyAlignment="1">
      <alignment horizontal="right"/>
    </xf>
    <xf numFmtId="10" fontId="21" fillId="0" borderId="0" xfId="2" applyNumberFormat="1" applyFont="1" applyFill="1" applyAlignment="1">
      <alignment horizontal="center" vertical="center"/>
    </xf>
    <xf numFmtId="10" fontId="21" fillId="0" borderId="0" xfId="2" applyNumberFormat="1" applyFont="1" applyFill="1" applyBorder="1" applyAlignment="1">
      <alignment horizontal="center" vertical="center"/>
    </xf>
    <xf numFmtId="10" fontId="22" fillId="0" borderId="0" xfId="2" applyNumberFormat="1" applyFont="1" applyAlignment="1">
      <alignment horizontal="right" vertical="center"/>
    </xf>
    <xf numFmtId="10" fontId="22" fillId="0" borderId="0" xfId="2" applyNumberFormat="1" applyFont="1" applyFill="1" applyAlignment="1">
      <alignment horizontal="right"/>
    </xf>
    <xf numFmtId="10" fontId="21" fillId="0" borderId="0" xfId="2" applyNumberFormat="1" applyFont="1" applyFill="1" applyAlignment="1">
      <alignment horizontal="right"/>
    </xf>
    <xf numFmtId="10" fontId="21" fillId="0" borderId="0" xfId="2" applyNumberFormat="1" applyFont="1" applyFill="1" applyAlignment="1">
      <alignment horizontal="center"/>
    </xf>
    <xf numFmtId="10" fontId="21" fillId="0" borderId="0" xfId="2" applyNumberFormat="1" applyFont="1" applyFill="1"/>
    <xf numFmtId="0" fontId="19" fillId="2" borderId="20" xfId="0" applyFont="1" applyFill="1" applyBorder="1" applyAlignment="1">
      <alignment horizontal="center"/>
    </xf>
    <xf numFmtId="0" fontId="19" fillId="2" borderId="22" xfId="0" applyFont="1" applyFill="1" applyBorder="1" applyAlignment="1">
      <alignment horizontal="center"/>
    </xf>
    <xf numFmtId="2" fontId="38" fillId="0" borderId="0" xfId="0" applyNumberFormat="1" applyFont="1" applyAlignment="1">
      <alignment horizontal="center"/>
    </xf>
    <xf numFmtId="164" fontId="38" fillId="0" borderId="0" xfId="1" applyNumberFormat="1" applyFont="1" applyAlignment="1"/>
    <xf numFmtId="2" fontId="22" fillId="0" borderId="0" xfId="0" applyNumberFormat="1" applyFont="1" applyAlignment="1">
      <alignment horizontal="center"/>
    </xf>
    <xf numFmtId="0" fontId="34" fillId="0" borderId="0" xfId="0" applyFont="1"/>
    <xf numFmtId="43" fontId="24" fillId="0" borderId="0" xfId="1" applyFont="1" applyFill="1"/>
    <xf numFmtId="2" fontId="38" fillId="0" borderId="4" xfId="0" applyNumberFormat="1" applyFont="1" applyBorder="1" applyAlignment="1">
      <alignment horizontal="center"/>
    </xf>
    <xf numFmtId="10" fontId="22" fillId="0" borderId="0" xfId="2" applyNumberFormat="1" applyFont="1" applyFill="1" applyAlignment="1">
      <alignment horizontal="center"/>
    </xf>
    <xf numFmtId="0" fontId="19" fillId="0" borderId="2" xfId="0" applyFont="1" applyBorder="1" applyAlignment="1">
      <alignment horizontal="center"/>
    </xf>
    <xf numFmtId="0" fontId="31" fillId="0" borderId="17" xfId="0" applyFont="1" applyBorder="1" applyAlignment="1">
      <alignment horizontal="center"/>
    </xf>
    <xf numFmtId="0" fontId="24" fillId="0" borderId="0" xfId="0" applyFont="1" applyAlignment="1">
      <alignment horizontal="center" vertical="center"/>
    </xf>
    <xf numFmtId="0" fontId="19" fillId="0" borderId="4" xfId="0" applyFont="1" applyBorder="1"/>
    <xf numFmtId="2" fontId="22" fillId="0" borderId="0" xfId="0" applyNumberFormat="1" applyFont="1" applyAlignment="1">
      <alignment horizontal="right" vertical="center"/>
    </xf>
    <xf numFmtId="2" fontId="21" fillId="0" borderId="0" xfId="0" applyNumberFormat="1" applyFont="1" applyAlignment="1">
      <alignment horizontal="right"/>
    </xf>
    <xf numFmtId="10" fontId="21" fillId="0" borderId="0" xfId="0" applyNumberFormat="1" applyFont="1"/>
    <xf numFmtId="0" fontId="39" fillId="0" borderId="0" xfId="0" applyFont="1" applyAlignment="1">
      <alignment horizontal="center"/>
    </xf>
    <xf numFmtId="0" fontId="40" fillId="0" borderId="0" xfId="0" applyFont="1"/>
    <xf numFmtId="0" fontId="41" fillId="0" borderId="17" xfId="0" applyFont="1" applyBorder="1" applyAlignment="1">
      <alignment horizontal="center"/>
    </xf>
    <xf numFmtId="0" fontId="36" fillId="0" borderId="0" xfId="0" applyFont="1" applyAlignment="1">
      <alignment horizontal="right"/>
    </xf>
    <xf numFmtId="0" fontId="28" fillId="0" borderId="0" xfId="0" applyFont="1" applyAlignment="1">
      <alignment horizontal="center"/>
    </xf>
    <xf numFmtId="0" fontId="21" fillId="0" borderId="24" xfId="0" applyFont="1" applyBorder="1" applyAlignment="1">
      <alignment horizontal="center"/>
    </xf>
    <xf numFmtId="0" fontId="21" fillId="0" borderId="10" xfId="0" applyFont="1" applyBorder="1" applyAlignment="1">
      <alignment horizontal="center"/>
    </xf>
    <xf numFmtId="0" fontId="21" fillId="0" borderId="3" xfId="0" applyFont="1" applyBorder="1" applyAlignment="1">
      <alignment horizontal="center"/>
    </xf>
    <xf numFmtId="10" fontId="21" fillId="0" borderId="0" xfId="2" applyNumberFormat="1" applyFont="1"/>
    <xf numFmtId="10" fontId="21" fillId="0" borderId="0" xfId="1" applyNumberFormat="1" applyFont="1" applyFill="1"/>
    <xf numFmtId="10" fontId="43" fillId="0" borderId="0" xfId="2" applyNumberFormat="1" applyFont="1" applyFill="1" applyAlignment="1">
      <alignment horizontal="center"/>
    </xf>
    <xf numFmtId="164" fontId="21" fillId="0" borderId="0" xfId="1" applyNumberFormat="1" applyFont="1"/>
    <xf numFmtId="0" fontId="19" fillId="0" borderId="0" xfId="0" applyFont="1" applyAlignment="1">
      <alignment horizontal="left"/>
    </xf>
    <xf numFmtId="0" fontId="21" fillId="0" borderId="2" xfId="0" applyFont="1" applyBorder="1"/>
    <xf numFmtId="0" fontId="34" fillId="0" borderId="7" xfId="0" applyFont="1" applyBorder="1" applyAlignment="1">
      <alignment horizontal="center"/>
    </xf>
    <xf numFmtId="0" fontId="34" fillId="0" borderId="10" xfId="0" applyFont="1" applyBorder="1" applyAlignment="1">
      <alignment horizontal="center"/>
    </xf>
    <xf numFmtId="0" fontId="34" fillId="0" borderId="0" xfId="0" applyFont="1" applyAlignment="1">
      <alignment horizontal="center"/>
    </xf>
    <xf numFmtId="15" fontId="34" fillId="0" borderId="10" xfId="0" applyNumberFormat="1" applyFont="1" applyBorder="1" applyAlignment="1">
      <alignment horizontal="center"/>
    </xf>
    <xf numFmtId="15" fontId="34" fillId="0" borderId="0" xfId="0" quotePrefix="1" applyNumberFormat="1" applyFont="1" applyAlignment="1">
      <alignment horizontal="center"/>
    </xf>
    <xf numFmtId="0" fontId="22" fillId="0" borderId="10" xfId="0" applyFont="1" applyBorder="1" applyAlignment="1">
      <alignment horizontal="center"/>
    </xf>
    <xf numFmtId="0" fontId="38" fillId="0" borderId="10" xfId="0" applyFont="1" applyBorder="1" applyAlignment="1">
      <alignment horizontal="center"/>
    </xf>
    <xf numFmtId="0" fontId="34" fillId="0" borderId="8" xfId="0" applyFont="1" applyBorder="1" applyAlignment="1">
      <alignment horizontal="center"/>
    </xf>
    <xf numFmtId="0" fontId="34" fillId="0" borderId="3" xfId="0" applyFont="1" applyBorder="1" applyAlignment="1">
      <alignment horizontal="center"/>
    </xf>
    <xf numFmtId="0" fontId="34" fillId="0" borderId="2" xfId="0" applyFont="1" applyBorder="1" applyAlignment="1">
      <alignment horizontal="center"/>
    </xf>
    <xf numFmtId="0" fontId="35" fillId="0" borderId="3" xfId="0" applyFont="1" applyBorder="1" applyAlignment="1">
      <alignment horizontal="center"/>
    </xf>
    <xf numFmtId="0" fontId="35" fillId="0" borderId="2" xfId="0" applyFont="1" applyBorder="1" applyAlignment="1">
      <alignment horizontal="center"/>
    </xf>
    <xf numFmtId="0" fontId="35" fillId="0" borderId="9" xfId="0" applyFont="1" applyBorder="1" applyAlignment="1">
      <alignment horizontal="center"/>
    </xf>
    <xf numFmtId="0" fontId="35" fillId="0" borderId="11" xfId="0" applyFont="1" applyBorder="1" applyAlignment="1">
      <alignment horizontal="center"/>
    </xf>
    <xf numFmtId="0" fontId="34" fillId="0" borderId="10" xfId="0" applyFont="1" applyBorder="1"/>
    <xf numFmtId="0" fontId="34" fillId="0" borderId="7" xfId="0" applyFont="1" applyBorder="1"/>
    <xf numFmtId="0" fontId="38" fillId="0" borderId="0" xfId="0" applyFont="1" applyAlignment="1">
      <alignment horizontal="center"/>
    </xf>
    <xf numFmtId="2" fontId="38" fillId="0" borderId="10" xfId="0" applyNumberFormat="1" applyFont="1" applyBorder="1" applyAlignment="1">
      <alignment horizontal="center"/>
    </xf>
    <xf numFmtId="3" fontId="38" fillId="0" borderId="0" xfId="0" applyNumberFormat="1" applyFont="1"/>
    <xf numFmtId="0" fontId="37" fillId="0" borderId="0" xfId="0" applyFont="1"/>
    <xf numFmtId="0" fontId="44" fillId="0" borderId="2" xfId="0" applyFont="1" applyBorder="1"/>
    <xf numFmtId="0" fontId="37" fillId="0" borderId="2" xfId="0" applyFont="1" applyBorder="1"/>
    <xf numFmtId="0" fontId="37" fillId="0" borderId="5" xfId="0" applyFont="1" applyBorder="1"/>
    <xf numFmtId="0" fontId="37" fillId="0" borderId="6" xfId="0" applyFont="1" applyBorder="1"/>
    <xf numFmtId="15" fontId="34" fillId="0" borderId="6" xfId="0" quotePrefix="1" applyNumberFormat="1" applyFont="1" applyBorder="1" applyAlignment="1">
      <alignment horizontal="center"/>
    </xf>
    <xf numFmtId="0" fontId="19" fillId="0" borderId="6" xfId="0" applyFont="1" applyBorder="1"/>
    <xf numFmtId="0" fontId="37" fillId="0" borderId="12" xfId="0" applyFont="1" applyBorder="1"/>
    <xf numFmtId="15" fontId="34" fillId="0" borderId="13" xfId="0" quotePrefix="1" applyNumberFormat="1" applyFont="1" applyBorder="1" applyAlignment="1">
      <alignment horizontal="center"/>
    </xf>
    <xf numFmtId="0" fontId="38" fillId="0" borderId="13" xfId="0" applyFont="1" applyBorder="1" applyAlignment="1">
      <alignment horizontal="center"/>
    </xf>
    <xf numFmtId="0" fontId="34" fillId="0" borderId="14" xfId="0" applyFont="1" applyBorder="1" applyAlignment="1">
      <alignment horizontal="center"/>
    </xf>
    <xf numFmtId="0" fontId="35" fillId="0" borderId="15" xfId="0" applyFont="1" applyBorder="1" applyAlignment="1">
      <alignment horizontal="center"/>
    </xf>
    <xf numFmtId="0" fontId="34" fillId="0" borderId="13" xfId="0" applyFont="1" applyBorder="1"/>
    <xf numFmtId="164" fontId="38" fillId="0" borderId="0" xfId="1" applyNumberFormat="1" applyFont="1" applyFill="1" applyBorder="1"/>
    <xf numFmtId="10" fontId="38" fillId="0" borderId="0" xfId="2" applyNumberFormat="1" applyFont="1" applyFill="1" applyBorder="1"/>
    <xf numFmtId="10" fontId="38" fillId="0" borderId="13" xfId="2" applyNumberFormat="1" applyFont="1" applyFill="1" applyBorder="1"/>
    <xf numFmtId="0" fontId="37" fillId="0" borderId="8" xfId="0" applyFont="1" applyBorder="1"/>
    <xf numFmtId="0" fontId="37" fillId="0" borderId="14" xfId="0" applyFont="1" applyBorder="1"/>
    <xf numFmtId="0" fontId="34" fillId="0" borderId="0" xfId="0" applyFont="1" applyAlignment="1">
      <alignment horizontal="right"/>
    </xf>
    <xf numFmtId="164" fontId="21" fillId="0" borderId="0" xfId="0" applyNumberFormat="1" applyFont="1"/>
    <xf numFmtId="10" fontId="34" fillId="0" borderId="0" xfId="0" applyNumberFormat="1" applyFont="1" applyAlignment="1">
      <alignment horizontal="right"/>
    </xf>
    <xf numFmtId="10" fontId="34" fillId="0" borderId="0" xfId="2" applyNumberFormat="1" applyFont="1" applyFill="1"/>
    <xf numFmtId="10" fontId="34" fillId="0" borderId="0" xfId="2" applyNumberFormat="1" applyFont="1"/>
    <xf numFmtId="2" fontId="19" fillId="0" borderId="0" xfId="0" applyNumberFormat="1" applyFont="1"/>
    <xf numFmtId="0" fontId="21" fillId="0" borderId="1" xfId="0" applyFont="1" applyBorder="1" applyAlignment="1">
      <alignment horizontal="center"/>
    </xf>
    <xf numFmtId="0" fontId="28" fillId="0" borderId="0" xfId="0" applyFont="1" applyAlignment="1">
      <alignment horizontal="right"/>
    </xf>
    <xf numFmtId="0" fontId="22" fillId="0" borderId="0" xfId="0" applyFont="1"/>
    <xf numFmtId="0" fontId="20" fillId="0" borderId="0" xfId="0" applyFont="1"/>
    <xf numFmtId="0" fontId="20" fillId="0" borderId="0" xfId="0" applyFont="1" applyAlignment="1">
      <alignment horizontal="left"/>
    </xf>
    <xf numFmtId="0" fontId="47" fillId="0" borderId="0" xfId="6" applyFont="1" applyFill="1" applyAlignment="1" applyProtection="1">
      <alignment horizontal="left" vertical="top"/>
    </xf>
    <xf numFmtId="0" fontId="20" fillId="0" borderId="0" xfId="0" applyFont="1" applyAlignment="1">
      <alignment horizontal="left" vertical="top"/>
    </xf>
    <xf numFmtId="0" fontId="47" fillId="0" borderId="0" xfId="6" applyFont="1" applyFill="1" applyAlignment="1" applyProtection="1"/>
    <xf numFmtId="0" fontId="20" fillId="0" borderId="0" xfId="0" applyFont="1" applyAlignment="1">
      <alignment vertical="top"/>
    </xf>
    <xf numFmtId="0" fontId="48" fillId="0" borderId="0" xfId="0" applyFont="1" applyAlignment="1">
      <alignment horizontal="left" vertical="top"/>
    </xf>
    <xf numFmtId="0" fontId="48" fillId="0" borderId="0" xfId="0" applyFont="1"/>
    <xf numFmtId="165" fontId="21" fillId="0" borderId="0" xfId="3" applyNumberFormat="1" applyFont="1" applyFill="1" applyAlignment="1">
      <alignment horizontal="center"/>
    </xf>
    <xf numFmtId="164" fontId="22" fillId="0" borderId="0" xfId="1" applyNumberFormat="1" applyFont="1" applyFill="1"/>
    <xf numFmtId="10" fontId="22" fillId="0" borderId="0" xfId="2" applyNumberFormat="1" applyFont="1" applyFill="1"/>
    <xf numFmtId="0" fontId="28" fillId="0" borderId="2" xfId="0" applyFont="1" applyBorder="1" applyAlignment="1">
      <alignment horizontal="center"/>
    </xf>
    <xf numFmtId="10" fontId="38" fillId="0" borderId="0" xfId="2" applyNumberFormat="1" applyFont="1" applyFill="1" applyAlignment="1">
      <alignment horizontal="center"/>
    </xf>
    <xf numFmtId="10" fontId="38" fillId="0" borderId="0" xfId="2" applyNumberFormat="1" applyFont="1" applyFill="1"/>
    <xf numFmtId="2" fontId="49" fillId="0" borderId="0" xfId="0" applyNumberFormat="1" applyFont="1" applyAlignment="1">
      <alignment horizontal="center"/>
    </xf>
    <xf numFmtId="2" fontId="34" fillId="0" borderId="2" xfId="0" applyNumberFormat="1" applyFont="1" applyBorder="1" applyAlignment="1">
      <alignment horizontal="center"/>
    </xf>
    <xf numFmtId="10" fontId="34" fillId="0" borderId="2" xfId="2" applyNumberFormat="1" applyFont="1" applyBorder="1"/>
    <xf numFmtId="10" fontId="34" fillId="0" borderId="0" xfId="0" applyNumberFormat="1" applyFont="1" applyAlignment="1">
      <alignment horizontal="center"/>
    </xf>
    <xf numFmtId="2" fontId="34" fillId="0" borderId="0" xfId="0" applyNumberFormat="1" applyFont="1" applyAlignment="1">
      <alignment horizontal="center"/>
    </xf>
    <xf numFmtId="0" fontId="38" fillId="0" borderId="0" xfId="0" applyFont="1"/>
    <xf numFmtId="0" fontId="34" fillId="0" borderId="0" xfId="0" applyFont="1" applyAlignment="1">
      <alignment horizontal="left"/>
    </xf>
    <xf numFmtId="10" fontId="19" fillId="0" borderId="0" xfId="0" applyNumberFormat="1" applyFont="1"/>
    <xf numFmtId="0" fontId="18" fillId="0" borderId="0" xfId="6"/>
    <xf numFmtId="0" fontId="50" fillId="0" borderId="2" xfId="0" applyFont="1" applyBorder="1"/>
    <xf numFmtId="0" fontId="0" fillId="0" borderId="2" xfId="0" applyBorder="1"/>
    <xf numFmtId="0" fontId="28" fillId="0" borderId="2" xfId="0" applyFont="1" applyBorder="1"/>
    <xf numFmtId="0" fontId="19" fillId="0" borderId="5" xfId="0" applyFont="1" applyBorder="1"/>
    <xf numFmtId="0" fontId="19" fillId="0" borderId="12" xfId="0" applyFont="1" applyBorder="1"/>
    <xf numFmtId="0" fontId="21" fillId="0" borderId="8" xfId="0" applyFont="1" applyBorder="1" applyAlignment="1">
      <alignment horizontal="center" vertical="center"/>
    </xf>
    <xf numFmtId="0" fontId="28" fillId="0" borderId="34" xfId="0" applyFont="1" applyBorder="1" applyAlignment="1">
      <alignment horizontal="center" vertical="center" wrapText="1"/>
    </xf>
    <xf numFmtId="0" fontId="28" fillId="0" borderId="16" xfId="0" applyFont="1" applyBorder="1" applyAlignment="1">
      <alignment horizontal="center" vertical="center"/>
    </xf>
    <xf numFmtId="0" fontId="28" fillId="0" borderId="16" xfId="0" applyFont="1" applyBorder="1" applyAlignment="1">
      <alignment horizontal="center" vertical="center" wrapText="1"/>
    </xf>
    <xf numFmtId="0" fontId="28" fillId="0" borderId="32" xfId="0" applyFont="1" applyBorder="1" applyAlignment="1">
      <alignment horizontal="center" vertical="center"/>
    </xf>
    <xf numFmtId="0" fontId="34" fillId="0" borderId="16" xfId="0" applyFont="1" applyBorder="1" applyAlignment="1">
      <alignment horizontal="center" vertical="center"/>
    </xf>
    <xf numFmtId="0" fontId="51" fillId="0" borderId="0" xfId="0" applyFont="1"/>
    <xf numFmtId="0" fontId="28" fillId="0" borderId="7" xfId="0" applyFont="1" applyBorder="1" applyAlignment="1">
      <alignment horizontal="center" vertical="center"/>
    </xf>
    <xf numFmtId="0" fontId="34" fillId="0" borderId="2" xfId="0" applyFont="1" applyBorder="1" applyAlignment="1">
      <alignment horizontal="center" vertical="center"/>
    </xf>
    <xf numFmtId="0" fontId="50" fillId="0" borderId="33" xfId="0" applyFont="1" applyBorder="1"/>
    <xf numFmtId="0" fontId="19" fillId="0" borderId="27" xfId="0" applyFont="1" applyBorder="1"/>
    <xf numFmtId="0" fontId="19" fillId="0" borderId="26" xfId="0" applyFont="1" applyBorder="1"/>
    <xf numFmtId="0" fontId="34" fillId="0" borderId="29" xfId="0" applyFont="1" applyBorder="1"/>
    <xf numFmtId="0" fontId="34" fillId="0" borderId="31" xfId="0" applyFont="1" applyBorder="1"/>
    <xf numFmtId="10" fontId="38" fillId="0" borderId="25" xfId="2" applyNumberFormat="1" applyFont="1" applyFill="1" applyBorder="1" applyAlignment="1">
      <alignment horizontal="center"/>
    </xf>
    <xf numFmtId="0" fontId="34" fillId="0" borderId="20" xfId="0" applyFont="1" applyBorder="1"/>
    <xf numFmtId="10" fontId="38" fillId="0" borderId="26" xfId="2" applyNumberFormat="1" applyFont="1" applyFill="1" applyBorder="1" applyAlignment="1">
      <alignment horizontal="center"/>
    </xf>
    <xf numFmtId="0" fontId="34" fillId="0" borderId="22" xfId="0" applyFont="1" applyBorder="1"/>
    <xf numFmtId="0" fontId="34" fillId="0" borderId="1" xfId="0" applyFont="1" applyBorder="1"/>
    <xf numFmtId="10" fontId="38" fillId="0" borderId="27" xfId="2" applyNumberFormat="1" applyFont="1" applyFill="1" applyBorder="1" applyAlignment="1">
      <alignment horizontal="center"/>
    </xf>
    <xf numFmtId="10" fontId="38" fillId="0" borderId="26" xfId="2" applyNumberFormat="1" applyFont="1" applyBorder="1" applyAlignment="1">
      <alignment horizontal="center" vertical="center"/>
    </xf>
    <xf numFmtId="10" fontId="34" fillId="0" borderId="25" xfId="2" applyNumberFormat="1" applyFont="1" applyFill="1" applyBorder="1" applyAlignment="1">
      <alignment horizontal="center"/>
    </xf>
    <xf numFmtId="10" fontId="34" fillId="0" borderId="27" xfId="2" applyNumberFormat="1" applyFont="1" applyFill="1" applyBorder="1" applyAlignment="1">
      <alignment horizontal="center"/>
    </xf>
    <xf numFmtId="10" fontId="38" fillId="0" borderId="0" xfId="2" applyNumberFormat="1" applyFont="1" applyAlignment="1">
      <alignment horizontal="right" vertical="center"/>
    </xf>
    <xf numFmtId="43" fontId="38" fillId="0" borderId="0" xfId="1" applyFont="1" applyAlignment="1">
      <alignment horizontal="right" vertical="center"/>
    </xf>
    <xf numFmtId="43" fontId="38" fillId="0" borderId="0" xfId="1" applyFont="1" applyFill="1" applyAlignment="1">
      <alignment horizontal="right" vertical="center"/>
    </xf>
    <xf numFmtId="10" fontId="34" fillId="0" borderId="0" xfId="2" applyNumberFormat="1" applyFont="1" applyFill="1" applyAlignment="1">
      <alignment horizontal="right"/>
    </xf>
    <xf numFmtId="43" fontId="34" fillId="0" borderId="0" xfId="1" applyFont="1" applyFill="1" applyAlignment="1">
      <alignment horizontal="right"/>
    </xf>
    <xf numFmtId="43" fontId="34" fillId="0" borderId="0" xfId="1" applyFont="1" applyFill="1"/>
    <xf numFmtId="0" fontId="34" fillId="0" borderId="0" xfId="0" applyFont="1" applyAlignment="1">
      <alignment horizontal="center" vertical="center"/>
    </xf>
    <xf numFmtId="0" fontId="22" fillId="0" borderId="25" xfId="0" applyFont="1" applyBorder="1" applyAlignment="1">
      <alignment horizontal="center"/>
    </xf>
    <xf numFmtId="0" fontId="22" fillId="0" borderId="27" xfId="0" applyFont="1" applyBorder="1" applyAlignment="1">
      <alignment horizontal="center"/>
    </xf>
    <xf numFmtId="44" fontId="38" fillId="0" borderId="0" xfId="3" applyFont="1" applyAlignment="1">
      <alignment horizontal="center"/>
    </xf>
    <xf numFmtId="165" fontId="21" fillId="0" borderId="0" xfId="0" applyNumberFormat="1" applyFont="1" applyAlignment="1">
      <alignment horizontal="center"/>
    </xf>
    <xf numFmtId="0" fontId="29" fillId="0" borderId="0" xfId="0" applyFont="1"/>
    <xf numFmtId="0" fontId="33" fillId="0" borderId="0" xfId="0" applyFont="1"/>
    <xf numFmtId="0" fontId="21" fillId="0" borderId="0" xfId="0" applyFont="1" applyAlignment="1">
      <alignment horizontal="right" vertical="center"/>
    </xf>
    <xf numFmtId="0" fontId="0" fillId="0" borderId="34" xfId="0" applyBorder="1"/>
    <xf numFmtId="0" fontId="19" fillId="0" borderId="32" xfId="0" applyFont="1" applyBorder="1"/>
    <xf numFmtId="0" fontId="24" fillId="0" borderId="34" xfId="0" applyFont="1" applyBorder="1" applyAlignment="1">
      <alignment horizontal="right"/>
    </xf>
    <xf numFmtId="10" fontId="24" fillId="0" borderId="16" xfId="2" applyNumberFormat="1" applyFont="1" applyFill="1" applyBorder="1" applyAlignment="1">
      <alignment horizontal="center"/>
    </xf>
    <xf numFmtId="0" fontId="36" fillId="0" borderId="16" xfId="0" applyFont="1" applyBorder="1" applyAlignment="1">
      <alignment horizontal="center"/>
    </xf>
    <xf numFmtId="0" fontId="23" fillId="0" borderId="32" xfId="0" applyFont="1" applyBorder="1"/>
    <xf numFmtId="0" fontId="23" fillId="0" borderId="34" xfId="0" applyFont="1" applyBorder="1" applyAlignment="1">
      <alignment horizontal="right"/>
    </xf>
    <xf numFmtId="0" fontId="23" fillId="0" borderId="34" xfId="0" applyFont="1" applyBorder="1"/>
    <xf numFmtId="0" fontId="19" fillId="0" borderId="34" xfId="0" applyFont="1" applyBorder="1"/>
    <xf numFmtId="0" fontId="34" fillId="0" borderId="7" xfId="0" applyFont="1" applyBorder="1" applyAlignment="1">
      <alignment horizontal="center" vertical="center"/>
    </xf>
    <xf numFmtId="10" fontId="34" fillId="0" borderId="0" xfId="2" applyNumberFormat="1" applyFont="1" applyBorder="1" applyAlignment="1">
      <alignment horizontal="center" vertical="center"/>
    </xf>
    <xf numFmtId="10" fontId="34" fillId="0" borderId="13" xfId="2" applyNumberFormat="1" applyFont="1" applyBorder="1" applyAlignment="1">
      <alignment horizontal="center" vertical="center"/>
    </xf>
    <xf numFmtId="0" fontId="37" fillId="0" borderId="7" xfId="0" applyFont="1" applyBorder="1"/>
    <xf numFmtId="0" fontId="37" fillId="0" borderId="13" xfId="0" applyFont="1" applyBorder="1"/>
    <xf numFmtId="0" fontId="24" fillId="0" borderId="16" xfId="0" applyFont="1" applyBorder="1" applyAlignment="1">
      <alignment horizontal="center" vertical="center"/>
    </xf>
    <xf numFmtId="0" fontId="53" fillId="0" borderId="0" xfId="0" applyFont="1"/>
    <xf numFmtId="0" fontId="24" fillId="0" borderId="16" xfId="0" applyFont="1" applyBorder="1" applyAlignment="1">
      <alignment horizontal="right"/>
    </xf>
    <xf numFmtId="2" fontId="34" fillId="0" borderId="16" xfId="0" applyNumberFormat="1" applyFont="1" applyBorder="1" applyAlignment="1">
      <alignment horizontal="center"/>
    </xf>
    <xf numFmtId="43" fontId="34" fillId="0" borderId="0" xfId="1" applyFont="1" applyBorder="1" applyAlignment="1">
      <alignment horizontal="center" vertical="center"/>
    </xf>
    <xf numFmtId="43" fontId="34" fillId="0" borderId="0" xfId="1" applyFont="1" applyBorder="1" applyAlignment="1">
      <alignment vertical="center"/>
    </xf>
    <xf numFmtId="10" fontId="34" fillId="0" borderId="0" xfId="2" applyNumberFormat="1" applyFont="1" applyBorder="1" applyAlignment="1">
      <alignment vertical="center"/>
    </xf>
    <xf numFmtId="10" fontId="0" fillId="0" borderId="0" xfId="2" applyNumberFormat="1" applyFont="1"/>
    <xf numFmtId="10" fontId="34" fillId="0" borderId="0" xfId="2" applyNumberFormat="1" applyFont="1" applyFill="1" applyBorder="1" applyAlignment="1">
      <alignment horizontal="center" vertical="center"/>
    </xf>
    <xf numFmtId="0" fontId="34" fillId="0" borderId="30" xfId="0" applyFont="1" applyBorder="1"/>
    <xf numFmtId="0" fontId="34" fillId="0" borderId="21" xfId="0" applyFont="1" applyBorder="1"/>
    <xf numFmtId="0" fontId="34" fillId="0" borderId="23" xfId="0" applyFont="1" applyBorder="1"/>
    <xf numFmtId="10" fontId="38" fillId="2" borderId="26" xfId="2" applyNumberFormat="1" applyFont="1" applyFill="1" applyBorder="1" applyAlignment="1">
      <alignment horizontal="center"/>
    </xf>
    <xf numFmtId="0" fontId="19" fillId="0" borderId="24" xfId="0" applyFont="1" applyBorder="1"/>
    <xf numFmtId="10" fontId="28" fillId="0" borderId="3" xfId="2" applyNumberFormat="1" applyFont="1" applyBorder="1" applyAlignment="1">
      <alignment horizontal="center" vertical="center"/>
    </xf>
    <xf numFmtId="10" fontId="23" fillId="0" borderId="0" xfId="2" applyNumberFormat="1" applyFont="1" applyAlignment="1">
      <alignment horizontal="center"/>
    </xf>
    <xf numFmtId="0" fontId="54" fillId="0" borderId="0" xfId="0" applyFont="1"/>
    <xf numFmtId="0" fontId="31" fillId="0" borderId="0" xfId="0" applyFont="1"/>
    <xf numFmtId="164" fontId="21" fillId="0" borderId="0" xfId="1" applyNumberFormat="1" applyFont="1" applyFill="1" applyAlignment="1"/>
    <xf numFmtId="2" fontId="24" fillId="0" borderId="16" xfId="0" applyNumberFormat="1" applyFont="1" applyBorder="1" applyAlignment="1">
      <alignment horizontal="center"/>
    </xf>
    <xf numFmtId="10" fontId="24" fillId="0" borderId="16" xfId="2" applyNumberFormat="1" applyFont="1" applyBorder="1" applyAlignment="1">
      <alignment horizontal="center"/>
    </xf>
    <xf numFmtId="2" fontId="24" fillId="0" borderId="16" xfId="0" applyNumberFormat="1" applyFont="1" applyBorder="1" applyAlignment="1">
      <alignment horizontal="center" vertical="center"/>
    </xf>
    <xf numFmtId="10" fontId="24" fillId="0" borderId="16" xfId="2" applyNumberFormat="1" applyFont="1" applyBorder="1" applyAlignment="1">
      <alignment horizontal="center" vertical="center"/>
    </xf>
    <xf numFmtId="10" fontId="38" fillId="0" borderId="27" xfId="2" applyNumberFormat="1" applyFont="1" applyBorder="1" applyAlignment="1">
      <alignment horizontal="center" vertical="center"/>
    </xf>
    <xf numFmtId="0" fontId="21" fillId="0" borderId="0" xfId="0" applyFont="1" applyAlignment="1">
      <alignment horizontal="center" vertical="center"/>
    </xf>
    <xf numFmtId="10" fontId="28" fillId="0" borderId="0" xfId="2" applyNumberFormat="1" applyFont="1" applyBorder="1" applyAlignment="1">
      <alignment horizontal="center" vertical="center"/>
    </xf>
    <xf numFmtId="0" fontId="28" fillId="0" borderId="8" xfId="0" applyFont="1" applyBorder="1" applyAlignment="1">
      <alignment horizontal="right" vertical="center"/>
    </xf>
    <xf numFmtId="0" fontId="30" fillId="0" borderId="17" xfId="0" applyFont="1" applyBorder="1" applyAlignment="1">
      <alignment horizontal="center"/>
    </xf>
    <xf numFmtId="0" fontId="21" fillId="0" borderId="2" xfId="0" quotePrefix="1" applyFont="1" applyBorder="1" applyAlignment="1">
      <alignment horizontal="center"/>
    </xf>
    <xf numFmtId="0" fontId="6" fillId="0" borderId="0" xfId="0" applyFont="1"/>
    <xf numFmtId="0" fontId="55" fillId="0" borderId="0" xfId="0" applyFont="1" applyAlignment="1">
      <alignment horizontal="center"/>
    </xf>
    <xf numFmtId="0" fontId="37" fillId="0" borderId="0" xfId="0" applyFont="1" applyAlignment="1">
      <alignment horizontal="left"/>
    </xf>
    <xf numFmtId="0" fontId="52" fillId="0" borderId="0" xfId="0" applyFont="1" applyAlignment="1">
      <alignment horizontal="left"/>
    </xf>
    <xf numFmtId="0" fontId="56" fillId="0" borderId="0" xfId="0" applyFont="1"/>
    <xf numFmtId="0" fontId="37" fillId="0" borderId="0" xfId="0" applyFont="1" applyAlignment="1">
      <alignment horizontal="right"/>
    </xf>
    <xf numFmtId="0" fontId="37" fillId="0" borderId="2" xfId="0" applyFont="1" applyBorder="1" applyAlignment="1">
      <alignment horizontal="center"/>
    </xf>
    <xf numFmtId="0" fontId="52" fillId="0" borderId="0" xfId="0" applyFont="1"/>
    <xf numFmtId="10" fontId="28" fillId="0" borderId="10" xfId="2" applyNumberFormat="1" applyFont="1" applyFill="1" applyBorder="1" applyAlignment="1">
      <alignment horizontal="center" vertical="center"/>
    </xf>
    <xf numFmtId="43" fontId="24" fillId="0" borderId="16" xfId="1" applyFont="1" applyBorder="1" applyAlignment="1">
      <alignment horizontal="center" vertical="center"/>
    </xf>
    <xf numFmtId="167" fontId="38" fillId="0" borderId="16" xfId="1" applyNumberFormat="1" applyFont="1" applyFill="1" applyBorder="1"/>
    <xf numFmtId="15" fontId="34" fillId="0" borderId="24" xfId="0" applyNumberFormat="1" applyFont="1" applyBorder="1" applyAlignment="1">
      <alignment horizontal="center"/>
    </xf>
    <xf numFmtId="15" fontId="34" fillId="0" borderId="12" xfId="0" applyNumberFormat="1" applyFont="1" applyBorder="1" applyAlignment="1">
      <alignment horizontal="center"/>
    </xf>
    <xf numFmtId="15" fontId="34" fillId="0" borderId="13" xfId="0" applyNumberFormat="1" applyFont="1" applyBorder="1" applyAlignment="1">
      <alignment horizontal="center"/>
    </xf>
    <xf numFmtId="0" fontId="34" fillId="0" borderId="13" xfId="0" applyFont="1" applyBorder="1" applyAlignment="1">
      <alignment horizontal="center"/>
    </xf>
    <xf numFmtId="0" fontId="51" fillId="0" borderId="0" xfId="0" applyFont="1" applyAlignment="1">
      <alignment horizontal="center" vertical="center"/>
    </xf>
    <xf numFmtId="0" fontId="51" fillId="0" borderId="1" xfId="0" applyFont="1" applyBorder="1" applyAlignment="1">
      <alignment horizontal="center" vertical="center"/>
    </xf>
    <xf numFmtId="0" fontId="0" fillId="0" borderId="1" xfId="0" applyBorder="1"/>
    <xf numFmtId="0" fontId="34" fillId="0" borderId="1" xfId="0" applyFont="1" applyBorder="1" applyAlignment="1">
      <alignment horizontal="center"/>
    </xf>
    <xf numFmtId="10" fontId="38" fillId="0" borderId="1" xfId="2" applyNumberFormat="1" applyFont="1" applyFill="1" applyBorder="1" applyAlignment="1">
      <alignment horizontal="center"/>
    </xf>
    <xf numFmtId="43" fontId="38" fillId="0" borderId="1" xfId="1" applyFont="1" applyFill="1" applyBorder="1" applyAlignment="1">
      <alignment horizontal="center"/>
    </xf>
    <xf numFmtId="43" fontId="38" fillId="0" borderId="0" xfId="1" applyFont="1" applyAlignment="1">
      <alignment horizontal="center"/>
    </xf>
    <xf numFmtId="43" fontId="38" fillId="0" borderId="0" xfId="1" applyFont="1" applyFill="1" applyAlignment="1">
      <alignment horizontal="center"/>
    </xf>
    <xf numFmtId="0" fontId="51" fillId="0" borderId="0" xfId="0" applyFont="1" applyAlignment="1">
      <alignment horizontal="right"/>
    </xf>
    <xf numFmtId="43" fontId="51" fillId="0" borderId="0" xfId="0" applyNumberFormat="1" applyFont="1"/>
    <xf numFmtId="2" fontId="51" fillId="0" borderId="0" xfId="0" applyNumberFormat="1" applyFont="1"/>
    <xf numFmtId="0" fontId="34" fillId="0" borderId="5" xfId="0" applyFont="1" applyBorder="1" applyAlignment="1">
      <alignment horizontal="center"/>
    </xf>
    <xf numFmtId="0" fontId="34" fillId="0" borderId="24" xfId="0" applyFont="1" applyBorder="1" applyAlignment="1">
      <alignment horizontal="center"/>
    </xf>
    <xf numFmtId="0" fontId="34" fillId="0" borderId="6" xfId="0" applyFont="1" applyBorder="1" applyAlignment="1">
      <alignment horizontal="center"/>
    </xf>
    <xf numFmtId="164" fontId="38" fillId="0" borderId="10" xfId="1" applyNumberFormat="1" applyFont="1" applyFill="1" applyBorder="1" applyAlignment="1">
      <alignment horizontal="center"/>
    </xf>
    <xf numFmtId="164" fontId="38" fillId="0" borderId="13" xfId="1" applyNumberFormat="1" applyFont="1" applyFill="1" applyBorder="1" applyAlignment="1">
      <alignment horizontal="center"/>
    </xf>
    <xf numFmtId="168" fontId="21" fillId="0" borderId="26" xfId="0" applyNumberFormat="1" applyFont="1" applyBorder="1" applyAlignment="1">
      <alignment horizontal="center" vertical="center"/>
    </xf>
    <xf numFmtId="0" fontId="22" fillId="0" borderId="0" xfId="0" applyFont="1" applyAlignment="1">
      <alignment horizontal="center"/>
    </xf>
    <xf numFmtId="10" fontId="38" fillId="0" borderId="0" xfId="2" applyNumberFormat="1" applyFont="1" applyFill="1" applyBorder="1" applyAlignment="1">
      <alignment horizontal="center"/>
    </xf>
    <xf numFmtId="10" fontId="38" fillId="0" borderId="0" xfId="2" applyNumberFormat="1" applyFont="1" applyBorder="1" applyAlignment="1">
      <alignment horizontal="center" vertical="center"/>
    </xf>
    <xf numFmtId="10" fontId="28" fillId="0" borderId="3" xfId="2" applyNumberFormat="1" applyFont="1" applyFill="1" applyBorder="1" applyAlignment="1">
      <alignment horizontal="center" vertical="center"/>
    </xf>
    <xf numFmtId="0" fontId="24" fillId="0" borderId="19" xfId="0" applyFont="1" applyBorder="1" applyAlignment="1">
      <alignment horizontal="center" vertical="center"/>
    </xf>
    <xf numFmtId="0" fontId="28" fillId="0" borderId="32" xfId="0" applyFont="1" applyBorder="1"/>
    <xf numFmtId="0" fontId="19" fillId="0" borderId="33" xfId="0" applyFont="1" applyBorder="1"/>
    <xf numFmtId="0" fontId="34" fillId="0" borderId="32" xfId="0" applyFont="1" applyBorder="1"/>
    <xf numFmtId="0" fontId="34" fillId="0" borderId="34" xfId="0" applyFont="1" applyBorder="1"/>
    <xf numFmtId="15" fontId="34" fillId="0" borderId="6" xfId="0" applyNumberFormat="1" applyFont="1" applyBorder="1" applyAlignment="1">
      <alignment horizontal="center"/>
    </xf>
    <xf numFmtId="15" fontId="34" fillId="0" borderId="24" xfId="0" quotePrefix="1" applyNumberFormat="1" applyFont="1" applyBorder="1" applyAlignment="1">
      <alignment horizontal="center"/>
    </xf>
    <xf numFmtId="15" fontId="34" fillId="0" borderId="0" xfId="0" applyNumberFormat="1" applyFont="1" applyAlignment="1">
      <alignment horizontal="center"/>
    </xf>
    <xf numFmtId="0" fontId="59" fillId="0" borderId="0" xfId="0" applyFont="1"/>
    <xf numFmtId="0" fontId="34" fillId="0" borderId="12" xfId="0" applyFont="1" applyBorder="1" applyAlignment="1">
      <alignment horizontal="center"/>
    </xf>
    <xf numFmtId="0" fontId="35" fillId="0" borderId="36" xfId="0" applyFont="1" applyBorder="1" applyAlignment="1">
      <alignment horizontal="center"/>
    </xf>
    <xf numFmtId="10" fontId="36" fillId="0" borderId="0" xfId="2" applyNumberFormat="1" applyFont="1" applyFill="1" applyBorder="1"/>
    <xf numFmtId="0" fontId="34" fillId="3" borderId="35" xfId="0" applyFont="1" applyFill="1" applyBorder="1"/>
    <xf numFmtId="0" fontId="34" fillId="3" borderId="20" xfId="0" applyFont="1" applyFill="1" applyBorder="1"/>
    <xf numFmtId="0" fontId="38" fillId="3" borderId="20" xfId="0" applyFont="1" applyFill="1" applyBorder="1"/>
    <xf numFmtId="0" fontId="38" fillId="2" borderId="20" xfId="0" applyFont="1" applyFill="1" applyBorder="1"/>
    <xf numFmtId="0" fontId="28" fillId="0" borderId="28" xfId="0" applyFont="1" applyBorder="1" applyAlignment="1">
      <alignment horizontal="center"/>
    </xf>
    <xf numFmtId="0" fontId="37" fillId="2" borderId="26" xfId="0" applyFont="1" applyFill="1" applyBorder="1" applyAlignment="1">
      <alignment horizontal="center"/>
    </xf>
    <xf numFmtId="0" fontId="19" fillId="2" borderId="26" xfId="0" applyFont="1" applyFill="1" applyBorder="1" applyAlignment="1">
      <alignment horizontal="center"/>
    </xf>
    <xf numFmtId="0" fontId="37" fillId="2" borderId="27" xfId="0" applyFont="1" applyFill="1" applyBorder="1" applyAlignment="1">
      <alignment horizontal="center"/>
    </xf>
    <xf numFmtId="0" fontId="19" fillId="2" borderId="27" xfId="0" applyFont="1" applyFill="1" applyBorder="1" applyAlignment="1">
      <alignment horizontal="center"/>
    </xf>
    <xf numFmtId="43" fontId="24" fillId="0" borderId="0" xfId="1" applyFont="1" applyFill="1" applyBorder="1" applyAlignment="1">
      <alignment horizontal="center" vertical="center"/>
    </xf>
    <xf numFmtId="0" fontId="28" fillId="0" borderId="25" xfId="0" applyFont="1" applyBorder="1" applyAlignment="1">
      <alignment horizontal="center"/>
    </xf>
    <xf numFmtId="0" fontId="19" fillId="2" borderId="29" xfId="0" applyFont="1" applyFill="1" applyBorder="1" applyAlignment="1">
      <alignment horizontal="center"/>
    </xf>
    <xf numFmtId="0" fontId="19" fillId="2" borderId="30" xfId="0" applyFont="1" applyFill="1" applyBorder="1" applyAlignment="1">
      <alignment horizontal="center"/>
    </xf>
    <xf numFmtId="0" fontId="19" fillId="2" borderId="21" xfId="0" applyFont="1" applyFill="1" applyBorder="1" applyAlignment="1">
      <alignment horizontal="center"/>
    </xf>
    <xf numFmtId="0" fontId="19" fillId="2" borderId="23" xfId="0" applyFont="1" applyFill="1" applyBorder="1" applyAlignment="1">
      <alignment horizontal="center"/>
    </xf>
    <xf numFmtId="0" fontId="37" fillId="2" borderId="25" xfId="0" applyFont="1" applyFill="1" applyBorder="1" applyAlignment="1">
      <alignment horizontal="center"/>
    </xf>
    <xf numFmtId="0" fontId="40" fillId="0" borderId="14" xfId="0" applyFont="1" applyBorder="1" applyAlignment="1">
      <alignment horizontal="center"/>
    </xf>
    <xf numFmtId="0" fontId="40" fillId="0" borderId="3" xfId="0" applyFont="1" applyBorder="1" applyAlignment="1">
      <alignment horizontal="center"/>
    </xf>
    <xf numFmtId="0" fontId="35" fillId="0" borderId="37" xfId="0" applyFont="1" applyBorder="1" applyAlignment="1">
      <alignment horizontal="center"/>
    </xf>
    <xf numFmtId="0" fontId="35" fillId="0" borderId="17" xfId="0" applyFont="1" applyBorder="1" applyAlignment="1">
      <alignment horizontal="center"/>
    </xf>
    <xf numFmtId="0" fontId="0" fillId="0" borderId="8" xfId="0" applyBorder="1"/>
    <xf numFmtId="0" fontId="0" fillId="0" borderId="14" xfId="0" applyBorder="1"/>
    <xf numFmtId="0" fontId="34" fillId="0" borderId="16" xfId="0" applyFont="1" applyBorder="1" applyAlignment="1">
      <alignment horizontal="right"/>
    </xf>
    <xf numFmtId="0" fontId="34" fillId="0" borderId="8" xfId="0" applyFont="1" applyBorder="1"/>
    <xf numFmtId="164" fontId="38" fillId="0" borderId="3" xfId="1" applyNumberFormat="1" applyFont="1" applyFill="1" applyBorder="1" applyAlignment="1">
      <alignment horizontal="center"/>
    </xf>
    <xf numFmtId="165" fontId="22" fillId="0" borderId="0" xfId="3" applyNumberFormat="1" applyFont="1" applyFill="1" applyAlignment="1">
      <alignment horizontal="right"/>
    </xf>
    <xf numFmtId="2" fontId="15" fillId="0" borderId="4" xfId="0" applyNumberFormat="1" applyFont="1" applyBorder="1" applyAlignment="1">
      <alignment horizontal="center"/>
    </xf>
    <xf numFmtId="0" fontId="35" fillId="0" borderId="38" xfId="0" applyFont="1" applyBorder="1" applyAlignment="1">
      <alignment horizontal="center"/>
    </xf>
    <xf numFmtId="164" fontId="45" fillId="0" borderId="0" xfId="1" applyNumberFormat="1" applyFont="1" applyFill="1" applyBorder="1"/>
    <xf numFmtId="164" fontId="21" fillId="0" borderId="0" xfId="0" applyNumberFormat="1" applyFont="1" applyAlignment="1">
      <alignment horizontal="right"/>
    </xf>
    <xf numFmtId="10" fontId="24" fillId="0" borderId="32" xfId="2" applyNumberFormat="1" applyFont="1" applyFill="1" applyBorder="1" applyAlignment="1">
      <alignment horizontal="right"/>
    </xf>
    <xf numFmtId="10" fontId="24" fillId="0" borderId="34" xfId="0" applyNumberFormat="1" applyFont="1" applyBorder="1"/>
    <xf numFmtId="10" fontId="38" fillId="0" borderId="16" xfId="2" applyNumberFormat="1" applyFont="1" applyFill="1" applyBorder="1"/>
    <xf numFmtId="43" fontId="24" fillId="0" borderId="16" xfId="1" applyFont="1" applyFill="1" applyBorder="1" applyAlignment="1">
      <alignment horizontal="center" vertical="center"/>
    </xf>
    <xf numFmtId="0" fontId="0" fillId="0" borderId="6" xfId="0" applyBorder="1"/>
    <xf numFmtId="10" fontId="38" fillId="0" borderId="0" xfId="2" applyNumberFormat="1" applyFont="1" applyFill="1" applyBorder="1" applyAlignment="1">
      <alignment horizontal="right"/>
    </xf>
    <xf numFmtId="10" fontId="22" fillId="0" borderId="0" xfId="2" applyNumberFormat="1" applyFont="1" applyFill="1" applyAlignment="1">
      <alignment horizontal="center" vertical="center"/>
    </xf>
    <xf numFmtId="10" fontId="22" fillId="0" borderId="1" xfId="2" applyNumberFormat="1" applyFont="1" applyFill="1" applyBorder="1" applyAlignment="1">
      <alignment horizontal="center" vertical="center"/>
    </xf>
    <xf numFmtId="166" fontId="22" fillId="0" borderId="0" xfId="1" applyNumberFormat="1" applyFont="1" applyFill="1" applyAlignment="1">
      <alignment horizontal="center" vertical="center"/>
    </xf>
    <xf numFmtId="165" fontId="22" fillId="0" borderId="0" xfId="3" applyNumberFormat="1" applyFont="1" applyFill="1" applyAlignment="1">
      <alignment horizontal="center"/>
    </xf>
    <xf numFmtId="10" fontId="22" fillId="0" borderId="0" xfId="2" applyNumberFormat="1" applyFont="1" applyFill="1" applyAlignment="1">
      <alignment horizontal="right" vertical="center"/>
    </xf>
    <xf numFmtId="0" fontId="36" fillId="0" borderId="18" xfId="0" applyFont="1" applyBorder="1"/>
    <xf numFmtId="10" fontId="36" fillId="0" borderId="28" xfId="2" applyNumberFormat="1" applyFont="1" applyFill="1" applyBorder="1"/>
    <xf numFmtId="43" fontId="36" fillId="0" borderId="28" xfId="1" applyFont="1" applyFill="1" applyBorder="1"/>
    <xf numFmtId="0" fontId="36" fillId="0" borderId="28" xfId="0" applyFont="1" applyBorder="1"/>
    <xf numFmtId="2" fontId="36" fillId="0" borderId="28" xfId="0" applyNumberFormat="1" applyFont="1" applyBorder="1"/>
    <xf numFmtId="43" fontId="22" fillId="0" borderId="0" xfId="1" applyFont="1" applyFill="1" applyAlignment="1">
      <alignment horizontal="center"/>
    </xf>
    <xf numFmtId="10" fontId="21" fillId="0" borderId="0" xfId="2" applyNumberFormat="1" applyFont="1" applyFill="1" applyAlignment="1">
      <alignment horizontal="right" vertical="center"/>
    </xf>
    <xf numFmtId="10" fontId="21" fillId="0" borderId="0" xfId="2" applyNumberFormat="1" applyFont="1" applyFill="1" applyBorder="1" applyAlignment="1">
      <alignment horizontal="right" vertical="center"/>
    </xf>
    <xf numFmtId="10" fontId="23" fillId="0" borderId="16" xfId="2" applyNumberFormat="1" applyFont="1" applyFill="1" applyBorder="1"/>
    <xf numFmtId="10" fontId="23" fillId="0" borderId="16" xfId="2" applyNumberFormat="1" applyFont="1" applyFill="1" applyBorder="1" applyAlignment="1">
      <alignment horizontal="center"/>
    </xf>
    <xf numFmtId="0" fontId="19" fillId="0" borderId="23" xfId="0" applyFont="1" applyBorder="1"/>
    <xf numFmtId="0" fontId="0" fillId="0" borderId="33" xfId="0" applyBorder="1"/>
    <xf numFmtId="10" fontId="22" fillId="0" borderId="0" xfId="2" applyNumberFormat="1" applyFont="1" applyAlignment="1">
      <alignment horizontal="right"/>
    </xf>
    <xf numFmtId="168" fontId="28" fillId="0" borderId="16" xfId="2" applyNumberFormat="1" applyFont="1" applyFill="1" applyBorder="1" applyAlignment="1">
      <alignment horizontal="center"/>
    </xf>
    <xf numFmtId="164" fontId="22" fillId="0" borderId="0" xfId="1" applyNumberFormat="1" applyFont="1" applyFill="1" applyAlignment="1"/>
    <xf numFmtId="164" fontId="22" fillId="0" borderId="1" xfId="1" applyNumberFormat="1" applyFont="1" applyFill="1" applyBorder="1" applyAlignment="1"/>
    <xf numFmtId="43" fontId="22" fillId="0" borderId="1" xfId="1" applyFont="1" applyFill="1" applyBorder="1" applyAlignment="1"/>
    <xf numFmtId="43" fontId="22" fillId="0" borderId="1" xfId="1" applyFont="1" applyFill="1" applyBorder="1" applyAlignment="1">
      <alignment horizontal="right" vertical="center"/>
    </xf>
    <xf numFmtId="10" fontId="22" fillId="0" borderId="1" xfId="2" applyNumberFormat="1" applyFont="1" applyFill="1" applyBorder="1" applyAlignment="1">
      <alignment horizontal="right" vertical="center"/>
    </xf>
    <xf numFmtId="43" fontId="38" fillId="0" borderId="1" xfId="1" applyFont="1" applyBorder="1" applyAlignment="1">
      <alignment horizontal="right" vertical="center"/>
    </xf>
    <xf numFmtId="43" fontId="38" fillId="0" borderId="1" xfId="1" applyFont="1" applyFill="1" applyBorder="1" applyAlignment="1">
      <alignment horizontal="right" vertical="center"/>
    </xf>
    <xf numFmtId="0" fontId="21" fillId="0" borderId="1" xfId="0" applyFont="1" applyBorder="1" applyAlignment="1">
      <alignment horizontal="right"/>
    </xf>
    <xf numFmtId="10" fontId="22" fillId="0" borderId="1" xfId="2" applyNumberFormat="1" applyFont="1" applyBorder="1" applyAlignment="1">
      <alignment horizontal="right" vertical="center"/>
    </xf>
    <xf numFmtId="0" fontId="34" fillId="0" borderId="1" xfId="0" applyFont="1" applyBorder="1" applyAlignment="1">
      <alignment horizontal="right"/>
    </xf>
    <xf numFmtId="10" fontId="34" fillId="0" borderId="1" xfId="2" applyNumberFormat="1" applyFont="1" applyFill="1" applyBorder="1"/>
    <xf numFmtId="166" fontId="22" fillId="0" borderId="1" xfId="1" applyNumberFormat="1" applyFont="1" applyFill="1" applyBorder="1" applyAlignment="1">
      <alignment horizontal="center" vertical="center"/>
    </xf>
    <xf numFmtId="2" fontId="22" fillId="0" borderId="1" xfId="0" applyNumberFormat="1" applyFont="1" applyBorder="1" applyAlignment="1">
      <alignment horizontal="right" vertical="center"/>
    </xf>
    <xf numFmtId="0" fontId="28" fillId="0" borderId="8" xfId="0" applyFont="1" applyBorder="1" applyAlignment="1">
      <alignment horizontal="center" vertical="center"/>
    </xf>
    <xf numFmtId="0" fontId="19" fillId="0" borderId="0" xfId="0" applyFont="1" applyAlignment="1">
      <alignment horizontal="right"/>
    </xf>
    <xf numFmtId="0" fontId="38" fillId="0" borderId="7" xfId="0" applyFont="1" applyBorder="1"/>
    <xf numFmtId="164" fontId="19" fillId="0" borderId="0" xfId="1" applyNumberFormat="1" applyFont="1"/>
    <xf numFmtId="164" fontId="51" fillId="0" borderId="0" xfId="0" applyNumberFormat="1" applyFont="1"/>
    <xf numFmtId="0" fontId="62" fillId="0" borderId="0" xfId="0" applyFont="1"/>
    <xf numFmtId="0" fontId="63" fillId="0" borderId="0" xfId="0" applyFont="1"/>
    <xf numFmtId="0" fontId="34" fillId="0" borderId="3" xfId="0" applyFont="1" applyBorder="1" applyAlignment="1">
      <alignment horizontal="right"/>
    </xf>
    <xf numFmtId="164" fontId="38" fillId="0" borderId="14" xfId="1" applyNumberFormat="1" applyFont="1" applyFill="1" applyBorder="1" applyAlignment="1">
      <alignment horizontal="center"/>
    </xf>
    <xf numFmtId="3" fontId="38" fillId="0" borderId="3" xfId="0" applyNumberFormat="1" applyFont="1" applyBorder="1"/>
    <xf numFmtId="3" fontId="38" fillId="0" borderId="10" xfId="0" applyNumberFormat="1" applyFont="1" applyBorder="1"/>
    <xf numFmtId="165" fontId="38" fillId="0" borderId="10" xfId="3" applyNumberFormat="1" applyFont="1" applyFill="1" applyBorder="1"/>
    <xf numFmtId="165" fontId="38" fillId="0" borderId="0" xfId="3" applyNumberFormat="1" applyFont="1" applyFill="1"/>
    <xf numFmtId="165" fontId="38" fillId="0" borderId="2" xfId="3" applyNumberFormat="1" applyFont="1" applyFill="1" applyBorder="1"/>
    <xf numFmtId="165" fontId="38" fillId="0" borderId="3" xfId="3" applyNumberFormat="1" applyFont="1" applyFill="1" applyBorder="1"/>
    <xf numFmtId="165" fontId="38" fillId="0" borderId="0" xfId="3" applyNumberFormat="1" applyFont="1" applyFill="1" applyBorder="1"/>
    <xf numFmtId="165" fontId="38" fillId="0" borderId="0" xfId="3" applyNumberFormat="1" applyFont="1"/>
    <xf numFmtId="10" fontId="22" fillId="0" borderId="4" xfId="2" applyNumberFormat="1" applyFont="1" applyFill="1" applyBorder="1" applyAlignment="1">
      <alignment horizontal="right"/>
    </xf>
    <xf numFmtId="10" fontId="22" fillId="0" borderId="4" xfId="2" applyNumberFormat="1" applyFont="1" applyBorder="1" applyAlignment="1">
      <alignment horizontal="right"/>
    </xf>
    <xf numFmtId="10" fontId="22" fillId="0" borderId="4" xfId="2" applyNumberFormat="1" applyFont="1" applyFill="1" applyBorder="1" applyAlignment="1">
      <alignment horizontal="center"/>
    </xf>
    <xf numFmtId="3" fontId="64" fillId="0" borderId="0" xfId="0" applyNumberFormat="1" applyFont="1"/>
    <xf numFmtId="10" fontId="28" fillId="0" borderId="0" xfId="2" applyNumberFormat="1" applyFont="1" applyFill="1" applyBorder="1" applyAlignment="1">
      <alignment horizontal="center" vertical="center"/>
    </xf>
    <xf numFmtId="10" fontId="28" fillId="0" borderId="2" xfId="2" applyNumberFormat="1" applyFont="1" applyBorder="1" applyAlignment="1">
      <alignment horizontal="center" vertical="center"/>
    </xf>
    <xf numFmtId="0" fontId="19" fillId="0" borderId="21" xfId="0" applyFont="1" applyBorder="1"/>
    <xf numFmtId="10" fontId="23" fillId="0" borderId="0" xfId="2" applyNumberFormat="1" applyFont="1" applyFill="1" applyAlignment="1">
      <alignment horizontal="center"/>
    </xf>
    <xf numFmtId="10" fontId="34" fillId="0" borderId="26" xfId="2" applyNumberFormat="1" applyFont="1" applyFill="1" applyBorder="1" applyAlignment="1">
      <alignment horizontal="center"/>
    </xf>
    <xf numFmtId="0" fontId="18" fillId="0" borderId="0" xfId="6" applyFill="1" applyAlignment="1" applyProtection="1"/>
    <xf numFmtId="0" fontId="65" fillId="0" borderId="0" xfId="6" applyFont="1" applyFill="1" applyAlignment="1" applyProtection="1"/>
    <xf numFmtId="0" fontId="66" fillId="0" borderId="0" xfId="0" applyFont="1"/>
    <xf numFmtId="0" fontId="21" fillId="0" borderId="29" xfId="0" applyFont="1" applyBorder="1" applyAlignment="1">
      <alignment horizontal="right"/>
    </xf>
    <xf numFmtId="0" fontId="21" fillId="0" borderId="30" xfId="0" applyFont="1" applyBorder="1" applyAlignment="1">
      <alignment horizontal="left"/>
    </xf>
    <xf numFmtId="0" fontId="21" fillId="0" borderId="20" xfId="0" applyFont="1" applyBorder="1" applyAlignment="1">
      <alignment horizontal="right"/>
    </xf>
    <xf numFmtId="0" fontId="21" fillId="0" borderId="21" xfId="0" applyFont="1" applyBorder="1" applyAlignment="1">
      <alignment horizontal="left"/>
    </xf>
    <xf numFmtId="0" fontId="21" fillId="0" borderId="22" xfId="0" applyFont="1" applyBorder="1" applyAlignment="1">
      <alignment horizontal="right"/>
    </xf>
    <xf numFmtId="0" fontId="21" fillId="0" borderId="23" xfId="0" applyFont="1" applyBorder="1" applyAlignment="1">
      <alignment horizontal="left"/>
    </xf>
    <xf numFmtId="168" fontId="34" fillId="0" borderId="27" xfId="2" applyNumberFormat="1" applyFont="1" applyFill="1" applyBorder="1" applyAlignment="1">
      <alignment horizontal="center"/>
    </xf>
    <xf numFmtId="10" fontId="46" fillId="0" borderId="16" xfId="2" applyNumberFormat="1" applyFont="1" applyFill="1" applyBorder="1" applyAlignment="1">
      <alignment horizontal="center"/>
    </xf>
    <xf numFmtId="10" fontId="22" fillId="0" borderId="10" xfId="2" applyNumberFormat="1" applyFont="1" applyFill="1" applyBorder="1" applyAlignment="1">
      <alignment horizontal="center"/>
    </xf>
    <xf numFmtId="10" fontId="22" fillId="0" borderId="10" xfId="1" applyNumberFormat="1" applyFont="1" applyFill="1" applyBorder="1" applyAlignment="1">
      <alignment horizontal="center"/>
    </xf>
    <xf numFmtId="0" fontId="68" fillId="0" borderId="0" xfId="0" applyFont="1" applyAlignment="1">
      <alignment horizontal="left" vertical="top"/>
    </xf>
    <xf numFmtId="44" fontId="38" fillId="0" borderId="10" xfId="3" applyFont="1" applyFill="1" applyBorder="1" applyAlignment="1">
      <alignment horizontal="center"/>
    </xf>
    <xf numFmtId="44" fontId="38" fillId="0" borderId="0" xfId="3" applyFont="1" applyFill="1" applyAlignment="1">
      <alignment horizontal="center"/>
    </xf>
    <xf numFmtId="44" fontId="38" fillId="0" borderId="3" xfId="3" applyFont="1" applyFill="1" applyBorder="1" applyAlignment="1">
      <alignment horizontal="center"/>
    </xf>
    <xf numFmtId="44" fontId="38" fillId="0" borderId="2" xfId="3" applyFont="1" applyFill="1" applyBorder="1" applyAlignment="1">
      <alignment horizontal="center"/>
    </xf>
    <xf numFmtId="0" fontId="38" fillId="0" borderId="18" xfId="0" applyFont="1" applyBorder="1"/>
    <xf numFmtId="10" fontId="38" fillId="0" borderId="28" xfId="2" applyNumberFormat="1" applyFont="1" applyFill="1" applyBorder="1" applyAlignment="1">
      <alignment horizontal="center"/>
    </xf>
    <xf numFmtId="0" fontId="28" fillId="0" borderId="3" xfId="0" applyFont="1" applyBorder="1" applyAlignment="1">
      <alignment horizontal="center"/>
    </xf>
    <xf numFmtId="10" fontId="38" fillId="3" borderId="35" xfId="2" applyNumberFormat="1" applyFont="1" applyFill="1" applyBorder="1" applyAlignment="1">
      <alignment horizontal="center"/>
    </xf>
    <xf numFmtId="10" fontId="38" fillId="3" borderId="20" xfId="2" applyNumberFormat="1" applyFont="1" applyFill="1" applyBorder="1" applyAlignment="1">
      <alignment horizontal="center"/>
    </xf>
    <xf numFmtId="0" fontId="19" fillId="0" borderId="20" xfId="0" applyFont="1" applyBorder="1"/>
    <xf numFmtId="10" fontId="19" fillId="0" borderId="20" xfId="0" applyNumberFormat="1" applyFont="1" applyBorder="1"/>
    <xf numFmtId="0" fontId="21" fillId="0" borderId="29" xfId="0" applyFont="1" applyBorder="1" applyAlignment="1">
      <alignment horizontal="center"/>
    </xf>
    <xf numFmtId="44" fontId="22" fillId="0" borderId="20" xfId="3" applyFont="1" applyFill="1" applyBorder="1" applyAlignment="1">
      <alignment horizontal="center"/>
    </xf>
    <xf numFmtId="0" fontId="19" fillId="0" borderId="40" xfId="0" applyFont="1" applyBorder="1"/>
    <xf numFmtId="2" fontId="22" fillId="0" borderId="20" xfId="0" applyNumberFormat="1" applyFont="1" applyBorder="1" applyAlignment="1">
      <alignment horizontal="right" vertical="center"/>
    </xf>
    <xf numFmtId="2" fontId="22" fillId="0" borderId="22" xfId="0" applyNumberFormat="1" applyFont="1" applyBorder="1" applyAlignment="1">
      <alignment horizontal="right" vertical="center"/>
    </xf>
    <xf numFmtId="2" fontId="21" fillId="0" borderId="20" xfId="0" applyNumberFormat="1" applyFont="1" applyBorder="1" applyAlignment="1">
      <alignment horizontal="right"/>
    </xf>
    <xf numFmtId="43" fontId="21" fillId="0" borderId="20" xfId="1" applyFont="1" applyFill="1" applyBorder="1" applyAlignment="1">
      <alignment horizontal="right"/>
    </xf>
    <xf numFmtId="0" fontId="21" fillId="0" borderId="35" xfId="0" applyFont="1" applyBorder="1" applyAlignment="1">
      <alignment horizontal="center"/>
    </xf>
    <xf numFmtId="0" fontId="21" fillId="0" borderId="41" xfId="0" applyFont="1" applyBorder="1" applyAlignment="1">
      <alignment horizontal="center"/>
    </xf>
    <xf numFmtId="0" fontId="30" fillId="0" borderId="22" xfId="0" applyFont="1" applyBorder="1" applyAlignment="1">
      <alignment horizontal="center"/>
    </xf>
    <xf numFmtId="0" fontId="21" fillId="0" borderId="20" xfId="0" applyFont="1" applyBorder="1" applyAlignment="1">
      <alignment horizontal="center"/>
    </xf>
    <xf numFmtId="2" fontId="22" fillId="0" borderId="0" xfId="0" applyNumberFormat="1" applyFont="1" applyAlignment="1">
      <alignment horizontal="right"/>
    </xf>
    <xf numFmtId="0" fontId="19" fillId="0" borderId="4" xfId="0" applyFont="1" applyBorder="1" applyAlignment="1">
      <alignment horizontal="right"/>
    </xf>
    <xf numFmtId="0" fontId="0" fillId="0" borderId="4" xfId="0" applyBorder="1"/>
    <xf numFmtId="10" fontId="19" fillId="0" borderId="20" xfId="2" applyNumberFormat="1" applyFont="1" applyFill="1" applyBorder="1"/>
    <xf numFmtId="0" fontId="38" fillId="2" borderId="22" xfId="0" applyFont="1" applyFill="1" applyBorder="1"/>
    <xf numFmtId="10" fontId="38" fillId="2" borderId="27" xfId="2" applyNumberFormat="1" applyFont="1" applyFill="1" applyBorder="1" applyAlignment="1">
      <alignment horizontal="center"/>
    </xf>
    <xf numFmtId="0" fontId="69" fillId="0" borderId="0" xfId="0" applyFont="1"/>
    <xf numFmtId="2" fontId="38" fillId="0" borderId="0" xfId="0" applyNumberFormat="1" applyFont="1" applyAlignment="1">
      <alignment horizontal="right"/>
    </xf>
    <xf numFmtId="2" fontId="38" fillId="0" borderId="13" xfId="0" applyNumberFormat="1" applyFont="1" applyBorder="1" applyAlignment="1">
      <alignment horizontal="right"/>
    </xf>
    <xf numFmtId="2" fontId="38" fillId="0" borderId="4" xfId="0" applyNumberFormat="1" applyFont="1" applyBorder="1" applyAlignment="1">
      <alignment horizontal="right"/>
    </xf>
    <xf numFmtId="2" fontId="38" fillId="0" borderId="39" xfId="0" applyNumberFormat="1" applyFont="1" applyBorder="1" applyAlignment="1">
      <alignment horizontal="right"/>
    </xf>
    <xf numFmtId="10" fontId="21" fillId="0" borderId="0" xfId="0" applyNumberFormat="1" applyFont="1" applyAlignment="1">
      <alignment horizontal="right"/>
    </xf>
    <xf numFmtId="1" fontId="22" fillId="0" borderId="0" xfId="0" applyNumberFormat="1" applyFont="1" applyAlignment="1">
      <alignment horizontal="right"/>
    </xf>
    <xf numFmtId="1" fontId="22" fillId="0" borderId="0" xfId="0" applyNumberFormat="1" applyFont="1"/>
    <xf numFmtId="2" fontId="15" fillId="0" borderId="0" xfId="0" applyNumberFormat="1" applyFont="1" applyAlignment="1">
      <alignment horizontal="right"/>
    </xf>
    <xf numFmtId="0" fontId="67" fillId="0" borderId="24" xfId="0" applyFont="1" applyBorder="1" applyAlignment="1">
      <alignment horizontal="center" wrapText="1"/>
    </xf>
    <xf numFmtId="10" fontId="22" fillId="0" borderId="24" xfId="2" applyNumberFormat="1" applyFont="1" applyFill="1" applyBorder="1" applyAlignment="1">
      <alignment horizontal="center"/>
    </xf>
    <xf numFmtId="10" fontId="22" fillId="0" borderId="3" xfId="2" applyNumberFormat="1" applyFont="1" applyFill="1" applyBorder="1" applyAlignment="1">
      <alignment horizontal="center"/>
    </xf>
    <xf numFmtId="10" fontId="22" fillId="0" borderId="3" xfId="1" applyNumberFormat="1" applyFont="1" applyFill="1" applyBorder="1" applyAlignment="1">
      <alignment horizontal="center"/>
    </xf>
    <xf numFmtId="10" fontId="22" fillId="0" borderId="24" xfId="1" applyNumberFormat="1" applyFont="1" applyFill="1" applyBorder="1" applyAlignment="1">
      <alignment horizontal="center"/>
    </xf>
    <xf numFmtId="0" fontId="61" fillId="0" borderId="24" xfId="0" applyFont="1" applyBorder="1"/>
    <xf numFmtId="0" fontId="61" fillId="0" borderId="10" xfId="0" applyFont="1" applyBorder="1"/>
    <xf numFmtId="0" fontId="61" fillId="0" borderId="3" xfId="0" applyFont="1" applyBorder="1"/>
    <xf numFmtId="0" fontId="61" fillId="0" borderId="16" xfId="0" applyFont="1" applyBorder="1"/>
    <xf numFmtId="0" fontId="19" fillId="0" borderId="8" xfId="0" applyFont="1" applyBorder="1"/>
    <xf numFmtId="0" fontId="19" fillId="0" borderId="14" xfId="0" applyFont="1" applyBorder="1"/>
    <xf numFmtId="0" fontId="38" fillId="3" borderId="22" xfId="0" applyFont="1" applyFill="1" applyBorder="1"/>
    <xf numFmtId="10" fontId="38" fillId="3" borderId="27" xfId="2" applyNumberFormat="1" applyFont="1" applyFill="1" applyBorder="1" applyAlignment="1">
      <alignment horizontal="center"/>
    </xf>
    <xf numFmtId="10" fontId="42" fillId="0" borderId="16" xfId="2" applyNumberFormat="1" applyFont="1" applyFill="1" applyBorder="1" applyAlignment="1">
      <alignment horizontal="center"/>
    </xf>
    <xf numFmtId="0" fontId="37" fillId="2" borderId="0" xfId="0" applyFont="1" applyFill="1" applyAlignment="1">
      <alignment horizontal="center"/>
    </xf>
    <xf numFmtId="0" fontId="37" fillId="2" borderId="1" xfId="0" applyFont="1" applyFill="1" applyBorder="1" applyAlignment="1">
      <alignment horizontal="center"/>
    </xf>
    <xf numFmtId="0" fontId="19" fillId="2" borderId="42" xfId="0" applyFont="1" applyFill="1" applyBorder="1" applyAlignment="1">
      <alignment horizontal="center"/>
    </xf>
    <xf numFmtId="0" fontId="37" fillId="2" borderId="22" xfId="0" applyFont="1" applyFill="1" applyBorder="1" applyAlignment="1">
      <alignment horizontal="center"/>
    </xf>
    <xf numFmtId="10" fontId="24" fillId="0" borderId="16" xfId="2" applyNumberFormat="1" applyFont="1" applyFill="1" applyBorder="1" applyAlignment="1">
      <alignment horizontal="center" vertical="center"/>
    </xf>
    <xf numFmtId="10" fontId="70" fillId="0" borderId="0" xfId="2" applyNumberFormat="1" applyFont="1" applyFill="1" applyAlignment="1">
      <alignment horizontal="center"/>
    </xf>
    <xf numFmtId="10" fontId="28" fillId="0" borderId="0" xfId="2" applyNumberFormat="1" applyFont="1" applyAlignment="1">
      <alignment horizontal="left"/>
    </xf>
    <xf numFmtId="0" fontId="21" fillId="0" borderId="0" xfId="0" applyFont="1" applyAlignment="1">
      <alignment horizontal="left"/>
    </xf>
    <xf numFmtId="168" fontId="34" fillId="0" borderId="25" xfId="2" applyNumberFormat="1" applyFont="1" applyFill="1" applyBorder="1" applyAlignment="1">
      <alignment horizontal="center"/>
    </xf>
    <xf numFmtId="169" fontId="28" fillId="0" borderId="16" xfId="2" applyNumberFormat="1" applyFont="1" applyFill="1" applyBorder="1" applyAlignment="1">
      <alignment horizontal="center"/>
    </xf>
    <xf numFmtId="0" fontId="0" fillId="0" borderId="20" xfId="0" applyBorder="1"/>
    <xf numFmtId="0" fontId="13"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20" fillId="0" borderId="0" xfId="0" applyFont="1" applyAlignment="1">
      <alignment horizontal="left" vertical="top" wrapText="1"/>
    </xf>
  </cellXfs>
  <cellStyles count="7">
    <cellStyle name="Comma" xfId="1" builtinId="3"/>
    <cellStyle name="Comma0 - Style5" xfId="4" xr:uid="{1397E544-7A5D-4627-82CA-446E9A855C6D}"/>
    <cellStyle name="Currency" xfId="3" builtinId="4"/>
    <cellStyle name="Hyperlink" xfId="6" builtinId="8"/>
    <cellStyle name="Normal" xfId="0" builtinId="0"/>
    <cellStyle name="Percen - Style2" xfId="5" xr:uid="{A055BC95-278A-4F04-A738-FFE257F1BA8F}"/>
    <cellStyle name="Percent" xfId="2" builtinId="5"/>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447674</xdr:colOff>
      <xdr:row>33</xdr:row>
      <xdr:rowOff>53975</xdr:rowOff>
    </xdr:from>
    <xdr:to>
      <xdr:col>6</xdr:col>
      <xdr:colOff>177799</xdr:colOff>
      <xdr:row>35</xdr:row>
      <xdr:rowOff>149225</xdr:rowOff>
    </xdr:to>
    <xdr:pic>
      <xdr:nvPicPr>
        <xdr:cNvPr id="3" name="Picture 2" descr="Horse.bmp">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124074" y="7235825"/>
          <a:ext cx="1781175"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12</xdr:col>
      <xdr:colOff>323850</xdr:colOff>
      <xdr:row>53</xdr:row>
      <xdr:rowOff>95250</xdr:rowOff>
    </xdr:to>
    <xdr:pic>
      <xdr:nvPicPr>
        <xdr:cNvPr id="2" name="Picture 1">
          <a:extLst>
            <a:ext uri="{FF2B5EF4-FFF2-40B4-BE49-F238E27FC236}">
              <a16:creationId xmlns:a16="http://schemas.microsoft.com/office/drawing/2014/main" id="{BFC3D6A1-BAC1-B67C-9F32-6C6F70B83092}"/>
            </a:ext>
          </a:extLst>
        </xdr:cNvPr>
        <xdr:cNvPicPr>
          <a:picLocks noChangeAspect="1"/>
        </xdr:cNvPicPr>
      </xdr:nvPicPr>
      <xdr:blipFill>
        <a:blip xmlns:r="http://schemas.openxmlformats.org/officeDocument/2006/relationships" r:embed="rId1"/>
        <a:stretch>
          <a:fillRect/>
        </a:stretch>
      </xdr:blipFill>
      <xdr:spPr>
        <a:xfrm>
          <a:off x="6705600" y="190500"/>
          <a:ext cx="7639050" cy="10001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s://tradingeconomics.com/united-states/gdp-growth" TargetMode="External"/><Relationship Id="rId13" Type="http://schemas.openxmlformats.org/officeDocument/2006/relationships/hyperlink" Target="https://www.federalreserve.gov/datadownload/Preview.aspx?pi=400&amp;rel=H15&amp;preview=%20H15/H15/RIFLGFCY05_N.WF" TargetMode="External"/><Relationship Id="rId3" Type="http://schemas.openxmlformats.org/officeDocument/2006/relationships/hyperlink" Target="https://www.philadelphiafed.org/surveys-and-data/real-time-data-research/survey-of-professional-forecasters" TargetMode="External"/><Relationship Id="rId7" Type="http://schemas.openxmlformats.org/officeDocument/2006/relationships/hyperlink" Target="https://www.federalreserve.gov/monetarypolicy/files/fomcprojtabl20221214.pdf" TargetMode="External"/><Relationship Id="rId12" Type="http://schemas.openxmlformats.org/officeDocument/2006/relationships/hyperlink" Target="https://www.federalreserve.gov/monetarypolicy/files/fomcprojtabl20221215.pdf" TargetMode="External"/><Relationship Id="rId2" Type="http://schemas.openxmlformats.org/officeDocument/2006/relationships/hyperlink" Target="https://www.cbo.gov/about/products/budget-economic-data" TargetMode="External"/><Relationship Id="rId16" Type="http://schemas.openxmlformats.org/officeDocument/2006/relationships/printerSettings" Target="../printerSettings/printerSettings14.bin"/><Relationship Id="rId1" Type="http://schemas.openxmlformats.org/officeDocument/2006/relationships/hyperlink" Target="https://www.philadelphiafed.org/research-and-data/real-time-center/livingston-survey" TargetMode="External"/><Relationship Id="rId6" Type="http://schemas.openxmlformats.org/officeDocument/2006/relationships/hyperlink" Target="http://www.federalreserve.gov/" TargetMode="External"/><Relationship Id="rId11" Type="http://schemas.openxmlformats.org/officeDocument/2006/relationships/hyperlink" Target="http://www.federalreserve.gov/Releases/H15/Current/" TargetMode="External"/><Relationship Id="rId5" Type="http://schemas.openxmlformats.org/officeDocument/2006/relationships/hyperlink" Target="http://pages.stern.nyu.edu/~adamodar/New_Home_Page/valquestions/stablegrowthrate.htm" TargetMode="External"/><Relationship Id="rId15" Type="http://schemas.openxmlformats.org/officeDocument/2006/relationships/hyperlink" Target="https://www.cbo.gov/system/files/2021-02/56970-Outlook.p" TargetMode="External"/><Relationship Id="rId10" Type="http://schemas.openxmlformats.org/officeDocument/2006/relationships/hyperlink" Target="http://country.eiu.com/article.aspx?articleid=1652314548&amp;Country=United+States&amp;topic=Economy&amp;subtopic=Long-term+outlook&amp;subsubtopic=Summary" TargetMode="External"/><Relationship Id="rId4" Type="http://schemas.openxmlformats.org/officeDocument/2006/relationships/hyperlink" Target="https://www.philadelphiafed.org/research-and-data/real-time-center/livingston-survey" TargetMode="External"/><Relationship Id="rId9" Type="http://schemas.openxmlformats.org/officeDocument/2006/relationships/hyperlink" Target="http://www.worldbank.org/en/publication/global-economic-prospects" TargetMode="External"/><Relationship Id="rId14" Type="http://schemas.openxmlformats.org/officeDocument/2006/relationships/hyperlink" Target="https://www.philadelphiafed.org/-/media/frbp/assets/surveys-and-data/survey-of-professional-forecasters/2023/spfq123.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bvresources.com/products/faqs/cost-of-capital-professional" TargetMode="External"/><Relationship Id="rId2" Type="http://schemas.openxmlformats.org/officeDocument/2006/relationships/hyperlink" Target="https://papers.ssrn.com/sol3/papers.cfm?abstract_id=3803990" TargetMode="External"/><Relationship Id="rId1" Type="http://schemas.openxmlformats.org/officeDocument/2006/relationships/hyperlink" Target="https://simplywall.st/stocks/us/transportation" TargetMode="External"/><Relationship Id="rId6" Type="http://schemas.openxmlformats.org/officeDocument/2006/relationships/printerSettings" Target="../printerSettings/printerSettings16.bin"/><Relationship Id="rId5" Type="http://schemas.openxmlformats.org/officeDocument/2006/relationships/hyperlink" Target="http://pages.stern.nyu.edu/~adamodar/New_Home_Page/datacurrent.html" TargetMode="External"/><Relationship Id="rId4" Type="http://schemas.openxmlformats.org/officeDocument/2006/relationships/hyperlink" Target="https://www.richmondfed.org/research/national_economy/cfo_survey"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M37"/>
  <sheetViews>
    <sheetView view="pageBreakPreview" zoomScale="60" zoomScaleNormal="100" workbookViewId="0">
      <selection activeCell="N16" sqref="N16"/>
    </sheetView>
  </sheetViews>
  <sheetFormatPr defaultRowHeight="15"/>
  <cols>
    <col min="5" max="5" width="12.28515625" customWidth="1"/>
    <col min="9" max="9" width="16.42578125" customWidth="1"/>
  </cols>
  <sheetData>
    <row r="1" spans="1:13" ht="18.75">
      <c r="A1" s="462" t="s">
        <v>0</v>
      </c>
      <c r="B1" s="463"/>
      <c r="C1" s="463"/>
      <c r="D1" s="463"/>
      <c r="E1" s="463"/>
      <c r="F1" s="463"/>
      <c r="G1" s="463"/>
      <c r="H1" s="463"/>
      <c r="I1" s="463"/>
    </row>
    <row r="5" spans="1:13" ht="27">
      <c r="E5" s="464" t="s">
        <v>0</v>
      </c>
      <c r="F5" s="465"/>
      <c r="G5" s="465"/>
      <c r="H5" s="465"/>
      <c r="I5" s="465"/>
      <c r="J5" s="465"/>
      <c r="K5" s="465"/>
      <c r="L5" s="465"/>
      <c r="M5" s="465"/>
    </row>
    <row r="7" spans="1:13" ht="27">
      <c r="A7" s="466" t="s">
        <v>31</v>
      </c>
      <c r="B7" s="467"/>
      <c r="C7" s="467"/>
      <c r="D7" s="467"/>
      <c r="E7" s="467"/>
      <c r="F7" s="467"/>
      <c r="G7" s="467"/>
      <c r="H7" s="467"/>
      <c r="I7" s="467"/>
    </row>
    <row r="8" spans="1:13" ht="27">
      <c r="A8" s="6"/>
      <c r="B8" s="7"/>
      <c r="C8" s="7"/>
      <c r="D8" s="7"/>
      <c r="E8" s="464" t="s">
        <v>0</v>
      </c>
      <c r="F8" s="465"/>
      <c r="G8" s="465"/>
      <c r="H8" s="465"/>
      <c r="I8" s="465"/>
      <c r="J8" s="465"/>
      <c r="K8" s="465"/>
      <c r="L8" s="465"/>
      <c r="M8" s="465"/>
    </row>
    <row r="9" spans="1:13" ht="27">
      <c r="A9" s="464" t="s">
        <v>77</v>
      </c>
      <c r="B9" s="465"/>
      <c r="C9" s="465"/>
      <c r="D9" s="465"/>
      <c r="E9" s="465"/>
      <c r="F9" s="465"/>
      <c r="G9" s="465"/>
      <c r="H9" s="465"/>
      <c r="I9" s="465"/>
    </row>
    <row r="15" spans="1:13">
      <c r="A15" s="459" t="s">
        <v>0</v>
      </c>
      <c r="B15" s="460"/>
      <c r="C15" s="460"/>
      <c r="D15" s="460"/>
      <c r="E15" s="460"/>
      <c r="F15" s="460"/>
      <c r="G15" s="460"/>
      <c r="H15" s="460"/>
      <c r="I15" s="460"/>
    </row>
    <row r="16" spans="1:13" ht="33.75">
      <c r="A16" s="457" t="str">
        <f>+'S&amp;D'!A12</f>
        <v>Railroad Carriers</v>
      </c>
      <c r="B16" s="458"/>
      <c r="C16" s="458"/>
      <c r="D16" s="458"/>
      <c r="E16" s="458"/>
      <c r="F16" s="458"/>
      <c r="G16" s="458"/>
      <c r="H16" s="458"/>
      <c r="I16" s="458"/>
    </row>
    <row r="17" spans="1:9">
      <c r="A17" s="459" t="s">
        <v>0</v>
      </c>
      <c r="B17" s="460"/>
      <c r="C17" s="460"/>
      <c r="D17" s="460"/>
      <c r="E17" s="460"/>
      <c r="F17" s="460"/>
      <c r="G17" s="460"/>
      <c r="H17" s="460"/>
      <c r="I17" s="460"/>
    </row>
    <row r="18" spans="1:9">
      <c r="A18" s="8"/>
      <c r="B18" s="9"/>
      <c r="C18" s="9"/>
      <c r="D18" s="9"/>
      <c r="E18" s="9"/>
      <c r="F18" s="9"/>
      <c r="G18" s="9"/>
      <c r="H18" s="9"/>
      <c r="I18" s="9"/>
    </row>
    <row r="19" spans="1:9">
      <c r="A19" s="8"/>
      <c r="B19" s="9"/>
      <c r="C19" s="9"/>
      <c r="D19" s="9"/>
      <c r="E19" s="9"/>
      <c r="F19" s="9"/>
      <c r="G19" s="9"/>
      <c r="H19" s="9"/>
      <c r="I19" s="9"/>
    </row>
    <row r="20" spans="1:9">
      <c r="A20" s="8"/>
      <c r="B20" s="9"/>
      <c r="C20" s="9"/>
      <c r="D20" s="9"/>
      <c r="E20" s="9"/>
      <c r="F20" s="9"/>
      <c r="G20" s="9"/>
      <c r="H20" s="9"/>
      <c r="I20" s="9"/>
    </row>
    <row r="21" spans="1:9">
      <c r="A21" s="8"/>
      <c r="B21" s="9"/>
      <c r="C21" s="9"/>
      <c r="D21" s="9"/>
      <c r="E21" s="9"/>
      <c r="F21" s="9"/>
      <c r="G21" s="9"/>
      <c r="H21" s="9"/>
      <c r="I21" s="9"/>
    </row>
    <row r="22" spans="1:9">
      <c r="A22" s="8"/>
      <c r="B22" s="9"/>
      <c r="C22" s="9"/>
      <c r="D22" s="9"/>
      <c r="E22" s="9"/>
      <c r="F22" s="9"/>
      <c r="G22" s="9"/>
      <c r="H22" s="9"/>
      <c r="I22" s="9"/>
    </row>
    <row r="23" spans="1:9">
      <c r="A23" s="8"/>
      <c r="B23" s="9"/>
      <c r="C23" s="9"/>
      <c r="D23" s="9"/>
      <c r="E23" s="9"/>
      <c r="F23" s="9"/>
      <c r="G23" s="9"/>
      <c r="H23" s="9"/>
      <c r="I23" s="9"/>
    </row>
    <row r="24" spans="1:9">
      <c r="A24" s="8"/>
      <c r="B24" s="9"/>
      <c r="C24" s="9"/>
      <c r="D24" s="9"/>
      <c r="E24" s="9"/>
      <c r="F24" s="9"/>
      <c r="G24" s="9"/>
      <c r="H24" s="9"/>
      <c r="I24" s="9"/>
    </row>
    <row r="25" spans="1:9">
      <c r="A25" s="8"/>
      <c r="B25" s="9"/>
      <c r="C25" s="9"/>
      <c r="D25" s="9"/>
      <c r="E25" s="9"/>
      <c r="F25" s="9"/>
      <c r="G25" s="9"/>
      <c r="H25" s="9"/>
      <c r="I25" s="9"/>
    </row>
    <row r="26" spans="1:9">
      <c r="A26" s="8"/>
      <c r="B26" s="9"/>
      <c r="C26" s="9"/>
      <c r="D26" s="9"/>
      <c r="E26" s="9"/>
      <c r="F26" s="9"/>
      <c r="G26" s="9"/>
      <c r="H26" s="9"/>
      <c r="I26" s="9"/>
    </row>
    <row r="27" spans="1:9">
      <c r="A27" s="8"/>
      <c r="B27" s="9"/>
      <c r="C27" s="9"/>
      <c r="D27" s="9"/>
      <c r="E27" s="9"/>
      <c r="F27" s="9"/>
      <c r="G27" s="9"/>
      <c r="H27" s="9"/>
      <c r="I27" s="9"/>
    </row>
    <row r="28" spans="1:9">
      <c r="A28" s="8"/>
      <c r="B28" s="9"/>
      <c r="C28" s="9"/>
      <c r="D28" s="9"/>
      <c r="E28" s="9"/>
      <c r="F28" s="9"/>
      <c r="G28" s="9"/>
      <c r="H28" s="9"/>
      <c r="I28" s="9"/>
    </row>
    <row r="29" spans="1:9">
      <c r="A29" s="459" t="s">
        <v>0</v>
      </c>
      <c r="B29" s="460"/>
      <c r="C29" s="460"/>
      <c r="D29" s="460"/>
      <c r="E29" s="460"/>
      <c r="F29" s="460"/>
      <c r="G29" s="460"/>
      <c r="H29" s="460"/>
      <c r="I29" s="460"/>
    </row>
    <row r="34" spans="1:9">
      <c r="A34" s="461"/>
      <c r="B34" s="461"/>
      <c r="C34" s="461"/>
      <c r="D34" s="461"/>
      <c r="E34" s="461"/>
      <c r="F34" s="461"/>
      <c r="G34" s="461"/>
      <c r="H34" s="461"/>
      <c r="I34" s="461"/>
    </row>
    <row r="35" spans="1:9">
      <c r="A35" s="461"/>
      <c r="B35" s="461"/>
      <c r="C35" s="461"/>
      <c r="D35" s="461"/>
      <c r="E35" s="461"/>
      <c r="F35" s="461"/>
      <c r="G35" s="461"/>
      <c r="H35" s="461"/>
      <c r="I35" s="461"/>
    </row>
    <row r="36" spans="1:9">
      <c r="A36" s="461"/>
      <c r="B36" s="461"/>
      <c r="C36" s="461"/>
      <c r="D36" s="461"/>
      <c r="E36" s="461"/>
      <c r="F36" s="461"/>
      <c r="G36" s="461"/>
      <c r="H36" s="461"/>
      <c r="I36" s="461"/>
    </row>
    <row r="37" spans="1:9">
      <c r="A37" s="461"/>
      <c r="B37" s="461"/>
      <c r="C37" s="461"/>
      <c r="D37" s="461"/>
      <c r="E37" s="461"/>
      <c r="F37" s="461"/>
      <c r="G37" s="461"/>
      <c r="H37" s="461"/>
      <c r="I37" s="461"/>
    </row>
  </sheetData>
  <mergeCells count="10">
    <mergeCell ref="A16:I16"/>
    <mergeCell ref="A17:I17"/>
    <mergeCell ref="A29:I29"/>
    <mergeCell ref="A34:I37"/>
    <mergeCell ref="A1:I1"/>
    <mergeCell ref="E5:M5"/>
    <mergeCell ref="A7:I7"/>
    <mergeCell ref="E8:M8"/>
    <mergeCell ref="A9:I9"/>
    <mergeCell ref="A15:I15"/>
  </mergeCells>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7977D-79F8-4597-B6CD-EDBA2BDD7D4C}">
  <sheetPr>
    <tabColor rgb="FF92D050"/>
  </sheetPr>
  <dimension ref="A1:L32"/>
  <sheetViews>
    <sheetView view="pageBreakPreview" topLeftCell="A6" zoomScale="70" zoomScaleNormal="80" zoomScaleSheetLayoutView="70" workbookViewId="0">
      <selection activeCell="J30" sqref="J30"/>
    </sheetView>
  </sheetViews>
  <sheetFormatPr defaultRowHeight="15"/>
  <cols>
    <col min="1" max="1" width="48.28515625" customWidth="1"/>
    <col min="2" max="2" width="10.85546875" bestFit="1" customWidth="1"/>
    <col min="3" max="3" width="23" customWidth="1"/>
    <col min="4" max="4" width="21.7109375" customWidth="1"/>
    <col min="5" max="5" width="24.140625" customWidth="1"/>
    <col min="6" max="6" width="22.28515625" customWidth="1"/>
    <col min="7" max="7" width="23.85546875" customWidth="1"/>
    <col min="8" max="8" width="22.7109375" customWidth="1"/>
    <col min="9" max="9" width="15" customWidth="1"/>
    <col min="10" max="10" width="14.140625" bestFit="1" customWidth="1"/>
    <col min="12" max="12" width="14.85546875" bestFit="1" customWidth="1"/>
  </cols>
  <sheetData>
    <row r="1" spans="1:11" ht="20.25">
      <c r="A1" s="21" t="s">
        <v>1</v>
      </c>
      <c r="B1" s="10"/>
      <c r="C1" s="10"/>
      <c r="D1" s="10"/>
      <c r="E1" s="10"/>
      <c r="F1" s="10"/>
      <c r="G1" s="10"/>
      <c r="H1" s="10"/>
      <c r="I1" s="10"/>
      <c r="J1" s="10"/>
      <c r="K1" s="10"/>
    </row>
    <row r="2" spans="1:11" ht="15.75">
      <c r="A2" s="22" t="s">
        <v>9</v>
      </c>
      <c r="B2" s="10"/>
      <c r="C2" s="10"/>
      <c r="D2" s="10"/>
      <c r="E2" s="10"/>
      <c r="F2" s="10"/>
      <c r="G2" s="10"/>
      <c r="H2" s="10"/>
      <c r="I2" s="10"/>
      <c r="J2" s="10"/>
      <c r="K2" s="10"/>
    </row>
    <row r="3" spans="1:11">
      <c r="A3" s="23" t="s">
        <v>64</v>
      </c>
      <c r="B3" s="10"/>
      <c r="C3" s="10"/>
      <c r="D3" s="10"/>
      <c r="E3" s="10"/>
      <c r="F3" s="10"/>
      <c r="G3" s="10"/>
      <c r="H3" s="10"/>
      <c r="I3" s="10"/>
      <c r="J3" s="10"/>
      <c r="K3" s="10"/>
    </row>
    <row r="4" spans="1:11">
      <c r="A4" s="23"/>
      <c r="B4" s="10"/>
      <c r="C4" s="10"/>
      <c r="D4" s="10"/>
      <c r="E4" s="10"/>
      <c r="F4" s="10"/>
      <c r="G4" s="10"/>
      <c r="H4" s="10"/>
      <c r="I4" s="10"/>
      <c r="J4" s="10"/>
      <c r="K4" s="10"/>
    </row>
    <row r="5" spans="1:11" ht="15.75" thickBot="1">
      <c r="A5" s="10"/>
      <c r="B5" s="10"/>
      <c r="C5" s="10"/>
      <c r="D5" s="10"/>
      <c r="E5" s="10"/>
      <c r="F5" s="24" t="s">
        <v>0</v>
      </c>
      <c r="G5" s="24"/>
      <c r="H5" s="10"/>
      <c r="I5" s="10"/>
      <c r="J5" s="10"/>
      <c r="K5" s="10"/>
    </row>
    <row r="6" spans="1:11" ht="18.75" thickBot="1">
      <c r="A6" s="276" t="str">
        <f>+'S&amp;D'!A12</f>
        <v>Railroad Carriers</v>
      </c>
      <c r="B6" s="204"/>
      <c r="C6" s="10"/>
      <c r="D6" s="26"/>
      <c r="E6" s="26"/>
      <c r="F6" s="26"/>
      <c r="G6" s="10"/>
      <c r="H6" s="10"/>
      <c r="I6" s="10"/>
      <c r="J6" s="10"/>
      <c r="K6" s="10"/>
    </row>
    <row r="7" spans="1:11" ht="20.25">
      <c r="A7" s="28"/>
      <c r="B7" s="10"/>
      <c r="C7" s="10"/>
      <c r="D7" s="10"/>
      <c r="E7" s="29" t="s">
        <v>197</v>
      </c>
      <c r="F7" s="10"/>
      <c r="G7" s="10"/>
      <c r="H7" s="10"/>
      <c r="I7" s="10"/>
      <c r="J7" s="10"/>
      <c r="K7" s="10"/>
    </row>
    <row r="8" spans="1:11" ht="15.75" thickBot="1">
      <c r="A8" s="38" t="s">
        <v>0</v>
      </c>
      <c r="B8" s="38" t="s">
        <v>0</v>
      </c>
      <c r="C8" s="38" t="s">
        <v>0</v>
      </c>
      <c r="D8" s="31" t="s">
        <v>0</v>
      </c>
      <c r="E8" s="30" t="s">
        <v>78</v>
      </c>
      <c r="F8" s="31" t="s">
        <v>0</v>
      </c>
      <c r="G8" s="38"/>
      <c r="H8" s="38" t="s">
        <v>0</v>
      </c>
      <c r="I8" s="38" t="s">
        <v>0</v>
      </c>
      <c r="J8" s="10"/>
      <c r="K8" s="10"/>
    </row>
    <row r="9" spans="1:11">
      <c r="A9" s="38"/>
      <c r="B9" s="38"/>
      <c r="H9" s="38"/>
      <c r="I9" s="38"/>
      <c r="J9" s="10"/>
      <c r="K9" s="10"/>
    </row>
    <row r="10" spans="1:11">
      <c r="A10" s="38"/>
      <c r="B10" s="38"/>
      <c r="D10" t="s">
        <v>0</v>
      </c>
      <c r="E10" t="s">
        <v>0</v>
      </c>
      <c r="G10" t="s">
        <v>0</v>
      </c>
      <c r="H10" s="38"/>
      <c r="I10" s="38"/>
      <c r="J10" s="10"/>
      <c r="K10" s="10"/>
    </row>
    <row r="11" spans="1:11">
      <c r="A11" s="38"/>
      <c r="B11" s="38"/>
      <c r="E11" t="s">
        <v>0</v>
      </c>
      <c r="H11" s="38"/>
      <c r="I11" s="38"/>
      <c r="J11" s="10"/>
      <c r="K11" s="10"/>
    </row>
    <row r="12" spans="1:11" ht="15.75" thickBot="1">
      <c r="A12" s="31"/>
      <c r="B12" s="31"/>
      <c r="C12" s="155"/>
      <c r="D12" s="155"/>
      <c r="E12" s="155"/>
      <c r="F12" s="155"/>
      <c r="G12" s="155"/>
      <c r="H12" s="31"/>
      <c r="I12" s="31"/>
      <c r="J12" s="26"/>
      <c r="K12" s="10"/>
    </row>
    <row r="13" spans="1:11" ht="11.25" customHeight="1" thickBot="1">
      <c r="A13" s="31" t="s">
        <v>24</v>
      </c>
      <c r="B13" s="31" t="s">
        <v>93</v>
      </c>
      <c r="C13" s="31" t="s">
        <v>94</v>
      </c>
      <c r="D13" s="39" t="s">
        <v>95</v>
      </c>
      <c r="E13" s="31" t="s">
        <v>96</v>
      </c>
      <c r="F13" s="31" t="s">
        <v>97</v>
      </c>
      <c r="G13" s="31" t="s">
        <v>98</v>
      </c>
      <c r="H13" s="31" t="s">
        <v>99</v>
      </c>
      <c r="I13" s="31" t="s">
        <v>100</v>
      </c>
      <c r="J13" s="31" t="s">
        <v>101</v>
      </c>
      <c r="K13" s="10"/>
    </row>
    <row r="14" spans="1:11">
      <c r="A14" s="32" t="s">
        <v>0</v>
      </c>
      <c r="B14" s="32" t="s">
        <v>3</v>
      </c>
      <c r="C14" s="32" t="s">
        <v>88</v>
      </c>
      <c r="D14" s="32" t="s">
        <v>121</v>
      </c>
      <c r="E14" s="32" t="s">
        <v>122</v>
      </c>
      <c r="F14" s="32" t="s">
        <v>121</v>
      </c>
      <c r="G14" s="32" t="s">
        <v>122</v>
      </c>
      <c r="H14" s="32" t="s">
        <v>19</v>
      </c>
      <c r="I14" s="32" t="s">
        <v>123</v>
      </c>
      <c r="J14" s="32" t="s">
        <v>135</v>
      </c>
      <c r="K14" s="10"/>
    </row>
    <row r="15" spans="1:11" ht="15.75" thickBot="1">
      <c r="A15" s="34" t="s">
        <v>2</v>
      </c>
      <c r="B15" s="34" t="s">
        <v>4</v>
      </c>
      <c r="C15" s="34" t="s">
        <v>120</v>
      </c>
      <c r="D15" s="34" t="s">
        <v>87</v>
      </c>
      <c r="E15" s="34" t="s">
        <v>87</v>
      </c>
      <c r="F15" s="34" t="s">
        <v>88</v>
      </c>
      <c r="G15" s="34" t="s">
        <v>88</v>
      </c>
      <c r="H15" s="34" t="s">
        <v>121</v>
      </c>
      <c r="I15" s="34" t="s">
        <v>124</v>
      </c>
      <c r="J15" s="34" t="s">
        <v>134</v>
      </c>
      <c r="K15" s="10"/>
    </row>
    <row r="16" spans="1:11">
      <c r="A16" s="40" t="s">
        <v>7</v>
      </c>
      <c r="B16" s="40" t="s">
        <v>7</v>
      </c>
      <c r="C16" s="40" t="s">
        <v>137</v>
      </c>
      <c r="D16" s="40" t="s">
        <v>137</v>
      </c>
      <c r="E16" s="40" t="s">
        <v>137</v>
      </c>
      <c r="F16" s="40" t="s">
        <v>137</v>
      </c>
      <c r="G16" s="40" t="s">
        <v>137</v>
      </c>
      <c r="H16" s="40" t="s">
        <v>126</v>
      </c>
      <c r="I16" s="40" t="s">
        <v>125</v>
      </c>
      <c r="J16" s="40" t="s">
        <v>103</v>
      </c>
      <c r="K16" s="10"/>
    </row>
    <row r="17" spans="1:12">
      <c r="A17" s="32"/>
      <c r="B17" s="32"/>
      <c r="C17" s="32"/>
      <c r="D17" s="32"/>
      <c r="E17" s="32"/>
      <c r="F17" s="32"/>
      <c r="G17" s="32"/>
      <c r="H17" s="32"/>
      <c r="I17" s="32"/>
      <c r="J17" s="32"/>
      <c r="K17" s="10"/>
    </row>
    <row r="18" spans="1:12">
      <c r="A18" s="10"/>
      <c r="B18" s="10"/>
      <c r="C18" s="10"/>
      <c r="D18" s="10"/>
      <c r="E18" s="10"/>
      <c r="F18" s="10"/>
      <c r="G18" s="10"/>
      <c r="H18" s="10"/>
      <c r="I18" s="10"/>
      <c r="J18" s="10"/>
      <c r="K18" s="10"/>
    </row>
    <row r="19" spans="1:12" ht="15.75">
      <c r="A19" s="60" t="str">
        <f>+'S&amp;D'!A22</f>
        <v>Canadian National</v>
      </c>
      <c r="B19" s="87" t="str">
        <f>+'S&amp;D'!B22</f>
        <v>CNI</v>
      </c>
      <c r="C19" s="326">
        <f>548000000*0.7369</f>
        <v>403821200</v>
      </c>
      <c r="D19" s="312">
        <v>11420117711</v>
      </c>
      <c r="E19" s="139">
        <v>9877008350</v>
      </c>
      <c r="F19" s="139">
        <f>+'S&amp;D'!G36</f>
        <v>10424311610.59083</v>
      </c>
      <c r="G19" s="139">
        <f>+'S&amp;D'!J22</f>
        <v>11369630100</v>
      </c>
      <c r="H19" s="192">
        <f>(D19+F19)/2</f>
        <v>10922214660.795414</v>
      </c>
      <c r="I19" s="63">
        <f t="shared" ref="I19:I23" si="0">C19/H19</f>
        <v>3.6972465066951135E-2</v>
      </c>
      <c r="J19" s="43">
        <f>F19/G19</f>
        <v>0.91685582722614956</v>
      </c>
      <c r="K19" s="10"/>
    </row>
    <row r="20" spans="1:12" ht="15.75">
      <c r="A20" s="60" t="str">
        <f>+'S&amp;D'!A23</f>
        <v>Canadian Pacific</v>
      </c>
      <c r="B20" s="87" t="str">
        <f>+'S&amp;D'!B23</f>
        <v>CP</v>
      </c>
      <c r="C20" s="326">
        <f>652000000*0.7369</f>
        <v>480458800</v>
      </c>
      <c r="D20" s="312">
        <v>17680309027</v>
      </c>
      <c r="E20" s="139">
        <v>15922670970</v>
      </c>
      <c r="F20" s="139">
        <f>+'S&amp;D'!G37</f>
        <v>13057868000</v>
      </c>
      <c r="G20" s="139">
        <f>+'S&amp;D'!J23</f>
        <v>14480821900</v>
      </c>
      <c r="H20" s="192">
        <f t="shared" ref="H20:H23" si="1">(D20+F20)/2</f>
        <v>15369088513.5</v>
      </c>
      <c r="I20" s="63">
        <f t="shared" si="0"/>
        <v>3.1261372434544278E-2</v>
      </c>
      <c r="J20" s="43">
        <f t="shared" ref="J20:J23" si="2">F20/G20</f>
        <v>0.90173528064729536</v>
      </c>
      <c r="K20" s="10"/>
    </row>
    <row r="21" spans="1:12" ht="15.75">
      <c r="A21" s="60" t="str">
        <f>+'S&amp;D'!A24</f>
        <v>CSX Corp</v>
      </c>
      <c r="B21" s="87" t="str">
        <f>+'S&amp;D'!B24</f>
        <v>CSX</v>
      </c>
      <c r="C21" s="326">
        <v>742000000</v>
      </c>
      <c r="D21" s="375">
        <v>19439000000</v>
      </c>
      <c r="E21" s="139">
        <v>16366000000</v>
      </c>
      <c r="F21" s="139">
        <f>+'S&amp;D'!G38</f>
        <v>16135000000</v>
      </c>
      <c r="G21" s="139">
        <f>+'S&amp;D'!J24</f>
        <v>18047000000</v>
      </c>
      <c r="H21" s="192">
        <f t="shared" si="1"/>
        <v>17787000000</v>
      </c>
      <c r="I21" s="63">
        <f t="shared" si="0"/>
        <v>4.1715859897678079E-2</v>
      </c>
      <c r="J21" s="43">
        <f t="shared" si="2"/>
        <v>0.89405441347592396</v>
      </c>
      <c r="K21" s="10"/>
      <c r="L21" t="s">
        <v>0</v>
      </c>
    </row>
    <row r="22" spans="1:12" ht="15.75">
      <c r="A22" s="60" t="str">
        <f>+'S&amp;D'!A25</f>
        <v>Norfolk Southern</v>
      </c>
      <c r="B22" s="87" t="str">
        <f>+'S&amp;D'!B25</f>
        <v>NSC</v>
      </c>
      <c r="C22" s="326">
        <v>692000000</v>
      </c>
      <c r="D22" s="375">
        <v>17033000000</v>
      </c>
      <c r="E22" s="139">
        <v>13840000000</v>
      </c>
      <c r="F22" s="139">
        <f>+'S&amp;D'!G39</f>
        <v>13937804800.424347</v>
      </c>
      <c r="G22" s="139">
        <f>+'S&amp;D'!J25</f>
        <v>15182000000</v>
      </c>
      <c r="H22" s="192">
        <f t="shared" si="1"/>
        <v>15485402400.212173</v>
      </c>
      <c r="I22" s="63">
        <f t="shared" si="0"/>
        <v>4.4687246873902263E-2</v>
      </c>
      <c r="J22" s="43">
        <f t="shared" si="2"/>
        <v>0.918048004243469</v>
      </c>
      <c r="K22" s="10"/>
    </row>
    <row r="23" spans="1:12" ht="15.75">
      <c r="A23" s="60" t="str">
        <f>+'S&amp;D'!A26</f>
        <v>Union Pacific Railroad</v>
      </c>
      <c r="B23" s="87" t="str">
        <f>+'S&amp;D'!B26</f>
        <v>UNP</v>
      </c>
      <c r="C23" s="326">
        <v>1271000000</v>
      </c>
      <c r="D23" s="375">
        <v>32932124579</v>
      </c>
      <c r="E23" s="139">
        <f>2166000000+27563000000</f>
        <v>29729000000</v>
      </c>
      <c r="F23" s="139">
        <f>+'S&amp;D'!G40</f>
        <v>28121939939.939941</v>
      </c>
      <c r="G23" s="139">
        <f>+'S&amp;D'!J26</f>
        <v>33326000000</v>
      </c>
      <c r="H23" s="192">
        <f t="shared" si="1"/>
        <v>30527032259.469971</v>
      </c>
      <c r="I23" s="63">
        <f t="shared" si="0"/>
        <v>4.163522969402686E-2</v>
      </c>
      <c r="J23" s="43">
        <f t="shared" si="2"/>
        <v>0.84384384384384392</v>
      </c>
      <c r="K23" s="10"/>
    </row>
    <row r="24" spans="1:12" ht="15.75" thickBot="1">
      <c r="A24" s="10"/>
      <c r="B24" s="10"/>
      <c r="C24" s="44"/>
      <c r="D24" s="44"/>
      <c r="E24" s="44"/>
      <c r="F24" s="44"/>
      <c r="G24" s="44" t="s">
        <v>46</v>
      </c>
      <c r="H24" s="44"/>
      <c r="I24" s="44" t="s">
        <v>46</v>
      </c>
      <c r="J24" s="44"/>
      <c r="K24" s="10"/>
    </row>
    <row r="25" spans="1:12" ht="15.75" thickTop="1">
      <c r="A25" s="10"/>
      <c r="B25" s="10"/>
      <c r="C25" s="45" t="s">
        <v>0</v>
      </c>
      <c r="D25" s="45" t="s">
        <v>0</v>
      </c>
      <c r="E25" s="32" t="s">
        <v>0</v>
      </c>
      <c r="F25" s="32"/>
      <c r="G25" s="45" t="s">
        <v>0</v>
      </c>
      <c r="H25" s="12" t="s">
        <v>47</v>
      </c>
      <c r="I25" s="323">
        <v>6.2E-2</v>
      </c>
      <c r="J25" s="325">
        <v>0.97909999999999997</v>
      </c>
      <c r="K25" s="10"/>
    </row>
    <row r="26" spans="1:12">
      <c r="A26" s="193" t="s">
        <v>74</v>
      </c>
      <c r="B26" s="10"/>
      <c r="C26" s="45"/>
      <c r="D26" s="45" t="s">
        <v>0</v>
      </c>
      <c r="F26" s="32"/>
      <c r="G26" s="32" t="s">
        <v>0</v>
      </c>
      <c r="H26" s="349" t="s">
        <v>48</v>
      </c>
      <c r="I26" s="324">
        <v>4.1399999999999999E-2</v>
      </c>
      <c r="J26" s="353">
        <v>0.84399999999999997</v>
      </c>
      <c r="K26" s="10"/>
    </row>
    <row r="27" spans="1:12">
      <c r="A27" s="194" t="s">
        <v>278</v>
      </c>
      <c r="B27" s="10"/>
      <c r="C27" s="10"/>
      <c r="D27" s="10"/>
      <c r="E27" s="10"/>
      <c r="F27" s="10"/>
      <c r="G27" s="10"/>
      <c r="H27" s="12" t="s">
        <v>18</v>
      </c>
      <c r="I27" s="53">
        <f>MEDIAN(I19:I23)</f>
        <v>4.163522969402686E-2</v>
      </c>
      <c r="J27" s="46">
        <f>MEDIAN(J19:J23)</f>
        <v>0.90173528064729536</v>
      </c>
      <c r="K27" s="10"/>
    </row>
    <row r="28" spans="1:12">
      <c r="A28" s="194" t="s">
        <v>242</v>
      </c>
      <c r="B28" s="10"/>
      <c r="C28" s="10"/>
      <c r="D28" s="10"/>
      <c r="E28" s="10"/>
      <c r="F28" s="10"/>
      <c r="G28" s="10"/>
      <c r="H28" s="12" t="s">
        <v>448</v>
      </c>
      <c r="I28" s="53">
        <f>AVERAGE(I19:I23)</f>
        <v>3.9254434793420521E-2</v>
      </c>
      <c r="J28" s="46">
        <f>AVERAGE(J19:J23)</f>
        <v>0.89490747388733638</v>
      </c>
      <c r="K28" s="10"/>
    </row>
    <row r="29" spans="1:12" ht="15.75" thickBot="1">
      <c r="A29" s="10"/>
      <c r="B29" s="10"/>
      <c r="C29" s="10"/>
      <c r="D29" s="10"/>
      <c r="E29" s="10"/>
      <c r="F29" s="10"/>
      <c r="G29" s="10"/>
      <c r="H29" s="10"/>
      <c r="I29" s="10"/>
      <c r="J29" s="11"/>
      <c r="K29" s="10"/>
    </row>
    <row r="30" spans="1:12" ht="21" thickBot="1">
      <c r="A30" s="10"/>
      <c r="B30" s="10"/>
      <c r="C30" s="10"/>
      <c r="D30" s="10"/>
      <c r="E30" s="10"/>
      <c r="F30" s="10"/>
      <c r="G30" s="197"/>
      <c r="H30" s="198" t="s">
        <v>249</v>
      </c>
      <c r="I30" s="199">
        <v>3.9300000000000002E-2</v>
      </c>
      <c r="J30" s="455">
        <v>8.9490000000000004E-3</v>
      </c>
      <c r="K30" s="10"/>
    </row>
    <row r="31" spans="1:12">
      <c r="A31" s="10"/>
      <c r="B31" s="10"/>
      <c r="C31" s="10"/>
      <c r="D31" s="10"/>
      <c r="E31" s="10"/>
      <c r="F31" s="10"/>
      <c r="G31" s="10"/>
      <c r="H31" s="10"/>
      <c r="I31" s="10"/>
      <c r="J31" s="10"/>
      <c r="K31" s="10"/>
    </row>
    <row r="32" spans="1:12">
      <c r="A32" s="10"/>
      <c r="B32" s="10"/>
      <c r="C32" s="10"/>
      <c r="D32" s="10"/>
      <c r="E32" s="10"/>
      <c r="F32" s="10"/>
      <c r="G32" s="10"/>
      <c r="H32" s="10"/>
      <c r="I32" s="10"/>
      <c r="J32" s="10"/>
      <c r="K32" s="10"/>
    </row>
  </sheetData>
  <pageMargins left="0.25" right="0.25" top="0.75" bottom="0.75" header="0.3" footer="0.3"/>
  <pageSetup scale="56"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M57"/>
  <sheetViews>
    <sheetView view="pageBreakPreview" zoomScale="60" zoomScaleNormal="80" workbookViewId="0">
      <selection activeCell="E63" sqref="E63"/>
    </sheetView>
  </sheetViews>
  <sheetFormatPr defaultRowHeight="15"/>
  <cols>
    <col min="1" max="1" width="39.7109375" customWidth="1"/>
    <col min="2" max="2" width="13.42578125" customWidth="1"/>
    <col min="3" max="3" width="19.140625" bestFit="1" customWidth="1"/>
    <col min="4" max="4" width="20.85546875" customWidth="1"/>
    <col min="5" max="5" width="21.85546875" customWidth="1"/>
    <col min="6" max="6" width="16.140625" customWidth="1"/>
    <col min="7" max="7" width="12.140625" customWidth="1"/>
    <col min="8" max="8" width="18.5703125" customWidth="1"/>
    <col min="9" max="9" width="19.28515625" customWidth="1"/>
    <col min="10" max="11" width="20.5703125" customWidth="1"/>
    <col min="12" max="12" width="26.5703125" customWidth="1"/>
    <col min="13" max="13" width="6.5703125" customWidth="1"/>
  </cols>
  <sheetData>
    <row r="1" spans="1:13" ht="20.25">
      <c r="A1" s="21" t="s">
        <v>1</v>
      </c>
      <c r="B1" s="10"/>
      <c r="C1" s="10"/>
      <c r="D1" s="10"/>
      <c r="E1" s="10"/>
      <c r="F1" s="10"/>
      <c r="G1" s="10"/>
      <c r="H1" s="10"/>
      <c r="I1" s="10"/>
      <c r="J1" s="10"/>
      <c r="K1" s="10"/>
      <c r="L1" s="10"/>
      <c r="M1" s="10"/>
    </row>
    <row r="2" spans="1:13" ht="15.75">
      <c r="A2" s="22" t="s">
        <v>9</v>
      </c>
      <c r="B2" s="10"/>
      <c r="C2" s="10"/>
      <c r="D2" s="10"/>
      <c r="E2" s="10"/>
      <c r="F2" s="10"/>
      <c r="G2" s="10"/>
      <c r="H2" s="10"/>
      <c r="I2" s="10"/>
      <c r="J2" s="10"/>
      <c r="K2" s="10"/>
      <c r="L2" s="10"/>
      <c r="M2" s="10"/>
    </row>
    <row r="3" spans="1:13">
      <c r="A3" s="23" t="s">
        <v>64</v>
      </c>
      <c r="B3" s="10"/>
      <c r="C3" s="10"/>
      <c r="D3" s="10"/>
      <c r="E3" s="10"/>
      <c r="F3" s="10"/>
      <c r="G3" s="10"/>
      <c r="H3" s="10"/>
      <c r="I3" s="10"/>
      <c r="J3" s="10"/>
      <c r="K3" s="10"/>
      <c r="L3" s="10"/>
      <c r="M3" s="10"/>
    </row>
    <row r="4" spans="1:13">
      <c r="A4" s="23"/>
      <c r="B4" s="10"/>
      <c r="C4" s="10"/>
      <c r="D4" s="10"/>
      <c r="E4" s="10"/>
      <c r="F4" s="10"/>
      <c r="G4" s="10"/>
      <c r="H4" s="10"/>
      <c r="I4" s="10"/>
      <c r="J4" s="10"/>
      <c r="K4" s="10"/>
      <c r="L4" s="10"/>
      <c r="M4" s="10"/>
    </row>
    <row r="5" spans="1:13" ht="15.75" thickBot="1">
      <c r="A5" s="10"/>
      <c r="B5" s="10"/>
      <c r="C5" s="10"/>
      <c r="D5" s="10"/>
      <c r="E5" s="10"/>
      <c r="F5" s="10"/>
      <c r="G5" s="24"/>
      <c r="H5" s="24"/>
      <c r="I5" s="10"/>
      <c r="J5" s="10"/>
      <c r="K5" s="10"/>
      <c r="L5" s="10"/>
      <c r="M5" s="10"/>
    </row>
    <row r="6" spans="1:13" ht="18.75" thickBot="1">
      <c r="A6" s="276" t="str">
        <f>+'S&amp;D'!A12</f>
        <v>Railroad Carriers</v>
      </c>
      <c r="B6" s="204"/>
      <c r="C6" s="10"/>
      <c r="D6" s="26"/>
      <c r="E6" s="26"/>
      <c r="F6" s="27" t="s">
        <v>0</v>
      </c>
      <c r="G6" s="10"/>
      <c r="H6" s="10"/>
      <c r="I6" s="10"/>
      <c r="J6" s="10"/>
      <c r="K6" s="10"/>
      <c r="L6" s="10"/>
      <c r="M6" s="10"/>
    </row>
    <row r="7" spans="1:13" ht="20.25">
      <c r="A7" s="28"/>
      <c r="B7" s="10"/>
      <c r="C7" s="10"/>
      <c r="D7" s="10"/>
      <c r="E7" s="29" t="s">
        <v>133</v>
      </c>
      <c r="F7" s="10"/>
      <c r="G7" s="10"/>
      <c r="H7" s="10"/>
      <c r="I7" s="10"/>
      <c r="J7" s="10"/>
      <c r="K7" s="10"/>
      <c r="L7" s="10"/>
      <c r="M7" s="10"/>
    </row>
    <row r="8" spans="1:13" ht="18.75" thickBot="1">
      <c r="A8" s="28"/>
      <c r="B8" s="10"/>
      <c r="C8" s="10"/>
      <c r="D8" s="26"/>
      <c r="E8" s="30" t="s">
        <v>78</v>
      </c>
      <c r="F8" s="26"/>
      <c r="G8" s="10"/>
      <c r="H8" s="10"/>
      <c r="I8" s="10"/>
      <c r="J8" s="10"/>
      <c r="K8" s="10"/>
      <c r="L8" s="10"/>
      <c r="M8" s="10"/>
    </row>
    <row r="9" spans="1:13" ht="15.75" thickBot="1">
      <c r="A9" s="31" t="s">
        <v>0</v>
      </c>
      <c r="B9" s="31" t="s">
        <v>0</v>
      </c>
      <c r="C9" s="31" t="s">
        <v>0</v>
      </c>
      <c r="D9" s="31" t="s">
        <v>0</v>
      </c>
      <c r="E9" s="31" t="s">
        <v>0</v>
      </c>
      <c r="F9" s="31" t="s">
        <v>0</v>
      </c>
      <c r="G9" s="31"/>
      <c r="H9" s="31"/>
      <c r="I9" s="31" t="s">
        <v>0</v>
      </c>
      <c r="J9" s="26"/>
      <c r="L9" s="10"/>
      <c r="M9" s="10"/>
    </row>
    <row r="10" spans="1:13">
      <c r="A10" s="32" t="s">
        <v>0</v>
      </c>
      <c r="B10" s="32" t="s">
        <v>3</v>
      </c>
      <c r="C10" s="32" t="s">
        <v>5</v>
      </c>
      <c r="D10" s="32" t="s">
        <v>21</v>
      </c>
      <c r="E10" s="32" t="s">
        <v>20</v>
      </c>
      <c r="F10" s="32" t="s">
        <v>52</v>
      </c>
      <c r="G10" s="32" t="s">
        <v>136</v>
      </c>
      <c r="H10" s="32" t="s">
        <v>49</v>
      </c>
      <c r="I10" s="32" t="s">
        <v>136</v>
      </c>
      <c r="J10" s="32" t="s">
        <v>49</v>
      </c>
      <c r="L10" s="10"/>
      <c r="M10" s="10"/>
    </row>
    <row r="11" spans="1:13" ht="15.75" thickBot="1">
      <c r="A11" s="34" t="s">
        <v>2</v>
      </c>
      <c r="B11" s="34" t="s">
        <v>4</v>
      </c>
      <c r="C11" s="34" t="s">
        <v>6</v>
      </c>
      <c r="D11" s="34" t="s">
        <v>23</v>
      </c>
      <c r="E11" s="34" t="s">
        <v>22</v>
      </c>
      <c r="F11" s="34" t="s">
        <v>50</v>
      </c>
      <c r="G11" s="34" t="s">
        <v>50</v>
      </c>
      <c r="H11" s="34" t="s">
        <v>50</v>
      </c>
      <c r="I11" s="34" t="s">
        <v>50</v>
      </c>
      <c r="J11" s="34" t="s">
        <v>51</v>
      </c>
      <c r="L11" s="10"/>
      <c r="M11" s="10"/>
    </row>
    <row r="12" spans="1:13">
      <c r="A12" s="36" t="s">
        <v>7</v>
      </c>
      <c r="B12" s="36" t="s">
        <v>7</v>
      </c>
      <c r="C12" s="36" t="s">
        <v>7</v>
      </c>
      <c r="D12" s="36" t="s">
        <v>7</v>
      </c>
      <c r="E12" s="36" t="s">
        <v>7</v>
      </c>
      <c r="F12" s="36" t="s">
        <v>0</v>
      </c>
      <c r="G12" s="36" t="s">
        <v>0</v>
      </c>
      <c r="H12" s="36" t="s">
        <v>0</v>
      </c>
      <c r="I12" s="36" t="s">
        <v>0</v>
      </c>
      <c r="J12" s="36" t="s">
        <v>0</v>
      </c>
      <c r="L12" s="10"/>
      <c r="M12" s="10"/>
    </row>
    <row r="13" spans="1:13">
      <c r="A13" s="32"/>
      <c r="B13" s="32"/>
      <c r="C13" s="32"/>
      <c r="D13" s="32"/>
      <c r="E13" s="32"/>
      <c r="F13" s="32"/>
      <c r="G13" s="32"/>
      <c r="H13" s="32"/>
      <c r="I13" s="32"/>
      <c r="J13" s="32"/>
      <c r="L13" s="10"/>
      <c r="M13" s="10"/>
    </row>
    <row r="14" spans="1:13">
      <c r="A14" s="10"/>
      <c r="B14" s="10"/>
      <c r="C14" s="10"/>
      <c r="D14" s="10"/>
      <c r="E14" s="10"/>
      <c r="F14" s="10"/>
      <c r="G14" s="10"/>
      <c r="H14" s="10"/>
      <c r="I14" s="10"/>
      <c r="J14" s="10"/>
      <c r="L14" s="10"/>
      <c r="M14" s="10"/>
    </row>
    <row r="15" spans="1:13" ht="15.75">
      <c r="A15" s="60" t="str">
        <f>+'S&amp;D'!A22</f>
        <v>Canadian National</v>
      </c>
      <c r="B15" s="87" t="str">
        <f>+'S&amp;D'!B22</f>
        <v>CNI</v>
      </c>
      <c r="C15" s="32" t="str">
        <f>+'S&amp;D'!C22</f>
        <v>Railroad</v>
      </c>
      <c r="D15" s="51">
        <f>+'Beta for CAPM'!D18</f>
        <v>0.245</v>
      </c>
      <c r="E15" s="32" t="str">
        <f>+'Beta for CAPM'!G18</f>
        <v>A</v>
      </c>
      <c r="F15" s="32" t="s">
        <v>24</v>
      </c>
      <c r="G15" s="430">
        <v>8</v>
      </c>
      <c r="H15" s="59" t="s">
        <v>146</v>
      </c>
      <c r="I15" s="429">
        <v>8</v>
      </c>
      <c r="J15" s="63">
        <v>5.4800000000000001E-2</v>
      </c>
      <c r="L15" s="10"/>
      <c r="M15" s="10"/>
    </row>
    <row r="16" spans="1:13" ht="15.75">
      <c r="A16" s="60" t="str">
        <f>+'S&amp;D'!A23</f>
        <v>Canadian Pacific</v>
      </c>
      <c r="B16" s="87" t="str">
        <f>+'S&amp;D'!B23</f>
        <v>CP</v>
      </c>
      <c r="C16" s="32" t="str">
        <f>+'S&amp;D'!C23</f>
        <v>Railroad</v>
      </c>
      <c r="D16" s="51">
        <f>+'Beta for CAPM'!D19</f>
        <v>0.222</v>
      </c>
      <c r="E16" s="32" t="str">
        <f>+'Beta for CAPM'!G19</f>
        <v>A</v>
      </c>
      <c r="F16" s="32" t="s">
        <v>338</v>
      </c>
      <c r="G16" s="430">
        <v>10</v>
      </c>
      <c r="H16" s="59" t="s">
        <v>55</v>
      </c>
      <c r="I16" s="429">
        <v>11</v>
      </c>
      <c r="J16" s="63">
        <v>5.9700000000000003E-2</v>
      </c>
      <c r="L16" s="10"/>
      <c r="M16" s="10"/>
    </row>
    <row r="17" spans="1:13" ht="15.75">
      <c r="A17" s="60" t="str">
        <f>+'S&amp;D'!A24</f>
        <v>CSX Corp</v>
      </c>
      <c r="B17" s="87" t="str">
        <f>+'S&amp;D'!B24</f>
        <v>CSX</v>
      </c>
      <c r="C17" s="32" t="str">
        <f>+'S&amp;D'!C24</f>
        <v>Railroad</v>
      </c>
      <c r="D17" s="51">
        <f>+'Beta for CAPM'!D20</f>
        <v>0.23100000000000001</v>
      </c>
      <c r="E17" s="32" t="str">
        <f>+'Beta for CAPM'!G20</f>
        <v>B++</v>
      </c>
      <c r="F17" s="32" t="s">
        <v>338</v>
      </c>
      <c r="G17" s="430">
        <v>10</v>
      </c>
      <c r="H17" s="59" t="s">
        <v>54</v>
      </c>
      <c r="I17" s="429">
        <v>10</v>
      </c>
      <c r="J17" s="63">
        <v>5.9700000000000003E-2</v>
      </c>
      <c r="L17" s="10"/>
      <c r="M17" s="10"/>
    </row>
    <row r="18" spans="1:13" ht="15.75">
      <c r="A18" s="60" t="str">
        <f>+'S&amp;D'!A25</f>
        <v>Norfolk Southern</v>
      </c>
      <c r="B18" s="87" t="str">
        <f>+'S&amp;D'!B25</f>
        <v>NSC</v>
      </c>
      <c r="C18" s="32" t="str">
        <f>+'S&amp;D'!C25</f>
        <v>Railroad</v>
      </c>
      <c r="D18" s="51">
        <f>+'Beta for CAPM'!D21</f>
        <v>0.20799999999999999</v>
      </c>
      <c r="E18" s="32" t="str">
        <f>+'Beta for CAPM'!G21</f>
        <v>A+</v>
      </c>
      <c r="F18" s="271" t="s">
        <v>338</v>
      </c>
      <c r="G18" s="430">
        <v>10</v>
      </c>
      <c r="H18" s="59" t="s">
        <v>54</v>
      </c>
      <c r="I18" s="429">
        <v>10</v>
      </c>
      <c r="J18" s="63">
        <v>5.9700000000000003E-2</v>
      </c>
      <c r="L18" s="10"/>
      <c r="M18" s="10"/>
    </row>
    <row r="19" spans="1:13" ht="15.75">
      <c r="A19" s="60" t="str">
        <f>+'S&amp;D'!A26</f>
        <v>Union Pacific Railroad</v>
      </c>
      <c r="B19" s="87" t="str">
        <f>+'S&amp;D'!B26</f>
        <v>UNP</v>
      </c>
      <c r="C19" s="32" t="str">
        <f>+'S&amp;D'!C26</f>
        <v>Railroad</v>
      </c>
      <c r="D19" s="51">
        <f>+'Beta for CAPM'!D22</f>
        <v>0.22800000000000001</v>
      </c>
      <c r="E19" s="32" t="str">
        <f>+'Beta for CAPM'!G22</f>
        <v>A++</v>
      </c>
      <c r="F19" s="32" t="s">
        <v>61</v>
      </c>
      <c r="G19" s="430">
        <v>9</v>
      </c>
      <c r="H19" s="59" t="s">
        <v>59</v>
      </c>
      <c r="I19" s="429">
        <v>9</v>
      </c>
      <c r="J19" s="63">
        <v>5.4800000000000001E-2</v>
      </c>
      <c r="L19" s="10"/>
      <c r="M19" s="10"/>
    </row>
    <row r="20" spans="1:13" ht="15.75" thickBot="1">
      <c r="A20" s="10"/>
      <c r="B20" s="10"/>
      <c r="C20" s="41"/>
      <c r="D20" s="44"/>
      <c r="E20" s="44"/>
      <c r="F20" s="44"/>
      <c r="G20" s="44"/>
      <c r="H20" s="44" t="s">
        <v>46</v>
      </c>
      <c r="I20" s="44"/>
      <c r="J20" s="44"/>
      <c r="L20" s="10"/>
      <c r="M20" s="10"/>
    </row>
    <row r="21" spans="1:13" ht="15.75" thickTop="1">
      <c r="A21" s="10"/>
      <c r="B21" s="10"/>
      <c r="E21" s="12" t="s">
        <v>47</v>
      </c>
      <c r="G21" s="342">
        <v>10</v>
      </c>
      <c r="H21" s="323" t="s">
        <v>0</v>
      </c>
      <c r="I21" s="342">
        <v>11</v>
      </c>
      <c r="J21" s="323">
        <v>5.9700000000000003E-2</v>
      </c>
      <c r="L21" s="10"/>
      <c r="M21" s="10"/>
    </row>
    <row r="22" spans="1:13">
      <c r="A22" s="10"/>
      <c r="B22" s="10"/>
      <c r="E22" s="349" t="s">
        <v>48</v>
      </c>
      <c r="F22" s="256"/>
      <c r="G22" s="343">
        <v>8</v>
      </c>
      <c r="H22" s="324" t="s">
        <v>0</v>
      </c>
      <c r="I22" s="343">
        <v>8</v>
      </c>
      <c r="J22" s="324">
        <v>5.4800000000000001E-2</v>
      </c>
      <c r="L22" s="10"/>
      <c r="M22" s="10"/>
    </row>
    <row r="23" spans="1:13">
      <c r="A23" s="10"/>
      <c r="B23" s="10"/>
      <c r="E23" s="12" t="s">
        <v>18</v>
      </c>
      <c r="G23" s="228">
        <f>MEDIAN(G15:G19)</f>
        <v>10</v>
      </c>
      <c r="H23" s="53" t="s">
        <v>0</v>
      </c>
      <c r="I23" s="228">
        <f>MEDIAN(I15:I19)</f>
        <v>10</v>
      </c>
      <c r="J23" s="53">
        <f>MEDIAN(J15:J19)</f>
        <v>5.9700000000000003E-2</v>
      </c>
      <c r="L23" s="10"/>
      <c r="M23" s="10"/>
    </row>
    <row r="24" spans="1:13">
      <c r="A24" s="10"/>
      <c r="B24" s="10"/>
      <c r="D24" s="12" t="s">
        <v>0</v>
      </c>
      <c r="E24" s="12" t="s">
        <v>448</v>
      </c>
      <c r="G24" s="228">
        <f>AVERAGE(G15:G19)</f>
        <v>9.4</v>
      </c>
      <c r="H24" s="53" t="s">
        <v>0</v>
      </c>
      <c r="I24" s="228">
        <f>AVERAGE(I15:I19)</f>
        <v>9.6</v>
      </c>
      <c r="J24" s="53">
        <f>AVERAGE(J15:J19)</f>
        <v>5.774E-2</v>
      </c>
      <c r="L24" s="10"/>
      <c r="M24" s="10"/>
    </row>
    <row r="25" spans="1:13">
      <c r="A25" s="10"/>
      <c r="B25" s="10"/>
      <c r="D25" s="54" t="s">
        <v>0</v>
      </c>
      <c r="E25" s="12" t="s">
        <v>277</v>
      </c>
      <c r="G25" s="228">
        <f>TRIMMEAN(G15:G19,(2/COUNT(G15:G19)))</f>
        <v>9.6666666666666661</v>
      </c>
      <c r="H25" s="53" t="s">
        <v>0</v>
      </c>
      <c r="I25" s="228">
        <f>TRIMMEAN(I15:I19,(2/COUNT(I15:I19)))</f>
        <v>9.6666666666666661</v>
      </c>
      <c r="J25" s="53">
        <f>TRIMMEAN(J15:J19,(2/COUNT(J15:J19)))</f>
        <v>5.8066666666666662E-2</v>
      </c>
      <c r="L25" s="10"/>
      <c r="M25" s="10"/>
    </row>
    <row r="26" spans="1:13" ht="15.75" thickBot="1">
      <c r="A26" s="10"/>
      <c r="B26" s="10"/>
      <c r="C26" s="10"/>
      <c r="D26" s="10"/>
      <c r="E26" s="12"/>
      <c r="F26" s="54"/>
      <c r="H26" s="10"/>
      <c r="I26" s="10"/>
      <c r="J26" s="10"/>
      <c r="K26" s="10"/>
      <c r="L26" s="10"/>
      <c r="M26" s="10"/>
    </row>
    <row r="27" spans="1:13" ht="21" thickBot="1">
      <c r="A27" s="10"/>
      <c r="B27" s="10"/>
      <c r="C27" s="10"/>
      <c r="D27" s="10"/>
      <c r="E27" s="10"/>
      <c r="F27" s="197"/>
      <c r="G27" s="339"/>
      <c r="H27" s="198" t="s">
        <v>249</v>
      </c>
      <c r="I27" s="200">
        <v>10</v>
      </c>
      <c r="J27" s="199">
        <v>5.7700000000000001E-2</v>
      </c>
      <c r="K27" s="10"/>
      <c r="L27" s="10"/>
      <c r="M27" s="10"/>
    </row>
    <row r="28" spans="1:13">
      <c r="A28" s="10"/>
      <c r="B28" s="10"/>
      <c r="C28" s="10"/>
      <c r="D28" s="10"/>
      <c r="E28" s="10"/>
      <c r="F28" s="10"/>
      <c r="G28" s="10"/>
      <c r="H28" s="10"/>
      <c r="I28" s="10"/>
      <c r="J28" s="10"/>
      <c r="K28" s="10"/>
      <c r="L28" s="10"/>
      <c r="M28" s="10"/>
    </row>
    <row r="29" spans="1:13">
      <c r="A29" s="10"/>
      <c r="B29" s="10"/>
      <c r="C29" s="10"/>
      <c r="D29" s="10"/>
      <c r="E29" s="10"/>
      <c r="F29" s="10"/>
      <c r="G29" s="10"/>
      <c r="H29" s="10"/>
      <c r="I29" s="10"/>
      <c r="J29" s="10"/>
      <c r="K29" s="10"/>
      <c r="L29" s="10"/>
      <c r="M29" s="10"/>
    </row>
    <row r="30" spans="1:13">
      <c r="A30" s="10"/>
      <c r="B30" s="10"/>
      <c r="C30" s="10"/>
      <c r="D30" s="10"/>
      <c r="E30" s="10"/>
      <c r="F30" s="10"/>
      <c r="G30" s="10"/>
      <c r="H30" s="10"/>
      <c r="I30" s="10"/>
      <c r="J30" s="10"/>
      <c r="K30" s="10"/>
      <c r="L30" s="10"/>
      <c r="M30" s="10"/>
    </row>
    <row r="31" spans="1:13" ht="18.75" thickBot="1">
      <c r="A31" s="291" t="s">
        <v>150</v>
      </c>
      <c r="B31" s="10"/>
      <c r="G31" s="10"/>
      <c r="H31" s="10"/>
      <c r="I31" s="10"/>
      <c r="J31" s="10"/>
      <c r="K31" s="10"/>
      <c r="L31" s="10"/>
      <c r="M31" s="10"/>
    </row>
    <row r="32" spans="1:13" ht="18.75" thickBot="1">
      <c r="A32" s="297" t="s">
        <v>437</v>
      </c>
      <c r="B32" s="297" t="s">
        <v>349</v>
      </c>
      <c r="C32" s="297" t="s">
        <v>451</v>
      </c>
      <c r="D32" s="432" t="s">
        <v>452</v>
      </c>
      <c r="E32" s="432" t="s">
        <v>453</v>
      </c>
      <c r="F32" s="10"/>
      <c r="G32" s="10"/>
      <c r="H32" s="10"/>
      <c r="I32" s="10"/>
      <c r="M32" s="10"/>
    </row>
    <row r="33" spans="1:13" ht="15.75">
      <c r="A33" s="298" t="s">
        <v>361</v>
      </c>
      <c r="B33" s="302">
        <v>1</v>
      </c>
      <c r="C33" s="299" t="s">
        <v>360</v>
      </c>
      <c r="D33" s="433" t="s">
        <v>0</v>
      </c>
      <c r="E33" s="433" t="s">
        <v>0</v>
      </c>
      <c r="F33" s="10"/>
      <c r="G33" s="10"/>
      <c r="H33" s="10"/>
      <c r="I33" s="10"/>
      <c r="M33" s="10"/>
    </row>
    <row r="34" spans="1:13" ht="15.75">
      <c r="A34" s="55" t="s">
        <v>362</v>
      </c>
      <c r="B34" s="292">
        <v>2</v>
      </c>
      <c r="C34" s="300" t="s">
        <v>334</v>
      </c>
      <c r="D34" s="392">
        <v>4.8099999999999997E-2</v>
      </c>
      <c r="E34" s="392">
        <v>4.8099999999999997E-2</v>
      </c>
      <c r="F34" s="10" t="s">
        <v>202</v>
      </c>
      <c r="H34" s="10"/>
      <c r="I34" s="10"/>
      <c r="J34" s="10"/>
      <c r="M34" s="10"/>
    </row>
    <row r="35" spans="1:13" ht="16.5" thickBot="1">
      <c r="A35" s="56" t="s">
        <v>363</v>
      </c>
      <c r="B35" s="294">
        <v>3</v>
      </c>
      <c r="C35" s="301" t="s">
        <v>359</v>
      </c>
      <c r="D35" s="434" t="s">
        <v>0</v>
      </c>
      <c r="E35" s="434" t="s">
        <v>0</v>
      </c>
      <c r="F35" s="10"/>
      <c r="H35" s="10"/>
      <c r="I35" s="10"/>
      <c r="J35" s="10"/>
      <c r="M35" s="10"/>
    </row>
    <row r="36" spans="1:13" ht="15.75">
      <c r="A36" s="55" t="s">
        <v>149</v>
      </c>
      <c r="B36" s="292">
        <v>4</v>
      </c>
      <c r="C36" s="293" t="s">
        <v>333</v>
      </c>
      <c r="D36" s="392" t="s">
        <v>0</v>
      </c>
      <c r="E36" s="392" t="s">
        <v>0</v>
      </c>
      <c r="F36" s="10"/>
      <c r="H36" s="10"/>
      <c r="I36" s="10"/>
      <c r="J36" s="10"/>
      <c r="M36" s="10"/>
    </row>
    <row r="37" spans="1:13" ht="15.75">
      <c r="A37" s="55" t="s">
        <v>148</v>
      </c>
      <c r="B37" s="292">
        <v>5</v>
      </c>
      <c r="C37" s="293" t="s">
        <v>335</v>
      </c>
      <c r="D37" s="392">
        <v>5.1299999999999998E-2</v>
      </c>
      <c r="E37" s="392">
        <v>5.4300000000000001E-2</v>
      </c>
      <c r="F37" s="10" t="s">
        <v>336</v>
      </c>
      <c r="H37" s="10"/>
      <c r="I37" s="10"/>
      <c r="J37" s="10"/>
      <c r="M37" s="10"/>
    </row>
    <row r="38" spans="1:13" ht="16.5" thickBot="1">
      <c r="A38" s="56" t="s">
        <v>147</v>
      </c>
      <c r="B38" s="294">
        <v>6</v>
      </c>
      <c r="C38" s="295" t="s">
        <v>337</v>
      </c>
      <c r="D38" s="435" t="s">
        <v>0</v>
      </c>
      <c r="E38" s="435" t="s">
        <v>0</v>
      </c>
      <c r="F38" s="10"/>
      <c r="H38" s="10"/>
      <c r="I38" s="10"/>
      <c r="J38" s="10"/>
      <c r="M38" s="10"/>
    </row>
    <row r="39" spans="1:13" ht="15.75">
      <c r="A39" s="55" t="s">
        <v>57</v>
      </c>
      <c r="B39" s="292">
        <v>7</v>
      </c>
      <c r="C39" s="293" t="s">
        <v>45</v>
      </c>
      <c r="D39" s="436" t="s">
        <v>0</v>
      </c>
      <c r="E39" s="436" t="s">
        <v>0</v>
      </c>
      <c r="H39" s="10"/>
      <c r="I39" s="10"/>
      <c r="J39" s="10"/>
      <c r="M39" s="10"/>
    </row>
    <row r="40" spans="1:13" ht="15.75">
      <c r="A40" s="55" t="s">
        <v>146</v>
      </c>
      <c r="B40" s="292">
        <v>8</v>
      </c>
      <c r="C40" s="293" t="s">
        <v>24</v>
      </c>
      <c r="D40" s="393">
        <v>5.4800000000000001E-2</v>
      </c>
      <c r="E40" s="393">
        <v>5.6399999999999999E-2</v>
      </c>
      <c r="F40" s="10" t="s">
        <v>203</v>
      </c>
      <c r="H40" s="10"/>
      <c r="I40" s="10"/>
      <c r="J40" s="10"/>
      <c r="M40" s="10"/>
    </row>
    <row r="41" spans="1:13" ht="16.5" thickBot="1">
      <c r="A41" s="56" t="s">
        <v>59</v>
      </c>
      <c r="B41" s="294">
        <v>9</v>
      </c>
      <c r="C41" s="295" t="s">
        <v>61</v>
      </c>
      <c r="D41" s="435" t="s">
        <v>0</v>
      </c>
      <c r="E41" s="435" t="s">
        <v>0</v>
      </c>
      <c r="F41" s="10"/>
      <c r="H41" s="10"/>
      <c r="I41" s="10"/>
      <c r="J41" s="10"/>
      <c r="M41" s="10"/>
    </row>
    <row r="42" spans="1:13" ht="15.75">
      <c r="A42" s="55" t="s">
        <v>54</v>
      </c>
      <c r="B42" s="292">
        <v>10</v>
      </c>
      <c r="C42" s="293" t="s">
        <v>338</v>
      </c>
      <c r="D42" s="393" t="s">
        <v>0</v>
      </c>
      <c r="E42" s="393" t="s">
        <v>0</v>
      </c>
      <c r="H42" s="10"/>
      <c r="I42" s="10"/>
      <c r="J42" s="10"/>
      <c r="K42" s="10"/>
      <c r="L42" s="10"/>
      <c r="M42" s="10"/>
    </row>
    <row r="43" spans="1:13" ht="15.75">
      <c r="A43" s="55" t="s">
        <v>55</v>
      </c>
      <c r="B43" s="292">
        <v>11</v>
      </c>
      <c r="C43" s="293" t="s">
        <v>339</v>
      </c>
      <c r="D43" s="393">
        <v>5.9700000000000003E-2</v>
      </c>
      <c r="E43" s="393">
        <v>5.9299999999999999E-2</v>
      </c>
      <c r="F43" s="10" t="s">
        <v>206</v>
      </c>
      <c r="H43" s="10"/>
      <c r="I43" s="10"/>
      <c r="J43" s="10"/>
      <c r="K43" s="10"/>
      <c r="L43" s="10"/>
      <c r="M43" s="10"/>
    </row>
    <row r="44" spans="1:13" ht="16.5" thickBot="1">
      <c r="A44" s="56" t="s">
        <v>60</v>
      </c>
      <c r="B44" s="294">
        <v>12</v>
      </c>
      <c r="C44" s="295" t="s">
        <v>340</v>
      </c>
      <c r="D44" s="393" t="s">
        <v>0</v>
      </c>
      <c r="E44" s="393" t="s">
        <v>0</v>
      </c>
      <c r="F44" s="10"/>
      <c r="H44" s="10"/>
      <c r="I44" s="10"/>
      <c r="J44" s="10"/>
      <c r="K44" s="10"/>
      <c r="L44" s="10"/>
      <c r="M44" s="10"/>
    </row>
    <row r="45" spans="1:13" ht="15.75">
      <c r="A45" s="55" t="s">
        <v>58</v>
      </c>
      <c r="B45" s="292">
        <v>13</v>
      </c>
      <c r="C45" s="293" t="s">
        <v>341</v>
      </c>
      <c r="D45" s="436" t="s">
        <v>0</v>
      </c>
      <c r="E45" s="436" t="s">
        <v>0</v>
      </c>
      <c r="H45" s="10"/>
      <c r="I45" s="10"/>
      <c r="J45" s="10"/>
      <c r="K45" s="10"/>
      <c r="L45" s="10"/>
      <c r="M45" s="10"/>
    </row>
    <row r="46" spans="1:13" ht="15.75">
      <c r="A46" s="55" t="s">
        <v>145</v>
      </c>
      <c r="B46" s="292">
        <v>14</v>
      </c>
      <c r="C46" s="293" t="s">
        <v>342</v>
      </c>
      <c r="D46" s="392">
        <v>7.4440000000000006E-2</v>
      </c>
      <c r="E46" s="392">
        <v>7.3899999999999993E-2</v>
      </c>
      <c r="F46" s="10" t="s">
        <v>205</v>
      </c>
      <c r="H46" s="10"/>
      <c r="I46" s="10"/>
      <c r="J46" s="10"/>
      <c r="K46" s="10"/>
      <c r="L46" s="10"/>
      <c r="M46" s="10"/>
    </row>
    <row r="47" spans="1:13" ht="16.5" thickBot="1">
      <c r="A47" s="56" t="s">
        <v>144</v>
      </c>
      <c r="B47" s="294">
        <v>15</v>
      </c>
      <c r="C47" s="295" t="s">
        <v>343</v>
      </c>
      <c r="D47" s="434" t="s">
        <v>0</v>
      </c>
      <c r="E47" s="434" t="s">
        <v>0</v>
      </c>
      <c r="F47" s="10"/>
      <c r="H47" s="10"/>
      <c r="I47" s="10"/>
      <c r="J47" s="10"/>
      <c r="K47" s="10"/>
      <c r="L47" s="10"/>
      <c r="M47" s="10"/>
    </row>
    <row r="48" spans="1:13" ht="15.75">
      <c r="A48" s="55" t="s">
        <v>143</v>
      </c>
      <c r="B48" s="292">
        <v>16</v>
      </c>
      <c r="C48" s="293" t="s">
        <v>25</v>
      </c>
      <c r="D48" s="436"/>
      <c r="E48" s="436"/>
      <c r="H48" s="10"/>
      <c r="I48" s="10"/>
      <c r="J48" s="10"/>
      <c r="K48" s="10"/>
      <c r="L48" s="10"/>
      <c r="M48" s="10"/>
    </row>
    <row r="49" spans="1:13" ht="15.75">
      <c r="A49" s="55" t="s">
        <v>142</v>
      </c>
      <c r="B49" s="292">
        <v>17</v>
      </c>
      <c r="C49" s="293" t="s">
        <v>93</v>
      </c>
      <c r="D49" s="393">
        <v>8.2299999999999998E-2</v>
      </c>
      <c r="E49" s="393">
        <v>8.1699999999999995E-2</v>
      </c>
      <c r="F49" s="10" t="s">
        <v>204</v>
      </c>
      <c r="H49" s="10"/>
      <c r="I49" s="10"/>
      <c r="J49" s="10"/>
      <c r="K49" s="10"/>
      <c r="L49" s="10"/>
      <c r="M49" s="10"/>
    </row>
    <row r="50" spans="1:13" ht="16.5" thickBot="1">
      <c r="A50" s="56" t="s">
        <v>141</v>
      </c>
      <c r="B50" s="294">
        <v>18</v>
      </c>
      <c r="C50" s="295" t="s">
        <v>344</v>
      </c>
      <c r="D50" s="434"/>
      <c r="E50" s="434"/>
      <c r="F50" s="10"/>
      <c r="H50" s="10"/>
      <c r="I50" s="10"/>
      <c r="J50" s="10"/>
      <c r="K50" s="10"/>
      <c r="L50" s="10"/>
      <c r="M50" s="10"/>
    </row>
    <row r="51" spans="1:13" ht="15.75">
      <c r="A51" s="55" t="s">
        <v>140</v>
      </c>
      <c r="B51" s="292">
        <v>19</v>
      </c>
      <c r="C51" s="293" t="s">
        <v>345</v>
      </c>
      <c r="D51" s="393"/>
      <c r="E51" s="393"/>
      <c r="H51" s="10"/>
      <c r="I51" s="10"/>
      <c r="J51" s="10"/>
      <c r="K51" s="10"/>
      <c r="L51" s="10"/>
      <c r="M51" s="10"/>
    </row>
    <row r="52" spans="1:13" ht="15.75">
      <c r="A52" s="55" t="s">
        <v>139</v>
      </c>
      <c r="B52" s="292">
        <v>20</v>
      </c>
      <c r="C52" s="293" t="s">
        <v>346</v>
      </c>
      <c r="D52" s="393">
        <v>9.0200000000000002E-2</v>
      </c>
      <c r="E52" s="393">
        <v>8.9499999999999996E-2</v>
      </c>
      <c r="F52" s="10" t="s">
        <v>201</v>
      </c>
      <c r="H52" s="10"/>
      <c r="I52" s="10"/>
      <c r="J52" s="10"/>
      <c r="K52" s="10"/>
      <c r="L52" s="10"/>
      <c r="M52" s="10"/>
    </row>
    <row r="53" spans="1:13" ht="16.5" thickBot="1">
      <c r="A53" s="56" t="s">
        <v>138</v>
      </c>
      <c r="B53" s="294">
        <v>21</v>
      </c>
      <c r="C53" s="448" t="s">
        <v>347</v>
      </c>
      <c r="D53" s="435"/>
      <c r="E53" s="435"/>
      <c r="F53" s="10"/>
      <c r="H53" s="10"/>
      <c r="I53" s="10"/>
      <c r="J53" s="10"/>
      <c r="K53" s="10"/>
      <c r="L53" s="10"/>
      <c r="M53" s="10"/>
    </row>
    <row r="54" spans="1:13" ht="15.75">
      <c r="A54" s="446" t="s">
        <v>354</v>
      </c>
      <c r="B54" s="302">
        <v>22</v>
      </c>
      <c r="C54" s="298" t="s">
        <v>357</v>
      </c>
      <c r="D54" s="437"/>
      <c r="E54" s="437"/>
      <c r="H54" s="10"/>
      <c r="I54" s="10"/>
      <c r="J54" s="10"/>
      <c r="K54" s="10"/>
      <c r="L54" s="10"/>
      <c r="M54" s="10"/>
    </row>
    <row r="55" spans="1:13" ht="15.75">
      <c r="A55" s="446" t="s">
        <v>355</v>
      </c>
      <c r="B55" s="292">
        <v>23</v>
      </c>
      <c r="C55" s="55" t="s">
        <v>348</v>
      </c>
      <c r="D55" s="438"/>
      <c r="E55" s="438"/>
      <c r="F55" s="10" t="s">
        <v>199</v>
      </c>
      <c r="H55" s="10"/>
      <c r="I55" s="10"/>
      <c r="J55" s="10"/>
      <c r="K55" s="10"/>
      <c r="L55" s="10"/>
      <c r="M55" s="10"/>
    </row>
    <row r="56" spans="1:13" ht="16.5" thickBot="1">
      <c r="A56" s="447" t="s">
        <v>356</v>
      </c>
      <c r="B56" s="294">
        <v>24</v>
      </c>
      <c r="C56" s="56" t="s">
        <v>358</v>
      </c>
      <c r="D56" s="439"/>
      <c r="E56" s="439"/>
      <c r="F56" s="10"/>
      <c r="H56" s="10"/>
      <c r="I56" s="10"/>
      <c r="J56" s="10"/>
      <c r="K56" s="10"/>
      <c r="L56" s="10"/>
      <c r="M56" s="10"/>
    </row>
    <row r="57" spans="1:13" ht="16.5" thickBot="1">
      <c r="A57" s="56" t="s">
        <v>279</v>
      </c>
      <c r="B57" s="449">
        <v>25</v>
      </c>
      <c r="C57" s="56" t="s">
        <v>94</v>
      </c>
      <c r="D57" s="440"/>
      <c r="E57" s="440"/>
      <c r="F57" s="10" t="s">
        <v>200</v>
      </c>
      <c r="H57" s="10"/>
      <c r="I57" s="10"/>
      <c r="J57" s="10"/>
      <c r="K57" s="10"/>
      <c r="L57" s="10"/>
    </row>
  </sheetData>
  <pageMargins left="0.25" right="0.25" top="0.75" bottom="0.75" header="0.3" footer="0.3"/>
  <pageSetup scale="4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36"/>
  <sheetViews>
    <sheetView view="pageBreakPreview" zoomScale="60" zoomScaleNormal="80" workbookViewId="0">
      <selection activeCell="A27" sqref="A27"/>
    </sheetView>
  </sheetViews>
  <sheetFormatPr defaultRowHeight="15"/>
  <cols>
    <col min="1" max="1" width="48.85546875" customWidth="1"/>
    <col min="2" max="2" width="13.140625" customWidth="1"/>
    <col min="3" max="3" width="19.85546875" customWidth="1"/>
    <col min="4" max="4" width="24.7109375" customWidth="1"/>
    <col min="5" max="5" width="22.7109375" customWidth="1"/>
    <col min="6" max="7" width="21.28515625" customWidth="1"/>
    <col min="8" max="8" width="12.42578125" customWidth="1"/>
    <col min="9" max="9" width="18.42578125" customWidth="1"/>
    <col min="10" max="10" width="21.28515625" customWidth="1"/>
    <col min="11" max="11" width="2.28515625" customWidth="1"/>
    <col min="12" max="12" width="22.7109375" customWidth="1"/>
    <col min="13" max="13" width="17.28515625" customWidth="1"/>
  </cols>
  <sheetData>
    <row r="1" spans="1:14" ht="20.25">
      <c r="A1" s="21" t="s">
        <v>1</v>
      </c>
      <c r="B1" s="10"/>
      <c r="C1" s="10"/>
      <c r="D1" s="10"/>
      <c r="E1" s="10"/>
      <c r="F1" s="10"/>
      <c r="G1" s="10"/>
      <c r="H1" s="10"/>
      <c r="I1" s="10"/>
      <c r="J1" s="10"/>
      <c r="K1" s="10"/>
      <c r="L1" s="10"/>
      <c r="M1" s="10"/>
      <c r="N1" s="10"/>
    </row>
    <row r="2" spans="1:14" ht="15.75">
      <c r="A2" s="60" t="s">
        <v>9</v>
      </c>
      <c r="B2" s="10"/>
      <c r="C2" s="10"/>
      <c r="D2" s="10"/>
      <c r="E2" s="10"/>
      <c r="F2" s="10"/>
      <c r="G2" s="10"/>
      <c r="H2" s="10"/>
      <c r="I2" s="10"/>
      <c r="J2" s="10"/>
      <c r="K2" s="10"/>
      <c r="L2" s="10"/>
      <c r="M2" s="10"/>
      <c r="N2" s="10"/>
    </row>
    <row r="3" spans="1:14">
      <c r="A3" s="23" t="s">
        <v>64</v>
      </c>
      <c r="B3" s="10"/>
      <c r="C3" s="10"/>
      <c r="D3" s="10"/>
      <c r="E3" s="10"/>
      <c r="F3" s="10"/>
      <c r="G3" s="10"/>
      <c r="H3" s="10"/>
      <c r="I3" s="10"/>
      <c r="J3" s="10"/>
      <c r="K3" s="10"/>
      <c r="L3" s="10"/>
      <c r="M3" s="10"/>
      <c r="N3" s="10"/>
    </row>
    <row r="4" spans="1:14">
      <c r="A4" s="10"/>
      <c r="B4" s="10"/>
      <c r="C4" s="10"/>
      <c r="D4" s="24" t="s">
        <v>0</v>
      </c>
      <c r="E4" s="10"/>
      <c r="F4" s="10"/>
      <c r="G4" s="10"/>
      <c r="H4" s="10"/>
      <c r="I4" s="10"/>
      <c r="J4" s="10"/>
      <c r="K4" s="10"/>
      <c r="L4" s="10"/>
      <c r="M4" s="10"/>
      <c r="N4" s="10"/>
    </row>
    <row r="5" spans="1:14" ht="16.5" thickBot="1">
      <c r="A5" s="60"/>
      <c r="B5" s="10"/>
      <c r="C5" s="10"/>
      <c r="D5" s="10"/>
      <c r="E5" s="10"/>
      <c r="F5" s="10"/>
      <c r="G5" s="10"/>
      <c r="H5" s="10"/>
      <c r="I5" s="10"/>
      <c r="J5" s="10"/>
      <c r="K5" s="10"/>
      <c r="L5" s="10"/>
      <c r="M5" s="10"/>
      <c r="N5" s="10"/>
    </row>
    <row r="6" spans="1:14" ht="16.5" thickBot="1">
      <c r="A6" s="278" t="str">
        <f>+'S&amp;D'!A12</f>
        <v>Railroad Carriers</v>
      </c>
      <c r="B6" s="204"/>
      <c r="C6" s="10"/>
      <c r="D6" s="10"/>
      <c r="E6" s="10"/>
      <c r="F6" s="10"/>
      <c r="G6" s="10"/>
      <c r="H6" s="10"/>
      <c r="I6" s="10"/>
      <c r="J6" s="10"/>
      <c r="K6" s="10"/>
      <c r="L6" s="10"/>
      <c r="M6" s="10"/>
      <c r="N6" s="10"/>
    </row>
    <row r="7" spans="1:14" ht="15.75">
      <c r="A7" s="60"/>
      <c r="B7" s="10"/>
      <c r="C7" s="10"/>
      <c r="D7" s="10"/>
      <c r="E7" s="10"/>
      <c r="F7" s="10"/>
      <c r="G7" s="10"/>
      <c r="H7" s="10"/>
      <c r="I7" s="10"/>
      <c r="J7" s="10"/>
      <c r="K7" s="10"/>
      <c r="L7" s="10"/>
      <c r="M7" s="10"/>
      <c r="N7" s="10"/>
    </row>
    <row r="8" spans="1:14" ht="16.5" thickBot="1">
      <c r="A8" s="60"/>
      <c r="B8" s="10"/>
      <c r="C8" s="26"/>
      <c r="D8" s="26"/>
      <c r="E8" s="26"/>
      <c r="F8" s="10"/>
      <c r="G8" s="10"/>
      <c r="H8" s="26"/>
      <c r="I8" s="26"/>
      <c r="J8" s="26"/>
      <c r="K8" s="26"/>
      <c r="L8" s="26"/>
      <c r="M8" s="26"/>
      <c r="N8" s="10"/>
    </row>
    <row r="9" spans="1:14" ht="20.25">
      <c r="B9" s="10"/>
      <c r="C9" s="10"/>
      <c r="D9" s="29" t="s">
        <v>321</v>
      </c>
      <c r="E9" s="10"/>
      <c r="F9" s="10"/>
      <c r="G9" s="10"/>
      <c r="H9" s="10"/>
      <c r="I9" s="10"/>
      <c r="J9" s="10"/>
      <c r="K9" s="66" t="s">
        <v>322</v>
      </c>
      <c r="L9" s="10"/>
      <c r="M9" s="10"/>
      <c r="N9" s="10"/>
    </row>
    <row r="10" spans="1:14" ht="18.75" thickBot="1">
      <c r="A10" s="28"/>
      <c r="B10" s="10"/>
      <c r="C10" s="26"/>
      <c r="D10" s="30" t="s">
        <v>78</v>
      </c>
      <c r="E10" s="26"/>
      <c r="F10" s="10"/>
      <c r="G10" s="10"/>
      <c r="H10" s="26"/>
      <c r="I10" s="26"/>
      <c r="J10" s="26"/>
      <c r="K10" s="30" t="s">
        <v>78</v>
      </c>
      <c r="L10" s="26"/>
      <c r="M10" s="26"/>
      <c r="N10" s="10"/>
    </row>
    <row r="11" spans="1:14" ht="15.75" thickBot="1">
      <c r="A11" s="31" t="s">
        <v>0</v>
      </c>
      <c r="B11" s="31" t="s">
        <v>0</v>
      </c>
      <c r="C11" s="31" t="s">
        <v>0</v>
      </c>
      <c r="D11" s="31" t="s">
        <v>0</v>
      </c>
      <c r="E11" s="31" t="s">
        <v>0</v>
      </c>
      <c r="F11" s="31" t="s">
        <v>0</v>
      </c>
      <c r="G11" s="38"/>
      <c r="H11" s="26"/>
      <c r="I11" s="31" t="s">
        <v>0</v>
      </c>
      <c r="J11" s="26"/>
      <c r="K11" s="26"/>
      <c r="L11" s="26"/>
      <c r="M11" s="26"/>
      <c r="N11" s="10"/>
    </row>
    <row r="12" spans="1:14">
      <c r="A12" s="32" t="s">
        <v>0</v>
      </c>
      <c r="B12" s="32" t="s">
        <v>3</v>
      </c>
      <c r="C12" s="32" t="s">
        <v>364</v>
      </c>
      <c r="D12" s="32" t="s">
        <v>114</v>
      </c>
      <c r="E12" s="32" t="s">
        <v>114</v>
      </c>
      <c r="F12" s="32" t="s">
        <v>27</v>
      </c>
      <c r="G12" s="32"/>
      <c r="H12" s="32" t="s">
        <v>3</v>
      </c>
      <c r="I12" s="32" t="s">
        <v>364</v>
      </c>
      <c r="J12" s="32" t="s">
        <v>114</v>
      </c>
      <c r="K12" s="32"/>
      <c r="L12" s="32" t="s">
        <v>114</v>
      </c>
      <c r="M12" s="32" t="s">
        <v>27</v>
      </c>
      <c r="N12" s="10"/>
    </row>
    <row r="13" spans="1:14" ht="15.75" thickBot="1">
      <c r="A13" s="34" t="s">
        <v>2</v>
      </c>
      <c r="B13" s="34" t="s">
        <v>4</v>
      </c>
      <c r="C13" s="34" t="s">
        <v>28</v>
      </c>
      <c r="D13" s="34" t="s">
        <v>173</v>
      </c>
      <c r="E13" s="34" t="s">
        <v>29</v>
      </c>
      <c r="F13" s="34" t="s">
        <v>30</v>
      </c>
      <c r="G13" s="32"/>
      <c r="H13" s="34" t="s">
        <v>4</v>
      </c>
      <c r="I13" s="34" t="s">
        <v>28</v>
      </c>
      <c r="J13" s="34" t="s">
        <v>173</v>
      </c>
      <c r="K13" s="34"/>
      <c r="L13" s="34" t="s">
        <v>29</v>
      </c>
      <c r="M13" s="34" t="s">
        <v>30</v>
      </c>
      <c r="N13" s="10"/>
    </row>
    <row r="14" spans="1:14">
      <c r="A14" s="36" t="s">
        <v>0</v>
      </c>
      <c r="B14" s="36" t="s">
        <v>0</v>
      </c>
      <c r="C14" s="37" t="s">
        <v>117</v>
      </c>
      <c r="D14" s="36" t="s">
        <v>118</v>
      </c>
      <c r="E14" s="36" t="s">
        <v>0</v>
      </c>
      <c r="F14" s="36" t="s">
        <v>0</v>
      </c>
      <c r="G14" s="38"/>
      <c r="H14" s="36" t="s">
        <v>0</v>
      </c>
      <c r="I14" s="37" t="s">
        <v>117</v>
      </c>
      <c r="J14" s="36" t="s">
        <v>119</v>
      </c>
      <c r="K14" s="36"/>
      <c r="L14" s="36" t="s">
        <v>0</v>
      </c>
      <c r="M14" s="36" t="s">
        <v>0</v>
      </c>
      <c r="N14" s="10"/>
    </row>
    <row r="15" spans="1:14">
      <c r="A15" s="32"/>
      <c r="B15" s="32"/>
      <c r="C15" s="32"/>
      <c r="D15" s="32"/>
      <c r="E15" s="32"/>
      <c r="F15" s="32"/>
      <c r="G15" s="32"/>
      <c r="H15" s="32"/>
      <c r="I15" s="32"/>
      <c r="J15" s="32"/>
      <c r="K15" s="32"/>
      <c r="L15" s="32"/>
      <c r="M15" s="32"/>
      <c r="N15" s="10"/>
    </row>
    <row r="16" spans="1:14">
      <c r="A16" s="10"/>
      <c r="B16" s="10"/>
      <c r="C16" s="10"/>
      <c r="D16" s="10"/>
      <c r="E16" s="10"/>
      <c r="F16" s="10"/>
      <c r="G16" s="10"/>
      <c r="H16" s="10"/>
      <c r="I16" s="10"/>
      <c r="J16" s="10"/>
      <c r="K16" s="10"/>
      <c r="L16" s="10"/>
      <c r="M16" s="10"/>
      <c r="N16" s="10"/>
    </row>
    <row r="17" spans="1:14" ht="15.75">
      <c r="A17" s="60" t="str">
        <f>+'S&amp;D'!A22</f>
        <v>Canadian National</v>
      </c>
      <c r="B17" s="87" t="str">
        <f>+'S&amp;D'!B22</f>
        <v>CNI</v>
      </c>
      <c r="C17" s="57">
        <f>+'S&amp;D'!G22</f>
        <v>118.88</v>
      </c>
      <c r="D17" s="417">
        <v>7.7</v>
      </c>
      <c r="E17" s="69">
        <f>C17/D17</f>
        <v>15.438961038961038</v>
      </c>
      <c r="F17" s="54">
        <f t="shared" ref="F17" si="0">1/E17</f>
        <v>6.4771197846567971E-2</v>
      </c>
      <c r="G17" s="54"/>
      <c r="H17" s="87" t="str">
        <f>+B17</f>
        <v>CNI</v>
      </c>
      <c r="I17" s="57">
        <f>+C17</f>
        <v>118.88</v>
      </c>
      <c r="J17" s="431">
        <v>8.0500000000000007</v>
      </c>
      <c r="K17" s="59"/>
      <c r="L17" s="69">
        <f>I17/J17</f>
        <v>14.767701863354036</v>
      </c>
      <c r="M17" s="54">
        <f t="shared" ref="M17" si="1">1/L17</f>
        <v>6.7715343203230152E-2</v>
      </c>
      <c r="N17" s="10"/>
    </row>
    <row r="18" spans="1:14" ht="15.75">
      <c r="A18" s="60" t="str">
        <f>+'S&amp;D'!A23</f>
        <v>Canadian Pacific</v>
      </c>
      <c r="B18" s="87" t="str">
        <f>+'S&amp;D'!B23</f>
        <v>CP</v>
      </c>
      <c r="C18" s="57">
        <f>+'S&amp;D'!G23</f>
        <v>74.59</v>
      </c>
      <c r="D18" s="417">
        <v>3.5</v>
      </c>
      <c r="E18" s="69">
        <f t="shared" ref="E18:E21" si="2">C18/D18</f>
        <v>21.311428571428571</v>
      </c>
      <c r="F18" s="54">
        <f t="shared" ref="F18:F21" si="3">1/E18</f>
        <v>4.6923180050945167E-2</v>
      </c>
      <c r="G18" s="54"/>
      <c r="H18" s="87" t="str">
        <f t="shared" ref="H18:H21" si="4">+B18</f>
        <v>CP</v>
      </c>
      <c r="I18" s="57">
        <f t="shared" ref="I18:I21" si="5">+C18</f>
        <v>74.59</v>
      </c>
      <c r="J18" s="431">
        <v>4.45</v>
      </c>
      <c r="K18" s="59"/>
      <c r="L18" s="69">
        <f t="shared" ref="L18:L21" si="6">I18/J18</f>
        <v>16.761797752808988</v>
      </c>
      <c r="M18" s="54">
        <f t="shared" ref="M18:M21" si="7">1/L18</f>
        <v>5.9659471779058858E-2</v>
      </c>
      <c r="N18" s="10"/>
    </row>
    <row r="19" spans="1:14" ht="15.75">
      <c r="A19" s="60" t="str">
        <f>+'S&amp;D'!A24</f>
        <v>CSX Corp</v>
      </c>
      <c r="B19" s="87" t="str">
        <f>+'S&amp;D'!B24</f>
        <v>CSX</v>
      </c>
      <c r="C19" s="57">
        <f>+'S&amp;D'!G24</f>
        <v>30.98</v>
      </c>
      <c r="D19" s="417">
        <v>2.7</v>
      </c>
      <c r="E19" s="69">
        <f t="shared" si="2"/>
        <v>11.474074074074073</v>
      </c>
      <c r="F19" s="54">
        <f t="shared" si="3"/>
        <v>8.7153001936733379E-2</v>
      </c>
      <c r="G19" s="54"/>
      <c r="H19" s="87" t="str">
        <f t="shared" si="4"/>
        <v>CSX</v>
      </c>
      <c r="I19" s="57">
        <f t="shared" si="5"/>
        <v>30.98</v>
      </c>
      <c r="J19" s="431">
        <v>2.5499999999999998</v>
      </c>
      <c r="K19" s="59"/>
      <c r="L19" s="69">
        <f t="shared" si="6"/>
        <v>12.149019607843139</v>
      </c>
      <c r="M19" s="54">
        <f t="shared" si="7"/>
        <v>8.2311168495803735E-2</v>
      </c>
      <c r="N19" s="10"/>
    </row>
    <row r="20" spans="1:14" ht="15.75">
      <c r="A20" s="60" t="str">
        <f>+'S&amp;D'!A25</f>
        <v>Norfolk Southern</v>
      </c>
      <c r="B20" s="87" t="str">
        <f>+'S&amp;D'!B25</f>
        <v>NSC</v>
      </c>
      <c r="C20" s="57">
        <f>+'S&amp;D'!G25</f>
        <v>246.42</v>
      </c>
      <c r="D20" s="417">
        <v>19.5</v>
      </c>
      <c r="E20" s="69">
        <f t="shared" si="2"/>
        <v>12.636923076923077</v>
      </c>
      <c r="F20" s="54">
        <f t="shared" si="3"/>
        <v>7.9133187241295352E-2</v>
      </c>
      <c r="G20" s="54"/>
      <c r="H20" s="87" t="str">
        <f t="shared" si="4"/>
        <v>NSC</v>
      </c>
      <c r="I20" s="57">
        <f t="shared" si="5"/>
        <v>246.42</v>
      </c>
      <c r="J20" s="431">
        <v>18.5</v>
      </c>
      <c r="K20" s="59"/>
      <c r="L20" s="69">
        <f t="shared" si="6"/>
        <v>13.319999999999999</v>
      </c>
      <c r="M20" s="54">
        <f t="shared" si="7"/>
        <v>7.507507507507509E-2</v>
      </c>
      <c r="N20" s="10"/>
    </row>
    <row r="21" spans="1:14" ht="15.75">
      <c r="A21" s="60" t="str">
        <f>+'S&amp;D'!A26</f>
        <v>Union Pacific Railroad</v>
      </c>
      <c r="B21" s="87" t="str">
        <f>+'S&amp;D'!B26</f>
        <v>UNP</v>
      </c>
      <c r="C21" s="57">
        <f>+'S&amp;D'!G26</f>
        <v>207.07</v>
      </c>
      <c r="D21" s="417">
        <v>15.3</v>
      </c>
      <c r="E21" s="69">
        <f t="shared" si="2"/>
        <v>13.533986928104573</v>
      </c>
      <c r="F21" s="54">
        <f t="shared" si="3"/>
        <v>7.3888057178731842E-2</v>
      </c>
      <c r="G21" s="54"/>
      <c r="H21" s="87" t="str">
        <f t="shared" si="4"/>
        <v>UNP</v>
      </c>
      <c r="I21" s="57">
        <f t="shared" si="5"/>
        <v>207.07</v>
      </c>
      <c r="J21" s="431">
        <v>14.4</v>
      </c>
      <c r="K21" s="59"/>
      <c r="L21" s="69">
        <f t="shared" si="6"/>
        <v>14.37986111111111</v>
      </c>
      <c r="M21" s="54">
        <f t="shared" si="7"/>
        <v>6.9541700874100554E-2</v>
      </c>
      <c r="N21" s="10"/>
    </row>
    <row r="22" spans="1:14" ht="15.75" thickBot="1">
      <c r="A22" s="10"/>
      <c r="B22" s="67"/>
      <c r="C22" s="67"/>
      <c r="D22" s="67"/>
      <c r="E22" s="67"/>
      <c r="F22" s="67"/>
      <c r="G22" s="10"/>
      <c r="H22" s="67"/>
      <c r="I22" s="67"/>
      <c r="J22" s="313" t="s">
        <v>0</v>
      </c>
      <c r="K22" s="67"/>
      <c r="L22" s="67"/>
      <c r="M22" s="67"/>
      <c r="N22" s="10"/>
    </row>
    <row r="23" spans="1:14" ht="15.75" thickTop="1">
      <c r="A23" s="10"/>
      <c r="C23" s="12" t="s">
        <v>47</v>
      </c>
      <c r="D23" s="68">
        <v>19.5</v>
      </c>
      <c r="E23" s="68">
        <v>21.31</v>
      </c>
      <c r="F23" s="327">
        <v>8.72E-2</v>
      </c>
      <c r="I23" s="12" t="s">
        <v>47</v>
      </c>
      <c r="J23" s="68">
        <v>18.5</v>
      </c>
      <c r="K23" s="68"/>
      <c r="L23" s="68">
        <v>16.760000000000002</v>
      </c>
      <c r="M23" s="327">
        <v>8.2299999999999998E-2</v>
      </c>
      <c r="N23" s="10"/>
    </row>
    <row r="24" spans="1:14">
      <c r="A24" s="10"/>
      <c r="C24" s="349" t="s">
        <v>48</v>
      </c>
      <c r="D24" s="354">
        <v>2.7</v>
      </c>
      <c r="E24" s="354">
        <v>11.47</v>
      </c>
      <c r="F24" s="346">
        <v>4.6899999999999997E-2</v>
      </c>
      <c r="I24" s="349" t="s">
        <v>48</v>
      </c>
      <c r="J24" s="354">
        <v>2.5499999999999998</v>
      </c>
      <c r="K24" s="354"/>
      <c r="L24" s="354">
        <v>12.15</v>
      </c>
      <c r="M24" s="346">
        <v>5.9700000000000003E-2</v>
      </c>
      <c r="N24" s="10"/>
    </row>
    <row r="25" spans="1:14">
      <c r="A25" s="10"/>
      <c r="C25" s="12" t="s">
        <v>18</v>
      </c>
      <c r="D25" s="69">
        <f>MEDIAN(D17:D21)</f>
        <v>7.7</v>
      </c>
      <c r="E25" s="19">
        <f>MEDIAN(E17:E21)</f>
        <v>13.533986928104573</v>
      </c>
      <c r="F25" s="54">
        <f>MEDIAN(F17:F21)</f>
        <v>7.3888057178731842E-2</v>
      </c>
      <c r="G25" s="54"/>
      <c r="I25" s="12" t="s">
        <v>18</v>
      </c>
      <c r="J25" s="69">
        <f>MEDIAN(J17:J21)</f>
        <v>8.0500000000000007</v>
      </c>
      <c r="K25" s="69"/>
      <c r="L25" s="19">
        <f>MEDIAN(L17:L21)</f>
        <v>14.37986111111111</v>
      </c>
      <c r="M25" s="54">
        <f>MEDIAN(M17:M21)</f>
        <v>6.9541700874100554E-2</v>
      </c>
      <c r="N25" s="10"/>
    </row>
    <row r="26" spans="1:14">
      <c r="A26" s="10"/>
      <c r="C26" s="12" t="s">
        <v>448</v>
      </c>
      <c r="D26" s="15">
        <f>AVERAGE(D17:D21)</f>
        <v>9.74</v>
      </c>
      <c r="E26" s="19">
        <f>AVERAGE(E17:E21)</f>
        <v>14.879074737898268</v>
      </c>
      <c r="F26" s="70">
        <f>AVERAGE(F17:F21)</f>
        <v>7.0373724850854733E-2</v>
      </c>
      <c r="G26" s="70"/>
      <c r="I26" s="12" t="s">
        <v>448</v>
      </c>
      <c r="J26" s="15">
        <f>AVERAGE(J17:J21)</f>
        <v>9.59</v>
      </c>
      <c r="K26" s="15"/>
      <c r="L26" s="19">
        <f>AVERAGE(L17:L21)</f>
        <v>14.275676067023454</v>
      </c>
      <c r="M26" s="70">
        <f>AVERAGE(M17:M21)</f>
        <v>7.0860551885453676E-2</v>
      </c>
      <c r="N26" s="10"/>
    </row>
    <row r="27" spans="1:14">
      <c r="A27" s="10"/>
      <c r="B27" s="10"/>
      <c r="C27" s="10"/>
      <c r="D27" s="10"/>
      <c r="E27" s="10"/>
      <c r="F27" s="10"/>
      <c r="G27" s="10"/>
      <c r="H27" s="10"/>
      <c r="I27" s="10"/>
      <c r="J27" s="10"/>
      <c r="K27" s="10"/>
      <c r="L27" s="10"/>
      <c r="M27" s="10"/>
      <c r="N27" s="10"/>
    </row>
    <row r="28" spans="1:14" ht="20.25">
      <c r="A28" s="10"/>
      <c r="B28" s="10"/>
      <c r="C28" s="10"/>
      <c r="D28" s="74" t="s">
        <v>76</v>
      </c>
      <c r="E28" s="328">
        <v>14.88</v>
      </c>
      <c r="F28" s="329">
        <v>7.0400000000000004E-2</v>
      </c>
      <c r="G28" s="286"/>
      <c r="H28" s="10"/>
      <c r="I28" s="10"/>
      <c r="J28" s="74" t="s">
        <v>76</v>
      </c>
      <c r="K28" s="47"/>
      <c r="L28" s="330">
        <v>14.28</v>
      </c>
      <c r="M28" s="329">
        <v>7.0900000000000005E-2</v>
      </c>
      <c r="N28" s="10"/>
    </row>
    <row r="29" spans="1:14" ht="30" customHeight="1" thickBot="1">
      <c r="A29" s="10"/>
      <c r="B29" s="10"/>
      <c r="C29" s="10"/>
      <c r="D29" s="10"/>
      <c r="E29" s="10"/>
      <c r="G29" s="71"/>
      <c r="H29" s="10"/>
      <c r="I29" s="10"/>
      <c r="J29" s="10"/>
      <c r="K29" s="10"/>
      <c r="L29" s="10"/>
      <c r="M29" s="10"/>
      <c r="N29" s="10"/>
    </row>
    <row r="30" spans="1:14" ht="21" thickBot="1">
      <c r="A30" s="72" t="s">
        <v>0</v>
      </c>
      <c r="B30" s="10"/>
      <c r="C30" s="10"/>
      <c r="D30" s="10"/>
      <c r="E30" s="21" t="s">
        <v>128</v>
      </c>
      <c r="F30" s="21"/>
      <c r="G30" s="229">
        <f>(+E28+L28)/2</f>
        <v>14.58</v>
      </c>
      <c r="H30" s="230">
        <f>(+F28+M28)/2</f>
        <v>7.0650000000000004E-2</v>
      </c>
      <c r="K30" s="10"/>
      <c r="N30" s="10"/>
    </row>
    <row r="31" spans="1:14" ht="16.5">
      <c r="A31" s="72" t="s">
        <v>0</v>
      </c>
      <c r="B31" s="10"/>
      <c r="C31" s="10"/>
      <c r="D31" s="10"/>
      <c r="E31" s="10"/>
      <c r="F31" s="10"/>
      <c r="G31" s="10"/>
      <c r="H31" s="10"/>
      <c r="I31" s="10"/>
      <c r="J31" s="10"/>
      <c r="K31" s="10"/>
      <c r="L31" s="10"/>
      <c r="M31" s="10"/>
      <c r="N31" s="10"/>
    </row>
    <row r="32" spans="1:14">
      <c r="A32" s="10"/>
      <c r="B32" s="10"/>
      <c r="C32" s="10"/>
      <c r="D32" s="10"/>
      <c r="E32" s="10"/>
      <c r="F32" s="10"/>
      <c r="G32" s="10"/>
      <c r="H32" s="10"/>
      <c r="I32" s="10"/>
      <c r="J32" s="10"/>
      <c r="K32" s="10"/>
      <c r="L32" s="10"/>
      <c r="M32" s="10"/>
      <c r="N32" s="10"/>
    </row>
    <row r="33" spans="1:14">
      <c r="A33" s="10"/>
      <c r="B33" s="10"/>
      <c r="C33" s="10"/>
      <c r="D33" s="10"/>
      <c r="E33" s="10"/>
      <c r="F33" s="10"/>
      <c r="G33" s="10"/>
      <c r="H33" s="10"/>
      <c r="I33" s="10"/>
      <c r="J33" s="10"/>
      <c r="K33" s="10"/>
      <c r="L33" s="10"/>
      <c r="M33" s="10"/>
      <c r="N33" s="10"/>
    </row>
    <row r="34" spans="1:14" ht="15.75">
      <c r="A34" s="104" t="s">
        <v>370</v>
      </c>
    </row>
    <row r="35" spans="1:14" ht="15.75">
      <c r="A35" s="104" t="s">
        <v>371</v>
      </c>
    </row>
    <row r="36" spans="1:14" ht="15.75">
      <c r="A36" s="104" t="s">
        <v>372</v>
      </c>
    </row>
  </sheetData>
  <pageMargins left="0.25" right="0.25" top="0.75" bottom="0.75" header="0.3" footer="0.3"/>
  <pageSetup scale="4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EAAB1-5671-4283-A0D0-11DDA5DBBF04}">
  <sheetPr>
    <tabColor rgb="FF92D050"/>
  </sheetPr>
  <dimension ref="A1:O55"/>
  <sheetViews>
    <sheetView view="pageBreakPreview" zoomScale="60" zoomScaleNormal="80" workbookViewId="0">
      <selection activeCell="H2" sqref="H2"/>
    </sheetView>
  </sheetViews>
  <sheetFormatPr defaultRowHeight="15"/>
  <cols>
    <col min="1" max="1" width="53.85546875" customWidth="1"/>
    <col min="2" max="2" width="8" customWidth="1"/>
    <col min="3" max="3" width="12.28515625" bestFit="1" customWidth="1"/>
    <col min="4" max="4" width="20.140625" customWidth="1"/>
    <col min="5" max="5" width="18.85546875" customWidth="1"/>
    <col min="6" max="6" width="19" customWidth="1"/>
    <col min="7" max="7" width="16.42578125" customWidth="1"/>
    <col min="8" max="10" width="19.28515625" customWidth="1"/>
    <col min="11" max="12" width="21.5703125" customWidth="1"/>
    <col min="13" max="13" width="18.28515625" customWidth="1"/>
  </cols>
  <sheetData>
    <row r="1" spans="1:15" ht="20.25">
      <c r="A1" s="21" t="s">
        <v>1</v>
      </c>
      <c r="B1" s="21"/>
      <c r="C1" s="10"/>
      <c r="D1" s="10"/>
      <c r="E1" s="10"/>
      <c r="F1" s="10"/>
      <c r="G1" s="10"/>
      <c r="H1" s="10"/>
      <c r="I1" s="10"/>
      <c r="J1" s="10"/>
      <c r="K1" s="10"/>
      <c r="L1" s="10"/>
      <c r="M1" s="10"/>
      <c r="N1" s="10"/>
      <c r="O1" s="10"/>
    </row>
    <row r="2" spans="1:15" ht="15.75">
      <c r="A2" s="60" t="s">
        <v>9</v>
      </c>
      <c r="B2" s="60"/>
      <c r="C2" s="10"/>
      <c r="D2" s="10"/>
      <c r="E2" s="10"/>
      <c r="F2" s="10"/>
      <c r="G2" s="10"/>
      <c r="H2" s="10"/>
      <c r="I2" s="10"/>
      <c r="J2" s="10"/>
      <c r="K2" s="10"/>
      <c r="L2" s="10"/>
      <c r="M2" s="10"/>
      <c r="N2" s="10"/>
      <c r="O2" s="10"/>
    </row>
    <row r="3" spans="1:15">
      <c r="A3" s="23" t="s">
        <v>64</v>
      </c>
      <c r="B3" s="41"/>
      <c r="C3" s="10"/>
      <c r="D3" s="10"/>
      <c r="E3" s="10"/>
      <c r="F3" s="10"/>
      <c r="G3" s="10"/>
      <c r="H3" s="10"/>
      <c r="I3" s="10"/>
      <c r="J3" s="10"/>
      <c r="K3" s="10"/>
      <c r="L3" s="10"/>
      <c r="M3" s="10"/>
      <c r="N3" s="10"/>
      <c r="O3" s="10"/>
    </row>
    <row r="4" spans="1:15">
      <c r="A4" s="10"/>
      <c r="B4" s="10"/>
      <c r="C4" s="10"/>
      <c r="D4" s="10"/>
      <c r="E4" s="24" t="s">
        <v>0</v>
      </c>
      <c r="F4" s="10"/>
      <c r="G4" s="10"/>
      <c r="H4" s="10"/>
      <c r="I4" s="10"/>
      <c r="J4" s="10"/>
      <c r="K4" s="10"/>
      <c r="L4" s="10"/>
      <c r="M4" s="10"/>
      <c r="N4" s="10"/>
      <c r="O4" s="10"/>
    </row>
    <row r="5" spans="1:15" ht="16.5" thickBot="1">
      <c r="A5" s="60"/>
      <c r="B5" s="60"/>
      <c r="C5" s="10"/>
      <c r="D5" s="10"/>
      <c r="E5" s="10"/>
      <c r="F5" s="10"/>
      <c r="G5" s="10"/>
      <c r="H5" s="10"/>
      <c r="I5" s="10"/>
      <c r="J5" s="10"/>
      <c r="K5" s="10"/>
      <c r="L5" s="10"/>
      <c r="M5" s="10"/>
      <c r="N5" s="10"/>
      <c r="O5" s="10"/>
    </row>
    <row r="6" spans="1:15" ht="18.75" thickBot="1">
      <c r="A6" s="276" t="str">
        <f>+'S&amp;D'!A12</f>
        <v>Railroad Carriers</v>
      </c>
      <c r="B6" s="279"/>
      <c r="C6" s="10"/>
      <c r="D6" s="10"/>
      <c r="E6" s="10"/>
      <c r="F6" s="10"/>
      <c r="G6" s="10"/>
      <c r="H6" s="10"/>
      <c r="I6" s="10"/>
      <c r="J6" s="10"/>
      <c r="K6" s="10"/>
      <c r="L6" s="10"/>
      <c r="M6" s="10"/>
      <c r="N6" s="10"/>
      <c r="O6" s="10"/>
    </row>
    <row r="7" spans="1:15" ht="16.5" thickBot="1">
      <c r="A7" s="60"/>
      <c r="B7" s="60"/>
      <c r="C7" s="26"/>
      <c r="D7" s="26"/>
      <c r="E7" s="26"/>
      <c r="F7" s="26"/>
      <c r="G7" s="26"/>
      <c r="H7" s="10"/>
      <c r="I7" s="26"/>
      <c r="J7" s="26"/>
      <c r="K7" s="26"/>
      <c r="L7" s="26"/>
      <c r="M7" s="26"/>
      <c r="N7" s="10"/>
      <c r="O7" s="10"/>
    </row>
    <row r="8" spans="1:15" ht="20.25">
      <c r="B8" s="28"/>
      <c r="C8" s="10"/>
      <c r="D8" s="10"/>
      <c r="E8" s="29" t="s">
        <v>240</v>
      </c>
      <c r="F8" s="10"/>
      <c r="G8" s="10"/>
      <c r="H8" s="10"/>
      <c r="I8" s="10"/>
      <c r="J8" s="10"/>
      <c r="K8" s="29" t="s">
        <v>241</v>
      </c>
      <c r="L8" s="10"/>
      <c r="M8" s="10"/>
      <c r="N8" s="10"/>
      <c r="O8" s="10"/>
    </row>
    <row r="9" spans="1:15" ht="18.75" thickBot="1">
      <c r="A9" s="28"/>
      <c r="B9" s="28"/>
      <c r="C9" s="26"/>
      <c r="D9" s="26"/>
      <c r="E9" s="34" t="s">
        <v>78</v>
      </c>
      <c r="F9" s="26"/>
      <c r="G9" s="26"/>
      <c r="H9" s="10"/>
      <c r="I9" s="26"/>
      <c r="J9" s="26"/>
      <c r="K9" s="34" t="s">
        <v>78</v>
      </c>
      <c r="L9" s="26"/>
      <c r="M9" s="26"/>
      <c r="N9" s="10"/>
      <c r="O9" s="10"/>
    </row>
    <row r="10" spans="1:15" ht="15.75" thickBot="1">
      <c r="A10" s="31" t="s">
        <v>0</v>
      </c>
      <c r="B10" s="31"/>
      <c r="C10" s="31" t="s">
        <v>0</v>
      </c>
      <c r="D10" s="31" t="s">
        <v>0</v>
      </c>
      <c r="E10" s="31" t="s">
        <v>0</v>
      </c>
      <c r="F10" s="31" t="s">
        <v>0</v>
      </c>
      <c r="G10" s="31" t="s">
        <v>0</v>
      </c>
      <c r="H10" s="10"/>
      <c r="I10" s="26"/>
      <c r="J10" s="26"/>
      <c r="K10" s="26"/>
      <c r="L10" s="26"/>
      <c r="M10" s="26"/>
      <c r="N10" s="10"/>
      <c r="O10" s="10"/>
    </row>
    <row r="11" spans="1:15">
      <c r="A11" s="32" t="s">
        <v>0</v>
      </c>
      <c r="B11" s="32"/>
      <c r="C11" s="32" t="s">
        <v>3</v>
      </c>
      <c r="D11" s="32" t="s">
        <v>364</v>
      </c>
      <c r="E11" s="32" t="s">
        <v>366</v>
      </c>
      <c r="F11" s="32" t="s">
        <v>115</v>
      </c>
      <c r="G11" s="32" t="s">
        <v>27</v>
      </c>
      <c r="H11" s="10"/>
      <c r="I11" s="32" t="s">
        <v>3</v>
      </c>
      <c r="J11" s="32" t="s">
        <v>364</v>
      </c>
      <c r="K11" s="32" t="s">
        <v>366</v>
      </c>
      <c r="L11" s="32" t="s">
        <v>115</v>
      </c>
      <c r="M11" s="32" t="s">
        <v>27</v>
      </c>
      <c r="N11" s="10"/>
      <c r="O11" s="10"/>
    </row>
    <row r="12" spans="1:15" ht="15.75" thickBot="1">
      <c r="A12" s="34" t="s">
        <v>2</v>
      </c>
      <c r="B12" s="34"/>
      <c r="C12" s="34" t="s">
        <v>4</v>
      </c>
      <c r="D12" s="34" t="s">
        <v>28</v>
      </c>
      <c r="E12" s="34" t="s">
        <v>173</v>
      </c>
      <c r="F12" s="34" t="s">
        <v>29</v>
      </c>
      <c r="G12" s="34" t="s">
        <v>30</v>
      </c>
      <c r="H12" s="10"/>
      <c r="I12" s="34" t="s">
        <v>4</v>
      </c>
      <c r="J12" s="34" t="s">
        <v>28</v>
      </c>
      <c r="K12" s="34" t="s">
        <v>173</v>
      </c>
      <c r="L12" s="34" t="s">
        <v>29</v>
      </c>
      <c r="M12" s="34" t="s">
        <v>30</v>
      </c>
      <c r="N12" s="10"/>
      <c r="O12" s="10"/>
    </row>
    <row r="13" spans="1:15">
      <c r="A13" s="36" t="s">
        <v>0</v>
      </c>
      <c r="B13" s="36"/>
      <c r="C13" s="36" t="s">
        <v>0</v>
      </c>
      <c r="D13" s="37" t="s">
        <v>117</v>
      </c>
      <c r="E13" s="73" t="s">
        <v>118</v>
      </c>
      <c r="F13" s="36" t="s">
        <v>0</v>
      </c>
      <c r="G13" s="36" t="s">
        <v>0</v>
      </c>
      <c r="H13" s="10"/>
      <c r="I13" s="36" t="s">
        <v>0</v>
      </c>
      <c r="J13" s="37" t="s">
        <v>117</v>
      </c>
      <c r="K13" s="73" t="s">
        <v>116</v>
      </c>
      <c r="L13" s="36" t="s">
        <v>0</v>
      </c>
      <c r="M13" s="36" t="s">
        <v>0</v>
      </c>
      <c r="N13" s="10"/>
      <c r="O13" s="10"/>
    </row>
    <row r="14" spans="1:15">
      <c r="A14" s="32"/>
      <c r="B14" s="32"/>
      <c r="C14" s="32"/>
      <c r="D14" s="32"/>
      <c r="E14" s="32"/>
      <c r="F14" s="32"/>
      <c r="G14" s="32"/>
      <c r="H14" s="10"/>
      <c r="I14" s="32"/>
      <c r="J14" s="32"/>
      <c r="K14" s="32"/>
      <c r="L14" s="32"/>
      <c r="M14" s="32"/>
      <c r="N14" s="10"/>
      <c r="O14" s="10"/>
    </row>
    <row r="15" spans="1:15">
      <c r="A15" s="10"/>
      <c r="B15" s="10"/>
      <c r="C15" s="10"/>
      <c r="D15" s="10"/>
      <c r="E15" s="10"/>
      <c r="F15" s="10"/>
      <c r="G15" s="10"/>
      <c r="H15" s="10"/>
      <c r="I15" s="10"/>
      <c r="J15" s="10"/>
      <c r="K15" s="10"/>
      <c r="L15" s="10"/>
      <c r="M15" s="10"/>
      <c r="N15" s="10"/>
      <c r="O15" s="10"/>
    </row>
    <row r="16" spans="1:15" ht="15.75">
      <c r="A16" s="60" t="str">
        <f>+'S&amp;D'!A22</f>
        <v>Canadian National</v>
      </c>
      <c r="B16" s="60"/>
      <c r="C16" s="87" t="str">
        <f>+'S&amp;D'!B22</f>
        <v>CNI</v>
      </c>
      <c r="D16" s="57">
        <f>'S&amp;D'!G22</f>
        <v>118.88</v>
      </c>
      <c r="E16" s="417">
        <v>5.69</v>
      </c>
      <c r="F16" s="69">
        <f>D16/E16</f>
        <v>20.892794376098415</v>
      </c>
      <c r="G16" s="54">
        <f t="shared" ref="G16" si="0">1/F16</f>
        <v>4.7863391655450879E-2</v>
      </c>
      <c r="H16" s="10"/>
      <c r="I16" s="32" t="str">
        <f>+C16</f>
        <v>CNI</v>
      </c>
      <c r="J16" s="57">
        <f>+D16</f>
        <v>118.88</v>
      </c>
      <c r="K16" s="417">
        <v>5.75</v>
      </c>
      <c r="L16" s="69">
        <f>J16/K16</f>
        <v>20.674782608695651</v>
      </c>
      <c r="M16" s="54">
        <f t="shared" ref="M16" si="1">1/L16</f>
        <v>4.836810228802154E-2</v>
      </c>
      <c r="N16" s="10"/>
      <c r="O16" s="10"/>
    </row>
    <row r="17" spans="1:15" ht="15.75">
      <c r="A17" s="60" t="str">
        <f>+'S&amp;D'!A23</f>
        <v>Canadian Pacific</v>
      </c>
      <c r="B17" s="60"/>
      <c r="C17" s="87" t="str">
        <f>+'S&amp;D'!B23</f>
        <v>CP</v>
      </c>
      <c r="D17" s="57">
        <f>'S&amp;D'!G23</f>
        <v>74.59</v>
      </c>
      <c r="E17" s="417">
        <v>2.84</v>
      </c>
      <c r="F17" s="69">
        <f t="shared" ref="F17:F20" si="2">D17/E17</f>
        <v>26.264084507042256</v>
      </c>
      <c r="G17" s="54">
        <f t="shared" ref="G17:G20" si="3">1/F17</f>
        <v>3.8074808955624075E-2</v>
      </c>
      <c r="H17" s="10"/>
      <c r="I17" s="32" t="str">
        <f t="shared" ref="I17:I20" si="4">+C17</f>
        <v>CP</v>
      </c>
      <c r="J17" s="57">
        <f t="shared" ref="J17:J20" si="5">+D17</f>
        <v>74.59</v>
      </c>
      <c r="K17" s="417">
        <v>3.3</v>
      </c>
      <c r="L17" s="69">
        <f t="shared" ref="L17:L20" si="6">J17/K17</f>
        <v>22.603030303030305</v>
      </c>
      <c r="M17" s="54">
        <f t="shared" ref="M17:M20" si="7">1/L17</f>
        <v>4.4241855476605439E-2</v>
      </c>
      <c r="N17" s="10"/>
      <c r="O17" s="10"/>
    </row>
    <row r="18" spans="1:15" ht="15.75">
      <c r="A18" s="60" t="str">
        <f>+'S&amp;D'!A24</f>
        <v>CSX Corp</v>
      </c>
      <c r="B18" s="60"/>
      <c r="C18" s="87" t="str">
        <f>+'S&amp;D'!B24</f>
        <v>CSX</v>
      </c>
      <c r="D18" s="57">
        <f>'S&amp;D'!G24</f>
        <v>30.98</v>
      </c>
      <c r="E18" s="417">
        <v>1.91</v>
      </c>
      <c r="F18" s="69">
        <f t="shared" si="2"/>
        <v>16.219895287958117</v>
      </c>
      <c r="G18" s="54">
        <f t="shared" si="3"/>
        <v>6.1652679147837307E-2</v>
      </c>
      <c r="H18" s="10"/>
      <c r="I18" s="32" t="str">
        <f t="shared" si="4"/>
        <v>CSX</v>
      </c>
      <c r="J18" s="57">
        <f t="shared" si="5"/>
        <v>30.98</v>
      </c>
      <c r="K18" s="417">
        <v>1.7</v>
      </c>
      <c r="L18" s="69">
        <f t="shared" si="6"/>
        <v>18.223529411764705</v>
      </c>
      <c r="M18" s="54">
        <f t="shared" si="7"/>
        <v>5.4874112330535831E-2</v>
      </c>
      <c r="N18" s="10"/>
      <c r="O18" s="10"/>
    </row>
    <row r="19" spans="1:15" ht="15.75">
      <c r="A19" s="60" t="str">
        <f>+'S&amp;D'!A25</f>
        <v>Norfolk Southern</v>
      </c>
      <c r="B19" s="60"/>
      <c r="C19" s="87" t="str">
        <f>+'S&amp;D'!B25</f>
        <v>NSC</v>
      </c>
      <c r="D19" s="57">
        <f>'S&amp;D'!G25</f>
        <v>246.42</v>
      </c>
      <c r="E19" s="417">
        <v>13.9</v>
      </c>
      <c r="F19" s="69">
        <f t="shared" si="2"/>
        <v>17.728057553956834</v>
      </c>
      <c r="G19" s="54">
        <f t="shared" si="3"/>
        <v>5.6407759110461815E-2</v>
      </c>
      <c r="H19" s="10"/>
      <c r="I19" s="32" t="str">
        <f t="shared" si="4"/>
        <v>NSC</v>
      </c>
      <c r="J19" s="57">
        <f t="shared" si="5"/>
        <v>246.42</v>
      </c>
      <c r="K19" s="417">
        <v>12.85</v>
      </c>
      <c r="L19" s="69">
        <f t="shared" si="6"/>
        <v>19.176653696498054</v>
      </c>
      <c r="M19" s="54">
        <f t="shared" si="7"/>
        <v>5.214674133593053E-2</v>
      </c>
      <c r="N19" s="10"/>
      <c r="O19" s="10"/>
    </row>
    <row r="20" spans="1:15" ht="15.75">
      <c r="A20" s="60" t="str">
        <f>+'S&amp;D'!A26</f>
        <v>Union Pacific Railroad</v>
      </c>
      <c r="B20" s="60"/>
      <c r="C20" s="87" t="str">
        <f>+'S&amp;D'!B26</f>
        <v>UNP</v>
      </c>
      <c r="D20" s="57">
        <f>'S&amp;D'!G26</f>
        <v>207.07</v>
      </c>
      <c r="E20" s="417">
        <v>11.36</v>
      </c>
      <c r="F20" s="69">
        <f t="shared" si="2"/>
        <v>18.22799295774648</v>
      </c>
      <c r="G20" s="54">
        <f t="shared" si="3"/>
        <v>5.4860675134012653E-2</v>
      </c>
      <c r="H20" s="10"/>
      <c r="I20" s="32" t="str">
        <f t="shared" si="4"/>
        <v>UNP</v>
      </c>
      <c r="J20" s="57">
        <f t="shared" si="5"/>
        <v>207.07</v>
      </c>
      <c r="K20" s="417">
        <v>10.3</v>
      </c>
      <c r="L20" s="69">
        <f t="shared" si="6"/>
        <v>20.103883495145627</v>
      </c>
      <c r="M20" s="54">
        <f t="shared" si="7"/>
        <v>4.9741633264113592E-2</v>
      </c>
      <c r="N20" s="10"/>
      <c r="O20" s="10"/>
    </row>
    <row r="21" spans="1:15" ht="16.5" thickBot="1">
      <c r="A21" s="10"/>
      <c r="B21" s="10"/>
      <c r="C21" s="67"/>
      <c r="D21" s="67"/>
      <c r="E21" s="67"/>
      <c r="F21" s="67"/>
      <c r="G21" s="67"/>
      <c r="H21" s="10"/>
      <c r="I21" s="67"/>
      <c r="J21" s="62" t="s">
        <v>0</v>
      </c>
      <c r="K21" s="67"/>
      <c r="L21" s="67"/>
      <c r="M21" s="67"/>
      <c r="N21" s="10"/>
      <c r="O21" s="10"/>
    </row>
    <row r="22" spans="1:15" ht="15.75" thickTop="1">
      <c r="A22" s="10"/>
      <c r="B22" s="10"/>
      <c r="D22" s="12" t="s">
        <v>47</v>
      </c>
      <c r="E22" s="68">
        <v>4.71</v>
      </c>
      <c r="F22" s="68">
        <v>44.44</v>
      </c>
      <c r="G22" s="327">
        <v>0.1222</v>
      </c>
      <c r="H22" s="10"/>
      <c r="J22" s="12" t="s">
        <v>47</v>
      </c>
      <c r="K22" s="68">
        <v>12.85</v>
      </c>
      <c r="L22" s="68">
        <v>22.6</v>
      </c>
      <c r="M22" s="327">
        <v>5.4899999999999997E-2</v>
      </c>
      <c r="N22" s="10"/>
      <c r="O22" s="10"/>
    </row>
    <row r="23" spans="1:15">
      <c r="A23" s="10"/>
      <c r="B23" s="10"/>
      <c r="D23" s="349" t="s">
        <v>48</v>
      </c>
      <c r="E23" s="354">
        <v>0.36</v>
      </c>
      <c r="F23" s="354">
        <v>8.19</v>
      </c>
      <c r="G23" s="346">
        <v>2.2499999999999999E-2</v>
      </c>
      <c r="H23" s="10"/>
      <c r="J23" s="349" t="s">
        <v>48</v>
      </c>
      <c r="K23" s="354">
        <v>1.7</v>
      </c>
      <c r="L23" s="354">
        <v>18.22</v>
      </c>
      <c r="M23" s="346">
        <v>4.4200000000000003E-2</v>
      </c>
      <c r="N23" s="10"/>
      <c r="O23" s="10"/>
    </row>
    <row r="24" spans="1:15">
      <c r="A24" s="10"/>
      <c r="B24" s="10"/>
      <c r="D24" s="12" t="s">
        <v>18</v>
      </c>
      <c r="E24" s="69">
        <f>MEDIAN(E16:E20)</f>
        <v>5.69</v>
      </c>
      <c r="F24" s="19">
        <f>MEDIAN(F16:F20)</f>
        <v>18.22799295774648</v>
      </c>
      <c r="G24" s="54">
        <f>MEDIAN(G16:G20)</f>
        <v>5.4860675134012653E-2</v>
      </c>
      <c r="H24" s="10"/>
      <c r="J24" s="12" t="s">
        <v>18</v>
      </c>
      <c r="K24" s="69">
        <f>MEDIAN(K16:K20)</f>
        <v>5.75</v>
      </c>
      <c r="L24" s="19">
        <f>MEDIAN(L16:L20)</f>
        <v>20.103883495145627</v>
      </c>
      <c r="M24" s="54">
        <f>MEDIAN(M16:M20)</f>
        <v>4.9741633264113592E-2</v>
      </c>
      <c r="N24" s="10"/>
      <c r="O24" s="10"/>
    </row>
    <row r="25" spans="1:15">
      <c r="A25" s="10"/>
      <c r="B25" s="10"/>
      <c r="D25" s="12" t="s">
        <v>448</v>
      </c>
      <c r="E25" s="15">
        <f>AVERAGE(E16:E20)</f>
        <v>7.1400000000000006</v>
      </c>
      <c r="F25" s="19">
        <f>AVERAGE(F16:F20)</f>
        <v>19.866564936560419</v>
      </c>
      <c r="G25" s="70">
        <f>AVERAGE(G16:G20)</f>
        <v>5.1771862800677346E-2</v>
      </c>
      <c r="H25" s="10"/>
      <c r="J25" s="12" t="s">
        <v>448</v>
      </c>
      <c r="K25" s="15">
        <f>AVERAGE(K16:K20)</f>
        <v>6.7800000000000011</v>
      </c>
      <c r="L25" s="19">
        <f>AVERAGE(L16:L20)</f>
        <v>20.156375903026866</v>
      </c>
      <c r="M25" s="70">
        <f>AVERAGE(M16:M20)</f>
        <v>4.9874488939041388E-2</v>
      </c>
      <c r="N25" s="10"/>
      <c r="O25" s="10"/>
    </row>
    <row r="26" spans="1:15">
      <c r="A26" s="10"/>
      <c r="B26" s="10"/>
      <c r="C26" s="10"/>
      <c r="D26" s="10"/>
      <c r="E26" s="10"/>
      <c r="F26" s="10"/>
      <c r="G26" s="10"/>
      <c r="H26" s="10"/>
      <c r="I26" s="10"/>
      <c r="J26" s="10"/>
      <c r="K26" s="10"/>
      <c r="L26" s="10"/>
      <c r="M26" s="10"/>
      <c r="N26" s="10"/>
      <c r="O26" s="10"/>
    </row>
    <row r="27" spans="1:15" ht="20.25">
      <c r="A27" s="10"/>
      <c r="B27" s="10"/>
      <c r="C27" s="10"/>
      <c r="D27" s="10"/>
      <c r="E27" s="74" t="s">
        <v>76</v>
      </c>
      <c r="F27" s="331">
        <v>19.87</v>
      </c>
      <c r="G27" s="329">
        <v>5.1799999999999999E-2</v>
      </c>
      <c r="H27" s="10"/>
      <c r="I27" s="10"/>
      <c r="J27" s="10"/>
      <c r="K27" s="74" t="s">
        <v>76</v>
      </c>
      <c r="L27" s="332">
        <v>20.16</v>
      </c>
      <c r="M27" s="329">
        <v>4.99E-2</v>
      </c>
      <c r="N27" s="10"/>
      <c r="O27" s="10"/>
    </row>
    <row r="28" spans="1:15">
      <c r="A28" s="10"/>
      <c r="B28" s="10"/>
      <c r="C28" s="10"/>
      <c r="D28" s="10"/>
      <c r="E28" s="10"/>
      <c r="F28" s="10"/>
      <c r="K28" s="10"/>
      <c r="L28" s="10"/>
      <c r="M28" s="10"/>
      <c r="N28" s="10"/>
      <c r="O28" s="10"/>
    </row>
    <row r="29" spans="1:15" ht="30" customHeight="1">
      <c r="A29" s="10"/>
      <c r="B29" s="10"/>
      <c r="C29" s="10"/>
      <c r="D29" s="10"/>
      <c r="E29" s="10"/>
      <c r="F29" s="10"/>
      <c r="K29" s="10"/>
      <c r="L29" s="10"/>
      <c r="M29" s="10"/>
      <c r="N29" s="10"/>
      <c r="O29" s="10"/>
    </row>
    <row r="30" spans="1:15" ht="15.75" thickBot="1">
      <c r="A30" s="10"/>
      <c r="B30" s="10"/>
      <c r="C30" s="10"/>
      <c r="D30" s="10"/>
      <c r="E30" s="10"/>
      <c r="F30" s="10"/>
      <c r="K30" s="10"/>
      <c r="L30" s="10"/>
      <c r="M30" s="10"/>
      <c r="N30" s="10"/>
      <c r="O30" s="10"/>
    </row>
    <row r="31" spans="1:15" ht="30.75" customHeight="1" thickBot="1">
      <c r="A31" s="72" t="s">
        <v>0</v>
      </c>
      <c r="B31" s="72"/>
      <c r="C31" s="10"/>
      <c r="D31" s="10"/>
      <c r="E31" s="10"/>
      <c r="G31" s="21" t="s">
        <v>128</v>
      </c>
      <c r="H31" s="10"/>
      <c r="I31" s="231">
        <f>(+F27+L27)/2</f>
        <v>20.015000000000001</v>
      </c>
      <c r="J31" s="232">
        <f>(+G27+M27)/2</f>
        <v>5.0849999999999999E-2</v>
      </c>
      <c r="N31" s="10"/>
      <c r="O31" s="10"/>
    </row>
    <row r="32" spans="1:15" ht="16.5">
      <c r="A32" s="72" t="s">
        <v>0</v>
      </c>
      <c r="B32" s="72"/>
      <c r="C32" s="10"/>
      <c r="D32" s="10"/>
      <c r="E32" s="10"/>
      <c r="F32" s="10"/>
      <c r="G32" s="10"/>
      <c r="H32" s="10"/>
      <c r="I32" s="10"/>
      <c r="J32" s="10"/>
      <c r="K32" s="10"/>
      <c r="L32" s="10"/>
      <c r="M32" s="10"/>
      <c r="N32" s="10"/>
      <c r="O32" s="10"/>
    </row>
    <row r="33" spans="1:15">
      <c r="A33" s="10"/>
      <c r="B33" s="10"/>
      <c r="C33" s="10"/>
      <c r="D33" s="10"/>
      <c r="E33" s="10"/>
      <c r="F33" s="10"/>
      <c r="G33" s="10"/>
      <c r="H33" s="10"/>
      <c r="I33" s="10"/>
      <c r="J33" s="10"/>
      <c r="K33" s="10"/>
      <c r="L33" s="10"/>
      <c r="M33" s="10"/>
      <c r="N33" s="10"/>
      <c r="O33" s="10"/>
    </row>
    <row r="34" spans="1:15">
      <c r="A34" s="10"/>
      <c r="B34" s="10"/>
      <c r="C34" s="10"/>
      <c r="D34" s="10"/>
      <c r="E34" s="10"/>
      <c r="F34" s="10"/>
      <c r="G34" s="10"/>
      <c r="H34" s="10"/>
      <c r="I34" s="10"/>
      <c r="J34" s="10"/>
      <c r="K34" s="10"/>
      <c r="L34" s="10"/>
      <c r="M34" s="10"/>
      <c r="N34" s="10"/>
      <c r="O34" s="10"/>
    </row>
    <row r="35" spans="1:15" ht="15.75" thickBot="1">
      <c r="B35" s="155"/>
      <c r="C35" s="155"/>
      <c r="D35" s="155"/>
      <c r="E35" s="155"/>
      <c r="F35" s="155"/>
      <c r="G35" s="155"/>
    </row>
    <row r="36" spans="1:15" ht="20.25">
      <c r="C36" s="10"/>
      <c r="D36" s="10"/>
      <c r="E36" s="29" t="s">
        <v>247</v>
      </c>
      <c r="F36" s="10"/>
      <c r="G36" s="10"/>
    </row>
    <row r="37" spans="1:15" ht="18.75" thickBot="1">
      <c r="A37" s="28"/>
      <c r="B37" s="155"/>
      <c r="C37" s="26"/>
      <c r="D37" s="26"/>
      <c r="E37" s="34" t="s">
        <v>78</v>
      </c>
      <c r="F37" s="26"/>
      <c r="G37" s="26"/>
    </row>
    <row r="38" spans="1:15" ht="15.75" thickBot="1">
      <c r="A38" s="31" t="s">
        <v>0</v>
      </c>
      <c r="B38" s="155"/>
      <c r="C38" s="31" t="s">
        <v>0</v>
      </c>
      <c r="D38" s="31" t="s">
        <v>0</v>
      </c>
      <c r="E38" s="31" t="s">
        <v>0</v>
      </c>
      <c r="F38" s="31" t="s">
        <v>0</v>
      </c>
      <c r="G38" s="31" t="s">
        <v>0</v>
      </c>
    </row>
    <row r="39" spans="1:15">
      <c r="A39" s="32" t="s">
        <v>0</v>
      </c>
      <c r="C39" s="32" t="s">
        <v>3</v>
      </c>
      <c r="D39" s="32" t="s">
        <v>364</v>
      </c>
      <c r="E39" s="32" t="s">
        <v>366</v>
      </c>
      <c r="F39" s="32" t="s">
        <v>115</v>
      </c>
      <c r="G39" s="32" t="s">
        <v>27</v>
      </c>
    </row>
    <row r="40" spans="1:15" ht="15.75" thickBot="1">
      <c r="A40" s="34" t="s">
        <v>2</v>
      </c>
      <c r="B40" s="155"/>
      <c r="C40" s="34" t="s">
        <v>4</v>
      </c>
      <c r="D40" s="34" t="s">
        <v>28</v>
      </c>
      <c r="E40" s="34" t="s">
        <v>173</v>
      </c>
      <c r="F40" s="34" t="s">
        <v>29</v>
      </c>
      <c r="G40" s="34" t="s">
        <v>30</v>
      </c>
    </row>
    <row r="41" spans="1:15">
      <c r="A41" s="36" t="s">
        <v>0</v>
      </c>
      <c r="C41" s="36" t="s">
        <v>0</v>
      </c>
      <c r="D41" s="37" t="s">
        <v>117</v>
      </c>
      <c r="E41" s="73" t="s">
        <v>248</v>
      </c>
      <c r="F41" s="36" t="s">
        <v>0</v>
      </c>
      <c r="G41" s="36" t="s">
        <v>0</v>
      </c>
    </row>
    <row r="42" spans="1:15">
      <c r="A42" s="32"/>
      <c r="C42" s="32"/>
      <c r="D42" s="32"/>
      <c r="E42" s="32"/>
      <c r="F42" s="32"/>
      <c r="G42" s="32"/>
    </row>
    <row r="43" spans="1:15">
      <c r="A43" s="10"/>
      <c r="C43" s="10"/>
      <c r="D43" s="10"/>
      <c r="E43" s="10"/>
      <c r="F43" s="10"/>
      <c r="G43" s="10"/>
    </row>
    <row r="44" spans="1:15" ht="15.75">
      <c r="A44" s="60" t="str">
        <f>+'S&amp;D'!A22</f>
        <v>Canadian National</v>
      </c>
      <c r="C44" s="87" t="str">
        <f>+'S&amp;D'!B22</f>
        <v>CNI</v>
      </c>
      <c r="D44" s="57">
        <f>'S&amp;D'!G22</f>
        <v>118.88</v>
      </c>
      <c r="E44" s="417">
        <v>8.25</v>
      </c>
      <c r="F44" s="69">
        <f t="shared" ref="F44:F48" si="8">D44/E44</f>
        <v>14.409696969696968</v>
      </c>
      <c r="G44" s="54">
        <f t="shared" ref="G44:G48" si="9">1/F44</f>
        <v>6.9397711978465684E-2</v>
      </c>
    </row>
    <row r="45" spans="1:15" ht="15.75">
      <c r="A45" s="60" t="str">
        <f>+'S&amp;D'!A23</f>
        <v>Canadian Pacific</v>
      </c>
      <c r="C45" s="87" t="str">
        <f>+'S&amp;D'!B23</f>
        <v>CP</v>
      </c>
      <c r="D45" s="57">
        <f>'S&amp;D'!G23</f>
        <v>74.59</v>
      </c>
      <c r="E45" s="417">
        <v>5.8</v>
      </c>
      <c r="F45" s="69">
        <f t="shared" si="8"/>
        <v>12.860344827586207</v>
      </c>
      <c r="G45" s="54">
        <f t="shared" si="9"/>
        <v>7.7758412655851983E-2</v>
      </c>
    </row>
    <row r="46" spans="1:15" ht="15.75">
      <c r="A46" s="60" t="str">
        <f>+'S&amp;D'!A24</f>
        <v>CSX Corp</v>
      </c>
      <c r="C46" s="87" t="str">
        <f>+'S&amp;D'!B24</f>
        <v>CSX</v>
      </c>
      <c r="D46" s="57">
        <f>'S&amp;D'!G24</f>
        <v>30.98</v>
      </c>
      <c r="E46" s="417">
        <v>2.5499999999999998</v>
      </c>
      <c r="F46" s="69">
        <f t="shared" si="8"/>
        <v>12.149019607843139</v>
      </c>
      <c r="G46" s="54">
        <f t="shared" si="9"/>
        <v>8.2311168495803735E-2</v>
      </c>
    </row>
    <row r="47" spans="1:15" ht="15.75">
      <c r="A47" s="60" t="str">
        <f>+'S&amp;D'!A25</f>
        <v>Norfolk Southern</v>
      </c>
      <c r="C47" s="87" t="str">
        <f>+'S&amp;D'!B25</f>
        <v>NSC</v>
      </c>
      <c r="D47" s="57">
        <f>'S&amp;D'!G25</f>
        <v>246.42</v>
      </c>
      <c r="E47" s="417">
        <v>19.7</v>
      </c>
      <c r="F47" s="69">
        <f t="shared" si="8"/>
        <v>12.508629441624365</v>
      </c>
      <c r="G47" s="54">
        <f t="shared" si="9"/>
        <v>7.9944809674539416E-2</v>
      </c>
    </row>
    <row r="48" spans="1:15" ht="15.75">
      <c r="A48" s="60" t="str">
        <f>+'S&amp;D'!A26</f>
        <v>Union Pacific Railroad</v>
      </c>
      <c r="C48" s="87" t="str">
        <f>+'S&amp;D'!B26</f>
        <v>UNP</v>
      </c>
      <c r="D48" s="57">
        <f>'S&amp;D'!G26</f>
        <v>207.07</v>
      </c>
      <c r="E48" s="417">
        <v>14.45</v>
      </c>
      <c r="F48" s="69">
        <f t="shared" si="8"/>
        <v>14.330103806228374</v>
      </c>
      <c r="G48" s="54">
        <f t="shared" si="9"/>
        <v>6.9783165113246726E-2</v>
      </c>
    </row>
    <row r="49" spans="1:7" ht="15.75" thickBot="1">
      <c r="A49" s="10"/>
      <c r="D49" s="67"/>
      <c r="E49" s="67"/>
      <c r="F49" s="67"/>
      <c r="G49" s="67"/>
    </row>
    <row r="50" spans="1:7" ht="15.75" thickTop="1">
      <c r="A50" s="10"/>
      <c r="D50" s="12" t="s">
        <v>47</v>
      </c>
      <c r="E50" s="68">
        <v>19.7</v>
      </c>
      <c r="F50" s="68">
        <v>14.41</v>
      </c>
      <c r="G50" s="327">
        <v>8.2299999999999998E-2</v>
      </c>
    </row>
    <row r="51" spans="1:7">
      <c r="A51" s="10"/>
      <c r="D51" s="12" t="s">
        <v>48</v>
      </c>
      <c r="E51" s="354">
        <v>2.5499999999999998</v>
      </c>
      <c r="F51" s="354">
        <v>12.15</v>
      </c>
      <c r="G51" s="346">
        <v>6.9400000000000003E-2</v>
      </c>
    </row>
    <row r="52" spans="1:7">
      <c r="A52" s="10"/>
      <c r="D52" s="12" t="s">
        <v>18</v>
      </c>
      <c r="E52" s="69">
        <f>MEDIAN(E44:E48)</f>
        <v>8.25</v>
      </c>
      <c r="F52" s="19">
        <f>MEDIAN(F44:F48)</f>
        <v>12.860344827586207</v>
      </c>
      <c r="G52" s="54">
        <f>MEDIAN(G44:G48)</f>
        <v>7.7758412655851983E-2</v>
      </c>
    </row>
    <row r="53" spans="1:7">
      <c r="A53" s="10"/>
      <c r="D53" s="12" t="s">
        <v>448</v>
      </c>
      <c r="E53" s="15">
        <f>AVERAGE(E44:E48)</f>
        <v>10.15</v>
      </c>
      <c r="F53" s="19">
        <f>AVERAGE(F44:F48)</f>
        <v>13.251558930595811</v>
      </c>
      <c r="G53" s="70">
        <f>AVERAGE(G44:G48)</f>
        <v>7.5839053583581506E-2</v>
      </c>
    </row>
    <row r="54" spans="1:7">
      <c r="A54" s="10"/>
      <c r="C54" s="10"/>
      <c r="D54" s="10"/>
      <c r="E54" s="10"/>
      <c r="F54" s="10"/>
      <c r="G54" s="10"/>
    </row>
    <row r="55" spans="1:7" ht="20.25">
      <c r="A55" s="10"/>
      <c r="C55" s="10"/>
      <c r="D55" s="10"/>
      <c r="E55" s="74" t="s">
        <v>76</v>
      </c>
      <c r="F55" s="332">
        <v>13.25</v>
      </c>
      <c r="G55" s="329">
        <v>7.5800000000000006E-2</v>
      </c>
    </row>
  </sheetData>
  <pageMargins left="0.25" right="0.25" top="0.75" bottom="0.75" header="0.3" footer="0.3"/>
  <pageSetup scale="3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AA241-0A64-46CC-9E60-C6F323522AA0}">
  <sheetPr>
    <tabColor rgb="FF92D050"/>
  </sheetPr>
  <dimension ref="A1:K115"/>
  <sheetViews>
    <sheetView view="pageBreakPreview" zoomScale="60" zoomScaleNormal="80" workbookViewId="0">
      <selection activeCell="G100" sqref="G100"/>
    </sheetView>
  </sheetViews>
  <sheetFormatPr defaultRowHeight="15"/>
  <cols>
    <col min="1" max="1" width="62.42578125" customWidth="1"/>
    <col min="2" max="2" width="25.7109375" customWidth="1"/>
    <col min="3" max="3" width="30.28515625" customWidth="1"/>
    <col min="4" max="5" width="30.5703125" customWidth="1"/>
    <col min="6" max="6" width="28.140625" customWidth="1"/>
    <col min="7" max="7" width="32.7109375" customWidth="1"/>
    <col min="8" max="8" width="37.7109375" customWidth="1"/>
    <col min="9" max="9" width="116.28515625" customWidth="1"/>
    <col min="10" max="10" width="13.85546875" customWidth="1"/>
    <col min="11" max="12" width="14.140625" bestFit="1" customWidth="1"/>
  </cols>
  <sheetData>
    <row r="1" spans="1:11" ht="20.25">
      <c r="A1" s="21" t="s">
        <v>1</v>
      </c>
      <c r="C1" s="21"/>
      <c r="D1" s="21"/>
      <c r="E1" s="10"/>
      <c r="F1" s="10"/>
      <c r="G1" s="10"/>
      <c r="H1" s="10"/>
      <c r="I1" s="10"/>
      <c r="J1" s="10"/>
      <c r="K1" s="10"/>
    </row>
    <row r="2" spans="1:11" ht="15.75">
      <c r="A2" s="22" t="s">
        <v>9</v>
      </c>
      <c r="C2" s="22"/>
      <c r="D2" s="22"/>
      <c r="E2" s="10"/>
      <c r="F2" s="10"/>
      <c r="G2" s="10"/>
      <c r="H2" s="10"/>
      <c r="I2" s="10"/>
      <c r="J2" s="10"/>
      <c r="K2" s="10"/>
    </row>
    <row r="3" spans="1:11">
      <c r="A3" s="23" t="s">
        <v>64</v>
      </c>
      <c r="C3" s="23"/>
      <c r="D3" s="23"/>
      <c r="E3" s="10"/>
      <c r="F3" s="10"/>
      <c r="G3" s="10"/>
      <c r="H3" s="10"/>
      <c r="I3" s="10"/>
      <c r="J3" s="10"/>
      <c r="K3" s="10"/>
    </row>
    <row r="4" spans="1:11">
      <c r="B4" s="23"/>
      <c r="C4" s="23"/>
      <c r="D4" s="23"/>
      <c r="E4" s="10"/>
      <c r="F4" s="10"/>
      <c r="G4" s="10"/>
      <c r="H4" s="10"/>
      <c r="I4" s="10"/>
      <c r="J4" s="10"/>
      <c r="K4" s="10"/>
    </row>
    <row r="5" spans="1:11">
      <c r="B5" s="10"/>
      <c r="C5" s="10"/>
      <c r="D5" s="10"/>
      <c r="E5" s="10"/>
      <c r="F5" s="10"/>
      <c r="G5" s="10"/>
      <c r="H5" s="10"/>
      <c r="I5" s="24" t="s">
        <v>0</v>
      </c>
      <c r="J5" s="24"/>
      <c r="K5" s="10"/>
    </row>
    <row r="6" spans="1:11" ht="15.75" thickBot="1">
      <c r="B6" s="10"/>
      <c r="C6" s="10"/>
      <c r="D6" s="26"/>
      <c r="E6" s="26"/>
      <c r="F6" s="155"/>
      <c r="H6" s="10"/>
      <c r="I6" s="10"/>
      <c r="J6" s="10"/>
      <c r="K6" s="10"/>
    </row>
    <row r="7" spans="1:11" ht="21" thickBot="1">
      <c r="A7" s="25" t="str">
        <f>+'S&amp;D'!A12</f>
        <v>Railroad Carriers</v>
      </c>
      <c r="C7" s="28"/>
      <c r="D7" s="28"/>
      <c r="E7" s="29" t="s">
        <v>261</v>
      </c>
      <c r="H7" s="10"/>
      <c r="I7" s="10"/>
      <c r="J7" s="10"/>
      <c r="K7" s="10"/>
    </row>
    <row r="8" spans="1:11" ht="18.75" thickBot="1">
      <c r="B8" s="28"/>
      <c r="C8" s="28"/>
      <c r="D8" s="156"/>
      <c r="E8" s="34" t="s">
        <v>78</v>
      </c>
      <c r="F8" s="155"/>
      <c r="H8" s="10"/>
      <c r="I8" s="10"/>
      <c r="J8" s="10"/>
      <c r="K8" s="10"/>
    </row>
    <row r="9" spans="1:11" ht="18">
      <c r="B9" s="28"/>
      <c r="C9" s="28"/>
      <c r="D9" s="28"/>
      <c r="E9" s="32"/>
      <c r="H9" s="10"/>
      <c r="I9" s="10"/>
      <c r="J9" s="10"/>
      <c r="K9" s="10"/>
    </row>
    <row r="10" spans="1:11" ht="18.75" thickBot="1">
      <c r="A10" s="156"/>
      <c r="B10" s="28"/>
      <c r="I10" s="10"/>
      <c r="J10" s="10"/>
      <c r="K10" s="10"/>
    </row>
    <row r="11" spans="1:11" ht="22.5" customHeight="1" thickBot="1">
      <c r="A11" s="168" t="s">
        <v>255</v>
      </c>
      <c r="B11" s="28"/>
      <c r="I11" s="10"/>
      <c r="J11" s="10"/>
      <c r="K11" s="10"/>
    </row>
    <row r="12" spans="1:11" ht="26.25" customHeight="1" thickBot="1">
      <c r="A12" s="167" t="s">
        <v>0</v>
      </c>
      <c r="B12" s="10"/>
      <c r="C12" s="10"/>
      <c r="D12" s="10"/>
      <c r="E12" s="10"/>
      <c r="F12" s="10"/>
      <c r="G12" s="10"/>
      <c r="H12" s="10"/>
      <c r="I12" s="10"/>
      <c r="J12" s="10"/>
      <c r="K12" s="10"/>
    </row>
    <row r="13" spans="1:11" ht="66.75" customHeight="1" thickBot="1">
      <c r="A13" s="236" t="s">
        <v>281</v>
      </c>
      <c r="B13" s="162" t="s">
        <v>326</v>
      </c>
      <c r="C13" s="162" t="s">
        <v>291</v>
      </c>
      <c r="D13" s="162" t="s">
        <v>290</v>
      </c>
      <c r="I13" s="10"/>
      <c r="J13" s="10"/>
      <c r="K13" s="10"/>
    </row>
    <row r="14" spans="1:11">
      <c r="A14" s="157"/>
      <c r="B14" s="223"/>
      <c r="C14" s="223"/>
      <c r="D14" s="223"/>
      <c r="I14" s="10"/>
      <c r="J14" s="10"/>
      <c r="K14" s="10"/>
    </row>
    <row r="15" spans="1:11" ht="18">
      <c r="A15" s="166" t="str">
        <f>+A7</f>
        <v>Railroad Carriers</v>
      </c>
      <c r="B15" s="247">
        <v>9.6000000000000002E-2</v>
      </c>
      <c r="C15" s="247">
        <f>+'Dividends '!K24</f>
        <v>7.7217345015989369E-2</v>
      </c>
      <c r="D15" s="247">
        <f>+Earnings!K24</f>
        <v>0.14471424255333185</v>
      </c>
      <c r="I15" s="10"/>
      <c r="J15" s="10"/>
      <c r="K15" s="10"/>
    </row>
    <row r="16" spans="1:11" ht="18.75" thickBot="1">
      <c r="A16" s="159" t="s">
        <v>0</v>
      </c>
      <c r="B16" s="224" t="s">
        <v>0</v>
      </c>
      <c r="C16" s="274">
        <f>+'Dividends '!K25</f>
        <v>8.5451446702615091E-2</v>
      </c>
      <c r="D16" s="274">
        <f>+Earnings!K25</f>
        <v>0.15038605588464177</v>
      </c>
      <c r="I16" s="10"/>
      <c r="J16" s="10"/>
      <c r="K16" s="10"/>
    </row>
    <row r="17" spans="1:11" ht="18">
      <c r="A17" s="234"/>
      <c r="B17" s="235"/>
      <c r="I17" s="10"/>
      <c r="J17" s="10"/>
      <c r="K17" s="10"/>
    </row>
    <row r="18" spans="1:11">
      <c r="A18" s="10"/>
      <c r="B18" s="10"/>
      <c r="C18" s="10"/>
      <c r="D18" s="10"/>
      <c r="E18" s="10"/>
      <c r="F18" s="10"/>
      <c r="G18" s="10"/>
      <c r="H18" s="10"/>
      <c r="I18" s="10"/>
      <c r="J18" s="10"/>
      <c r="K18" s="10"/>
    </row>
    <row r="19" spans="1:11" ht="15.75" thickBot="1">
      <c r="A19" s="10"/>
      <c r="B19" s="10"/>
      <c r="C19" s="10"/>
      <c r="D19" s="10"/>
      <c r="E19" s="10"/>
      <c r="F19" s="10"/>
      <c r="G19" s="10"/>
      <c r="H19" s="10"/>
      <c r="I19" s="10"/>
      <c r="J19" s="10"/>
      <c r="K19" s="10"/>
    </row>
    <row r="20" spans="1:11" ht="18.75" thickBot="1">
      <c r="A20" s="168" t="s">
        <v>280</v>
      </c>
      <c r="B20" s="28"/>
      <c r="I20" s="10"/>
      <c r="J20" s="10"/>
      <c r="K20" s="10"/>
    </row>
    <row r="21" spans="1:11" ht="16.5" thickBot="1">
      <c r="A21" s="167" t="s">
        <v>0</v>
      </c>
      <c r="B21" s="10"/>
      <c r="C21" s="10"/>
      <c r="D21" s="10"/>
      <c r="E21" s="10"/>
      <c r="F21" s="10"/>
      <c r="G21" s="10"/>
      <c r="H21" s="10"/>
      <c r="I21" s="10"/>
      <c r="J21" s="10"/>
      <c r="K21" s="10"/>
    </row>
    <row r="22" spans="1:11" ht="64.5" customHeight="1" thickBot="1">
      <c r="A22" s="236" t="s">
        <v>282</v>
      </c>
      <c r="B22" s="162" t="s">
        <v>325</v>
      </c>
      <c r="C22" s="161" t="s">
        <v>234</v>
      </c>
      <c r="D22" s="162" t="s">
        <v>235</v>
      </c>
      <c r="E22" s="162" t="s">
        <v>236</v>
      </c>
      <c r="F22" s="162" t="s">
        <v>326</v>
      </c>
      <c r="G22" s="275" t="s">
        <v>18</v>
      </c>
      <c r="H22" s="275" t="s">
        <v>19</v>
      </c>
      <c r="I22" s="10"/>
      <c r="J22" s="10"/>
      <c r="K22" s="10"/>
    </row>
    <row r="23" spans="1:11">
      <c r="A23" s="157"/>
      <c r="B23" s="223"/>
      <c r="C23" s="110"/>
      <c r="D23" s="223"/>
      <c r="E23" s="110"/>
      <c r="F23" s="223"/>
      <c r="G23" s="378"/>
      <c r="H23" s="170"/>
      <c r="I23" s="10"/>
      <c r="J23" s="10"/>
      <c r="K23" s="10"/>
    </row>
    <row r="24" spans="1:11" ht="18">
      <c r="A24" s="166" t="str">
        <f>+A7</f>
        <v>Railroad Carriers</v>
      </c>
      <c r="B24" s="247">
        <v>7.0000000000000007E-2</v>
      </c>
      <c r="C24" s="376">
        <v>0.1</v>
      </c>
      <c r="D24" s="247">
        <v>9.5000000000000001E-2</v>
      </c>
      <c r="E24" s="376">
        <v>0.1</v>
      </c>
      <c r="F24" s="247">
        <v>0.112</v>
      </c>
      <c r="G24" s="270">
        <f>MEDIAN(B24:F24)</f>
        <v>0.1</v>
      </c>
      <c r="H24" s="270">
        <f t="shared" ref="H24" si="0">AVERAGE(B24:F24)</f>
        <v>9.5399999999999999E-2</v>
      </c>
      <c r="I24" s="10"/>
      <c r="J24" s="10"/>
      <c r="K24" s="10"/>
    </row>
    <row r="25" spans="1:11" ht="18.75" thickBot="1">
      <c r="A25" s="355" t="s">
        <v>0</v>
      </c>
      <c r="B25" s="224" t="s">
        <v>0</v>
      </c>
      <c r="C25" s="377" t="s">
        <v>0</v>
      </c>
      <c r="D25" s="224" t="s">
        <v>0</v>
      </c>
      <c r="E25" s="377" t="s">
        <v>0</v>
      </c>
      <c r="F25" s="224" t="s">
        <v>0</v>
      </c>
      <c r="G25" s="338"/>
      <c r="H25" s="169"/>
      <c r="I25" s="10"/>
      <c r="J25" s="10"/>
      <c r="K25" s="10"/>
    </row>
    <row r="26" spans="1:11">
      <c r="A26" s="10"/>
      <c r="B26" s="10"/>
      <c r="C26" s="10"/>
      <c r="D26" s="10"/>
      <c r="E26" s="10"/>
      <c r="F26" s="10"/>
      <c r="G26" s="10"/>
      <c r="H26" s="10"/>
      <c r="I26" s="10"/>
      <c r="J26" s="10"/>
      <c r="K26" s="10"/>
    </row>
    <row r="27" spans="1:11">
      <c r="A27" s="10"/>
      <c r="B27" s="10"/>
      <c r="C27" s="10"/>
      <c r="D27" s="10"/>
      <c r="E27" s="10"/>
      <c r="F27" s="10"/>
      <c r="G27" s="10"/>
      <c r="H27" s="10"/>
      <c r="I27" s="10"/>
      <c r="J27" s="10"/>
      <c r="K27" s="10"/>
    </row>
    <row r="28" spans="1:11">
      <c r="A28" s="10"/>
      <c r="B28" s="10" t="s">
        <v>0</v>
      </c>
      <c r="C28" s="10"/>
      <c r="D28" s="10"/>
      <c r="E28" s="10"/>
      <c r="F28" s="10"/>
      <c r="G28" s="10"/>
      <c r="H28" s="10"/>
      <c r="I28" s="10"/>
      <c r="J28" s="10"/>
      <c r="K28" s="10"/>
    </row>
    <row r="29" spans="1:11" ht="15.75" thickBot="1">
      <c r="A29" s="10"/>
      <c r="B29" s="10"/>
      <c r="C29" s="10"/>
      <c r="D29" s="10"/>
      <c r="E29" s="10"/>
      <c r="F29" s="10"/>
      <c r="G29" s="10"/>
      <c r="H29" s="10"/>
      <c r="I29" s="10"/>
      <c r="J29" s="10"/>
      <c r="K29" s="10"/>
    </row>
    <row r="30" spans="1:11" ht="18.75" thickBot="1">
      <c r="A30" s="168" t="s">
        <v>257</v>
      </c>
      <c r="B30" s="10"/>
      <c r="C30" s="10"/>
      <c r="D30" s="10"/>
      <c r="E30" s="10"/>
      <c r="F30" s="10"/>
      <c r="G30" s="10"/>
      <c r="H30" s="10"/>
      <c r="I30" s="10"/>
      <c r="J30" s="10"/>
      <c r="K30" s="10"/>
    </row>
    <row r="31" spans="1:11">
      <c r="A31" s="10"/>
      <c r="B31" s="10"/>
      <c r="C31" s="10"/>
      <c r="D31" s="10"/>
      <c r="E31" s="10"/>
      <c r="F31" s="10"/>
      <c r="G31" s="10"/>
      <c r="H31" s="10"/>
      <c r="I31" s="10"/>
      <c r="J31" s="10"/>
      <c r="K31" s="10"/>
    </row>
    <row r="32" spans="1:11">
      <c r="A32" s="10"/>
      <c r="B32" s="10"/>
      <c r="C32" s="10"/>
      <c r="D32" s="10"/>
      <c r="E32" s="10"/>
      <c r="F32" s="10"/>
      <c r="G32" s="10"/>
      <c r="H32" s="10"/>
      <c r="I32" s="10"/>
      <c r="J32" s="10"/>
      <c r="K32" s="10"/>
    </row>
    <row r="33" spans="1:11" ht="23.25">
      <c r="A33" s="379">
        <v>1.66E-2</v>
      </c>
      <c r="B33" s="28" t="s">
        <v>493</v>
      </c>
      <c r="C33" s="10"/>
      <c r="E33" s="211" t="s">
        <v>0</v>
      </c>
      <c r="F33" s="10"/>
      <c r="G33" s="10"/>
      <c r="H33" s="10"/>
      <c r="I33" s="10"/>
      <c r="J33" s="10"/>
      <c r="K33" s="10"/>
    </row>
    <row r="34" spans="1:11" ht="23.25">
      <c r="A34" s="226"/>
      <c r="B34" s="10" t="s">
        <v>306</v>
      </c>
      <c r="C34" s="10"/>
      <c r="D34" s="10"/>
      <c r="E34" s="10"/>
      <c r="F34" s="10"/>
      <c r="G34" s="10"/>
      <c r="H34" s="10"/>
      <c r="I34" s="10"/>
      <c r="J34" s="10"/>
      <c r="K34" s="10"/>
    </row>
    <row r="35" spans="1:11" ht="23.25">
      <c r="A35" s="226"/>
      <c r="B35" s="153" t="s">
        <v>305</v>
      </c>
      <c r="C35" s="10"/>
      <c r="D35" s="10"/>
      <c r="E35" s="10"/>
      <c r="F35" s="10"/>
      <c r="G35" s="10"/>
      <c r="H35" s="10"/>
      <c r="I35" s="10"/>
      <c r="J35" s="10"/>
      <c r="K35" s="10"/>
    </row>
    <row r="36" spans="1:11" ht="23.25">
      <c r="A36" s="379">
        <v>1.7999999999999999E-2</v>
      </c>
      <c r="B36" s="28" t="s">
        <v>258</v>
      </c>
      <c r="C36" s="10"/>
      <c r="D36" s="10"/>
      <c r="E36" s="10"/>
      <c r="F36" s="10"/>
      <c r="G36" s="10"/>
      <c r="H36" s="10"/>
      <c r="I36" s="10"/>
      <c r="J36" s="10"/>
      <c r="K36" s="10"/>
    </row>
    <row r="37" spans="1:11" ht="23.25">
      <c r="A37" s="225"/>
      <c r="B37" s="227" t="s">
        <v>494</v>
      </c>
      <c r="C37" s="10"/>
      <c r="D37" s="10"/>
      <c r="E37" s="10"/>
      <c r="F37" s="10"/>
      <c r="G37" s="10"/>
      <c r="H37" s="10"/>
      <c r="I37" s="10"/>
      <c r="J37" s="10"/>
      <c r="K37" s="10"/>
    </row>
    <row r="38" spans="1:11" ht="23.25">
      <c r="A38" s="225"/>
      <c r="B38" s="153" t="s">
        <v>495</v>
      </c>
      <c r="C38" s="10"/>
      <c r="D38" s="10"/>
      <c r="E38" s="10"/>
      <c r="F38" s="10"/>
      <c r="G38" s="10"/>
      <c r="H38" s="10"/>
      <c r="I38" s="10"/>
      <c r="J38" s="10"/>
      <c r="K38" s="10"/>
    </row>
    <row r="39" spans="1:11" ht="23.25">
      <c r="A39" s="379" t="s">
        <v>436</v>
      </c>
      <c r="B39" s="28" t="s">
        <v>259</v>
      </c>
      <c r="C39" s="10"/>
      <c r="D39" s="10"/>
      <c r="E39" s="10"/>
      <c r="F39" s="10"/>
      <c r="G39" s="10"/>
      <c r="H39" s="10"/>
      <c r="I39" s="10"/>
      <c r="J39" s="10"/>
      <c r="K39" s="10"/>
    </row>
    <row r="40" spans="1:11" ht="23.25">
      <c r="A40" s="225"/>
      <c r="B40" s="10" t="s">
        <v>496</v>
      </c>
      <c r="C40" s="10"/>
      <c r="D40" s="10"/>
      <c r="E40" s="10"/>
      <c r="F40" s="10"/>
      <c r="G40" s="10"/>
      <c r="H40" s="10"/>
      <c r="I40" s="10"/>
      <c r="J40" s="10"/>
      <c r="K40" s="10"/>
    </row>
    <row r="41" spans="1:11" ht="23.25">
      <c r="A41" s="225"/>
      <c r="B41" s="153" t="s">
        <v>324</v>
      </c>
      <c r="C41" s="10"/>
      <c r="D41" s="10"/>
      <c r="E41" s="10"/>
      <c r="F41" s="10"/>
      <c r="G41" s="10"/>
      <c r="H41" s="10"/>
      <c r="I41" s="10"/>
      <c r="J41" s="10"/>
      <c r="K41" s="10"/>
    </row>
    <row r="42" spans="1:11" ht="23.25">
      <c r="A42" s="451">
        <v>1.9E-2</v>
      </c>
      <c r="B42" s="28" t="s">
        <v>497</v>
      </c>
      <c r="C42" s="10"/>
      <c r="D42" s="10"/>
      <c r="E42" s="10"/>
      <c r="F42" s="10"/>
      <c r="G42" s="10"/>
      <c r="H42" s="10"/>
      <c r="I42" s="10"/>
      <c r="J42" s="10"/>
      <c r="K42" s="10"/>
    </row>
    <row r="43" spans="1:11" ht="23.25">
      <c r="A43" s="225"/>
      <c r="B43" s="10" t="s">
        <v>498</v>
      </c>
      <c r="C43" s="10"/>
      <c r="D43" s="10"/>
      <c r="E43" s="10"/>
      <c r="F43" s="10"/>
      <c r="G43" s="10"/>
      <c r="H43" s="10"/>
      <c r="I43" s="10"/>
      <c r="J43" s="10"/>
      <c r="K43" s="10"/>
    </row>
    <row r="44" spans="1:11" ht="23.25">
      <c r="A44" s="225"/>
      <c r="B44" s="153" t="s">
        <v>323</v>
      </c>
      <c r="C44" s="10"/>
      <c r="D44" s="10"/>
      <c r="E44" s="10"/>
      <c r="F44" s="10"/>
      <c r="G44" s="10"/>
      <c r="H44" s="10"/>
      <c r="I44" s="10"/>
      <c r="J44" s="10"/>
      <c r="K44" s="10"/>
    </row>
    <row r="45" spans="1:11" ht="23.25">
      <c r="A45" s="379">
        <v>1.4999999999999999E-2</v>
      </c>
      <c r="B45" s="28" t="s">
        <v>260</v>
      </c>
      <c r="C45" s="10"/>
      <c r="D45" s="10"/>
      <c r="E45" s="10"/>
      <c r="F45" s="10"/>
      <c r="G45" s="10"/>
      <c r="H45" s="10"/>
      <c r="I45" s="10"/>
      <c r="J45" s="10"/>
      <c r="K45" s="10"/>
    </row>
    <row r="46" spans="1:11" ht="23.25">
      <c r="A46" s="225"/>
      <c r="B46" s="10" t="s">
        <v>499</v>
      </c>
      <c r="C46" s="10"/>
      <c r="D46" s="10"/>
      <c r="E46" s="10"/>
      <c r="F46" s="10"/>
      <c r="G46" s="10"/>
      <c r="H46" s="10"/>
      <c r="I46" s="10"/>
      <c r="J46" s="10"/>
      <c r="K46" s="10"/>
    </row>
    <row r="47" spans="1:11" ht="23.25">
      <c r="A47" s="225"/>
      <c r="B47" s="153" t="s">
        <v>500</v>
      </c>
      <c r="C47" s="10"/>
      <c r="D47" s="10"/>
      <c r="E47" s="10"/>
      <c r="F47" s="10"/>
      <c r="G47" s="10"/>
      <c r="H47" s="10"/>
      <c r="I47" s="10"/>
      <c r="J47" s="10"/>
      <c r="K47" s="10"/>
    </row>
    <row r="48" spans="1:11" ht="23.25">
      <c r="A48" s="225" t="s">
        <v>0</v>
      </c>
      <c r="C48" s="10"/>
      <c r="D48" s="10"/>
      <c r="E48" s="10"/>
      <c r="F48" s="10"/>
      <c r="G48" s="10"/>
      <c r="H48" s="10"/>
      <c r="I48" s="10"/>
      <c r="J48" s="10"/>
      <c r="K48" s="10"/>
    </row>
    <row r="49" spans="1:11" ht="18">
      <c r="A49" s="452" t="s">
        <v>274</v>
      </c>
      <c r="C49" s="10"/>
      <c r="D49" s="10"/>
      <c r="E49" s="10"/>
      <c r="F49" s="10"/>
      <c r="G49" s="10"/>
      <c r="H49" s="10"/>
      <c r="I49" s="10"/>
      <c r="J49" s="10"/>
      <c r="K49" s="10"/>
    </row>
    <row r="50" spans="1:11" ht="18">
      <c r="A50" s="28" t="s">
        <v>275</v>
      </c>
      <c r="B50" s="10"/>
      <c r="C50" s="10"/>
      <c r="D50" s="10"/>
      <c r="E50" s="10"/>
      <c r="H50" s="10"/>
      <c r="I50" s="10"/>
      <c r="J50" s="10"/>
      <c r="K50" s="10"/>
    </row>
    <row r="51" spans="1:11">
      <c r="A51" s="153" t="s">
        <v>276</v>
      </c>
      <c r="B51" s="10"/>
      <c r="C51" s="10"/>
      <c r="D51" s="10"/>
      <c r="E51" s="10"/>
      <c r="F51" s="10"/>
      <c r="G51" s="10"/>
      <c r="H51" s="10"/>
      <c r="I51" s="10"/>
      <c r="J51" s="10"/>
      <c r="K51" s="10"/>
    </row>
    <row r="52" spans="1:11">
      <c r="A52" s="153"/>
      <c r="B52" s="10"/>
      <c r="C52" s="10"/>
      <c r="D52" s="10"/>
      <c r="E52" s="10"/>
      <c r="F52" s="10"/>
      <c r="G52" s="10" t="s">
        <v>0</v>
      </c>
      <c r="H52" s="10" t="s">
        <v>0</v>
      </c>
      <c r="I52" s="10"/>
      <c r="J52" s="10"/>
      <c r="K52" s="10"/>
    </row>
    <row r="53" spans="1:11">
      <c r="A53" s="10"/>
      <c r="B53" s="10"/>
      <c r="C53" s="10"/>
      <c r="D53" s="10"/>
      <c r="E53" s="10"/>
      <c r="F53" s="10"/>
      <c r="G53" s="10" t="s">
        <v>0</v>
      </c>
      <c r="H53" s="10"/>
      <c r="I53" s="10"/>
      <c r="J53" s="10"/>
      <c r="K53" s="10"/>
    </row>
    <row r="54" spans="1:11" ht="15.75" thickBot="1">
      <c r="A54" s="10"/>
      <c r="B54" s="10"/>
      <c r="C54" s="10"/>
      <c r="D54" s="10"/>
      <c r="E54" s="10"/>
      <c r="F54" s="10"/>
      <c r="G54" s="10" t="s">
        <v>0</v>
      </c>
      <c r="H54" s="10"/>
      <c r="I54" s="10"/>
      <c r="J54" s="10"/>
      <c r="K54" s="10"/>
    </row>
    <row r="55" spans="1:11" ht="18.75" thickBot="1">
      <c r="A55" s="168" t="s">
        <v>256</v>
      </c>
      <c r="B55" s="41" t="s">
        <v>421</v>
      </c>
      <c r="C55" s="10"/>
      <c r="D55" s="10"/>
      <c r="E55" s="10"/>
      <c r="F55" s="10"/>
      <c r="G55" s="10"/>
      <c r="H55" s="10"/>
      <c r="I55" s="10"/>
      <c r="J55" s="10"/>
      <c r="K55" s="10"/>
    </row>
    <row r="56" spans="1:11">
      <c r="A56" s="10"/>
      <c r="B56" s="10"/>
      <c r="C56" s="10"/>
      <c r="D56" s="10"/>
      <c r="E56" s="10"/>
      <c r="F56" s="10"/>
      <c r="G56" s="384" t="s">
        <v>428</v>
      </c>
      <c r="H56" s="385" t="s">
        <v>435</v>
      </c>
      <c r="I56" s="10"/>
      <c r="J56" s="10"/>
      <c r="K56" s="10"/>
    </row>
    <row r="57" spans="1:11" ht="23.25">
      <c r="A57" s="379">
        <v>2.3E-2</v>
      </c>
      <c r="B57" s="28" t="s">
        <v>422</v>
      </c>
      <c r="C57" s="10"/>
      <c r="E57" s="10"/>
      <c r="G57" s="386" t="s">
        <v>429</v>
      </c>
      <c r="H57" s="387" t="s">
        <v>434</v>
      </c>
      <c r="I57" s="10"/>
      <c r="J57" s="10"/>
      <c r="K57" s="10"/>
    </row>
    <row r="58" spans="1:11" ht="23.25">
      <c r="A58" s="379">
        <v>2.53E-2</v>
      </c>
      <c r="B58" s="28" t="s">
        <v>423</v>
      </c>
      <c r="C58" s="10"/>
      <c r="E58" s="10"/>
      <c r="G58" s="386" t="s">
        <v>430</v>
      </c>
      <c r="H58" s="387" t="s">
        <v>433</v>
      </c>
      <c r="I58" s="10"/>
      <c r="J58" s="10"/>
      <c r="K58" s="10"/>
    </row>
    <row r="59" spans="1:11" ht="23.25">
      <c r="A59" s="379">
        <v>2.3099999999999999E-2</v>
      </c>
      <c r="B59" s="28" t="s">
        <v>424</v>
      </c>
      <c r="C59" s="10"/>
      <c r="D59" s="10"/>
      <c r="E59" s="10"/>
      <c r="G59" s="388" t="s">
        <v>431</v>
      </c>
      <c r="H59" s="389" t="s">
        <v>432</v>
      </c>
      <c r="I59" s="10"/>
      <c r="J59" s="10"/>
      <c r="K59" s="10"/>
    </row>
    <row r="60" spans="1:11" ht="15" customHeight="1">
      <c r="A60" s="379"/>
      <c r="B60" s="28"/>
      <c r="C60" s="10"/>
      <c r="D60" s="10"/>
      <c r="E60" s="10"/>
      <c r="G60" s="12"/>
      <c r="H60" s="453"/>
      <c r="I60" s="10"/>
      <c r="J60" s="10"/>
      <c r="K60" s="10"/>
    </row>
    <row r="61" spans="1:11" ht="18.75">
      <c r="A61" s="383" t="s">
        <v>501</v>
      </c>
      <c r="B61" s="28"/>
      <c r="C61" s="10"/>
      <c r="D61" s="10"/>
      <c r="E61" s="10"/>
      <c r="F61" s="356"/>
      <c r="G61" s="83"/>
      <c r="H61" s="10"/>
      <c r="I61" s="10"/>
      <c r="J61" s="10"/>
      <c r="K61" s="10"/>
    </row>
    <row r="62" spans="1:11" ht="23.25">
      <c r="A62" s="379"/>
      <c r="B62" s="28"/>
      <c r="C62" s="10"/>
      <c r="D62" s="10"/>
      <c r="E62" s="10"/>
      <c r="F62" s="356"/>
      <c r="G62" s="83"/>
      <c r="H62" s="10"/>
      <c r="I62" s="10"/>
      <c r="J62" s="10"/>
      <c r="K62" s="10"/>
    </row>
    <row r="63" spans="1:11" ht="23.25">
      <c r="A63" s="379">
        <v>2.5499999999999998E-2</v>
      </c>
      <c r="B63" s="28" t="s">
        <v>266</v>
      </c>
      <c r="C63" s="10"/>
      <c r="D63" s="10"/>
      <c r="E63" s="10"/>
      <c r="F63" s="10"/>
      <c r="G63" s="10"/>
      <c r="H63" s="10"/>
      <c r="I63" s="10"/>
      <c r="J63" s="10"/>
      <c r="K63" s="10"/>
    </row>
    <row r="64" spans="1:11" ht="23.25">
      <c r="A64" s="379">
        <v>2.5000000000000001E-2</v>
      </c>
      <c r="B64" s="28" t="s">
        <v>267</v>
      </c>
      <c r="C64" s="10"/>
      <c r="D64" s="10"/>
      <c r="E64" s="10"/>
      <c r="F64" s="10"/>
      <c r="G64" s="10"/>
      <c r="H64" s="10"/>
      <c r="I64" s="10"/>
      <c r="J64" s="10"/>
      <c r="K64" s="10"/>
    </row>
    <row r="65" spans="1:11" ht="23.25">
      <c r="A65" s="379">
        <v>2.4400000000000002E-2</v>
      </c>
      <c r="B65" s="28" t="s">
        <v>268</v>
      </c>
      <c r="C65" s="10"/>
      <c r="D65" s="10"/>
      <c r="E65" s="10"/>
      <c r="F65" s="10"/>
      <c r="G65" s="10"/>
      <c r="H65" s="10"/>
      <c r="I65" s="10"/>
      <c r="J65" s="10"/>
      <c r="K65" s="10"/>
    </row>
    <row r="66" spans="1:11" ht="23.25">
      <c r="A66" s="379">
        <v>2.3E-2</v>
      </c>
      <c r="B66" s="28" t="s">
        <v>502</v>
      </c>
      <c r="C66" s="10"/>
      <c r="D66" s="10"/>
      <c r="E66" s="10"/>
      <c r="F66" s="10"/>
      <c r="G66" s="10"/>
      <c r="H66" s="10"/>
      <c r="I66" s="10"/>
      <c r="J66" s="10"/>
      <c r="K66" s="10"/>
    </row>
    <row r="67" spans="1:11" ht="27" customHeight="1">
      <c r="A67" s="379">
        <v>0.02</v>
      </c>
      <c r="B67" s="28" t="s">
        <v>263</v>
      </c>
      <c r="C67" s="10"/>
      <c r="D67" s="10"/>
      <c r="E67" s="10"/>
      <c r="F67" s="10"/>
      <c r="G67" s="10"/>
      <c r="H67" s="10"/>
      <c r="I67" s="10"/>
      <c r="J67" s="10"/>
      <c r="K67" s="10"/>
    </row>
    <row r="68" spans="1:11">
      <c r="B68" s="10" t="s">
        <v>0</v>
      </c>
      <c r="C68" s="10"/>
      <c r="D68" s="10"/>
      <c r="E68" s="10"/>
      <c r="F68" s="10"/>
      <c r="G68" s="10"/>
      <c r="H68" s="10"/>
      <c r="I68" s="10"/>
      <c r="J68" s="10"/>
      <c r="K68" s="10"/>
    </row>
    <row r="69" spans="1:11">
      <c r="A69" s="10"/>
      <c r="B69" s="10"/>
      <c r="C69" s="10"/>
      <c r="D69" s="10"/>
      <c r="E69" s="10"/>
      <c r="F69" s="10"/>
      <c r="G69" s="10"/>
      <c r="H69" s="10"/>
      <c r="I69" s="10"/>
      <c r="J69" s="10"/>
      <c r="K69" s="10"/>
    </row>
    <row r="70" spans="1:11" ht="15.75" thickBot="1">
      <c r="B70" s="10"/>
      <c r="C70" s="10"/>
      <c r="D70" s="26"/>
      <c r="E70" s="26"/>
      <c r="F70" s="26"/>
      <c r="G70" s="10"/>
      <c r="H70" s="10"/>
      <c r="I70" s="10"/>
      <c r="J70" s="10"/>
      <c r="K70" s="10"/>
    </row>
    <row r="71" spans="1:11" ht="20.25">
      <c r="B71" s="28"/>
      <c r="C71" s="28"/>
      <c r="D71" s="10"/>
      <c r="E71" s="29" t="s">
        <v>217</v>
      </c>
      <c r="F71" s="10"/>
      <c r="G71" s="10"/>
      <c r="H71" s="10"/>
      <c r="I71" s="10"/>
      <c r="J71" s="10"/>
      <c r="K71" s="10"/>
    </row>
    <row r="72" spans="1:11" ht="18.75" thickBot="1">
      <c r="A72" s="155"/>
      <c r="B72" s="28"/>
      <c r="C72" s="28"/>
      <c r="D72" s="26"/>
      <c r="E72" s="34" t="s">
        <v>78</v>
      </c>
      <c r="F72" s="26"/>
      <c r="G72" s="10"/>
      <c r="H72" s="10"/>
      <c r="I72" s="10"/>
      <c r="J72" s="10"/>
      <c r="K72" s="10"/>
    </row>
    <row r="73" spans="1:11" ht="18.75" thickBot="1">
      <c r="A73" s="154" t="s">
        <v>218</v>
      </c>
      <c r="B73" s="28"/>
      <c r="C73" s="28"/>
      <c r="D73" s="32"/>
      <c r="E73" s="152"/>
      <c r="F73" s="10"/>
      <c r="G73" s="10"/>
      <c r="H73" s="10"/>
      <c r="I73" s="10"/>
    </row>
    <row r="74" spans="1:11">
      <c r="A74" s="36" t="s">
        <v>0</v>
      </c>
      <c r="B74" s="36"/>
      <c r="C74" s="36"/>
      <c r="D74" s="38" t="s">
        <v>0</v>
      </c>
      <c r="E74" s="38" t="s">
        <v>0</v>
      </c>
      <c r="F74" s="38" t="s">
        <v>0</v>
      </c>
      <c r="G74" s="38"/>
      <c r="H74" s="10"/>
      <c r="I74" s="10"/>
    </row>
    <row r="75" spans="1:11">
      <c r="A75" s="32" t="s">
        <v>0</v>
      </c>
      <c r="B75" s="32"/>
      <c r="C75" s="32"/>
      <c r="D75" s="189" t="s">
        <v>82</v>
      </c>
      <c r="E75" s="189" t="s">
        <v>262</v>
      </c>
      <c r="F75" s="189" t="s">
        <v>131</v>
      </c>
      <c r="G75" s="271"/>
      <c r="H75" s="10"/>
      <c r="I75" s="10"/>
    </row>
    <row r="76" spans="1:11">
      <c r="A76" s="128" t="s">
        <v>129</v>
      </c>
      <c r="B76" s="128"/>
      <c r="C76" s="128"/>
      <c r="D76" s="190" t="s">
        <v>84</v>
      </c>
      <c r="E76" s="190" t="s">
        <v>130</v>
      </c>
      <c r="F76" s="190" t="s">
        <v>132</v>
      </c>
      <c r="G76" s="271"/>
      <c r="H76" s="10"/>
      <c r="I76" s="10"/>
    </row>
    <row r="79" spans="1:11" ht="15.75">
      <c r="A79" s="171" t="s">
        <v>269</v>
      </c>
      <c r="B79" s="172"/>
      <c r="C79" s="219"/>
      <c r="D79" s="180">
        <f>+A57</f>
        <v>2.3E-2</v>
      </c>
      <c r="E79" s="180">
        <v>1.5800000000000002E-2</v>
      </c>
      <c r="F79" s="173">
        <f t="shared" ref="F79:F86" si="1">+D79+E79</f>
        <v>3.8800000000000001E-2</v>
      </c>
      <c r="G79" s="272"/>
      <c r="H79" s="10"/>
      <c r="I79" s="10"/>
    </row>
    <row r="80" spans="1:11" ht="15.75">
      <c r="A80" s="174" t="s">
        <v>270</v>
      </c>
      <c r="B80" s="60"/>
      <c r="C80" s="220"/>
      <c r="D80" s="380">
        <f>+A58</f>
        <v>2.53E-2</v>
      </c>
      <c r="E80" s="380">
        <v>1.61E-2</v>
      </c>
      <c r="F80" s="175">
        <f t="shared" si="1"/>
        <v>4.1399999999999999E-2</v>
      </c>
      <c r="G80" s="272"/>
      <c r="H80" s="10"/>
      <c r="I80" s="10"/>
    </row>
    <row r="81" spans="1:9" ht="15.75">
      <c r="A81" s="176" t="s">
        <v>271</v>
      </c>
      <c r="B81" s="177"/>
      <c r="C81" s="221"/>
      <c r="D81" s="181">
        <f>+A59</f>
        <v>2.3099999999999999E-2</v>
      </c>
      <c r="E81" s="181">
        <v>1.66E-2</v>
      </c>
      <c r="F81" s="178">
        <f t="shared" si="1"/>
        <v>3.9699999999999999E-2</v>
      </c>
      <c r="G81" s="272"/>
      <c r="H81" s="10"/>
      <c r="I81" s="10"/>
    </row>
    <row r="82" spans="1:9" ht="15.75">
      <c r="A82" s="174" t="s">
        <v>272</v>
      </c>
      <c r="B82" s="60"/>
      <c r="C82" s="220"/>
      <c r="D82" s="380">
        <f t="shared" ref="D82:D84" si="2">+A63</f>
        <v>2.5499999999999998E-2</v>
      </c>
      <c r="E82" s="380">
        <v>1.9699999999999999E-2</v>
      </c>
      <c r="F82" s="175">
        <f t="shared" si="1"/>
        <v>4.5199999999999997E-2</v>
      </c>
      <c r="G82" s="272"/>
      <c r="H82" s="10"/>
      <c r="I82" s="10"/>
    </row>
    <row r="83" spans="1:9" ht="15.75">
      <c r="A83" s="174" t="s">
        <v>273</v>
      </c>
      <c r="B83" s="60"/>
      <c r="C83" s="220"/>
      <c r="D83" s="380">
        <f t="shared" si="2"/>
        <v>2.5000000000000001E-2</v>
      </c>
      <c r="E83" s="380">
        <v>1.9300000000000001E-2</v>
      </c>
      <c r="F83" s="175">
        <f t="shared" si="1"/>
        <v>4.4300000000000006E-2</v>
      </c>
      <c r="G83" s="272"/>
      <c r="H83" s="10"/>
      <c r="I83" s="10"/>
    </row>
    <row r="84" spans="1:9" ht="15.75">
      <c r="A84" s="174" t="s">
        <v>450</v>
      </c>
      <c r="B84" s="60"/>
      <c r="C84" s="220"/>
      <c r="D84" s="380">
        <f t="shared" si="2"/>
        <v>2.4400000000000002E-2</v>
      </c>
      <c r="E84" s="380">
        <v>1.9599999999999999E-2</v>
      </c>
      <c r="F84" s="175">
        <f t="shared" si="1"/>
        <v>4.3999999999999997E-2</v>
      </c>
      <c r="G84" s="272"/>
      <c r="H84" s="10"/>
      <c r="I84" s="10"/>
    </row>
    <row r="85" spans="1:9" ht="15.75">
      <c r="A85" s="174" t="s">
        <v>503</v>
      </c>
      <c r="B85" s="60"/>
      <c r="C85" s="220"/>
      <c r="D85" s="380">
        <f>+A66</f>
        <v>2.3E-2</v>
      </c>
      <c r="E85" s="380">
        <v>1.7999999999999999E-2</v>
      </c>
      <c r="F85" s="175">
        <f t="shared" si="1"/>
        <v>4.0999999999999995E-2</v>
      </c>
      <c r="G85" s="272"/>
      <c r="H85" s="10"/>
      <c r="I85" s="10"/>
    </row>
    <row r="86" spans="1:9" ht="15.75">
      <c r="A86" s="176" t="s">
        <v>264</v>
      </c>
      <c r="B86" s="177"/>
      <c r="C86" s="221"/>
      <c r="D86" s="181">
        <f>+A67</f>
        <v>0.02</v>
      </c>
      <c r="E86" s="181">
        <v>1.7000000000000001E-2</v>
      </c>
      <c r="F86" s="178">
        <f t="shared" si="1"/>
        <v>3.7000000000000005E-2</v>
      </c>
      <c r="G86" s="272"/>
      <c r="H86" s="10"/>
      <c r="I86" s="10"/>
    </row>
    <row r="87" spans="1:9" ht="15.75">
      <c r="A87" s="104"/>
      <c r="B87" s="122"/>
      <c r="C87" s="122" t="s">
        <v>47</v>
      </c>
      <c r="D87" s="179">
        <v>2.5499999999999998E-2</v>
      </c>
      <c r="E87" s="179">
        <v>1.9699999999999999E-2</v>
      </c>
      <c r="F87" s="179">
        <v>4.5199999999999997E-2</v>
      </c>
      <c r="G87" s="273"/>
      <c r="H87" s="10"/>
      <c r="I87" s="10"/>
    </row>
    <row r="88" spans="1:9" ht="15.75">
      <c r="A88" s="104"/>
      <c r="B88" s="122"/>
      <c r="C88" s="122" t="s">
        <v>48</v>
      </c>
      <c r="D88" s="179">
        <v>0.02</v>
      </c>
      <c r="E88" s="179">
        <v>1.5800000000000002E-2</v>
      </c>
      <c r="F88" s="233">
        <v>3.6999999999999998E-2</v>
      </c>
      <c r="G88" s="273"/>
      <c r="H88" s="10"/>
      <c r="I88" s="10"/>
    </row>
    <row r="89" spans="1:9" ht="15.75">
      <c r="A89" s="104"/>
      <c r="B89" s="122"/>
      <c r="C89" s="122" t="s">
        <v>18</v>
      </c>
      <c r="D89" s="454">
        <f>MEDIAN(D79:D86)</f>
        <v>2.375E-2</v>
      </c>
      <c r="E89" s="454">
        <f>MEDIAN(E79:E86)</f>
        <v>1.7500000000000002E-2</v>
      </c>
      <c r="F89" s="175">
        <f t="shared" ref="F89:F90" si="3">+D89+E89</f>
        <v>4.1250000000000002E-2</v>
      </c>
      <c r="G89" s="272"/>
      <c r="H89" s="10"/>
      <c r="I89" s="10"/>
    </row>
    <row r="90" spans="1:9" ht="15.75">
      <c r="A90" s="104"/>
      <c r="B90" s="122"/>
      <c r="C90" s="122" t="s">
        <v>19</v>
      </c>
      <c r="D90" s="390">
        <f>AVERAGE(D79:D86)</f>
        <v>2.3662499999999996E-2</v>
      </c>
      <c r="E90" s="390">
        <f>AVERAGE(E79:E86)</f>
        <v>1.7762500000000001E-2</v>
      </c>
      <c r="F90" s="178">
        <f t="shared" si="3"/>
        <v>4.1424999999999997E-2</v>
      </c>
      <c r="G90" s="272"/>
      <c r="H90" s="10"/>
      <c r="I90" s="10"/>
    </row>
    <row r="91" spans="1:9" ht="18.75" customHeight="1">
      <c r="A91" s="10"/>
      <c r="B91" s="12"/>
    </row>
    <row r="92" spans="1:9" ht="15.75" thickBot="1">
      <c r="A92" s="10"/>
      <c r="B92" s="12"/>
    </row>
    <row r="93" spans="1:9" ht="21" thickBot="1">
      <c r="A93" s="10"/>
      <c r="B93" s="129"/>
      <c r="C93" s="47" t="s">
        <v>220</v>
      </c>
      <c r="D93" s="341">
        <v>2.366E-2</v>
      </c>
      <c r="E93" s="341">
        <v>1.7760000000000001E-2</v>
      </c>
      <c r="F93" s="391">
        <f>+D93+E93</f>
        <v>4.1419999999999998E-2</v>
      </c>
    </row>
    <row r="94" spans="1:9">
      <c r="A94" s="10"/>
      <c r="B94" s="10"/>
      <c r="C94" s="10"/>
      <c r="D94" s="10"/>
      <c r="E94" s="10"/>
      <c r="F94" s="10"/>
      <c r="G94" s="10"/>
      <c r="I94" s="10"/>
    </row>
    <row r="95" spans="1:9" ht="16.5" customHeight="1">
      <c r="A95" s="10"/>
      <c r="B95" s="10"/>
      <c r="C95" s="10"/>
      <c r="D95" s="10"/>
      <c r="E95" s="10"/>
      <c r="F95" s="10"/>
      <c r="G95" s="10"/>
      <c r="I95" s="10" t="s">
        <v>0</v>
      </c>
    </row>
    <row r="96" spans="1:9">
      <c r="A96" s="10"/>
      <c r="B96" s="10"/>
      <c r="C96" s="10"/>
      <c r="D96" s="10"/>
      <c r="E96" s="10"/>
      <c r="F96" s="10"/>
      <c r="G96" s="10"/>
      <c r="H96" s="10"/>
      <c r="I96" s="10"/>
    </row>
    <row r="97" spans="1:9">
      <c r="A97" s="130" t="s">
        <v>152</v>
      </c>
      <c r="B97" s="131"/>
      <c r="C97" s="131"/>
      <c r="D97" s="131"/>
      <c r="E97" s="132"/>
      <c r="F97" s="131"/>
      <c r="G97" s="131"/>
      <c r="H97" s="131"/>
      <c r="I97" s="10"/>
    </row>
    <row r="98" spans="1:9" ht="16.5" customHeight="1">
      <c r="A98" s="468" t="s">
        <v>396</v>
      </c>
      <c r="B98" s="468"/>
      <c r="C98" s="468"/>
      <c r="D98" s="468"/>
      <c r="E98" s="468"/>
      <c r="F98" s="468"/>
      <c r="G98" s="468"/>
      <c r="H98" s="468"/>
      <c r="I98" s="10"/>
    </row>
    <row r="99" spans="1:9">
      <c r="A99" s="153" t="s">
        <v>397</v>
      </c>
      <c r="B99" s="131"/>
      <c r="C99" s="153" t="s">
        <v>0</v>
      </c>
      <c r="D99" s="131"/>
      <c r="E99" s="132"/>
      <c r="F99" s="131"/>
      <c r="G99" s="131"/>
      <c r="H99" s="131"/>
      <c r="I99" s="10"/>
    </row>
    <row r="100" spans="1:9">
      <c r="A100" s="130"/>
      <c r="B100" s="131"/>
      <c r="C100" s="131"/>
      <c r="D100" s="131"/>
      <c r="E100" s="132"/>
      <c r="F100" s="131"/>
      <c r="G100" s="131"/>
      <c r="H100" s="131"/>
      <c r="I100" s="10"/>
    </row>
    <row r="101" spans="1:9" ht="16.5" customHeight="1">
      <c r="A101" s="468" t="s">
        <v>395</v>
      </c>
      <c r="B101" s="468"/>
      <c r="C101" s="468"/>
      <c r="D101" s="468"/>
      <c r="E101" s="468"/>
      <c r="F101" s="468"/>
      <c r="G101" s="468"/>
      <c r="H101" s="468"/>
      <c r="I101" s="10"/>
    </row>
    <row r="102" spans="1:9">
      <c r="A102" s="133" t="s">
        <v>153</v>
      </c>
      <c r="B102" s="134"/>
      <c r="C102" s="134" t="s">
        <v>0</v>
      </c>
      <c r="D102" s="134"/>
      <c r="E102" s="134"/>
      <c r="F102" s="134"/>
      <c r="G102" s="134"/>
      <c r="H102" s="131"/>
      <c r="I102" s="10"/>
    </row>
    <row r="103" spans="1:9">
      <c r="A103" s="133"/>
      <c r="B103" s="134"/>
      <c r="C103" s="134"/>
      <c r="D103" s="134"/>
      <c r="E103" s="134"/>
      <c r="F103" s="134"/>
      <c r="G103" s="134"/>
      <c r="H103" s="131"/>
      <c r="I103" s="10"/>
    </row>
    <row r="104" spans="1:9" ht="16.5" customHeight="1">
      <c r="A104" s="468" t="s">
        <v>219</v>
      </c>
      <c r="B104" s="468"/>
      <c r="C104" s="468"/>
      <c r="D104" s="468"/>
      <c r="E104" s="468"/>
      <c r="F104" s="468"/>
      <c r="G104" s="468"/>
      <c r="H104" s="468"/>
      <c r="I104" s="10"/>
    </row>
    <row r="105" spans="1:9">
      <c r="A105" s="133" t="s">
        <v>153</v>
      </c>
      <c r="B105" s="134"/>
      <c r="C105" s="134" t="s">
        <v>0</v>
      </c>
      <c r="D105" s="134"/>
      <c r="E105" s="134"/>
      <c r="F105" s="134"/>
      <c r="G105" s="134"/>
      <c r="H105" s="131"/>
      <c r="I105" s="10"/>
    </row>
    <row r="106" spans="1:9">
      <c r="A106" s="133"/>
      <c r="B106" s="134"/>
      <c r="C106" s="134"/>
      <c r="D106" s="134"/>
      <c r="E106" s="134"/>
      <c r="F106" s="134"/>
      <c r="G106" s="134"/>
      <c r="H106" s="131"/>
      <c r="I106" s="10"/>
    </row>
    <row r="107" spans="1:9" ht="16.5" customHeight="1">
      <c r="A107" s="468" t="s">
        <v>425</v>
      </c>
      <c r="B107" s="468"/>
      <c r="C107" s="468"/>
      <c r="D107" s="468"/>
      <c r="E107" s="468"/>
      <c r="F107" s="468"/>
      <c r="G107" s="468"/>
      <c r="H107" s="468"/>
      <c r="I107" s="10"/>
    </row>
    <row r="108" spans="1:9">
      <c r="A108" s="381" t="s">
        <v>154</v>
      </c>
      <c r="B108" s="134"/>
      <c r="C108" s="134"/>
      <c r="D108" s="134"/>
      <c r="E108" s="134"/>
      <c r="F108" s="134"/>
      <c r="G108" s="134"/>
      <c r="H108" s="131"/>
      <c r="I108" s="10"/>
    </row>
    <row r="109" spans="1:9">
      <c r="A109" s="153" t="s">
        <v>426</v>
      </c>
      <c r="B109" s="134"/>
      <c r="C109" s="134"/>
      <c r="D109" s="134"/>
      <c r="E109" s="134"/>
      <c r="F109" s="134"/>
      <c r="G109" s="134"/>
      <c r="H109" s="131"/>
      <c r="I109" s="10"/>
    </row>
    <row r="110" spans="1:9">
      <c r="A110" s="153"/>
      <c r="B110" s="134"/>
      <c r="C110" s="134"/>
      <c r="D110" s="134"/>
      <c r="E110" s="134"/>
      <c r="F110" s="134"/>
      <c r="G110" s="134"/>
      <c r="H110" s="131"/>
      <c r="I110" s="10"/>
    </row>
    <row r="111" spans="1:9">
      <c r="A111" s="136" t="s">
        <v>504</v>
      </c>
      <c r="B111" s="136"/>
      <c r="C111" s="136"/>
      <c r="D111" s="136"/>
      <c r="E111" s="136"/>
      <c r="F111" s="136"/>
      <c r="G111" s="136"/>
      <c r="H111" s="131"/>
      <c r="I111" s="10"/>
    </row>
    <row r="112" spans="1:9">
      <c r="A112" s="135" t="s">
        <v>155</v>
      </c>
      <c r="B112" s="134"/>
      <c r="C112" s="153" t="s">
        <v>505</v>
      </c>
      <c r="D112" s="134"/>
      <c r="E112" s="134"/>
      <c r="F112" s="134"/>
      <c r="G112" s="134"/>
      <c r="H112" s="131"/>
      <c r="I112" s="10"/>
    </row>
    <row r="113" spans="1:9">
      <c r="A113" s="135"/>
      <c r="B113" s="137"/>
      <c r="C113" s="137"/>
      <c r="D113" s="137"/>
      <c r="E113" s="137"/>
      <c r="F113" s="137"/>
      <c r="G113" s="137"/>
      <c r="H113" s="138"/>
      <c r="I113" s="10"/>
    </row>
    <row r="114" spans="1:9">
      <c r="A114" s="136" t="s">
        <v>265</v>
      </c>
    </row>
    <row r="115" spans="1:9">
      <c r="A115" s="382" t="s">
        <v>427</v>
      </c>
    </row>
  </sheetData>
  <mergeCells count="4">
    <mergeCell ref="A98:H98"/>
    <mergeCell ref="A101:H101"/>
    <mergeCell ref="A104:H104"/>
    <mergeCell ref="A107:H107"/>
  </mergeCells>
  <hyperlinks>
    <hyperlink ref="A102" r:id="rId1" xr:uid="{6AEB6C13-3C3B-49E6-ABF5-9C9D52BAAB45}"/>
    <hyperlink ref="A112" r:id="rId2" location="4" display="https://www.cbo.gov/about/products/budget-economic-data - 4" xr:uid="{5D393F9D-AFCB-42F4-9AD8-776DD435756C}"/>
    <hyperlink ref="A108" r:id="rId3" xr:uid="{151B3681-A3AD-4E52-9292-E0A3EF2EA939}"/>
    <hyperlink ref="A105" r:id="rId4" xr:uid="{574D1E5F-E320-42BC-840D-82C6A46B39D9}"/>
    <hyperlink ref="A51" r:id="rId5" xr:uid="{F50F6DCD-72D5-4EE0-B113-5EB1AB8F6644}"/>
    <hyperlink ref="B35" r:id="rId6" xr:uid="{919C37ED-742B-4C74-87D7-7576FA0CB0E3}"/>
    <hyperlink ref="B38" r:id="rId7" xr:uid="{844AC174-1806-4A20-A830-CBCBC748AE0F}"/>
    <hyperlink ref="B44" r:id="rId8" xr:uid="{9166B067-6ED8-44E3-BC1C-3E5EB42A5759}"/>
    <hyperlink ref="B41" r:id="rId9" xr:uid="{A68B0254-9B9C-4306-B3E4-D7C70C501C6A}"/>
    <hyperlink ref="B47" r:id="rId10" xr:uid="{07B773D9-12F8-4E4C-9B43-C8B7D6B8491F}"/>
    <hyperlink ref="A99" r:id="rId11" xr:uid="{1D9A405F-FC21-486C-8544-613324C68730}"/>
    <hyperlink ref="A115" r:id="rId12" xr:uid="{4D6BAEC9-CEFB-4196-820F-A6D905EDC34C}"/>
    <hyperlink ref="C99" r:id="rId13" display="https://www.federalreserve.gov/datadownload/Preview.aspx?pi=400&amp;rel=H15&amp;preview=%20H15/H15/RIFLGFCY05_N.WF" xr:uid="{2163030E-5215-4906-AC0E-2843252482E8}"/>
    <hyperlink ref="A109" r:id="rId14" display="https://www.philadelphiafed.org/-/media/frbp/assets/surveys-and-data/survey-of-professional-forecasters/2023/spfq123.pdf" xr:uid="{BD30B19D-EFBE-426F-BD4E-E138721F1559}"/>
    <hyperlink ref="C112" r:id="rId15" xr:uid="{382A2483-D1FC-4E2F-BAB6-187199341C68}"/>
  </hyperlinks>
  <pageMargins left="0.25" right="0.25" top="0.75" bottom="0.75" header="0.3" footer="0.3"/>
  <pageSetup scale="28" fitToWidth="0" orientation="portrait" r:id="rId16"/>
  <rowBreaks count="1" manualBreakCount="1">
    <brk id="117"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B3E21-02C8-4DD8-8716-F089613D60AE}">
  <sheetPr>
    <tabColor rgb="FF92D050"/>
    <pageSetUpPr fitToPage="1"/>
  </sheetPr>
  <dimension ref="A1:I107"/>
  <sheetViews>
    <sheetView view="pageBreakPreview" topLeftCell="A23" zoomScale="70" zoomScaleNormal="80" zoomScaleSheetLayoutView="70" workbookViewId="0">
      <selection activeCell="D55" sqref="D55"/>
    </sheetView>
  </sheetViews>
  <sheetFormatPr defaultRowHeight="15"/>
  <cols>
    <col min="1" max="1" width="45.7109375" customWidth="1"/>
    <col min="2" max="2" width="17.85546875" customWidth="1"/>
    <col min="3" max="3" width="72.140625" customWidth="1"/>
    <col min="4" max="4" width="34.5703125" customWidth="1"/>
    <col min="5" max="5" width="21.7109375" customWidth="1"/>
    <col min="6" max="6" width="13.140625" customWidth="1"/>
    <col min="7" max="7" width="24.85546875" customWidth="1"/>
    <col min="8" max="8" width="18" customWidth="1"/>
    <col min="9" max="9" width="20.85546875" customWidth="1"/>
    <col min="10" max="10" width="19" customWidth="1"/>
    <col min="11" max="11" width="17.28515625" customWidth="1"/>
    <col min="12" max="12" width="24.140625" customWidth="1"/>
  </cols>
  <sheetData>
    <row r="1" spans="1:9" ht="20.25">
      <c r="A1" s="21" t="s">
        <v>1</v>
      </c>
      <c r="B1" s="10"/>
      <c r="C1" s="10"/>
      <c r="D1" s="10"/>
      <c r="E1" s="10"/>
      <c r="F1" s="10"/>
      <c r="G1" s="10"/>
      <c r="H1" s="10"/>
      <c r="I1" s="10"/>
    </row>
    <row r="2" spans="1:9" ht="15.75">
      <c r="A2" s="60" t="s">
        <v>9</v>
      </c>
      <c r="B2" s="10"/>
      <c r="C2" s="10"/>
      <c r="D2" s="10"/>
      <c r="E2" s="10"/>
      <c r="F2" s="10"/>
      <c r="G2" s="10"/>
      <c r="H2" s="10"/>
      <c r="I2" s="10"/>
    </row>
    <row r="3" spans="1:9">
      <c r="A3" s="41" t="s">
        <v>64</v>
      </c>
      <c r="B3" s="10"/>
      <c r="C3" s="10"/>
      <c r="D3" s="10"/>
      <c r="E3" s="10"/>
      <c r="F3" s="10"/>
      <c r="G3" s="10"/>
      <c r="H3" s="10"/>
      <c r="I3" s="10"/>
    </row>
    <row r="4" spans="1:9">
      <c r="A4" s="10"/>
      <c r="B4" s="10"/>
      <c r="C4" s="10"/>
      <c r="D4" s="10"/>
      <c r="E4" s="10"/>
      <c r="F4" s="10"/>
      <c r="G4" s="10"/>
      <c r="H4" s="10"/>
      <c r="I4" s="10"/>
    </row>
    <row r="5" spans="1:9" ht="16.5" thickBot="1">
      <c r="A5" s="60"/>
      <c r="B5" s="10"/>
      <c r="C5" s="10"/>
      <c r="D5" s="10"/>
      <c r="E5" s="10"/>
      <c r="F5" s="10"/>
      <c r="G5" s="10"/>
      <c r="H5" s="10"/>
      <c r="I5" s="10"/>
    </row>
    <row r="6" spans="1:9" ht="18.75" thickBot="1">
      <c r="A6" s="276" t="str">
        <f>+'S&amp;D'!A12</f>
        <v>Railroad Carriers</v>
      </c>
      <c r="B6" s="204"/>
      <c r="C6" s="10"/>
      <c r="D6" s="10"/>
      <c r="E6" s="10"/>
      <c r="F6" s="10"/>
      <c r="G6" s="10"/>
      <c r="H6" s="10"/>
      <c r="I6" s="10"/>
    </row>
    <row r="7" spans="1:9" ht="18">
      <c r="A7" s="28"/>
      <c r="B7" s="10"/>
      <c r="C7" s="10"/>
      <c r="D7" s="10"/>
      <c r="E7" s="10"/>
      <c r="F7" s="10"/>
      <c r="G7" s="10"/>
      <c r="H7" s="10"/>
      <c r="I7" s="10"/>
    </row>
    <row r="8" spans="1:9" ht="16.5" thickBot="1">
      <c r="A8" s="60"/>
      <c r="B8" s="10"/>
      <c r="C8" s="26"/>
      <c r="E8" s="10"/>
      <c r="F8" s="10"/>
      <c r="G8" s="10"/>
      <c r="H8" s="10"/>
      <c r="I8" s="10"/>
    </row>
    <row r="9" spans="1:9" ht="20.25">
      <c r="B9" s="10"/>
      <c r="C9" s="29" t="s">
        <v>162</v>
      </c>
      <c r="E9" s="10"/>
      <c r="F9" s="10"/>
      <c r="G9" s="10"/>
      <c r="H9" s="10"/>
      <c r="I9" s="10"/>
    </row>
    <row r="10" spans="1:9" ht="18.75" thickBot="1">
      <c r="A10" s="28"/>
      <c r="B10" s="10"/>
      <c r="C10" s="30" t="s">
        <v>78</v>
      </c>
      <c r="E10" s="10"/>
      <c r="F10" s="10"/>
      <c r="G10" s="10"/>
      <c r="H10" s="10"/>
      <c r="I10" s="10"/>
    </row>
    <row r="11" spans="1:9" ht="18">
      <c r="A11" s="28"/>
      <c r="B11" s="10"/>
      <c r="C11" s="10"/>
      <c r="D11" s="10"/>
      <c r="E11" s="10"/>
      <c r="F11" s="10"/>
      <c r="G11" s="10"/>
      <c r="H11" s="10"/>
      <c r="I11" s="10"/>
    </row>
    <row r="12" spans="1:9" ht="15.75" thickBot="1">
      <c r="A12" s="10"/>
      <c r="B12" s="10"/>
      <c r="C12" s="10"/>
      <c r="D12" s="10"/>
      <c r="E12" s="10"/>
      <c r="F12" s="10"/>
      <c r="G12" s="10"/>
      <c r="H12" s="10"/>
      <c r="I12" s="10"/>
    </row>
    <row r="13" spans="1:9">
      <c r="A13" s="10"/>
      <c r="B13" s="10"/>
      <c r="C13" s="76" t="s">
        <v>0</v>
      </c>
      <c r="D13" s="76" t="s">
        <v>196</v>
      </c>
      <c r="E13" s="10"/>
      <c r="F13" s="10"/>
      <c r="G13" s="10"/>
      <c r="H13" s="10"/>
      <c r="I13" s="10"/>
    </row>
    <row r="14" spans="1:9" ht="18.75" thickBot="1">
      <c r="A14" s="10"/>
      <c r="B14" s="10"/>
      <c r="C14" s="401" t="s">
        <v>161</v>
      </c>
      <c r="D14" s="78" t="s">
        <v>292</v>
      </c>
      <c r="E14" s="10"/>
      <c r="F14" s="10"/>
      <c r="G14" s="10"/>
      <c r="H14" s="10"/>
      <c r="I14" s="10"/>
    </row>
    <row r="15" spans="1:9" ht="15.75">
      <c r="A15" s="10"/>
      <c r="B15" s="10"/>
      <c r="C15" s="287" t="s">
        <v>443</v>
      </c>
      <c r="D15" s="402">
        <f>+CAPM!F16</f>
        <v>7.5537999999999994E-2</v>
      </c>
      <c r="E15" s="404"/>
      <c r="F15" s="10"/>
      <c r="G15" s="10"/>
      <c r="H15" s="10"/>
      <c r="I15" s="10"/>
    </row>
    <row r="16" spans="1:9" ht="15.75">
      <c r="A16" s="10"/>
      <c r="B16" s="10"/>
      <c r="C16" s="288" t="s">
        <v>444</v>
      </c>
      <c r="D16" s="403">
        <f>+CAPM!F17</f>
        <v>8.8567000000000007E-2</v>
      </c>
      <c r="E16" s="404"/>
      <c r="F16" s="10"/>
      <c r="G16" s="10"/>
      <c r="H16" s="10"/>
      <c r="I16" s="10"/>
    </row>
    <row r="17" spans="1:9" ht="15.75">
      <c r="A17" s="10"/>
      <c r="B17" s="10"/>
      <c r="C17" s="288" t="s">
        <v>473</v>
      </c>
      <c r="D17" s="403">
        <f>+CAPM!F19</f>
        <v>0.101394</v>
      </c>
      <c r="E17" s="404"/>
      <c r="F17" s="10"/>
      <c r="G17" s="10"/>
      <c r="H17" s="10"/>
      <c r="I17" s="10"/>
    </row>
    <row r="18" spans="1:9" ht="15.75">
      <c r="A18" s="10"/>
      <c r="B18" s="10"/>
      <c r="C18" s="288" t="s">
        <v>490</v>
      </c>
      <c r="D18" s="403">
        <f>+CAPM!F20</f>
        <v>0.100485</v>
      </c>
      <c r="E18" s="404"/>
      <c r="F18" s="10"/>
      <c r="G18" s="10"/>
      <c r="H18" s="10"/>
      <c r="I18" s="10"/>
    </row>
    <row r="19" spans="1:9" ht="15.75">
      <c r="A19" s="10"/>
      <c r="B19" s="10"/>
      <c r="C19" s="288" t="s">
        <v>474</v>
      </c>
      <c r="D19" s="403">
        <f>+CAPM!F21</f>
        <v>9.8767999999999995E-2</v>
      </c>
      <c r="E19" s="404"/>
      <c r="F19" s="10"/>
      <c r="G19" s="10"/>
      <c r="H19" s="10"/>
      <c r="I19" s="10"/>
    </row>
    <row r="20" spans="1:9" ht="15.75">
      <c r="A20" s="10"/>
      <c r="B20" s="10"/>
      <c r="C20" s="288" t="s">
        <v>475</v>
      </c>
      <c r="D20" s="403">
        <f>+CAPM!F22</f>
        <v>9.0182999999999999E-2</v>
      </c>
      <c r="E20" s="404"/>
      <c r="F20" s="10"/>
      <c r="G20" s="10"/>
      <c r="H20" s="10"/>
      <c r="I20" s="10"/>
    </row>
    <row r="21" spans="1:9" ht="15.75">
      <c r="A21" s="10"/>
      <c r="B21" s="10"/>
      <c r="C21" s="288" t="s">
        <v>163</v>
      </c>
      <c r="D21" s="403">
        <f>+CAPM!F24</f>
        <v>8.8062000000000001E-2</v>
      </c>
      <c r="E21" s="404"/>
      <c r="F21" s="10"/>
      <c r="G21" s="10"/>
      <c r="H21" s="10"/>
      <c r="I21" s="10"/>
    </row>
    <row r="22" spans="1:9" ht="15.75">
      <c r="A22" s="10"/>
      <c r="B22" s="10"/>
      <c r="C22" s="288" t="s">
        <v>164</v>
      </c>
      <c r="D22" s="403">
        <f>+CAPM!F26</f>
        <v>9.7959999999999992E-2</v>
      </c>
      <c r="E22" s="404"/>
      <c r="F22" s="10"/>
      <c r="G22" s="10"/>
      <c r="H22" s="10"/>
      <c r="I22" s="10"/>
    </row>
    <row r="23" spans="1:9" ht="15.75">
      <c r="A23" s="10"/>
      <c r="B23" s="10"/>
      <c r="C23" s="288" t="s">
        <v>165</v>
      </c>
      <c r="D23" s="403">
        <f>+CAPM!F28</f>
        <v>0.104828</v>
      </c>
      <c r="E23" s="456"/>
      <c r="G23" s="10"/>
      <c r="H23" s="10"/>
      <c r="I23" s="10"/>
    </row>
    <row r="24" spans="1:9" ht="15.75">
      <c r="A24" s="10"/>
      <c r="B24" s="10"/>
      <c r="C24" s="288" t="s">
        <v>166</v>
      </c>
      <c r="D24" s="403">
        <f>+CAPM!F29</f>
        <v>9.2000999999999999E-2</v>
      </c>
      <c r="E24" s="456"/>
      <c r="G24" s="10"/>
      <c r="H24" s="10"/>
      <c r="I24" s="10"/>
    </row>
    <row r="25" spans="1:9" ht="15.75">
      <c r="A25" s="10"/>
      <c r="B25" s="10"/>
      <c r="C25" s="289" t="s">
        <v>476</v>
      </c>
      <c r="D25" s="403">
        <f>+CAPM!F31</f>
        <v>0.113817</v>
      </c>
      <c r="E25" s="420"/>
      <c r="F25" s="10"/>
      <c r="G25" s="10"/>
      <c r="H25" s="10"/>
      <c r="I25" s="10"/>
    </row>
    <row r="26" spans="1:9" ht="15.75">
      <c r="A26" s="10"/>
      <c r="B26" s="10"/>
      <c r="C26" s="289" t="s">
        <v>477</v>
      </c>
      <c r="D26" s="403">
        <f>+CAPM!F32</f>
        <v>0.10553499999999999</v>
      </c>
      <c r="E26" s="420"/>
      <c r="F26" s="10"/>
      <c r="G26" s="10"/>
      <c r="H26" s="10"/>
      <c r="I26" s="10"/>
    </row>
    <row r="27" spans="1:9" ht="15.75">
      <c r="A27" s="10"/>
      <c r="B27" s="10"/>
      <c r="C27" s="289" t="s">
        <v>478</v>
      </c>
      <c r="D27" s="403">
        <f>+CAPM!F33</f>
        <v>0.10200000000000001</v>
      </c>
      <c r="E27" s="420"/>
      <c r="F27" s="10"/>
      <c r="G27" s="10"/>
      <c r="H27" s="10"/>
      <c r="I27" s="10"/>
    </row>
    <row r="28" spans="1:9" ht="15.75">
      <c r="A28" s="10"/>
      <c r="B28" s="10"/>
      <c r="C28" s="289" t="s">
        <v>458</v>
      </c>
      <c r="D28" s="403">
        <f>+CAPM!F35</f>
        <v>0.10200000000000001</v>
      </c>
      <c r="E28" s="420"/>
      <c r="F28" s="10"/>
      <c r="G28" s="10"/>
      <c r="H28" s="10"/>
      <c r="I28" s="10"/>
    </row>
    <row r="29" spans="1:9" ht="15.75">
      <c r="A29" s="10"/>
      <c r="B29" s="10"/>
      <c r="C29" s="288" t="s">
        <v>445</v>
      </c>
      <c r="D29" s="403">
        <f>+CAPM!G42</f>
        <v>7.5453499999999993E-2</v>
      </c>
      <c r="E29" s="404"/>
      <c r="F29" s="10"/>
      <c r="G29" s="10"/>
      <c r="H29" s="10"/>
      <c r="I29" s="10"/>
    </row>
    <row r="30" spans="1:9" ht="15.75">
      <c r="A30" s="10"/>
      <c r="B30" s="10"/>
      <c r="C30" s="288" t="s">
        <v>446</v>
      </c>
      <c r="D30" s="403">
        <f>+CAPM!G43</f>
        <v>8.8450249999999994E-2</v>
      </c>
      <c r="E30" s="404"/>
      <c r="F30" s="10"/>
      <c r="G30" s="10"/>
      <c r="H30" s="10"/>
      <c r="I30" s="10"/>
    </row>
    <row r="31" spans="1:9" ht="15.75">
      <c r="A31" s="10"/>
      <c r="B31" s="10"/>
      <c r="C31" s="288" t="s">
        <v>479</v>
      </c>
      <c r="D31" s="403">
        <f>+CAPM!G45</f>
        <v>0.1012455</v>
      </c>
      <c r="E31" s="404"/>
      <c r="F31" s="10"/>
      <c r="G31" s="10"/>
      <c r="H31" s="10"/>
      <c r="I31" s="10"/>
    </row>
    <row r="32" spans="1:9" ht="15.75">
      <c r="A32" s="10"/>
      <c r="B32" s="10"/>
      <c r="C32" s="288" t="s">
        <v>491</v>
      </c>
      <c r="D32" s="403">
        <f>+CAPM!G46</f>
        <v>0.10033875</v>
      </c>
      <c r="E32" s="404"/>
      <c r="F32" s="10"/>
      <c r="G32" s="10"/>
      <c r="H32" s="10"/>
      <c r="I32" s="10"/>
    </row>
    <row r="33" spans="1:9" ht="15.75">
      <c r="A33" s="10"/>
      <c r="B33" s="10"/>
      <c r="C33" s="288" t="s">
        <v>480</v>
      </c>
      <c r="D33" s="403">
        <f>+CAPM!G47</f>
        <v>9.8625999999999991E-2</v>
      </c>
      <c r="E33" s="404"/>
      <c r="F33" s="10"/>
      <c r="G33" s="10"/>
      <c r="H33" s="10"/>
      <c r="I33" s="10"/>
    </row>
    <row r="34" spans="1:9" ht="15.75">
      <c r="A34" s="10"/>
      <c r="B34" s="10"/>
      <c r="C34" s="288" t="s">
        <v>481</v>
      </c>
      <c r="D34" s="403">
        <f>+CAPM!G48</f>
        <v>9.006225000000001E-2</v>
      </c>
      <c r="E34" s="404"/>
      <c r="F34" s="10"/>
      <c r="G34" s="10"/>
      <c r="H34" s="10"/>
      <c r="I34" s="10"/>
    </row>
    <row r="35" spans="1:9" ht="15.75">
      <c r="A35" s="10"/>
      <c r="B35" s="10"/>
      <c r="C35" s="288" t="s">
        <v>167</v>
      </c>
      <c r="D35" s="403">
        <f>+CAPM!G50</f>
        <v>8.7946499999999997E-2</v>
      </c>
      <c r="E35" s="404"/>
      <c r="F35" s="10"/>
      <c r="G35" s="10"/>
      <c r="H35" s="10"/>
      <c r="I35" s="10"/>
    </row>
    <row r="36" spans="1:9" ht="15.75">
      <c r="A36" s="10"/>
      <c r="B36" s="10"/>
      <c r="C36" s="288" t="s">
        <v>168</v>
      </c>
      <c r="D36" s="403">
        <f>+CAPM!G52</f>
        <v>9.781999999999999E-2</v>
      </c>
      <c r="E36" s="404"/>
      <c r="F36" s="10"/>
      <c r="G36" s="10"/>
      <c r="H36" s="10"/>
      <c r="I36" s="10"/>
    </row>
    <row r="37" spans="1:9" ht="15.75">
      <c r="A37" s="10"/>
      <c r="B37" s="10"/>
      <c r="C37" s="289" t="s">
        <v>169</v>
      </c>
      <c r="D37" s="403">
        <f>+CAPM!G54</f>
        <v>0.10467099999999999</v>
      </c>
      <c r="E37" s="404"/>
      <c r="F37" s="10"/>
      <c r="G37" s="10"/>
      <c r="H37" s="10"/>
      <c r="I37" s="10"/>
    </row>
    <row r="38" spans="1:9" ht="15.75">
      <c r="A38" s="10"/>
      <c r="B38" s="10"/>
      <c r="C38" s="288" t="s">
        <v>170</v>
      </c>
      <c r="D38" s="403">
        <f>+CAPM!G55</f>
        <v>9.1875750000000006E-2</v>
      </c>
      <c r="E38" s="404"/>
      <c r="F38" s="10"/>
      <c r="G38" s="10"/>
      <c r="H38" s="10"/>
      <c r="I38" s="10"/>
    </row>
    <row r="39" spans="1:9" ht="16.5" customHeight="1">
      <c r="A39" s="10"/>
      <c r="B39" s="10"/>
      <c r="C39" s="289" t="s">
        <v>482</v>
      </c>
      <c r="D39" s="403">
        <f>+CAPM!G57</f>
        <v>0.11363774999999998</v>
      </c>
      <c r="E39" s="404" t="s">
        <v>0</v>
      </c>
      <c r="F39" s="10"/>
      <c r="G39" s="10"/>
      <c r="H39" s="10"/>
      <c r="I39" s="10"/>
    </row>
    <row r="40" spans="1:9" ht="16.5" customHeight="1">
      <c r="A40" s="10"/>
      <c r="B40" s="10"/>
      <c r="C40" s="289" t="s">
        <v>483</v>
      </c>
      <c r="D40" s="403">
        <f>+CAPM!G58</f>
        <v>0.10537625</v>
      </c>
      <c r="E40" s="404"/>
      <c r="F40" s="10"/>
      <c r="G40" s="10"/>
      <c r="H40" s="10"/>
      <c r="I40" s="10"/>
    </row>
    <row r="41" spans="1:9" ht="18.75" customHeight="1">
      <c r="A41" s="10"/>
      <c r="B41" s="10"/>
      <c r="C41" s="289" t="s">
        <v>484</v>
      </c>
      <c r="D41" s="403">
        <f>+CAPM!G59</f>
        <v>0.10185</v>
      </c>
      <c r="E41" s="405"/>
      <c r="F41" s="10"/>
      <c r="G41" s="10"/>
      <c r="H41" s="10"/>
      <c r="I41" s="10"/>
    </row>
    <row r="42" spans="1:9" ht="18.75" customHeight="1">
      <c r="A42" s="10"/>
      <c r="B42" s="10"/>
      <c r="C42" s="443" t="s">
        <v>457</v>
      </c>
      <c r="D42" s="444">
        <f>+CAPM!G61</f>
        <v>0.10185</v>
      </c>
      <c r="E42" s="405"/>
      <c r="F42" s="10"/>
      <c r="G42" s="10"/>
      <c r="H42" s="10"/>
      <c r="I42" s="10"/>
    </row>
    <row r="43" spans="1:9" ht="21.75" customHeight="1">
      <c r="A43" s="10"/>
      <c r="B43" s="10"/>
      <c r="C43" s="290" t="s">
        <v>245</v>
      </c>
      <c r="D43" s="222">
        <f>+'Single Stage Div Growth Model'!I28</f>
        <v>0.1038</v>
      </c>
      <c r="G43" s="10"/>
      <c r="H43" s="10"/>
      <c r="I43" s="10"/>
    </row>
    <row r="44" spans="1:9" ht="21.75" customHeight="1">
      <c r="A44" s="10"/>
      <c r="B44" s="10"/>
      <c r="C44" s="290" t="s">
        <v>244</v>
      </c>
      <c r="D44" s="222">
        <f>+'Single Stage Div Growth Model'!I30</f>
        <v>0.1108</v>
      </c>
      <c r="G44" s="10"/>
      <c r="H44" s="10"/>
      <c r="I44" s="10"/>
    </row>
    <row r="45" spans="1:9" ht="21.75" customHeight="1">
      <c r="A45" s="10"/>
      <c r="B45" s="10"/>
      <c r="C45" s="421" t="s">
        <v>246</v>
      </c>
      <c r="D45" s="422">
        <f>+'Two-Stage Div Growth Model'!H32</f>
        <v>9.4700000000000006E-2</v>
      </c>
      <c r="G45" s="79" t="s">
        <v>0</v>
      </c>
      <c r="H45" s="10"/>
      <c r="I45" s="10"/>
    </row>
    <row r="46" spans="1:9" ht="21.75" customHeight="1">
      <c r="A46" s="10"/>
      <c r="B46" s="10"/>
      <c r="C46" s="399" t="s">
        <v>373</v>
      </c>
      <c r="D46" s="400">
        <f>+'Direct NOPAT'!G55</f>
        <v>7.5800000000000006E-2</v>
      </c>
      <c r="E46" s="423" t="s">
        <v>0</v>
      </c>
      <c r="F46" s="10"/>
      <c r="G46" s="10"/>
      <c r="H46" s="10"/>
      <c r="I46" s="10"/>
    </row>
    <row r="47" spans="1:9" ht="15.75" thickBot="1">
      <c r="A47" s="10"/>
      <c r="B47" s="10"/>
      <c r="C47" s="10"/>
      <c r="D47" s="67"/>
      <c r="E47" s="10"/>
      <c r="F47" s="10"/>
      <c r="G47" s="10"/>
      <c r="H47" s="10"/>
      <c r="I47" s="10"/>
    </row>
    <row r="48" spans="1:9" ht="15.75" thickTop="1">
      <c r="A48" s="10"/>
      <c r="B48" s="10"/>
      <c r="C48" s="12" t="s">
        <v>47</v>
      </c>
      <c r="D48" s="50">
        <v>0.1138</v>
      </c>
      <c r="E48" s="152"/>
      <c r="F48" s="10"/>
      <c r="G48" s="10"/>
      <c r="H48" s="10"/>
      <c r="I48" s="10"/>
    </row>
    <row r="49" spans="1:9">
      <c r="A49" s="10"/>
      <c r="B49" s="10"/>
      <c r="C49" s="12" t="s">
        <v>48</v>
      </c>
      <c r="D49" s="350">
        <v>7.5800000000000006E-2</v>
      </c>
      <c r="E49" s="10"/>
      <c r="F49" s="10"/>
      <c r="G49" s="50"/>
      <c r="H49" s="50"/>
      <c r="I49" s="50"/>
    </row>
    <row r="50" spans="1:9">
      <c r="A50" s="10"/>
      <c r="B50" s="10"/>
      <c r="C50" s="12" t="s">
        <v>18</v>
      </c>
      <c r="D50" s="79">
        <f>MEDIAN(D15:D45)</f>
        <v>0.10033875</v>
      </c>
      <c r="E50" s="79"/>
      <c r="F50" s="79"/>
      <c r="G50" s="79"/>
      <c r="H50" s="79"/>
      <c r="I50" s="79"/>
    </row>
    <row r="51" spans="1:9">
      <c r="A51" s="10"/>
      <c r="B51" s="10"/>
      <c r="C51" s="12" t="s">
        <v>448</v>
      </c>
      <c r="D51" s="80">
        <f>AVERAGE(D15:D45)</f>
        <v>9.7730370967741925E-2</v>
      </c>
      <c r="E51" s="80"/>
      <c r="F51" s="80"/>
      <c r="G51" s="80"/>
      <c r="H51" s="80"/>
      <c r="I51" s="80"/>
    </row>
    <row r="52" spans="1:9">
      <c r="A52" s="10"/>
      <c r="B52" s="10"/>
      <c r="C52" s="12" t="s">
        <v>449</v>
      </c>
      <c r="D52" s="80">
        <f>HARMEAN(D15:D45)</f>
        <v>9.6808258434802383E-2</v>
      </c>
      <c r="E52" s="10"/>
      <c r="F52" s="10"/>
      <c r="G52" s="10"/>
      <c r="H52" s="10"/>
      <c r="I52" s="10"/>
    </row>
    <row r="53" spans="1:9" ht="15.75" thickBot="1">
      <c r="A53" s="10"/>
      <c r="B53" s="10"/>
      <c r="C53" s="12"/>
      <c r="D53" s="80"/>
      <c r="E53" s="10"/>
      <c r="F53" s="10"/>
      <c r="G53" s="10"/>
      <c r="H53" s="10"/>
      <c r="I53" s="10"/>
    </row>
    <row r="54" spans="1:9" ht="21" thickBot="1">
      <c r="A54" s="10"/>
      <c r="B54" s="10"/>
      <c r="C54" s="212" t="s">
        <v>254</v>
      </c>
      <c r="D54" s="445">
        <v>9.7699999999999995E-2</v>
      </c>
      <c r="E54" s="81"/>
      <c r="F54" s="81"/>
    </row>
    <row r="55" spans="1:9">
      <c r="A55" s="10"/>
      <c r="B55" s="10"/>
      <c r="C55" s="10"/>
      <c r="D55" s="10"/>
      <c r="E55" s="10"/>
      <c r="F55" s="10"/>
    </row>
    <row r="56" spans="1:9" ht="15.75">
      <c r="A56" s="104" t="s">
        <v>0</v>
      </c>
      <c r="B56" s="10"/>
      <c r="C56" s="10"/>
      <c r="D56" s="10"/>
      <c r="E56" s="10"/>
      <c r="F56" s="10"/>
      <c r="G56" s="10"/>
      <c r="H56" s="10"/>
      <c r="I56" s="10"/>
    </row>
    <row r="57" spans="1:9">
      <c r="A57" s="10"/>
      <c r="B57" s="10"/>
      <c r="C57" s="10"/>
      <c r="D57" s="10"/>
      <c r="E57" s="10"/>
      <c r="F57" s="10"/>
      <c r="G57" s="10"/>
      <c r="H57" s="10"/>
      <c r="I57" s="10"/>
    </row>
    <row r="58" spans="1:9">
      <c r="A58" s="10"/>
      <c r="B58" s="10"/>
      <c r="C58" s="10"/>
      <c r="D58" s="10"/>
      <c r="E58" s="10"/>
      <c r="F58" s="10"/>
      <c r="G58" s="10"/>
      <c r="H58" s="10"/>
      <c r="I58" s="10"/>
    </row>
    <row r="59" spans="1:9">
      <c r="A59" s="10"/>
      <c r="B59" s="10"/>
      <c r="C59" s="10"/>
      <c r="D59" s="10"/>
      <c r="E59" s="10"/>
      <c r="F59" s="10"/>
      <c r="G59" s="10"/>
      <c r="H59" s="10"/>
      <c r="I59" s="10"/>
    </row>
    <row r="60" spans="1:9">
      <c r="A60" s="10"/>
      <c r="B60" s="10"/>
      <c r="C60" s="10"/>
      <c r="D60" s="10"/>
      <c r="E60" s="10"/>
      <c r="F60" s="10"/>
      <c r="G60" s="10"/>
      <c r="H60" s="10"/>
      <c r="I60" s="10"/>
    </row>
    <row r="61" spans="1:9">
      <c r="A61" s="10"/>
      <c r="B61" s="10"/>
      <c r="C61" s="10"/>
      <c r="D61" s="10" t="s">
        <v>0</v>
      </c>
      <c r="E61" s="10"/>
      <c r="F61" s="10"/>
      <c r="G61" s="10"/>
      <c r="H61" s="10"/>
      <c r="I61" s="10"/>
    </row>
    <row r="62" spans="1:9">
      <c r="A62" s="10"/>
      <c r="B62" s="10"/>
      <c r="C62" s="10"/>
      <c r="D62" s="10" t="s">
        <v>0</v>
      </c>
      <c r="E62" s="10"/>
      <c r="F62" s="10"/>
      <c r="G62" s="10"/>
      <c r="H62" s="10"/>
      <c r="I62" s="10"/>
    </row>
    <row r="63" spans="1:9">
      <c r="A63" s="10"/>
      <c r="B63" s="10"/>
      <c r="C63" s="10"/>
      <c r="D63" s="10"/>
      <c r="E63" s="10"/>
      <c r="F63" s="10"/>
      <c r="G63" s="10"/>
      <c r="H63" s="10"/>
      <c r="I63" s="10"/>
    </row>
    <row r="64" spans="1:9">
      <c r="A64" s="10"/>
      <c r="B64" s="10"/>
      <c r="C64" s="10"/>
      <c r="D64" s="10"/>
      <c r="E64" s="10"/>
      <c r="F64" s="10"/>
      <c r="G64" s="10"/>
      <c r="H64" s="10"/>
      <c r="I64" s="10"/>
    </row>
    <row r="65" spans="1:9">
      <c r="A65" s="10"/>
      <c r="B65" s="10"/>
      <c r="C65" s="10"/>
      <c r="D65" s="10"/>
      <c r="E65" s="10"/>
      <c r="F65" s="10"/>
      <c r="G65" s="10"/>
      <c r="H65" s="10"/>
      <c r="I65" s="10"/>
    </row>
    <row r="66" spans="1:9">
      <c r="A66" s="10"/>
      <c r="B66" s="10"/>
      <c r="C66" s="10"/>
      <c r="D66" s="10"/>
      <c r="E66" s="10"/>
      <c r="F66" s="10"/>
      <c r="G66" s="10"/>
      <c r="H66" s="10"/>
      <c r="I66" s="10"/>
    </row>
    <row r="67" spans="1:9">
      <c r="A67" s="10"/>
      <c r="B67" s="10"/>
      <c r="C67" s="10"/>
      <c r="D67" s="10"/>
      <c r="E67" s="10"/>
      <c r="F67" s="10"/>
      <c r="G67" s="10"/>
      <c r="H67" s="10"/>
      <c r="I67" s="10"/>
    </row>
    <row r="68" spans="1:9">
      <c r="A68" s="10"/>
      <c r="B68" s="10"/>
      <c r="C68" s="10"/>
      <c r="D68" s="10"/>
      <c r="E68" s="10"/>
      <c r="F68" s="10"/>
      <c r="G68" s="10"/>
      <c r="H68" s="10"/>
      <c r="I68" s="10"/>
    </row>
    <row r="69" spans="1:9">
      <c r="A69" s="10"/>
      <c r="B69" s="10"/>
      <c r="C69" s="10"/>
      <c r="D69" s="10"/>
      <c r="E69" s="10"/>
      <c r="F69" s="10"/>
      <c r="G69" s="10"/>
      <c r="H69" s="10"/>
      <c r="I69" s="10"/>
    </row>
    <row r="70" spans="1:9">
      <c r="A70" s="10"/>
      <c r="B70" s="10"/>
      <c r="C70" s="10"/>
      <c r="D70" s="10"/>
      <c r="E70" s="10"/>
      <c r="F70" s="10"/>
      <c r="G70" s="10"/>
      <c r="H70" s="10"/>
      <c r="I70" s="10"/>
    </row>
    <row r="71" spans="1:9">
      <c r="A71" s="10"/>
      <c r="B71" s="10"/>
      <c r="C71" s="10"/>
      <c r="D71" s="10"/>
      <c r="E71" s="10"/>
      <c r="F71" s="10"/>
      <c r="G71" s="10"/>
      <c r="H71" s="10"/>
      <c r="I71" s="10"/>
    </row>
    <row r="72" spans="1:9">
      <c r="A72" s="10"/>
      <c r="B72" s="10"/>
      <c r="C72" s="10"/>
      <c r="D72" s="10"/>
      <c r="E72" s="10"/>
      <c r="F72" s="10"/>
      <c r="G72" s="10"/>
      <c r="H72" s="10"/>
      <c r="I72" s="10"/>
    </row>
    <row r="73" spans="1:9">
      <c r="A73" s="10"/>
      <c r="B73" s="10"/>
      <c r="C73" s="10"/>
      <c r="D73" s="10"/>
      <c r="E73" s="10"/>
      <c r="F73" s="10"/>
      <c r="G73" s="10"/>
      <c r="H73" s="10"/>
      <c r="I73" s="10"/>
    </row>
    <row r="74" spans="1:9">
      <c r="A74" s="10"/>
      <c r="B74" s="10"/>
      <c r="C74" s="10"/>
      <c r="D74" s="10"/>
      <c r="E74" s="10"/>
      <c r="F74" s="10"/>
      <c r="G74" s="10"/>
      <c r="H74" s="10"/>
      <c r="I74" s="10"/>
    </row>
    <row r="75" spans="1:9">
      <c r="A75" s="10"/>
      <c r="B75" s="10"/>
      <c r="C75" s="10"/>
      <c r="D75" s="10"/>
      <c r="E75" s="10"/>
      <c r="F75" s="10"/>
      <c r="G75" s="10"/>
      <c r="H75" s="10"/>
      <c r="I75" s="10"/>
    </row>
    <row r="76" spans="1:9">
      <c r="A76" s="10"/>
      <c r="B76" s="10"/>
      <c r="C76" s="10"/>
      <c r="D76" s="10"/>
      <c r="E76" s="10"/>
      <c r="F76" s="10"/>
      <c r="G76" s="10"/>
      <c r="H76" s="10"/>
      <c r="I76" s="10"/>
    </row>
    <row r="77" spans="1:9">
      <c r="A77" s="10"/>
      <c r="B77" s="10"/>
      <c r="C77" s="10"/>
      <c r="D77" s="10"/>
      <c r="E77" s="10"/>
      <c r="F77" s="10"/>
      <c r="G77" s="10"/>
      <c r="H77" s="10"/>
      <c r="I77" s="10"/>
    </row>
    <row r="78" spans="1:9">
      <c r="A78" s="10"/>
      <c r="B78" s="10"/>
      <c r="C78" s="10"/>
      <c r="D78" s="10"/>
      <c r="E78" s="10"/>
      <c r="F78" s="10"/>
      <c r="G78" s="10"/>
      <c r="H78" s="10"/>
      <c r="I78" s="10"/>
    </row>
    <row r="79" spans="1:9">
      <c r="A79" s="10"/>
      <c r="B79" s="10"/>
      <c r="C79" s="10"/>
      <c r="D79" s="10"/>
      <c r="E79" s="10"/>
      <c r="F79" s="10"/>
      <c r="G79" s="10"/>
      <c r="H79" s="10"/>
      <c r="I79" s="10"/>
    </row>
    <row r="80" spans="1:9">
      <c r="A80" s="10"/>
      <c r="B80" s="10"/>
      <c r="C80" s="10"/>
      <c r="D80" s="10"/>
      <c r="E80" s="10"/>
      <c r="F80" s="10"/>
      <c r="G80" s="10"/>
      <c r="H80" s="10"/>
      <c r="I80" s="10"/>
    </row>
    <row r="81" spans="1:9">
      <c r="A81" s="10"/>
      <c r="B81" s="10"/>
      <c r="C81" s="10"/>
      <c r="D81" s="10"/>
      <c r="E81" s="10"/>
      <c r="F81" s="10"/>
      <c r="G81" s="10"/>
      <c r="H81" s="10"/>
      <c r="I81" s="10"/>
    </row>
    <row r="82" spans="1:9">
      <c r="A82" s="10"/>
      <c r="B82" s="10"/>
      <c r="C82" s="10"/>
      <c r="D82" s="10"/>
      <c r="E82" s="10"/>
      <c r="F82" s="10"/>
      <c r="G82" s="10"/>
      <c r="H82" s="10"/>
      <c r="I82" s="10"/>
    </row>
    <row r="83" spans="1:9">
      <c r="A83" s="10"/>
      <c r="B83" s="10"/>
      <c r="C83" s="10"/>
      <c r="D83" s="10"/>
      <c r="E83" s="10"/>
      <c r="F83" s="10"/>
      <c r="G83" s="10"/>
      <c r="H83" s="10"/>
      <c r="I83" s="10"/>
    </row>
    <row r="84" spans="1:9">
      <c r="A84" s="10"/>
      <c r="B84" s="10"/>
      <c r="C84" s="10"/>
      <c r="D84" s="10"/>
      <c r="E84" s="10"/>
      <c r="F84" s="10"/>
      <c r="G84" s="10"/>
      <c r="H84" s="10"/>
      <c r="I84" s="10"/>
    </row>
    <row r="85" spans="1:9">
      <c r="A85" s="10"/>
      <c r="B85" s="10"/>
      <c r="C85" s="10"/>
      <c r="D85" s="10"/>
      <c r="E85" s="10"/>
      <c r="F85" s="10"/>
      <c r="G85" s="10"/>
      <c r="H85" s="10"/>
      <c r="I85" s="10"/>
    </row>
    <row r="86" spans="1:9">
      <c r="A86" s="10"/>
      <c r="B86" s="10"/>
      <c r="C86" s="10"/>
      <c r="D86" s="10"/>
      <c r="E86" s="10"/>
      <c r="F86" s="10"/>
      <c r="G86" s="10"/>
      <c r="H86" s="10"/>
      <c r="I86" s="10"/>
    </row>
    <row r="87" spans="1:9">
      <c r="A87" s="10"/>
      <c r="B87" s="10"/>
      <c r="C87" s="10"/>
      <c r="D87" s="10"/>
      <c r="E87" s="10"/>
      <c r="F87" s="10"/>
      <c r="G87" s="10"/>
      <c r="H87" s="10"/>
      <c r="I87" s="10"/>
    </row>
    <row r="88" spans="1:9">
      <c r="A88" s="10"/>
      <c r="B88" s="10"/>
      <c r="C88" s="10"/>
      <c r="D88" s="10"/>
      <c r="E88" s="10"/>
      <c r="F88" s="10"/>
      <c r="G88" s="10"/>
      <c r="H88" s="10"/>
      <c r="I88" s="10"/>
    </row>
    <row r="89" spans="1:9">
      <c r="A89" s="10"/>
      <c r="B89" s="10"/>
      <c r="C89" s="10"/>
      <c r="D89" s="10"/>
      <c r="E89" s="10"/>
      <c r="F89" s="10"/>
      <c r="G89" s="10"/>
      <c r="H89" s="10"/>
      <c r="I89" s="10"/>
    </row>
    <row r="90" spans="1:9">
      <c r="A90" s="10"/>
      <c r="B90" s="10"/>
      <c r="C90" s="10"/>
      <c r="D90" s="10"/>
      <c r="E90" s="10"/>
      <c r="F90" s="10"/>
      <c r="G90" s="10"/>
      <c r="H90" s="10"/>
      <c r="I90" s="10"/>
    </row>
    <row r="91" spans="1:9">
      <c r="A91" s="10"/>
      <c r="B91" s="10"/>
      <c r="C91" s="10"/>
      <c r="D91" s="10"/>
      <c r="E91" s="10"/>
      <c r="F91" s="10"/>
      <c r="G91" s="10"/>
      <c r="H91" s="10"/>
      <c r="I91" s="10"/>
    </row>
    <row r="92" spans="1:9">
      <c r="A92" s="10"/>
      <c r="B92" s="10"/>
      <c r="C92" s="10"/>
      <c r="D92" s="10"/>
      <c r="E92" s="10"/>
      <c r="F92" s="10"/>
      <c r="G92" s="10"/>
      <c r="H92" s="10"/>
      <c r="I92" s="10"/>
    </row>
    <row r="93" spans="1:9">
      <c r="A93" s="10"/>
      <c r="B93" s="10"/>
      <c r="C93" s="10"/>
      <c r="D93" s="10"/>
      <c r="E93" s="10"/>
      <c r="F93" s="10"/>
      <c r="G93" s="10"/>
      <c r="H93" s="10"/>
      <c r="I93" s="10"/>
    </row>
    <row r="94" spans="1:9">
      <c r="A94" s="10"/>
      <c r="B94" s="10"/>
      <c r="C94" s="10"/>
      <c r="D94" s="10"/>
      <c r="E94" s="10"/>
      <c r="F94" s="10"/>
      <c r="G94" s="10"/>
      <c r="H94" s="10"/>
      <c r="I94" s="10"/>
    </row>
    <row r="95" spans="1:9">
      <c r="A95" s="10"/>
      <c r="B95" s="10"/>
      <c r="C95" s="10"/>
      <c r="D95" s="10"/>
      <c r="E95" s="10"/>
      <c r="F95" s="10"/>
      <c r="G95" s="10"/>
      <c r="H95" s="10"/>
      <c r="I95" s="10"/>
    </row>
    <row r="96" spans="1:9">
      <c r="A96" s="10"/>
      <c r="B96" s="10"/>
      <c r="C96" s="10"/>
      <c r="D96" s="10"/>
      <c r="E96" s="10"/>
      <c r="F96" s="10"/>
      <c r="G96" s="10"/>
      <c r="H96" s="10"/>
      <c r="I96" s="10"/>
    </row>
    <row r="97" spans="1:9">
      <c r="A97" s="10"/>
      <c r="B97" s="10"/>
      <c r="C97" s="10"/>
      <c r="D97" s="10"/>
      <c r="E97" s="10"/>
      <c r="F97" s="10"/>
      <c r="G97" s="10"/>
      <c r="H97" s="10"/>
      <c r="I97" s="10"/>
    </row>
    <row r="98" spans="1:9">
      <c r="A98" s="10"/>
      <c r="B98" s="10"/>
      <c r="C98" s="10"/>
      <c r="D98" s="10"/>
      <c r="E98" s="10"/>
      <c r="F98" s="10"/>
      <c r="G98" s="10"/>
      <c r="H98" s="10"/>
      <c r="I98" s="10"/>
    </row>
    <row r="99" spans="1:9">
      <c r="A99" s="10"/>
      <c r="B99" s="10"/>
      <c r="C99" s="10"/>
      <c r="D99" s="10"/>
      <c r="E99" s="10"/>
      <c r="F99" s="10"/>
      <c r="G99" s="10"/>
      <c r="H99" s="10"/>
      <c r="I99" s="10"/>
    </row>
    <row r="100" spans="1:9">
      <c r="A100" s="10"/>
      <c r="B100" s="10"/>
      <c r="C100" s="10"/>
      <c r="D100" s="10"/>
      <c r="E100" s="10"/>
      <c r="F100" s="10"/>
      <c r="G100" s="10"/>
      <c r="H100" s="10"/>
      <c r="I100" s="10"/>
    </row>
    <row r="101" spans="1:9">
      <c r="A101" s="10"/>
      <c r="B101" s="10"/>
      <c r="C101" s="10"/>
      <c r="D101" s="10"/>
      <c r="E101" s="10"/>
      <c r="F101" s="10"/>
      <c r="G101" s="10"/>
      <c r="H101" s="10"/>
      <c r="I101" s="10"/>
    </row>
    <row r="102" spans="1:9">
      <c r="A102" s="10"/>
      <c r="B102" s="10"/>
      <c r="C102" s="10"/>
      <c r="D102" s="10"/>
      <c r="E102" s="10"/>
      <c r="F102" s="10"/>
      <c r="G102" s="10"/>
      <c r="H102" s="10"/>
      <c r="I102" s="10"/>
    </row>
    <row r="103" spans="1:9">
      <c r="A103" s="10"/>
      <c r="B103" s="10"/>
      <c r="C103" s="10"/>
      <c r="D103" s="10"/>
      <c r="E103" s="10"/>
      <c r="F103" s="10"/>
      <c r="G103" s="10"/>
      <c r="H103" s="10"/>
      <c r="I103" s="10"/>
    </row>
    <row r="104" spans="1:9">
      <c r="A104" s="10"/>
      <c r="B104" s="10"/>
      <c r="C104" s="10"/>
      <c r="D104" s="10"/>
      <c r="E104" s="10"/>
      <c r="F104" s="10"/>
      <c r="G104" s="10"/>
      <c r="H104" s="10"/>
      <c r="I104" s="10"/>
    </row>
    <row r="105" spans="1:9">
      <c r="A105" s="10"/>
      <c r="B105" s="10"/>
      <c r="C105" s="10"/>
      <c r="D105" s="10"/>
      <c r="E105" s="10"/>
      <c r="F105" s="10"/>
      <c r="G105" s="10"/>
      <c r="H105" s="10"/>
      <c r="I105" s="10"/>
    </row>
    <row r="106" spans="1:9">
      <c r="A106" s="10"/>
      <c r="B106" s="10"/>
      <c r="C106" s="10"/>
      <c r="D106" s="10"/>
      <c r="E106" s="10"/>
      <c r="F106" s="10"/>
      <c r="G106" s="10"/>
      <c r="H106" s="10"/>
      <c r="I106" s="10"/>
    </row>
    <row r="107" spans="1:9">
      <c r="A107" s="10"/>
      <c r="B107" s="10"/>
      <c r="C107" s="10"/>
      <c r="D107" s="10"/>
      <c r="E107" s="10"/>
      <c r="F107" s="10"/>
      <c r="G107" s="10"/>
      <c r="H107" s="10"/>
      <c r="I107" s="10"/>
    </row>
  </sheetData>
  <pageMargins left="0.25" right="0.25" top="0.75" bottom="0.75" header="0.3" footer="0.3"/>
  <pageSetup scale="4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85D29-F7AC-49AA-AB69-67F9FC9054F9}">
  <sheetPr>
    <tabColor rgb="FF92D050"/>
    <pageSetUpPr fitToPage="1"/>
  </sheetPr>
  <dimension ref="A1:J84"/>
  <sheetViews>
    <sheetView view="pageBreakPreview" topLeftCell="A13" zoomScale="60" zoomScaleNormal="80" workbookViewId="0">
      <selection activeCell="B52" sqref="B52"/>
    </sheetView>
  </sheetViews>
  <sheetFormatPr defaultRowHeight="15"/>
  <cols>
    <col min="1" max="1" width="74.5703125" customWidth="1"/>
    <col min="2" max="2" width="21.7109375" customWidth="1"/>
    <col min="3" max="3" width="24.5703125" customWidth="1"/>
    <col min="4" max="4" width="29.42578125" customWidth="1"/>
    <col min="5" max="5" width="30.5703125" customWidth="1"/>
    <col min="6" max="6" width="32.140625" customWidth="1"/>
    <col min="7" max="7" width="27" customWidth="1"/>
    <col min="8" max="8" width="13.7109375" customWidth="1"/>
    <col min="9" max="9" width="13.85546875" customWidth="1"/>
    <col min="10" max="11" width="14.140625" bestFit="1" customWidth="1"/>
  </cols>
  <sheetData>
    <row r="1" spans="1:10" ht="20.25">
      <c r="A1" s="21" t="s">
        <v>1</v>
      </c>
      <c r="B1" s="21"/>
      <c r="C1" s="21"/>
      <c r="D1" s="10"/>
      <c r="E1" s="10"/>
      <c r="F1" s="10"/>
      <c r="G1" s="10"/>
      <c r="H1" s="10"/>
      <c r="I1" s="10"/>
      <c r="J1" s="10"/>
    </row>
    <row r="2" spans="1:10" ht="15.75">
      <c r="A2" s="22" t="s">
        <v>9</v>
      </c>
      <c r="B2" s="22"/>
      <c r="C2" s="22"/>
      <c r="D2" s="10"/>
      <c r="E2" s="10"/>
      <c r="F2" s="10"/>
      <c r="G2" s="10"/>
      <c r="H2" s="10"/>
      <c r="I2" s="10"/>
      <c r="J2" s="10"/>
    </row>
    <row r="3" spans="1:10">
      <c r="A3" s="23" t="s">
        <v>64</v>
      </c>
      <c r="B3" s="23"/>
      <c r="C3" s="23"/>
      <c r="D3" s="10"/>
      <c r="E3" s="10"/>
      <c r="F3" s="10"/>
      <c r="G3" s="10"/>
      <c r="H3" s="10"/>
      <c r="I3" s="10"/>
      <c r="J3" s="10"/>
    </row>
    <row r="4" spans="1:10">
      <c r="A4" s="23"/>
      <c r="B4" s="23"/>
      <c r="C4" s="23"/>
      <c r="D4" s="10"/>
      <c r="E4" s="10"/>
      <c r="F4" s="10"/>
      <c r="G4" s="10"/>
      <c r="H4" s="10"/>
      <c r="I4" s="10"/>
      <c r="J4" s="10"/>
    </row>
    <row r="5" spans="1:10" ht="15.75" thickBot="1">
      <c r="A5" s="10"/>
      <c r="B5" s="10"/>
      <c r="C5" s="10"/>
      <c r="D5" s="10"/>
      <c r="E5" s="10"/>
      <c r="F5" s="10"/>
      <c r="G5" s="10"/>
      <c r="H5" s="24" t="s">
        <v>0</v>
      </c>
      <c r="I5" s="24"/>
      <c r="J5" s="10"/>
    </row>
    <row r="6" spans="1:10" ht="18.75" thickBot="1">
      <c r="A6" s="25" t="str">
        <f>+'S&amp;D'!A12</f>
        <v>Railroad Carriers</v>
      </c>
      <c r="B6" s="10"/>
      <c r="C6" s="10"/>
      <c r="D6" s="26"/>
      <c r="E6" s="26"/>
      <c r="F6" s="26"/>
      <c r="G6" s="10"/>
      <c r="H6" s="10"/>
      <c r="I6" s="10"/>
      <c r="J6" s="10"/>
    </row>
    <row r="7" spans="1:10" ht="20.25">
      <c r="B7" s="28"/>
      <c r="C7" s="28"/>
      <c r="D7" s="10"/>
      <c r="E7" s="29" t="s">
        <v>215</v>
      </c>
      <c r="F7" s="10"/>
      <c r="G7" s="10"/>
      <c r="H7" s="10"/>
      <c r="I7" s="10"/>
      <c r="J7" s="10"/>
    </row>
    <row r="8" spans="1:10" ht="18.75" thickBot="1">
      <c r="A8" s="28"/>
      <c r="B8" s="28"/>
      <c r="C8" s="28"/>
      <c r="D8" s="26"/>
      <c r="E8" s="34" t="s">
        <v>78</v>
      </c>
      <c r="F8" s="26"/>
      <c r="G8" s="10"/>
      <c r="H8" s="10"/>
      <c r="I8" s="10"/>
      <c r="J8" s="10"/>
    </row>
    <row r="9" spans="1:10" ht="18">
      <c r="A9" s="28"/>
      <c r="B9" s="28"/>
      <c r="C9" s="28"/>
      <c r="D9" s="10"/>
      <c r="E9" s="32"/>
      <c r="F9" s="10"/>
      <c r="G9" s="10"/>
      <c r="H9" s="10"/>
      <c r="I9" s="10"/>
      <c r="J9" s="10"/>
    </row>
    <row r="10" spans="1:10" ht="18">
      <c r="A10" s="28"/>
      <c r="B10" s="28"/>
      <c r="H10" s="10"/>
      <c r="I10" s="10"/>
      <c r="J10" s="10"/>
    </row>
    <row r="11" spans="1:10" ht="18">
      <c r="A11" s="28"/>
      <c r="B11" s="28"/>
      <c r="H11" s="10"/>
      <c r="I11" s="10"/>
      <c r="J11" s="10"/>
    </row>
    <row r="12" spans="1:10" ht="30" customHeight="1" thickBot="1">
      <c r="A12" s="28"/>
      <c r="B12" s="28"/>
      <c r="C12" t="s">
        <v>0</v>
      </c>
      <c r="H12" s="10"/>
      <c r="I12" s="10"/>
      <c r="J12" s="10"/>
    </row>
    <row r="13" spans="1:10" ht="26.25" customHeight="1" thickBot="1">
      <c r="A13" s="164" t="s">
        <v>232</v>
      </c>
      <c r="B13" s="10" t="s">
        <v>0</v>
      </c>
      <c r="C13" s="10"/>
      <c r="D13" s="10"/>
      <c r="E13" s="10"/>
      <c r="F13" s="10"/>
      <c r="G13" s="10"/>
      <c r="H13" s="10"/>
      <c r="I13" s="10"/>
      <c r="J13" s="10"/>
    </row>
    <row r="14" spans="1:10" ht="42" customHeight="1" thickBot="1">
      <c r="A14" s="163" t="s">
        <v>230</v>
      </c>
      <c r="B14" s="162" t="s">
        <v>221</v>
      </c>
      <c r="C14" s="161" t="s">
        <v>233</v>
      </c>
      <c r="D14" s="162" t="s">
        <v>223</v>
      </c>
      <c r="E14" s="162" t="s">
        <v>439</v>
      </c>
      <c r="F14" s="160" t="s">
        <v>222</v>
      </c>
      <c r="G14" s="10"/>
      <c r="H14" s="10"/>
      <c r="I14" s="10"/>
      <c r="J14" s="10"/>
    </row>
    <row r="15" spans="1:10">
      <c r="A15" s="157"/>
      <c r="B15" s="110"/>
      <c r="C15" s="110"/>
      <c r="D15" s="110"/>
      <c r="E15" s="110"/>
      <c r="F15" s="158"/>
      <c r="G15" s="10"/>
      <c r="H15" s="10"/>
      <c r="I15" s="10"/>
      <c r="J15" s="10"/>
    </row>
    <row r="16" spans="1:10" ht="15.75">
      <c r="A16" s="205" t="s">
        <v>441</v>
      </c>
      <c r="B16" s="218">
        <v>3.3799999999999997E-2</v>
      </c>
      <c r="C16" s="215">
        <f>+'Beta for CAPM'!I29</f>
        <v>1.01</v>
      </c>
      <c r="D16" s="206">
        <f>+B16*C16</f>
        <v>3.4137999999999995E-2</v>
      </c>
      <c r="E16" s="206">
        <v>4.1399999999999999E-2</v>
      </c>
      <c r="F16" s="207">
        <f>+D16+E16</f>
        <v>7.5537999999999994E-2</v>
      </c>
      <c r="G16" s="10"/>
      <c r="H16" s="10"/>
      <c r="I16" s="10"/>
      <c r="J16" s="10"/>
    </row>
    <row r="17" spans="1:10" ht="15.75">
      <c r="A17" s="205" t="s">
        <v>442</v>
      </c>
      <c r="B17" s="218">
        <v>4.6699999999999998E-2</v>
      </c>
      <c r="C17" s="215">
        <f>+C16</f>
        <v>1.01</v>
      </c>
      <c r="D17" s="206">
        <f>+B17*C17</f>
        <v>4.7167000000000001E-2</v>
      </c>
      <c r="E17" s="206">
        <v>4.1399999999999999E-2</v>
      </c>
      <c r="F17" s="207">
        <f>+D17+E17</f>
        <v>8.8567000000000007E-2</v>
      </c>
      <c r="G17" s="10"/>
      <c r="H17" s="10"/>
      <c r="I17" s="10"/>
      <c r="J17" s="10"/>
    </row>
    <row r="18" spans="1:10" ht="15.75">
      <c r="A18" s="208"/>
      <c r="B18" s="104"/>
      <c r="C18" s="104"/>
      <c r="D18" s="104"/>
      <c r="E18" s="104"/>
      <c r="F18" s="209"/>
      <c r="G18" s="10"/>
      <c r="H18" s="10"/>
      <c r="I18" s="10"/>
      <c r="J18" s="10"/>
    </row>
    <row r="19" spans="1:10" ht="15.75">
      <c r="A19" s="205" t="s">
        <v>467</v>
      </c>
      <c r="B19" s="218">
        <v>5.9400000000000001E-2</v>
      </c>
      <c r="C19" s="215">
        <f>+C16</f>
        <v>1.01</v>
      </c>
      <c r="D19" s="206">
        <f>+B19*C19</f>
        <v>5.9993999999999999E-2</v>
      </c>
      <c r="E19" s="206">
        <v>4.1399999999999999E-2</v>
      </c>
      <c r="F19" s="207">
        <f>+D19+E19</f>
        <v>0.101394</v>
      </c>
      <c r="G19" s="10"/>
      <c r="H19" s="10"/>
      <c r="I19" s="10"/>
      <c r="J19" s="10"/>
    </row>
    <row r="20" spans="1:10" ht="15.75">
      <c r="A20" s="205" t="s">
        <v>489</v>
      </c>
      <c r="B20" s="218">
        <v>5.8500000000000003E-2</v>
      </c>
      <c r="C20" s="215">
        <f>+C16</f>
        <v>1.01</v>
      </c>
      <c r="D20" s="206">
        <f>+B20*C20</f>
        <v>5.9085000000000006E-2</v>
      </c>
      <c r="E20" s="206">
        <v>4.1399999999999999E-2</v>
      </c>
      <c r="F20" s="207">
        <f>+D20+E20</f>
        <v>0.100485</v>
      </c>
      <c r="G20" s="10"/>
      <c r="H20" s="10"/>
      <c r="I20" s="10"/>
      <c r="J20" s="10"/>
    </row>
    <row r="21" spans="1:10" ht="15.75">
      <c r="A21" s="205" t="s">
        <v>468</v>
      </c>
      <c r="B21" s="218">
        <v>5.6800000000000003E-2</v>
      </c>
      <c r="C21" s="215">
        <f>+C16</f>
        <v>1.01</v>
      </c>
      <c r="D21" s="206">
        <f>+B21*C21</f>
        <v>5.7368000000000002E-2</v>
      </c>
      <c r="E21" s="206">
        <v>4.1399999999999999E-2</v>
      </c>
      <c r="F21" s="207">
        <f>+D21+E21</f>
        <v>9.8767999999999995E-2</v>
      </c>
      <c r="G21" s="10"/>
      <c r="H21" s="10"/>
      <c r="I21" s="10"/>
      <c r="J21" s="10"/>
    </row>
    <row r="22" spans="1:10" ht="15.75">
      <c r="A22" s="205" t="s">
        <v>469</v>
      </c>
      <c r="B22" s="218">
        <v>4.8300000000000003E-2</v>
      </c>
      <c r="C22" s="215">
        <f>+C16</f>
        <v>1.01</v>
      </c>
      <c r="D22" s="206">
        <f>+B22*C22</f>
        <v>4.8783E-2</v>
      </c>
      <c r="E22" s="206">
        <v>4.1399999999999999E-2</v>
      </c>
      <c r="F22" s="207">
        <f>+D22+E22</f>
        <v>9.0182999999999999E-2</v>
      </c>
      <c r="G22" s="10"/>
      <c r="H22" s="10"/>
      <c r="I22" s="10"/>
      <c r="J22" s="10"/>
    </row>
    <row r="23" spans="1:10" ht="15.75">
      <c r="A23" s="205" t="s">
        <v>0</v>
      </c>
      <c r="B23" s="218" t="s">
        <v>0</v>
      </c>
      <c r="C23" s="216" t="s">
        <v>0</v>
      </c>
      <c r="D23" s="206" t="s">
        <v>0</v>
      </c>
      <c r="E23" s="206" t="s">
        <v>0</v>
      </c>
      <c r="F23" s="207" t="s">
        <v>0</v>
      </c>
      <c r="G23" s="10"/>
      <c r="H23" s="10"/>
      <c r="I23" s="10"/>
      <c r="J23" s="10"/>
    </row>
    <row r="24" spans="1:10" ht="15.75">
      <c r="A24" s="205" t="s">
        <v>226</v>
      </c>
      <c r="B24" s="218">
        <v>4.6199999999999998E-2</v>
      </c>
      <c r="C24" s="215">
        <f>+C16</f>
        <v>1.01</v>
      </c>
      <c r="D24" s="206">
        <f>+B24*C24</f>
        <v>4.6661999999999995E-2</v>
      </c>
      <c r="E24" s="206">
        <v>4.1399999999999999E-2</v>
      </c>
      <c r="F24" s="207">
        <f>+D24+E24</f>
        <v>8.8062000000000001E-2</v>
      </c>
      <c r="G24" s="10"/>
      <c r="H24" s="10"/>
      <c r="I24" s="10"/>
      <c r="J24" s="10"/>
    </row>
    <row r="25" spans="1:10" ht="15.75">
      <c r="A25" s="205" t="s">
        <v>0</v>
      </c>
      <c r="B25" s="218" t="s">
        <v>0</v>
      </c>
      <c r="C25" s="216" t="s">
        <v>0</v>
      </c>
      <c r="D25" s="206" t="s">
        <v>0</v>
      </c>
      <c r="E25" s="206" t="s">
        <v>0</v>
      </c>
      <c r="F25" s="207" t="s">
        <v>0</v>
      </c>
      <c r="G25" s="10"/>
      <c r="H25" s="10"/>
      <c r="I25" s="10"/>
      <c r="J25" s="10"/>
    </row>
    <row r="26" spans="1:10" ht="15.75">
      <c r="A26" s="205" t="s">
        <v>485</v>
      </c>
      <c r="B26" s="218">
        <v>5.6000000000000001E-2</v>
      </c>
      <c r="C26" s="215">
        <f>+C16</f>
        <v>1.01</v>
      </c>
      <c r="D26" s="206">
        <f>+B26*C26</f>
        <v>5.6559999999999999E-2</v>
      </c>
      <c r="E26" s="206">
        <v>4.1399999999999999E-2</v>
      </c>
      <c r="F26" s="207">
        <f>+D26+E26</f>
        <v>9.7959999999999992E-2</v>
      </c>
      <c r="G26" s="10"/>
      <c r="H26" s="10"/>
      <c r="I26" s="10"/>
      <c r="J26" s="10"/>
    </row>
    <row r="27" spans="1:10" ht="15.75">
      <c r="A27" s="205" t="s">
        <v>0</v>
      </c>
      <c r="B27" s="218" t="s">
        <v>0</v>
      </c>
      <c r="C27" s="216" t="s">
        <v>0</v>
      </c>
      <c r="D27" s="206" t="s">
        <v>0</v>
      </c>
      <c r="E27" s="206" t="s">
        <v>0</v>
      </c>
      <c r="F27" s="207" t="s">
        <v>0</v>
      </c>
      <c r="G27" s="10"/>
      <c r="H27" s="10"/>
      <c r="I27" s="10"/>
      <c r="J27" s="10"/>
    </row>
    <row r="28" spans="1:10" ht="15.75">
      <c r="A28" s="205" t="s">
        <v>227</v>
      </c>
      <c r="B28" s="218">
        <v>6.2799999999999995E-2</v>
      </c>
      <c r="C28" s="215">
        <f>+C16</f>
        <v>1.01</v>
      </c>
      <c r="D28" s="206">
        <f>+B28*C28</f>
        <v>6.3427999999999998E-2</v>
      </c>
      <c r="E28" s="206">
        <v>4.1399999999999999E-2</v>
      </c>
      <c r="F28" s="207">
        <f>+D28+E28</f>
        <v>0.104828</v>
      </c>
      <c r="G28" s="10"/>
      <c r="H28" s="10"/>
      <c r="I28" s="10"/>
      <c r="J28" s="10"/>
    </row>
    <row r="29" spans="1:10" ht="15.75">
      <c r="A29" s="205" t="s">
        <v>228</v>
      </c>
      <c r="B29" s="218">
        <v>5.0099999999999999E-2</v>
      </c>
      <c r="C29" s="215">
        <f>+C16</f>
        <v>1.01</v>
      </c>
      <c r="D29" s="206">
        <f>+B29*C29</f>
        <v>5.0601E-2</v>
      </c>
      <c r="E29" s="206">
        <v>4.1399999999999999E-2</v>
      </c>
      <c r="F29" s="207">
        <f>+D29+E29</f>
        <v>9.2000999999999999E-2</v>
      </c>
      <c r="G29" s="10"/>
      <c r="H29" s="10"/>
      <c r="I29" s="10"/>
      <c r="J29" s="10"/>
    </row>
    <row r="30" spans="1:10" ht="15.75">
      <c r="A30" s="205"/>
      <c r="B30" s="218"/>
      <c r="C30" s="215"/>
      <c r="D30" s="206"/>
      <c r="E30" s="206"/>
      <c r="F30" s="207"/>
      <c r="G30" s="10"/>
      <c r="H30" s="10"/>
      <c r="I30" s="10"/>
      <c r="J30" s="10"/>
    </row>
    <row r="31" spans="1:10" ht="15.75">
      <c r="A31" s="205" t="s">
        <v>470</v>
      </c>
      <c r="B31" s="218">
        <v>7.17E-2</v>
      </c>
      <c r="C31" s="215">
        <f>+C16</f>
        <v>1.01</v>
      </c>
      <c r="D31" s="206">
        <f>+B31*C31</f>
        <v>7.2416999999999995E-2</v>
      </c>
      <c r="E31" s="206">
        <v>4.1399999999999999E-2</v>
      </c>
      <c r="F31" s="207">
        <f>+D31+E31</f>
        <v>0.113817</v>
      </c>
      <c r="G31" s="10"/>
      <c r="H31" s="10"/>
      <c r="I31" s="10"/>
      <c r="J31" s="10"/>
    </row>
    <row r="32" spans="1:10" ht="15.75">
      <c r="A32" s="205" t="s">
        <v>471</v>
      </c>
      <c r="B32" s="218">
        <v>6.3500000000000001E-2</v>
      </c>
      <c r="C32" s="215">
        <f>+C16</f>
        <v>1.01</v>
      </c>
      <c r="D32" s="206">
        <f>+B32*C32</f>
        <v>6.4134999999999998E-2</v>
      </c>
      <c r="E32" s="206">
        <v>4.1399999999999999E-2</v>
      </c>
      <c r="F32" s="207">
        <f>+D32+E32</f>
        <v>0.10553499999999999</v>
      </c>
      <c r="G32" s="10"/>
      <c r="H32" s="10"/>
      <c r="I32" s="10"/>
      <c r="J32" s="10"/>
    </row>
    <row r="33" spans="1:10" ht="15.75">
      <c r="A33" s="205" t="s">
        <v>472</v>
      </c>
      <c r="B33" s="218">
        <v>0.06</v>
      </c>
      <c r="C33" s="215">
        <f>+C16</f>
        <v>1.01</v>
      </c>
      <c r="D33" s="206">
        <f>+B33*C33</f>
        <v>6.0600000000000001E-2</v>
      </c>
      <c r="E33" s="206">
        <v>4.1399999999999999E-2</v>
      </c>
      <c r="F33" s="207">
        <f>+D33+E33</f>
        <v>0.10200000000000001</v>
      </c>
      <c r="G33" s="10"/>
      <c r="H33" s="10"/>
      <c r="I33" s="10"/>
      <c r="J33" s="10"/>
    </row>
    <row r="34" spans="1:10" ht="15.75">
      <c r="A34" s="205"/>
      <c r="B34" s="218"/>
      <c r="C34" s="215"/>
      <c r="D34" s="206"/>
      <c r="E34" s="206"/>
      <c r="F34" s="207"/>
      <c r="G34" s="10"/>
      <c r="H34" s="10"/>
      <c r="I34" s="10"/>
      <c r="J34" s="10"/>
    </row>
    <row r="35" spans="1:10" ht="15.75">
      <c r="A35" s="205" t="s">
        <v>456</v>
      </c>
      <c r="B35" s="218">
        <v>0.06</v>
      </c>
      <c r="C35" s="215">
        <f>+C16</f>
        <v>1.01</v>
      </c>
      <c r="D35" s="206">
        <f>+B35*C35</f>
        <v>6.0600000000000001E-2</v>
      </c>
      <c r="E35" s="206">
        <v>4.1399999999999999E-2</v>
      </c>
      <c r="F35" s="207">
        <f>+D35+E35</f>
        <v>0.10200000000000001</v>
      </c>
      <c r="G35" s="10"/>
      <c r="H35" s="10"/>
      <c r="I35" s="10"/>
      <c r="J35" s="10"/>
    </row>
    <row r="36" spans="1:10" ht="15.75" thickBot="1">
      <c r="A36" s="441"/>
      <c r="B36" s="26"/>
      <c r="C36" s="26"/>
      <c r="D36" s="26"/>
      <c r="E36" s="26"/>
      <c r="F36" s="442"/>
      <c r="G36" s="10"/>
      <c r="H36" s="10"/>
      <c r="I36" s="10"/>
      <c r="J36" s="10"/>
    </row>
    <row r="37" spans="1:10">
      <c r="A37" s="10"/>
      <c r="B37" s="10"/>
      <c r="C37" s="10"/>
      <c r="D37" s="10"/>
      <c r="E37" s="10"/>
      <c r="F37" s="10"/>
      <c r="G37" s="10"/>
      <c r="H37" s="10"/>
      <c r="I37" s="10"/>
      <c r="J37" s="10"/>
    </row>
    <row r="38" spans="1:10" ht="15.75" thickBot="1">
      <c r="A38" s="10"/>
      <c r="B38" s="10"/>
      <c r="C38" s="10"/>
      <c r="D38" s="10"/>
      <c r="E38" s="10"/>
      <c r="F38" s="10"/>
      <c r="G38" s="10" t="s">
        <v>0</v>
      </c>
      <c r="H38" s="10"/>
      <c r="I38" s="10"/>
      <c r="J38" s="10"/>
    </row>
    <row r="39" spans="1:10" ht="27" customHeight="1" thickBot="1">
      <c r="A39" s="164" t="s">
        <v>231</v>
      </c>
      <c r="B39" s="10"/>
      <c r="C39" s="10"/>
      <c r="D39" s="10"/>
      <c r="E39" s="10"/>
      <c r="F39" s="10"/>
      <c r="G39" s="10"/>
      <c r="H39" s="10"/>
      <c r="I39" s="10"/>
      <c r="J39" s="10"/>
    </row>
    <row r="40" spans="1:10" ht="44.25" customHeight="1" thickBot="1">
      <c r="A40" s="163" t="s">
        <v>229</v>
      </c>
      <c r="B40" s="162" t="s">
        <v>221</v>
      </c>
      <c r="C40" s="161" t="s">
        <v>233</v>
      </c>
      <c r="D40" s="162" t="s">
        <v>224</v>
      </c>
      <c r="E40" s="162" t="s">
        <v>225</v>
      </c>
      <c r="F40" s="162" t="s">
        <v>439</v>
      </c>
      <c r="G40" s="160" t="s">
        <v>222</v>
      </c>
      <c r="H40" s="10"/>
      <c r="I40" s="10"/>
      <c r="J40" s="10"/>
    </row>
    <row r="41" spans="1:10">
      <c r="A41" s="157"/>
      <c r="B41" s="110"/>
      <c r="C41" s="110"/>
      <c r="D41" s="110"/>
      <c r="E41" s="110"/>
      <c r="F41" s="110"/>
      <c r="G41" s="158"/>
      <c r="H41" s="10"/>
      <c r="I41" s="10"/>
      <c r="J41" s="10"/>
    </row>
    <row r="42" spans="1:10" ht="15.75">
      <c r="A42" s="205" t="s">
        <v>487</v>
      </c>
      <c r="B42" s="218">
        <f>+B16</f>
        <v>3.3799999999999997E-2</v>
      </c>
      <c r="C42" s="214">
        <f>+C16</f>
        <v>1.01</v>
      </c>
      <c r="D42" s="206">
        <f>+B42*C42*0.75</f>
        <v>2.5603499999999994E-2</v>
      </c>
      <c r="E42" s="218">
        <f>+B42*0.25</f>
        <v>8.4499999999999992E-3</v>
      </c>
      <c r="F42" s="206">
        <f>+E16</f>
        <v>4.1399999999999999E-2</v>
      </c>
      <c r="G42" s="207">
        <f>+D42+E42+F42</f>
        <v>7.5453499999999993E-2</v>
      </c>
      <c r="H42" s="10"/>
      <c r="I42" s="10"/>
      <c r="J42" s="10"/>
    </row>
    <row r="43" spans="1:10" ht="15.75">
      <c r="A43" s="205" t="s">
        <v>488</v>
      </c>
      <c r="B43" s="218">
        <f>+B17</f>
        <v>4.6699999999999998E-2</v>
      </c>
      <c r="C43" s="214">
        <f>+C17</f>
        <v>1.01</v>
      </c>
      <c r="D43" s="206">
        <f>+B43*C43*0.75</f>
        <v>3.5375249999999997E-2</v>
      </c>
      <c r="E43" s="218">
        <f>+B43*0.25</f>
        <v>1.1675E-2</v>
      </c>
      <c r="F43" s="206">
        <f>+E17</f>
        <v>4.1399999999999999E-2</v>
      </c>
      <c r="G43" s="207">
        <f>+D43+E43+F43</f>
        <v>8.8450249999999994E-2</v>
      </c>
      <c r="H43" s="10"/>
      <c r="I43" s="10"/>
      <c r="J43" s="10"/>
    </row>
    <row r="44" spans="1:10" ht="15.75">
      <c r="A44" s="208"/>
      <c r="B44" s="104"/>
      <c r="C44" s="104"/>
      <c r="D44" s="104"/>
      <c r="E44" s="104"/>
      <c r="F44" s="104"/>
      <c r="G44" s="209"/>
      <c r="H44" s="10"/>
      <c r="I44" s="10"/>
      <c r="J44" s="10"/>
    </row>
    <row r="45" spans="1:10" ht="15.75">
      <c r="A45" s="205" t="str">
        <f>+A19</f>
        <v>Damodaran Implied ERP Ex Ante   Trailing 12 mo Cash Yield (3)</v>
      </c>
      <c r="B45" s="218">
        <f t="shared" ref="B45:C45" si="0">+B19</f>
        <v>5.9400000000000001E-2</v>
      </c>
      <c r="C45" s="214">
        <f t="shared" si="0"/>
        <v>1.01</v>
      </c>
      <c r="D45" s="206">
        <f>+B45*C45*0.75</f>
        <v>4.4995500000000001E-2</v>
      </c>
      <c r="E45" s="218">
        <f>+B45*0.25</f>
        <v>1.485E-2</v>
      </c>
      <c r="F45" s="206">
        <f>+E19</f>
        <v>4.1399999999999999E-2</v>
      </c>
      <c r="G45" s="207">
        <f>+D45+E45+F45</f>
        <v>0.1012455</v>
      </c>
      <c r="H45" s="10"/>
      <c r="I45" s="10"/>
      <c r="J45" s="10"/>
    </row>
    <row r="46" spans="1:10" ht="15.75">
      <c r="A46" s="205" t="str">
        <f>+A20</f>
        <v>Damodaran Implied ERP Ex Ante   Avg CF Yield Last 10 Yrs (3)</v>
      </c>
      <c r="B46" s="218">
        <v>5.8500000000000003E-2</v>
      </c>
      <c r="C46" s="214">
        <f>+C19</f>
        <v>1.01</v>
      </c>
      <c r="D46" s="206">
        <f>+B46*C46*0.75</f>
        <v>4.4313750000000006E-2</v>
      </c>
      <c r="E46" s="218">
        <f>+B46*0.25</f>
        <v>1.4625000000000001E-2</v>
      </c>
      <c r="F46" s="206">
        <f>+E19</f>
        <v>4.1399999999999999E-2</v>
      </c>
      <c r="G46" s="207">
        <f>+D46+E46+F46</f>
        <v>0.10033875</v>
      </c>
      <c r="H46" s="10"/>
      <c r="I46" s="10"/>
      <c r="J46" s="10"/>
    </row>
    <row r="47" spans="1:10" ht="15.75">
      <c r="A47" s="205" t="str">
        <f>+A21</f>
        <v>Damodaran Implied ERP Ex Ante   Net Cash Yield (3)</v>
      </c>
      <c r="B47" s="218">
        <f>+B21</f>
        <v>5.6800000000000003E-2</v>
      </c>
      <c r="C47" s="214">
        <f>+C21</f>
        <v>1.01</v>
      </c>
      <c r="D47" s="206">
        <f>+B47*C47*0.75</f>
        <v>4.3026000000000002E-2</v>
      </c>
      <c r="E47" s="218">
        <f>+B47*0.25</f>
        <v>1.4200000000000001E-2</v>
      </c>
      <c r="F47" s="206">
        <f>+E21</f>
        <v>4.1399999999999999E-2</v>
      </c>
      <c r="G47" s="207">
        <f>+D47+E47+F47</f>
        <v>9.8625999999999991E-2</v>
      </c>
      <c r="H47" s="10"/>
      <c r="I47" s="10"/>
      <c r="J47" s="10"/>
    </row>
    <row r="48" spans="1:10" ht="15.75">
      <c r="A48" s="205" t="str">
        <f>+A22</f>
        <v>Damodaran Implied ERP Ex Ante   Norm. Earnings &amp; Payout (3)</v>
      </c>
      <c r="B48" s="218">
        <f>+B22</f>
        <v>4.8300000000000003E-2</v>
      </c>
      <c r="C48" s="214">
        <f>+C22</f>
        <v>1.01</v>
      </c>
      <c r="D48" s="206">
        <f>+B48*C48*0.75</f>
        <v>3.6587250000000002E-2</v>
      </c>
      <c r="E48" s="218">
        <f>+B48*0.25</f>
        <v>1.2075000000000001E-2</v>
      </c>
      <c r="F48" s="206">
        <f>+E22</f>
        <v>4.1399999999999999E-2</v>
      </c>
      <c r="G48" s="207">
        <f>+D48+E48+F48</f>
        <v>9.006225000000001E-2</v>
      </c>
      <c r="H48" s="10"/>
      <c r="I48" s="10"/>
      <c r="J48" s="10"/>
    </row>
    <row r="49" spans="1:10" ht="15.75">
      <c r="A49" s="205" t="s">
        <v>0</v>
      </c>
      <c r="B49" s="218" t="s">
        <v>0</v>
      </c>
      <c r="C49" s="206" t="s">
        <v>0</v>
      </c>
      <c r="D49" s="206" t="s">
        <v>0</v>
      </c>
      <c r="E49" s="218" t="s">
        <v>0</v>
      </c>
      <c r="F49" s="206" t="s">
        <v>0</v>
      </c>
      <c r="G49" s="207" t="s">
        <v>0</v>
      </c>
      <c r="H49" s="10"/>
      <c r="I49" s="10"/>
      <c r="J49" s="10"/>
    </row>
    <row r="50" spans="1:10" ht="15.75">
      <c r="A50" s="205" t="s">
        <v>226</v>
      </c>
      <c r="B50" s="218">
        <f>+B24</f>
        <v>4.6199999999999998E-2</v>
      </c>
      <c r="C50" s="214">
        <f>+C24</f>
        <v>1.01</v>
      </c>
      <c r="D50" s="206">
        <f>+B50*C50*0.75</f>
        <v>3.49965E-2</v>
      </c>
      <c r="E50" s="218">
        <f>+B50*0.25</f>
        <v>1.155E-2</v>
      </c>
      <c r="F50" s="206">
        <f>+E24</f>
        <v>4.1399999999999999E-2</v>
      </c>
      <c r="G50" s="207">
        <f>+D50+E50+F50</f>
        <v>8.7946499999999997E-2</v>
      </c>
      <c r="H50" s="10"/>
      <c r="I50" s="10"/>
      <c r="J50" s="10"/>
    </row>
    <row r="51" spans="1:10" ht="15.75">
      <c r="A51" s="205" t="s">
        <v>0</v>
      </c>
      <c r="B51" s="218" t="s">
        <v>0</v>
      </c>
      <c r="C51" s="206" t="s">
        <v>0</v>
      </c>
      <c r="D51" s="206" t="s">
        <v>0</v>
      </c>
      <c r="E51" s="218" t="s">
        <v>0</v>
      </c>
      <c r="F51" s="206" t="s">
        <v>0</v>
      </c>
      <c r="G51" s="207" t="s">
        <v>0</v>
      </c>
    </row>
    <row r="52" spans="1:10" ht="15.75">
      <c r="A52" s="205" t="s">
        <v>485</v>
      </c>
      <c r="B52" s="218">
        <f>+B26</f>
        <v>5.6000000000000001E-2</v>
      </c>
      <c r="C52" s="214">
        <f>+C26</f>
        <v>1.01</v>
      </c>
      <c r="D52" s="206">
        <f>+B52*C52*0.75</f>
        <v>4.2419999999999999E-2</v>
      </c>
      <c r="E52" s="218">
        <f>+B52*0.25</f>
        <v>1.4E-2</v>
      </c>
      <c r="F52" s="206">
        <f>+E26</f>
        <v>4.1399999999999999E-2</v>
      </c>
      <c r="G52" s="207">
        <f>+D52+E52+F52</f>
        <v>9.781999999999999E-2</v>
      </c>
    </row>
    <row r="53" spans="1:10" ht="15.75">
      <c r="A53" s="205" t="s">
        <v>0</v>
      </c>
      <c r="B53" s="218" t="s">
        <v>0</v>
      </c>
      <c r="C53" s="206" t="s">
        <v>0</v>
      </c>
      <c r="D53" s="206" t="s">
        <v>0</v>
      </c>
      <c r="E53" s="218" t="s">
        <v>0</v>
      </c>
      <c r="F53" s="206" t="s">
        <v>0</v>
      </c>
      <c r="G53" s="207" t="s">
        <v>0</v>
      </c>
    </row>
    <row r="54" spans="1:10" ht="15.75">
      <c r="A54" s="205" t="s">
        <v>227</v>
      </c>
      <c r="B54" s="218">
        <f>+B28</f>
        <v>6.2799999999999995E-2</v>
      </c>
      <c r="C54" s="214">
        <f>+C28</f>
        <v>1.01</v>
      </c>
      <c r="D54" s="206">
        <f>+B54*C54*0.75</f>
        <v>4.7571000000000002E-2</v>
      </c>
      <c r="E54" s="218">
        <f>+B54*0.25</f>
        <v>1.5699999999999999E-2</v>
      </c>
      <c r="F54" s="206">
        <f>+E28</f>
        <v>4.1399999999999999E-2</v>
      </c>
      <c r="G54" s="207">
        <f>+D54+E54+F54</f>
        <v>0.10467099999999999</v>
      </c>
    </row>
    <row r="55" spans="1:10" ht="15.75">
      <c r="A55" s="205" t="s">
        <v>228</v>
      </c>
      <c r="B55" s="218">
        <f>+B29</f>
        <v>5.0099999999999999E-2</v>
      </c>
      <c r="C55" s="214">
        <f>+C29</f>
        <v>1.01</v>
      </c>
      <c r="D55" s="206">
        <f>+B55*C55*0.75</f>
        <v>3.7950749999999998E-2</v>
      </c>
      <c r="E55" s="218">
        <f>+B55*0.25</f>
        <v>1.2525E-2</v>
      </c>
      <c r="F55" s="206">
        <f>+E29</f>
        <v>4.1399999999999999E-2</v>
      </c>
      <c r="G55" s="207">
        <f>+D55+E55+F55</f>
        <v>9.1875750000000006E-2</v>
      </c>
    </row>
    <row r="56" spans="1:10" ht="15.75">
      <c r="A56" s="205"/>
      <c r="B56" s="218"/>
      <c r="C56" s="214"/>
      <c r="D56" s="206"/>
      <c r="E56" s="218"/>
      <c r="F56" s="206"/>
      <c r="G56" s="207"/>
    </row>
    <row r="57" spans="1:10" ht="15.75">
      <c r="A57" s="205" t="s">
        <v>470</v>
      </c>
      <c r="B57" s="218">
        <f>+B31</f>
        <v>7.17E-2</v>
      </c>
      <c r="C57" s="214">
        <f>+C31</f>
        <v>1.01</v>
      </c>
      <c r="D57" s="206">
        <f>+B57*C57*0.75</f>
        <v>5.4312749999999993E-2</v>
      </c>
      <c r="E57" s="218">
        <f>+B57*0.25</f>
        <v>1.7925E-2</v>
      </c>
      <c r="F57" s="206">
        <f>+E31</f>
        <v>4.1399999999999999E-2</v>
      </c>
      <c r="G57" s="207">
        <f>+D57+E57+F57</f>
        <v>0.11363774999999998</v>
      </c>
    </row>
    <row r="58" spans="1:10" ht="15.75">
      <c r="A58" s="205" t="s">
        <v>471</v>
      </c>
      <c r="B58" s="218">
        <f>+B32</f>
        <v>6.3500000000000001E-2</v>
      </c>
      <c r="C58" s="214">
        <f>+C32</f>
        <v>1.01</v>
      </c>
      <c r="D58" s="206">
        <f>+B58*C58*0.75</f>
        <v>4.8101249999999998E-2</v>
      </c>
      <c r="E58" s="218">
        <f>+B58*0.25</f>
        <v>1.5875E-2</v>
      </c>
      <c r="F58" s="206">
        <f>+E32</f>
        <v>4.1399999999999999E-2</v>
      </c>
      <c r="G58" s="207">
        <f>+D58+E58+F58</f>
        <v>0.10537625</v>
      </c>
    </row>
    <row r="59" spans="1:10" ht="15.75">
      <c r="A59" s="205" t="s">
        <v>472</v>
      </c>
      <c r="B59" s="218">
        <f>+B33</f>
        <v>0.06</v>
      </c>
      <c r="C59" s="214">
        <f>+C29</f>
        <v>1.01</v>
      </c>
      <c r="D59" s="206">
        <f>+B59*C59*0.75</f>
        <v>4.5450000000000004E-2</v>
      </c>
      <c r="E59" s="218">
        <f>+B59*0.25</f>
        <v>1.4999999999999999E-2</v>
      </c>
      <c r="F59" s="206">
        <f>+E33</f>
        <v>4.1399999999999999E-2</v>
      </c>
      <c r="G59" s="207">
        <f>+D59+E59+F59</f>
        <v>0.10185</v>
      </c>
    </row>
    <row r="60" spans="1:10" ht="15.75">
      <c r="A60" s="205"/>
      <c r="B60" s="218"/>
      <c r="C60" s="214"/>
      <c r="D60" s="206"/>
      <c r="E60" s="218"/>
      <c r="F60" s="206"/>
      <c r="G60" s="207"/>
    </row>
    <row r="61" spans="1:10" ht="15.75">
      <c r="A61" s="205" t="s">
        <v>456</v>
      </c>
      <c r="B61" s="218">
        <f>+B35</f>
        <v>0.06</v>
      </c>
      <c r="C61" s="214">
        <f>+C33</f>
        <v>1.01</v>
      </c>
      <c r="D61" s="206">
        <f>+B61*C61*0.75</f>
        <v>4.5450000000000004E-2</v>
      </c>
      <c r="E61" s="218">
        <f>+B61*0.25</f>
        <v>1.4999999999999999E-2</v>
      </c>
      <c r="F61" s="206">
        <f>+E35</f>
        <v>4.1399999999999999E-2</v>
      </c>
      <c r="G61" s="207">
        <f>+D61+E61+F61</f>
        <v>0.10185</v>
      </c>
    </row>
    <row r="62" spans="1:10" ht="15.75" thickBot="1">
      <c r="A62" s="307"/>
      <c r="B62" s="155"/>
      <c r="C62" s="155"/>
      <c r="D62" s="155"/>
      <c r="E62" s="155"/>
      <c r="F62" s="155"/>
      <c r="G62" s="308"/>
    </row>
    <row r="64" spans="1:10" ht="15.75">
      <c r="A64" s="60" t="s">
        <v>74</v>
      </c>
      <c r="E64" s="217" t="s">
        <v>0</v>
      </c>
    </row>
    <row r="65" spans="1:7">
      <c r="A65" s="165" t="s">
        <v>0</v>
      </c>
      <c r="E65" s="217" t="s">
        <v>0</v>
      </c>
    </row>
    <row r="66" spans="1:7">
      <c r="A66" s="41" t="s">
        <v>454</v>
      </c>
      <c r="B66" s="10"/>
      <c r="C66" s="10"/>
      <c r="D66" s="10"/>
      <c r="E66" s="10"/>
      <c r="F66" s="10"/>
      <c r="G66" s="10"/>
    </row>
    <row r="67" spans="1:7">
      <c r="A67" s="41" t="s">
        <v>0</v>
      </c>
      <c r="B67" s="10"/>
      <c r="C67" s="10"/>
      <c r="D67" s="10"/>
      <c r="E67" s="10"/>
      <c r="F67" s="10"/>
      <c r="G67" s="10"/>
    </row>
    <row r="68" spans="1:7">
      <c r="A68" s="41" t="s">
        <v>463</v>
      </c>
      <c r="B68" s="10"/>
      <c r="C68" s="10"/>
      <c r="D68" s="10"/>
      <c r="E68" s="10"/>
      <c r="F68" s="10"/>
      <c r="G68" s="10"/>
    </row>
    <row r="69" spans="1:7">
      <c r="A69" s="153" t="s">
        <v>464</v>
      </c>
      <c r="C69" s="10"/>
      <c r="D69" s="10"/>
      <c r="E69" s="10"/>
      <c r="F69" s="10"/>
      <c r="G69" s="10"/>
    </row>
    <row r="70" spans="1:7">
      <c r="A70" s="41" t="s">
        <v>0</v>
      </c>
      <c r="B70" s="10"/>
      <c r="C70" s="10"/>
      <c r="D70" s="10"/>
      <c r="E70" s="10"/>
      <c r="F70" s="10"/>
      <c r="G70" s="10"/>
    </row>
    <row r="71" spans="1:7">
      <c r="A71" s="41" t="s">
        <v>492</v>
      </c>
      <c r="B71" s="10"/>
      <c r="C71" s="10"/>
      <c r="D71" s="10"/>
      <c r="E71" s="10"/>
      <c r="F71" s="10"/>
      <c r="G71" s="10"/>
    </row>
    <row r="72" spans="1:7">
      <c r="A72" s="153" t="s">
        <v>462</v>
      </c>
      <c r="B72" s="10"/>
      <c r="C72" s="10"/>
      <c r="D72" s="10"/>
      <c r="E72" s="10"/>
      <c r="F72" s="10"/>
      <c r="G72" s="10"/>
    </row>
    <row r="73" spans="1:7">
      <c r="A73" s="41"/>
      <c r="B73" s="10"/>
      <c r="C73" s="10"/>
      <c r="D73" s="10"/>
      <c r="E73" s="10"/>
      <c r="F73" s="10"/>
      <c r="G73" s="10"/>
    </row>
    <row r="74" spans="1:7">
      <c r="A74" s="41" t="s">
        <v>486</v>
      </c>
      <c r="B74" s="10"/>
      <c r="C74" s="10"/>
      <c r="D74" s="10"/>
      <c r="E74" s="10"/>
      <c r="F74" s="10"/>
      <c r="G74" s="10"/>
    </row>
    <row r="75" spans="1:7">
      <c r="A75" s="153" t="s">
        <v>460</v>
      </c>
      <c r="B75" s="10"/>
      <c r="C75" s="10"/>
      <c r="D75" s="10"/>
      <c r="E75" s="10"/>
      <c r="F75" s="10"/>
      <c r="G75" s="10"/>
    </row>
    <row r="76" spans="1:7">
      <c r="A76" s="41"/>
      <c r="B76" s="10"/>
      <c r="C76" s="10"/>
      <c r="D76" s="10"/>
      <c r="E76" s="10"/>
      <c r="F76" s="10"/>
      <c r="G76" s="10"/>
    </row>
    <row r="77" spans="1:7">
      <c r="A77" s="41" t="s">
        <v>376</v>
      </c>
      <c r="B77" s="10"/>
      <c r="C77" s="10"/>
      <c r="D77" s="10"/>
      <c r="E77" s="10"/>
      <c r="F77" s="10"/>
      <c r="G77" s="10"/>
    </row>
    <row r="78" spans="1:7">
      <c r="A78" s="153" t="s">
        <v>461</v>
      </c>
      <c r="B78" s="10"/>
      <c r="C78" s="10"/>
      <c r="D78" s="10"/>
      <c r="E78" s="10"/>
      <c r="F78" s="10"/>
      <c r="G78" s="10"/>
    </row>
    <row r="79" spans="1:7">
      <c r="A79" s="165"/>
    </row>
    <row r="80" spans="1:7">
      <c r="A80" s="41" t="s">
        <v>447</v>
      </c>
    </row>
    <row r="81" spans="1:7">
      <c r="A81" s="41" t="s">
        <v>0</v>
      </c>
    </row>
    <row r="82" spans="1:7">
      <c r="A82" s="41" t="s">
        <v>455</v>
      </c>
    </row>
    <row r="83" spans="1:7">
      <c r="A83" s="153" t="s">
        <v>459</v>
      </c>
    </row>
    <row r="84" spans="1:7" ht="18.75" thickBot="1">
      <c r="A84" s="156"/>
      <c r="B84" s="156"/>
      <c r="C84" s="156"/>
      <c r="D84" s="26"/>
      <c r="E84" s="34"/>
      <c r="F84" s="26"/>
      <c r="G84" s="155"/>
    </row>
  </sheetData>
  <hyperlinks>
    <hyperlink ref="A83" r:id="rId1" xr:uid="{ABB80BA4-8CB8-46BD-B4EE-1BA5B60941D0}"/>
    <hyperlink ref="A75" r:id="rId2" xr:uid="{CC5ACE63-6DEB-45F8-A5BC-784D092D1426}"/>
    <hyperlink ref="A78" r:id="rId3" xr:uid="{6FD2FDBA-FF86-47F7-B5EC-F62E7F809A02}"/>
    <hyperlink ref="A72" r:id="rId4" xr:uid="{7908FA71-54CC-413C-8CFD-08A329DA3E95}"/>
    <hyperlink ref="A69" r:id="rId5" xr:uid="{5E1FA900-F7F2-4531-8E57-824F985C1894}"/>
  </hyperlinks>
  <pageMargins left="0.25" right="0.25" top="0.75" bottom="0.75" header="0.3" footer="0.3"/>
  <pageSetup scale="40" orientation="portrait"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EEAA8-BBA3-479C-8851-708BD7E9A4CD}">
  <sheetPr>
    <tabColor rgb="FF92D050"/>
  </sheetPr>
  <dimension ref="A1:K43"/>
  <sheetViews>
    <sheetView view="pageBreakPreview" zoomScale="70" zoomScaleNormal="80" zoomScaleSheetLayoutView="70" workbookViewId="0">
      <selection activeCell="E27" sqref="E27"/>
    </sheetView>
  </sheetViews>
  <sheetFormatPr defaultRowHeight="15"/>
  <cols>
    <col min="1" max="1" width="45.140625" customWidth="1"/>
    <col min="2" max="2" width="13.28515625" customWidth="1"/>
    <col min="3" max="3" width="19.140625" bestFit="1" customWidth="1"/>
    <col min="4" max="4" width="15.28515625" customWidth="1"/>
    <col min="5" max="5" width="27.140625" customWidth="1"/>
    <col min="6" max="6" width="22" customWidth="1"/>
    <col min="7" max="7" width="29.28515625" customWidth="1"/>
    <col min="8" max="8" width="37" customWidth="1"/>
    <col min="9" max="9" width="24.5703125" customWidth="1"/>
    <col min="10" max="10" width="24.140625" customWidth="1"/>
    <col min="12" max="12" width="10.5703125" customWidth="1"/>
  </cols>
  <sheetData>
    <row r="1" spans="1:11" ht="20.25">
      <c r="A1" s="21" t="s">
        <v>1</v>
      </c>
      <c r="B1" s="10"/>
      <c r="C1" s="10"/>
      <c r="D1" s="10"/>
      <c r="E1" s="10"/>
      <c r="F1" s="10"/>
      <c r="G1" s="10"/>
      <c r="H1" s="10"/>
      <c r="I1" s="10"/>
      <c r="J1" s="10"/>
      <c r="K1" s="10"/>
    </row>
    <row r="2" spans="1:11" ht="15.75">
      <c r="A2" s="22" t="s">
        <v>9</v>
      </c>
      <c r="B2" s="10"/>
      <c r="C2" s="10"/>
      <c r="D2" s="10"/>
      <c r="E2" s="10"/>
      <c r="F2" s="10"/>
      <c r="G2" s="10"/>
      <c r="H2" s="10"/>
      <c r="I2" s="10"/>
      <c r="J2" s="10"/>
      <c r="K2" s="10"/>
    </row>
    <row r="3" spans="1:11">
      <c r="A3" s="23" t="s">
        <v>64</v>
      </c>
      <c r="B3" s="10"/>
      <c r="C3" s="10"/>
      <c r="D3" s="10"/>
      <c r="E3" s="10"/>
      <c r="F3" s="10"/>
      <c r="G3" s="10"/>
      <c r="H3" s="10"/>
      <c r="I3" s="10"/>
      <c r="J3" s="10"/>
      <c r="K3" s="10"/>
    </row>
    <row r="4" spans="1:11">
      <c r="A4" s="23"/>
      <c r="B4" s="10"/>
      <c r="C4" s="10"/>
      <c r="D4" s="10"/>
      <c r="E4" s="10"/>
      <c r="F4" s="10"/>
      <c r="G4" s="10"/>
      <c r="H4" s="10"/>
      <c r="I4" s="10"/>
      <c r="J4" s="10"/>
      <c r="K4" s="10"/>
    </row>
    <row r="5" spans="1:11" ht="15.75" thickBot="1">
      <c r="A5" s="10"/>
      <c r="B5" s="10"/>
      <c r="C5" s="10"/>
      <c r="D5" s="10"/>
      <c r="E5" s="10"/>
      <c r="F5" s="10" t="s">
        <v>0</v>
      </c>
      <c r="G5" s="10"/>
      <c r="H5" s="24"/>
      <c r="I5" s="10"/>
      <c r="J5" s="10"/>
      <c r="K5" s="10"/>
    </row>
    <row r="6" spans="1:11" ht="16.5" thickBot="1">
      <c r="A6" s="278" t="str">
        <f>+'S&amp;D'!A12</f>
        <v>Railroad Carriers</v>
      </c>
      <c r="B6" s="204"/>
      <c r="C6" s="10"/>
      <c r="D6" s="26"/>
      <c r="E6" s="26"/>
      <c r="F6" s="26"/>
      <c r="G6" s="27" t="s">
        <v>0</v>
      </c>
      <c r="H6" s="26"/>
      <c r="I6" s="10"/>
      <c r="J6" s="10"/>
      <c r="K6" s="10"/>
    </row>
    <row r="7" spans="1:11" ht="20.25">
      <c r="A7" s="28"/>
      <c r="B7" s="10"/>
      <c r="C7" s="10"/>
      <c r="D7" s="10"/>
      <c r="E7" s="10"/>
      <c r="F7" s="29" t="s">
        <v>440</v>
      </c>
      <c r="G7" s="10"/>
      <c r="H7" s="10"/>
      <c r="I7" s="10"/>
      <c r="J7" s="10"/>
      <c r="K7" s="10"/>
    </row>
    <row r="8" spans="1:11" ht="18.75" thickBot="1">
      <c r="A8" s="28"/>
      <c r="B8" s="10"/>
      <c r="C8" s="10"/>
      <c r="D8" s="26"/>
      <c r="E8" s="26"/>
      <c r="F8" s="30" t="s">
        <v>78</v>
      </c>
      <c r="G8" s="26"/>
      <c r="H8" s="26"/>
      <c r="I8" s="10"/>
      <c r="J8" s="10"/>
      <c r="K8" s="10"/>
    </row>
    <row r="9" spans="1:11" ht="15.75" thickBot="1">
      <c r="A9" s="31" t="s">
        <v>0</v>
      </c>
      <c r="B9" s="31" t="s">
        <v>0</v>
      </c>
      <c r="C9" s="31" t="s">
        <v>0</v>
      </c>
      <c r="D9" s="26"/>
      <c r="E9" s="31"/>
      <c r="F9" s="31" t="s">
        <v>0</v>
      </c>
      <c r="G9" s="31"/>
      <c r="H9" s="26"/>
      <c r="I9" s="26"/>
      <c r="J9" s="26"/>
      <c r="K9" s="10"/>
    </row>
    <row r="10" spans="1:11">
      <c r="A10" s="32" t="s">
        <v>0</v>
      </c>
      <c r="B10" s="32" t="s">
        <v>3</v>
      </c>
      <c r="C10" s="32" t="s">
        <v>5</v>
      </c>
      <c r="D10" s="32" t="s">
        <v>171</v>
      </c>
      <c r="E10" s="32" t="s">
        <v>12</v>
      </c>
      <c r="F10" s="32" t="s">
        <v>182</v>
      </c>
      <c r="G10" s="32" t="s">
        <v>183</v>
      </c>
      <c r="H10" s="32" t="s">
        <v>183</v>
      </c>
      <c r="I10" s="32" t="s">
        <v>179</v>
      </c>
      <c r="J10" s="32" t="s">
        <v>179</v>
      </c>
      <c r="K10" s="10"/>
    </row>
    <row r="11" spans="1:11">
      <c r="A11" s="32" t="s">
        <v>2</v>
      </c>
      <c r="B11" s="32" t="s">
        <v>4</v>
      </c>
      <c r="C11" s="32" t="s">
        <v>6</v>
      </c>
      <c r="D11" s="32" t="s">
        <v>211</v>
      </c>
      <c r="E11" s="32" t="s">
        <v>14</v>
      </c>
      <c r="F11" s="32" t="s">
        <v>392</v>
      </c>
      <c r="G11" s="32" t="s">
        <v>212</v>
      </c>
      <c r="H11" s="32" t="s">
        <v>213</v>
      </c>
      <c r="I11" s="32" t="s">
        <v>174</v>
      </c>
      <c r="J11" s="32" t="s">
        <v>177</v>
      </c>
      <c r="K11" s="10"/>
    </row>
    <row r="12" spans="1:11">
      <c r="A12" s="32"/>
      <c r="B12" s="32"/>
      <c r="C12" s="32"/>
      <c r="D12" s="32"/>
      <c r="E12" s="32"/>
      <c r="F12" s="33" t="s">
        <v>0</v>
      </c>
      <c r="G12" s="33" t="s">
        <v>386</v>
      </c>
      <c r="H12" s="33" t="s">
        <v>386</v>
      </c>
      <c r="I12" s="32"/>
      <c r="J12" s="32"/>
      <c r="K12" s="10"/>
    </row>
    <row r="13" spans="1:11" ht="15.75" thickBot="1">
      <c r="A13" s="34" t="s">
        <v>24</v>
      </c>
      <c r="B13" s="35" t="s">
        <v>93</v>
      </c>
      <c r="C13" s="35" t="s">
        <v>94</v>
      </c>
      <c r="D13" s="35" t="s">
        <v>95</v>
      </c>
      <c r="E13" s="35" t="s">
        <v>96</v>
      </c>
      <c r="F13" s="35" t="s">
        <v>97</v>
      </c>
      <c r="G13" s="35" t="s">
        <v>98</v>
      </c>
      <c r="H13" s="35" t="s">
        <v>99</v>
      </c>
      <c r="I13" s="35" t="s">
        <v>180</v>
      </c>
      <c r="J13" s="35" t="s">
        <v>181</v>
      </c>
      <c r="K13" s="10"/>
    </row>
    <row r="14" spans="1:11">
      <c r="A14" s="36" t="s">
        <v>7</v>
      </c>
      <c r="B14" s="36" t="s">
        <v>7</v>
      </c>
      <c r="C14" s="36" t="s">
        <v>7</v>
      </c>
      <c r="D14" s="37" t="s">
        <v>117</v>
      </c>
      <c r="E14" s="37"/>
      <c r="F14" s="36" t="s">
        <v>0</v>
      </c>
      <c r="G14" s="36" t="s">
        <v>7</v>
      </c>
      <c r="H14" s="36" t="s">
        <v>7</v>
      </c>
      <c r="I14" s="36" t="s">
        <v>15</v>
      </c>
      <c r="J14" s="36" t="s">
        <v>15</v>
      </c>
      <c r="K14" s="10"/>
    </row>
    <row r="15" spans="1:11">
      <c r="A15" s="32"/>
      <c r="B15" s="32"/>
      <c r="C15" s="32"/>
      <c r="D15" s="32"/>
      <c r="E15" s="32"/>
      <c r="F15" s="32"/>
      <c r="G15" s="32"/>
      <c r="H15" s="10"/>
      <c r="I15" s="10"/>
      <c r="J15" s="10"/>
      <c r="K15" s="10"/>
    </row>
    <row r="16" spans="1:11">
      <c r="A16" s="10"/>
      <c r="B16" s="10"/>
      <c r="C16" s="10"/>
      <c r="D16" s="10"/>
      <c r="E16" s="10"/>
      <c r="F16" s="10"/>
      <c r="G16" s="10"/>
      <c r="H16" s="10"/>
      <c r="I16" s="10"/>
      <c r="J16" s="10"/>
      <c r="K16" s="10"/>
    </row>
    <row r="17" spans="1:11" ht="15.75">
      <c r="A17" s="60" t="str">
        <f>+'S&amp;D'!A22</f>
        <v>Canadian National</v>
      </c>
      <c r="B17" s="87" t="str">
        <f>+'S&amp;D'!B22</f>
        <v>CNI</v>
      </c>
      <c r="C17" s="87" t="str">
        <f>+'S&amp;D'!C22</f>
        <v>Railroad</v>
      </c>
      <c r="D17" s="57">
        <f>+'S&amp;D'!G22</f>
        <v>118.88</v>
      </c>
      <c r="E17" s="58">
        <f>+'S&amp;D'!D36</f>
        <v>79937569443.520004</v>
      </c>
      <c r="F17" s="51">
        <f>+'Dividends '!H16</f>
        <v>2.1029609690444147E-2</v>
      </c>
      <c r="G17" s="51">
        <v>9.5000000000000001E-2</v>
      </c>
      <c r="H17" s="51">
        <v>9.5000000000000001E-2</v>
      </c>
      <c r="I17" s="340">
        <f>+F17+G17</f>
        <v>0.11602960969044415</v>
      </c>
      <c r="J17" s="340">
        <f>+F17+H17</f>
        <v>0.11602960969044415</v>
      </c>
      <c r="K17" s="10"/>
    </row>
    <row r="18" spans="1:11" ht="15.75">
      <c r="A18" s="60" t="str">
        <f>+'S&amp;D'!A23</f>
        <v>Canadian Pacific</v>
      </c>
      <c r="B18" s="87" t="str">
        <f>+'S&amp;D'!B23</f>
        <v>CP</v>
      </c>
      <c r="C18" s="87" t="str">
        <f>+'S&amp;D'!C23</f>
        <v>Railroad</v>
      </c>
      <c r="D18" s="57">
        <f>+'S&amp;D'!G23</f>
        <v>74.59</v>
      </c>
      <c r="E18" s="58">
        <f>+'S&amp;D'!D37</f>
        <v>69405995000</v>
      </c>
      <c r="F18" s="51">
        <f>+'Dividends '!H17</f>
        <v>9.6527684676230054E-3</v>
      </c>
      <c r="G18" s="51">
        <v>8.5000000000000006E-2</v>
      </c>
      <c r="H18" s="51">
        <v>0.105</v>
      </c>
      <c r="I18" s="340">
        <f t="shared" ref="I18:I21" si="0">+F18+G18</f>
        <v>9.4652768467623008E-2</v>
      </c>
      <c r="J18" s="340">
        <f t="shared" ref="J18:J21" si="1">+F18+H18</f>
        <v>0.114652768467623</v>
      </c>
      <c r="K18" s="10"/>
    </row>
    <row r="19" spans="1:11" ht="15.75">
      <c r="A19" s="60" t="str">
        <f>+'S&amp;D'!A24</f>
        <v>CSX Corp</v>
      </c>
      <c r="B19" s="87" t="str">
        <f>+'S&amp;D'!B24</f>
        <v>CSX</v>
      </c>
      <c r="C19" s="87" t="str">
        <f>+'S&amp;D'!C24</f>
        <v>Railroad</v>
      </c>
      <c r="D19" s="57">
        <f>+'S&amp;D'!G24</f>
        <v>30.98</v>
      </c>
      <c r="E19" s="58">
        <f>+'S&amp;D'!D38</f>
        <v>64016049660</v>
      </c>
      <c r="F19" s="51">
        <f>+'Dividends '!H18</f>
        <v>1.4202711426726921E-2</v>
      </c>
      <c r="G19" s="51">
        <v>0.09</v>
      </c>
      <c r="H19" s="51">
        <v>0.09</v>
      </c>
      <c r="I19" s="340">
        <f t="shared" si="0"/>
        <v>0.10420271142672692</v>
      </c>
      <c r="J19" s="340">
        <f t="shared" si="1"/>
        <v>0.10420271142672692</v>
      </c>
      <c r="K19" s="10"/>
    </row>
    <row r="20" spans="1:11" ht="15.75">
      <c r="A20" s="60" t="str">
        <f>+'S&amp;D'!A25</f>
        <v>Norfolk Southern</v>
      </c>
      <c r="B20" s="87" t="str">
        <f>+'S&amp;D'!B25</f>
        <v>NSC</v>
      </c>
      <c r="C20" s="87" t="str">
        <f>+'S&amp;D'!C25</f>
        <v>Railroad</v>
      </c>
      <c r="D20" s="57">
        <f>+'S&amp;D'!G25</f>
        <v>246.42</v>
      </c>
      <c r="E20" s="58">
        <f>+'S&amp;D'!D39</f>
        <v>56202590184.299995</v>
      </c>
      <c r="F20" s="51">
        <f>+'Dividends '!H19</f>
        <v>2.1913805697589484E-2</v>
      </c>
      <c r="G20" s="51">
        <v>0.08</v>
      </c>
      <c r="H20" s="51">
        <v>9.5000000000000001E-2</v>
      </c>
      <c r="I20" s="340">
        <f t="shared" si="0"/>
        <v>0.10191380569758948</v>
      </c>
      <c r="J20" s="340">
        <f t="shared" si="1"/>
        <v>0.11691380569758948</v>
      </c>
      <c r="K20" s="10"/>
    </row>
    <row r="21" spans="1:11" ht="16.5" thickBot="1">
      <c r="A21" s="60" t="str">
        <f>+'S&amp;D'!A26</f>
        <v>Union Pacific Railroad</v>
      </c>
      <c r="B21" s="87" t="str">
        <f>+'S&amp;D'!B26</f>
        <v>UNP</v>
      </c>
      <c r="C21" s="87" t="str">
        <f>+'S&amp;D'!C26</f>
        <v>Railroad</v>
      </c>
      <c r="D21" s="57">
        <f>+'S&amp;D'!G26</f>
        <v>207.07</v>
      </c>
      <c r="E21" s="58">
        <f>+'S&amp;D'!D40</f>
        <v>126808284979.47</v>
      </c>
      <c r="F21" s="372">
        <f>+'Dividends '!H20</f>
        <v>2.7043994784372433E-2</v>
      </c>
      <c r="G21" s="372">
        <v>7.4999999999999997E-2</v>
      </c>
      <c r="H21" s="372">
        <v>7.4999999999999997E-2</v>
      </c>
      <c r="I21" s="373">
        <f t="shared" si="0"/>
        <v>0.10204399478437243</v>
      </c>
      <c r="J21" s="373">
        <f t="shared" si="1"/>
        <v>0.10204399478437243</v>
      </c>
      <c r="K21" s="10"/>
    </row>
    <row r="22" spans="1:11" ht="15.75" thickTop="1">
      <c r="A22" s="10"/>
      <c r="B22" s="10"/>
      <c r="C22" s="12" t="s">
        <v>0</v>
      </c>
      <c r="D22" s="13" t="s">
        <v>0</v>
      </c>
      <c r="E22" s="13" t="s">
        <v>47</v>
      </c>
      <c r="F22" s="333">
        <v>2.7</v>
      </c>
      <c r="G22" s="14">
        <v>9.5</v>
      </c>
      <c r="H22" s="14">
        <v>10.5</v>
      </c>
      <c r="I22" s="14">
        <v>11.6</v>
      </c>
      <c r="J22" s="14">
        <v>11.69</v>
      </c>
      <c r="K22" s="10"/>
    </row>
    <row r="23" spans="1:11">
      <c r="A23" s="10"/>
      <c r="B23" s="10"/>
      <c r="C23" s="12"/>
      <c r="D23" s="13"/>
      <c r="E23" s="13" t="s">
        <v>48</v>
      </c>
      <c r="F23" s="344">
        <v>0.97</v>
      </c>
      <c r="G23" s="345">
        <v>7.5</v>
      </c>
      <c r="H23" s="345">
        <v>7.5</v>
      </c>
      <c r="I23" s="345">
        <v>9.4700000000000006</v>
      </c>
      <c r="J23" s="345">
        <v>10.199999999999999</v>
      </c>
      <c r="K23" s="10"/>
    </row>
    <row r="24" spans="1:11">
      <c r="A24" s="10"/>
      <c r="B24" s="10"/>
      <c r="D24" s="15" t="s">
        <v>0</v>
      </c>
      <c r="E24" s="12" t="s">
        <v>18</v>
      </c>
      <c r="F24" s="52">
        <f>MEDIAN(F17:F21)</f>
        <v>2.1029609690444147E-2</v>
      </c>
      <c r="G24" s="334">
        <f>MEDIAN(G17:G21)</f>
        <v>8.5000000000000006E-2</v>
      </c>
      <c r="H24" s="334">
        <f>MEDIAN(H17:H21)</f>
        <v>9.5000000000000001E-2</v>
      </c>
      <c r="I24" s="335">
        <f>MEDIAN(I17:I21)</f>
        <v>0.10204399478437243</v>
      </c>
      <c r="J24" s="335">
        <f>MEDIAN(J17:J21)</f>
        <v>0.114652768467623</v>
      </c>
      <c r="K24" s="10"/>
    </row>
    <row r="25" spans="1:11">
      <c r="A25" s="10"/>
      <c r="B25" s="10"/>
      <c r="D25" s="19" t="s">
        <v>0</v>
      </c>
      <c r="E25" s="12" t="s">
        <v>448</v>
      </c>
      <c r="F25" s="52">
        <f>AVERAGE(F17:F21)</f>
        <v>1.8768578013351196E-2</v>
      </c>
      <c r="G25" s="52">
        <f>AVERAGE(G17:G21)</f>
        <v>8.5000000000000006E-2</v>
      </c>
      <c r="H25" s="334">
        <f>AVERAGE(H17:H21)</f>
        <v>9.1999999999999998E-2</v>
      </c>
      <c r="I25" s="335">
        <f>AVERAGE(I17:I21)</f>
        <v>0.1037685780133512</v>
      </c>
      <c r="J25" s="335">
        <f>AVERAGE(J17:J21)</f>
        <v>0.1107685780133512</v>
      </c>
      <c r="K25" s="10"/>
    </row>
    <row r="26" spans="1:11">
      <c r="A26" s="10"/>
      <c r="B26" s="10"/>
      <c r="D26" s="19"/>
      <c r="E26" s="12"/>
      <c r="F26" s="16"/>
      <c r="G26" s="16"/>
      <c r="H26" s="17"/>
      <c r="I26" s="18"/>
      <c r="J26" s="18"/>
      <c r="K26" s="10"/>
    </row>
    <row r="27" spans="1:11" ht="15.75" thickBot="1">
      <c r="A27" s="10"/>
      <c r="B27" s="10"/>
      <c r="C27" s="10"/>
      <c r="D27" s="10"/>
      <c r="E27" s="10"/>
      <c r="F27" s="10"/>
      <c r="G27" s="10"/>
      <c r="H27" s="10"/>
      <c r="I27" s="10"/>
      <c r="J27" s="10"/>
      <c r="K27" s="10"/>
    </row>
    <row r="28" spans="1:11" ht="24" thickBot="1">
      <c r="A28" s="10"/>
      <c r="B28" s="10"/>
      <c r="C28" s="10"/>
      <c r="D28" s="10"/>
      <c r="E28" s="10"/>
      <c r="F28" s="10"/>
      <c r="G28" s="201" t="s">
        <v>185</v>
      </c>
      <c r="H28" s="203"/>
      <c r="I28" s="336">
        <v>0.1038</v>
      </c>
      <c r="J28" s="10"/>
      <c r="K28" s="10"/>
    </row>
    <row r="29" spans="1:11" ht="20.25" customHeight="1" thickBot="1">
      <c r="A29" s="10"/>
      <c r="B29" s="10"/>
      <c r="C29" s="10"/>
      <c r="D29" s="10"/>
      <c r="E29" s="10"/>
      <c r="F29" s="10"/>
      <c r="G29" s="10"/>
      <c r="H29" s="10"/>
      <c r="I29" s="10"/>
      <c r="J29" s="10"/>
      <c r="K29" s="10"/>
    </row>
    <row r="30" spans="1:11" ht="24" thickBot="1">
      <c r="A30" s="10"/>
      <c r="B30" s="10"/>
      <c r="C30" s="10"/>
      <c r="D30" s="10"/>
      <c r="E30" s="10"/>
      <c r="F30" s="10"/>
      <c r="G30" s="201" t="s">
        <v>184</v>
      </c>
      <c r="H30" s="204"/>
      <c r="I30" s="336">
        <v>0.1108</v>
      </c>
      <c r="J30" s="10"/>
      <c r="K30" s="10"/>
    </row>
    <row r="31" spans="1:11">
      <c r="A31" s="10"/>
      <c r="B31" s="10"/>
      <c r="C31" s="10"/>
      <c r="D31" s="10"/>
      <c r="E31" s="10"/>
      <c r="F31" s="10"/>
      <c r="G31" s="10"/>
      <c r="H31" s="10"/>
      <c r="I31" s="10"/>
      <c r="J31" s="10"/>
    </row>
    <row r="32" spans="1:11" ht="20.25">
      <c r="A32" s="21" t="s">
        <v>378</v>
      </c>
      <c r="B32" s="10"/>
      <c r="C32" s="21" t="s">
        <v>377</v>
      </c>
      <c r="D32" s="10"/>
      <c r="E32" s="10"/>
      <c r="F32" s="10"/>
      <c r="G32" s="10"/>
      <c r="H32" s="10"/>
      <c r="I32" s="10"/>
      <c r="J32" s="10"/>
    </row>
    <row r="33" spans="1:10" ht="15.75">
      <c r="A33" s="60" t="s">
        <v>381</v>
      </c>
      <c r="B33" s="10"/>
      <c r="C33" s="60" t="s">
        <v>381</v>
      </c>
      <c r="D33" s="10"/>
      <c r="E33" s="10"/>
      <c r="F33" s="10"/>
      <c r="G33" s="10"/>
      <c r="H33" s="10"/>
      <c r="I33" s="10"/>
      <c r="J33" s="10"/>
    </row>
    <row r="34" spans="1:10" ht="15.75">
      <c r="A34" s="60" t="s">
        <v>380</v>
      </c>
      <c r="B34" s="10"/>
      <c r="C34" s="60" t="s">
        <v>379</v>
      </c>
      <c r="D34" s="10"/>
      <c r="E34" s="10"/>
      <c r="F34" s="10"/>
      <c r="G34" s="10"/>
      <c r="H34" s="10"/>
      <c r="I34" s="10"/>
      <c r="J34" s="10"/>
    </row>
    <row r="35" spans="1:10">
      <c r="A35" s="41"/>
      <c r="B35" s="10"/>
      <c r="C35" s="41"/>
      <c r="D35" s="10"/>
      <c r="E35" s="10"/>
      <c r="F35" s="10"/>
      <c r="G35" s="10"/>
      <c r="H35" s="10"/>
      <c r="I35" s="10"/>
      <c r="J35" s="10"/>
    </row>
    <row r="36" spans="1:10">
      <c r="A36" s="41"/>
      <c r="B36" s="10"/>
      <c r="C36" s="41"/>
      <c r="D36" s="10"/>
      <c r="E36" s="10"/>
      <c r="F36" s="10"/>
      <c r="G36" s="10"/>
      <c r="H36" s="10"/>
      <c r="I36" s="10"/>
      <c r="J36" s="10"/>
    </row>
    <row r="37" spans="1:10" ht="20.25">
      <c r="A37" s="21" t="s">
        <v>208</v>
      </c>
      <c r="B37" s="10"/>
      <c r="C37" s="21" t="s">
        <v>208</v>
      </c>
      <c r="D37" s="10"/>
      <c r="E37" s="10"/>
      <c r="F37" s="10"/>
      <c r="G37" s="10"/>
      <c r="H37" s="10"/>
      <c r="I37" s="10"/>
      <c r="J37" s="10"/>
    </row>
    <row r="38" spans="1:10">
      <c r="A38" s="41"/>
      <c r="B38" s="10"/>
      <c r="C38" s="41"/>
      <c r="D38" s="10"/>
      <c r="E38" s="10"/>
      <c r="F38" s="10"/>
      <c r="G38" s="10"/>
      <c r="H38" s="10"/>
      <c r="I38" s="10"/>
      <c r="J38" s="10"/>
    </row>
    <row r="39" spans="1:10" ht="15.75">
      <c r="A39" s="60" t="s">
        <v>209</v>
      </c>
      <c r="B39" s="10"/>
      <c r="C39" s="60" t="s">
        <v>209</v>
      </c>
      <c r="D39" s="10"/>
      <c r="E39" s="10"/>
      <c r="F39" s="10"/>
      <c r="G39" s="10"/>
      <c r="H39" s="10"/>
      <c r="I39" s="10"/>
      <c r="J39" s="10"/>
    </row>
    <row r="40" spans="1:10" ht="15.75">
      <c r="A40" s="60" t="s">
        <v>207</v>
      </c>
      <c r="B40" s="10"/>
      <c r="C40" s="60" t="s">
        <v>207</v>
      </c>
      <c r="D40" s="10"/>
      <c r="E40" s="10"/>
      <c r="F40" s="10"/>
      <c r="G40" s="10"/>
      <c r="H40" s="10"/>
      <c r="I40" s="10"/>
      <c r="J40" s="10"/>
    </row>
    <row r="41" spans="1:10" ht="15.75">
      <c r="A41" s="60" t="s">
        <v>210</v>
      </c>
      <c r="B41" s="10"/>
      <c r="C41" s="60" t="s">
        <v>210</v>
      </c>
      <c r="D41" s="10"/>
      <c r="E41" s="10"/>
      <c r="F41" s="10"/>
      <c r="G41" s="10"/>
      <c r="H41" s="10"/>
      <c r="I41" s="10"/>
      <c r="J41" s="10"/>
    </row>
    <row r="42" spans="1:10" ht="15.75">
      <c r="A42" s="60" t="s">
        <v>383</v>
      </c>
      <c r="B42" s="10"/>
      <c r="C42" s="60" t="s">
        <v>382</v>
      </c>
      <c r="D42" s="10"/>
      <c r="E42" s="10"/>
      <c r="F42" s="10"/>
      <c r="G42" s="10"/>
      <c r="H42" s="10"/>
      <c r="I42" s="10"/>
      <c r="J42" s="10"/>
    </row>
    <row r="43" spans="1:10" ht="15.75">
      <c r="A43" s="60"/>
      <c r="B43" s="10"/>
      <c r="C43" s="60"/>
      <c r="D43" s="10"/>
      <c r="E43" s="10"/>
      <c r="F43" s="10"/>
      <c r="G43" s="10"/>
      <c r="H43" s="10"/>
      <c r="I43" s="10"/>
      <c r="J43" s="10"/>
    </row>
  </sheetData>
  <pageMargins left="0.25" right="0.25" top="0.75" bottom="0.75" header="0.3" footer="0.3"/>
  <pageSetup scale="5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150D5-3409-4DE1-88B0-B66A1BCAC2E5}">
  <sheetPr>
    <tabColor rgb="FF92D050"/>
  </sheetPr>
  <dimension ref="A1:K105"/>
  <sheetViews>
    <sheetView view="pageBreakPreview" zoomScale="70" zoomScaleNormal="80" zoomScaleSheetLayoutView="70" workbookViewId="0">
      <selection activeCell="H19" sqref="H19"/>
    </sheetView>
  </sheetViews>
  <sheetFormatPr defaultRowHeight="15"/>
  <cols>
    <col min="1" max="1" width="47.85546875" customWidth="1"/>
    <col min="2" max="2" width="15.28515625" customWidth="1"/>
    <col min="3" max="3" width="24.5703125" customWidth="1"/>
    <col min="4" max="4" width="26.5703125" customWidth="1"/>
    <col min="5" max="5" width="30.7109375" customWidth="1"/>
    <col min="6" max="6" width="22.42578125" customWidth="1"/>
    <col min="7" max="7" width="27" customWidth="1"/>
    <col min="8" max="8" width="39.85546875" customWidth="1"/>
    <col min="9" max="9" width="15.28515625" customWidth="1"/>
    <col min="10" max="10" width="24.5703125" customWidth="1"/>
    <col min="11" max="11" width="24.140625" customWidth="1"/>
    <col min="13" max="13" width="10.5703125" customWidth="1"/>
  </cols>
  <sheetData>
    <row r="1" spans="1:9" ht="20.25">
      <c r="A1" s="21" t="s">
        <v>1</v>
      </c>
      <c r="B1" s="10"/>
      <c r="C1" s="10"/>
      <c r="D1" s="10"/>
      <c r="E1" s="10"/>
      <c r="F1" s="10"/>
      <c r="G1" s="10"/>
      <c r="H1" s="10"/>
      <c r="I1" s="10"/>
    </row>
    <row r="2" spans="1:9" ht="15.75">
      <c r="A2" s="22" t="s">
        <v>9</v>
      </c>
      <c r="B2" s="10"/>
      <c r="C2" s="10"/>
      <c r="D2" s="10"/>
      <c r="E2" s="10"/>
      <c r="F2" s="10"/>
      <c r="G2" s="10"/>
      <c r="H2" s="10"/>
      <c r="I2" s="10"/>
    </row>
    <row r="3" spans="1:9">
      <c r="A3" s="23" t="s">
        <v>64</v>
      </c>
      <c r="B3" s="10"/>
      <c r="C3" s="10"/>
      <c r="D3" s="10"/>
      <c r="E3" s="10"/>
      <c r="F3" s="10"/>
      <c r="G3" s="10"/>
      <c r="H3" s="10"/>
      <c r="I3" s="10"/>
    </row>
    <row r="4" spans="1:9">
      <c r="A4" s="23"/>
      <c r="B4" s="10"/>
      <c r="C4" s="10"/>
      <c r="D4" s="10"/>
      <c r="E4" s="10"/>
      <c r="F4" s="10"/>
      <c r="G4" s="10"/>
      <c r="H4" s="10"/>
      <c r="I4" s="10"/>
    </row>
    <row r="5" spans="1:9" ht="15.75" thickBot="1">
      <c r="A5" s="10"/>
      <c r="B5" s="10"/>
      <c r="C5" s="10"/>
      <c r="D5" s="10"/>
      <c r="E5" s="10"/>
      <c r="F5" s="10"/>
      <c r="G5" s="10"/>
      <c r="H5" s="10"/>
      <c r="I5" s="24"/>
    </row>
    <row r="6" spans="1:9" ht="18.75" thickBot="1">
      <c r="A6" s="276" t="str">
        <f>+'S&amp;D'!A12</f>
        <v>Railroad Carriers</v>
      </c>
      <c r="B6" s="204"/>
      <c r="C6" s="10"/>
      <c r="D6" s="10"/>
      <c r="E6" s="10"/>
      <c r="F6" s="10"/>
      <c r="G6" s="10"/>
      <c r="H6" s="10"/>
      <c r="I6" s="10"/>
    </row>
    <row r="7" spans="1:9" ht="18">
      <c r="A7" s="28"/>
      <c r="B7" s="10"/>
      <c r="C7" s="10"/>
      <c r="D7" s="10"/>
      <c r="E7" s="10"/>
      <c r="F7" s="10"/>
      <c r="G7" s="10"/>
      <c r="H7" s="10"/>
      <c r="I7" s="10"/>
    </row>
    <row r="8" spans="1:9" ht="18.75" thickBot="1">
      <c r="A8" s="28"/>
      <c r="B8" s="10"/>
      <c r="C8" s="10"/>
      <c r="D8" s="26"/>
      <c r="E8" s="26"/>
      <c r="F8" s="26"/>
      <c r="G8" s="10"/>
      <c r="H8" s="10"/>
      <c r="I8" s="10"/>
    </row>
    <row r="9" spans="1:9" ht="20.25">
      <c r="A9" s="28"/>
      <c r="B9" s="10"/>
      <c r="C9" s="10"/>
      <c r="D9" s="10"/>
      <c r="E9" s="29" t="s">
        <v>186</v>
      </c>
      <c r="F9" s="10"/>
      <c r="G9" s="10"/>
      <c r="H9" s="10"/>
      <c r="I9" s="10"/>
    </row>
    <row r="10" spans="1:9" ht="18.75" thickBot="1">
      <c r="A10" s="28"/>
      <c r="B10" s="10"/>
      <c r="C10" s="10"/>
      <c r="D10" s="26"/>
      <c r="E10" s="30" t="s">
        <v>78</v>
      </c>
      <c r="F10" s="26"/>
      <c r="G10" s="10"/>
      <c r="H10" s="10"/>
      <c r="I10" s="10"/>
    </row>
    <row r="11" spans="1:9" ht="18">
      <c r="A11" s="28"/>
      <c r="B11" s="10"/>
      <c r="C11" s="10"/>
      <c r="D11" s="10"/>
      <c r="E11" s="10"/>
      <c r="F11" s="32"/>
      <c r="G11" s="32"/>
      <c r="H11" s="10"/>
      <c r="I11" s="10"/>
    </row>
    <row r="12" spans="1:9" ht="18">
      <c r="A12" s="28"/>
      <c r="B12" s="10"/>
      <c r="C12" s="10"/>
      <c r="D12" s="10" t="s">
        <v>0</v>
      </c>
      <c r="E12" s="10"/>
      <c r="F12" s="32"/>
      <c r="G12" s="32"/>
      <c r="H12" s="10"/>
      <c r="I12" s="10"/>
    </row>
    <row r="13" spans="1:9" ht="45.75" customHeight="1" thickBot="1">
      <c r="A13" s="31" t="s">
        <v>0</v>
      </c>
      <c r="B13" s="31" t="s">
        <v>0</v>
      </c>
      <c r="C13" s="31" t="s">
        <v>0</v>
      </c>
      <c r="D13" s="26"/>
      <c r="E13" s="26"/>
      <c r="F13" s="31" t="s">
        <v>0</v>
      </c>
      <c r="G13" s="31"/>
      <c r="H13" s="31"/>
      <c r="I13" s="10"/>
    </row>
    <row r="14" spans="1:9">
      <c r="A14" s="32" t="s">
        <v>0</v>
      </c>
      <c r="B14" s="32" t="s">
        <v>3</v>
      </c>
      <c r="C14" s="32" t="s">
        <v>5</v>
      </c>
      <c r="D14" s="32" t="s">
        <v>182</v>
      </c>
      <c r="E14" s="32" t="s">
        <v>183</v>
      </c>
      <c r="F14" s="32" t="s">
        <v>187</v>
      </c>
      <c r="G14" s="32" t="s">
        <v>19</v>
      </c>
      <c r="H14" s="32" t="s">
        <v>190</v>
      </c>
      <c r="I14" s="10"/>
    </row>
    <row r="15" spans="1:9">
      <c r="A15" s="32" t="s">
        <v>2</v>
      </c>
      <c r="B15" s="32" t="s">
        <v>4</v>
      </c>
      <c r="C15" s="32" t="s">
        <v>6</v>
      </c>
      <c r="D15" s="32" t="s">
        <v>0</v>
      </c>
      <c r="E15" s="32" t="s">
        <v>189</v>
      </c>
      <c r="F15" s="32" t="s">
        <v>132</v>
      </c>
      <c r="G15" s="32" t="s">
        <v>188</v>
      </c>
      <c r="H15" s="32" t="s">
        <v>178</v>
      </c>
      <c r="I15" s="10"/>
    </row>
    <row r="16" spans="1:9">
      <c r="A16" s="32"/>
      <c r="B16" s="32" t="s">
        <v>0</v>
      </c>
      <c r="C16" s="32" t="s">
        <v>0</v>
      </c>
      <c r="D16" s="32" t="s">
        <v>0</v>
      </c>
      <c r="E16" s="32" t="s">
        <v>188</v>
      </c>
      <c r="F16" s="33" t="s">
        <v>0</v>
      </c>
      <c r="G16" s="32" t="s">
        <v>194</v>
      </c>
      <c r="H16" s="33" t="s">
        <v>195</v>
      </c>
      <c r="I16" s="10"/>
    </row>
    <row r="17" spans="1:11" ht="18" customHeight="1" thickBot="1">
      <c r="A17" s="64" t="s">
        <v>0</v>
      </c>
      <c r="B17" s="35" t="s">
        <v>0</v>
      </c>
      <c r="C17" s="35" t="s">
        <v>0</v>
      </c>
      <c r="D17" s="30" t="s">
        <v>192</v>
      </c>
      <c r="E17" s="30" t="s">
        <v>193</v>
      </c>
      <c r="F17" s="30" t="s">
        <v>191</v>
      </c>
      <c r="G17" s="32" t="s">
        <v>98</v>
      </c>
      <c r="H17" s="155"/>
      <c r="I17" s="10"/>
    </row>
    <row r="18" spans="1:11">
      <c r="A18" s="36" t="s">
        <v>0</v>
      </c>
      <c r="B18" s="36" t="s">
        <v>0</v>
      </c>
      <c r="C18" s="36" t="s">
        <v>0</v>
      </c>
      <c r="D18" s="36" t="s">
        <v>7</v>
      </c>
      <c r="E18" s="36" t="s">
        <v>7</v>
      </c>
      <c r="F18" s="36" t="s">
        <v>0</v>
      </c>
      <c r="G18" s="65" t="s">
        <v>0</v>
      </c>
      <c r="H18" s="36" t="s">
        <v>0</v>
      </c>
      <c r="I18" s="10"/>
    </row>
    <row r="19" spans="1:11">
      <c r="A19" s="32"/>
      <c r="B19" s="32"/>
      <c r="C19" s="32"/>
      <c r="D19" s="32"/>
      <c r="E19" s="10"/>
      <c r="F19" s="32"/>
      <c r="G19" s="10"/>
      <c r="H19" s="10"/>
      <c r="I19" s="10"/>
      <c r="J19" t="s">
        <v>0</v>
      </c>
      <c r="K19" t="s">
        <v>0</v>
      </c>
    </row>
    <row r="20" spans="1:11">
      <c r="A20" s="10"/>
      <c r="B20" s="10"/>
      <c r="C20" s="10"/>
      <c r="D20" s="10"/>
      <c r="E20" s="10"/>
      <c r="F20" s="10"/>
      <c r="G20" s="10"/>
      <c r="H20" s="10" t="s">
        <v>0</v>
      </c>
      <c r="I20" s="10"/>
      <c r="J20" t="s">
        <v>0</v>
      </c>
      <c r="K20" t="s">
        <v>0</v>
      </c>
    </row>
    <row r="21" spans="1:11" ht="15.75">
      <c r="A21" s="60" t="str">
        <f>+'S&amp;D'!A22</f>
        <v>Canadian National</v>
      </c>
      <c r="B21" s="87" t="str">
        <f>+'S&amp;D'!B22</f>
        <v>CNI</v>
      </c>
      <c r="C21" s="32" t="str">
        <f>+'S&amp;D'!C22</f>
        <v>Railroad</v>
      </c>
      <c r="D21" s="63">
        <f>+'Dividends '!H16</f>
        <v>2.1029609690444147E-2</v>
      </c>
      <c r="E21" s="63">
        <f>+'Single Stage Div Growth Model'!H17</f>
        <v>9.5000000000000001E-2</v>
      </c>
      <c r="F21" s="63">
        <v>4.1399999999999999E-2</v>
      </c>
      <c r="G21" s="63">
        <f t="shared" ref="G21" si="0">(F21+E21)/2</f>
        <v>6.8199999999999997E-2</v>
      </c>
      <c r="H21" s="63">
        <f>D21*(1+(0.5*G21))+(0.67*E21)+(0.33*F21)</f>
        <v>9.9058719380888283E-2</v>
      </c>
      <c r="I21" s="10"/>
      <c r="J21" t="s">
        <v>0</v>
      </c>
      <c r="K21" t="s">
        <v>0</v>
      </c>
    </row>
    <row r="22" spans="1:11" ht="15.75">
      <c r="A22" s="60" t="str">
        <f>+'S&amp;D'!A23</f>
        <v>Canadian Pacific</v>
      </c>
      <c r="B22" s="87" t="str">
        <f>+'S&amp;D'!B23</f>
        <v>CP</v>
      </c>
      <c r="C22" s="32" t="str">
        <f>+'S&amp;D'!C23</f>
        <v>Railroad</v>
      </c>
      <c r="D22" s="63">
        <f>+'Dividends '!H17</f>
        <v>9.6527684676230054E-3</v>
      </c>
      <c r="E22" s="63">
        <f>+'Single Stage Div Growth Model'!H18</f>
        <v>0.105</v>
      </c>
      <c r="F22" s="63">
        <f>+F21</f>
        <v>4.1399999999999999E-2</v>
      </c>
      <c r="G22" s="63">
        <f t="shared" ref="G22:G25" si="1">(F22+E22)/2</f>
        <v>7.3200000000000001E-2</v>
      </c>
      <c r="H22" s="63">
        <f t="shared" ref="H22:H25" si="2">D22*(1+(0.5*G22))+(0.67*E22)+(0.33*F22)</f>
        <v>9.4018059793538E-2</v>
      </c>
      <c r="I22" s="10"/>
    </row>
    <row r="23" spans="1:11" ht="15.75">
      <c r="A23" s="60" t="str">
        <f>+'S&amp;D'!A24</f>
        <v>CSX Corp</v>
      </c>
      <c r="B23" s="87" t="str">
        <f>+'S&amp;D'!B24</f>
        <v>CSX</v>
      </c>
      <c r="C23" s="32" t="str">
        <f>+'S&amp;D'!C24</f>
        <v>Railroad</v>
      </c>
      <c r="D23" s="63">
        <f>+'Dividends '!H18</f>
        <v>1.4202711426726921E-2</v>
      </c>
      <c r="E23" s="63">
        <f>+'Single Stage Div Growth Model'!H19</f>
        <v>0.09</v>
      </c>
      <c r="F23" s="63">
        <f>+F21</f>
        <v>4.1399999999999999E-2</v>
      </c>
      <c r="G23" s="63">
        <f t="shared" si="1"/>
        <v>6.5699999999999995E-2</v>
      </c>
      <c r="H23" s="63">
        <f t="shared" si="2"/>
        <v>8.8631270497094905E-2</v>
      </c>
      <c r="I23" s="10"/>
    </row>
    <row r="24" spans="1:11" ht="15.75">
      <c r="A24" s="60" t="str">
        <f>+'S&amp;D'!A25</f>
        <v>Norfolk Southern</v>
      </c>
      <c r="B24" s="87" t="str">
        <f>+'S&amp;D'!B25</f>
        <v>NSC</v>
      </c>
      <c r="C24" s="32" t="str">
        <f>+'S&amp;D'!C25</f>
        <v>Railroad</v>
      </c>
      <c r="D24" s="63">
        <f>+'Dividends '!H19</f>
        <v>2.1913805697589484E-2</v>
      </c>
      <c r="E24" s="63">
        <f>+'Single Stage Div Growth Model'!H20</f>
        <v>9.5000000000000001E-2</v>
      </c>
      <c r="F24" s="63">
        <f>+F21</f>
        <v>4.1399999999999999E-2</v>
      </c>
      <c r="G24" s="63">
        <f t="shared" si="1"/>
        <v>6.8199999999999997E-2</v>
      </c>
      <c r="H24" s="63">
        <f t="shared" si="2"/>
        <v>9.9973066471877287E-2</v>
      </c>
      <c r="I24" s="10"/>
    </row>
    <row r="25" spans="1:11" ht="16.5" thickBot="1">
      <c r="A25" s="60" t="str">
        <f>+'S&amp;D'!A26</f>
        <v>Union Pacific Railroad</v>
      </c>
      <c r="B25" s="87" t="str">
        <f>+'S&amp;D'!B26</f>
        <v>UNP</v>
      </c>
      <c r="C25" s="32" t="str">
        <f>+'S&amp;D'!C26</f>
        <v>Railroad</v>
      </c>
      <c r="D25" s="63">
        <f>+'Dividends '!H20</f>
        <v>2.7043994784372433E-2</v>
      </c>
      <c r="E25" s="63">
        <f>+'Single Stage Div Growth Model'!H21</f>
        <v>7.4999999999999997E-2</v>
      </c>
      <c r="F25" s="63">
        <f>+F21</f>
        <v>4.1399999999999999E-2</v>
      </c>
      <c r="G25" s="374">
        <f t="shared" si="1"/>
        <v>5.8200000000000002E-2</v>
      </c>
      <c r="H25" s="374">
        <f t="shared" si="2"/>
        <v>9.1742975032597679E-2</v>
      </c>
      <c r="I25" s="10"/>
    </row>
    <row r="26" spans="1:11" ht="15.75" thickTop="1">
      <c r="A26" s="10"/>
      <c r="B26" s="10"/>
      <c r="C26" s="10"/>
      <c r="D26" s="10"/>
      <c r="E26" s="10"/>
      <c r="F26" s="10"/>
      <c r="G26" s="195" t="s">
        <v>47</v>
      </c>
      <c r="H26" s="53">
        <v>0.10050000000000001</v>
      </c>
      <c r="I26" s="10"/>
    </row>
    <row r="27" spans="1:11">
      <c r="A27" s="10"/>
      <c r="B27" s="10"/>
      <c r="C27" s="12" t="s">
        <v>0</v>
      </c>
      <c r="D27" s="13" t="s">
        <v>0</v>
      </c>
      <c r="E27" s="13" t="s">
        <v>0</v>
      </c>
      <c r="F27" s="14" t="s">
        <v>0</v>
      </c>
      <c r="G27" s="345" t="s">
        <v>48</v>
      </c>
      <c r="H27" s="324">
        <v>8.9099999999999999E-2</v>
      </c>
      <c r="I27" s="10"/>
    </row>
    <row r="28" spans="1:11">
      <c r="A28" s="10"/>
      <c r="B28" s="10"/>
      <c r="D28" s="53" t="s">
        <v>0</v>
      </c>
      <c r="E28" s="48" t="s">
        <v>0</v>
      </c>
      <c r="F28" s="48" t="s">
        <v>0</v>
      </c>
      <c r="G28" s="12" t="s">
        <v>18</v>
      </c>
      <c r="H28" s="49">
        <f>MEDIAN(H21:H25)</f>
        <v>9.4018059793538E-2</v>
      </c>
      <c r="I28" s="10"/>
    </row>
    <row r="29" spans="1:11">
      <c r="A29" s="10"/>
      <c r="B29" s="10"/>
      <c r="D29" s="53" t="s">
        <v>0</v>
      </c>
      <c r="E29" s="48" t="s">
        <v>0</v>
      </c>
      <c r="F29" s="53" t="s">
        <v>0</v>
      </c>
      <c r="G29" s="12" t="s">
        <v>448</v>
      </c>
      <c r="H29" s="49">
        <f>AVERAGE(H21:H25)</f>
        <v>9.4684818235199225E-2</v>
      </c>
      <c r="I29" s="10"/>
    </row>
    <row r="30" spans="1:11">
      <c r="A30" s="10"/>
      <c r="B30" s="10"/>
      <c r="C30" s="12"/>
      <c r="D30" s="16" t="s">
        <v>0</v>
      </c>
      <c r="E30" s="17"/>
      <c r="F30" s="16"/>
      <c r="G30" s="18"/>
      <c r="H30" s="18"/>
      <c r="I30" s="10"/>
    </row>
    <row r="31" spans="1:11" ht="15.75" thickBot="1">
      <c r="A31" s="10"/>
      <c r="B31" s="10"/>
      <c r="C31" s="10"/>
      <c r="D31" s="10"/>
      <c r="E31" s="10"/>
      <c r="F31" s="10"/>
      <c r="G31" s="10"/>
      <c r="H31" s="10"/>
      <c r="I31" s="10"/>
    </row>
    <row r="32" spans="1:11" ht="24" thickBot="1">
      <c r="A32" s="10"/>
      <c r="B32" s="10"/>
      <c r="C32" s="10"/>
      <c r="D32" s="10"/>
      <c r="F32" s="201"/>
      <c r="G32" s="202" t="s">
        <v>243</v>
      </c>
      <c r="H32" s="337">
        <v>9.4700000000000006E-2</v>
      </c>
      <c r="I32" s="10"/>
    </row>
    <row r="33" spans="1:9">
      <c r="A33" s="10"/>
      <c r="B33" s="10"/>
      <c r="C33" s="10"/>
      <c r="D33" s="10"/>
      <c r="E33" s="10"/>
      <c r="F33" s="10"/>
      <c r="G33" s="10"/>
      <c r="H33" s="10"/>
      <c r="I33" s="10"/>
    </row>
    <row r="34" spans="1:9" ht="23.25">
      <c r="A34" s="21" t="s">
        <v>0</v>
      </c>
      <c r="B34" s="10"/>
      <c r="C34" s="10"/>
      <c r="D34" s="10"/>
      <c r="E34" s="10"/>
      <c r="F34" s="10"/>
      <c r="G34" s="20" t="s">
        <v>0</v>
      </c>
      <c r="H34" s="10"/>
      <c r="I34" s="10"/>
    </row>
    <row r="35" spans="1:9">
      <c r="A35" s="41"/>
      <c r="B35" s="10"/>
      <c r="C35" s="10"/>
      <c r="D35" s="10"/>
      <c r="E35" s="10"/>
      <c r="F35" s="10"/>
      <c r="G35" s="10"/>
      <c r="H35" s="10"/>
      <c r="I35" s="10"/>
    </row>
    <row r="36" spans="1:9" ht="20.25">
      <c r="A36" s="21" t="s">
        <v>328</v>
      </c>
      <c r="B36" s="10"/>
      <c r="C36" s="10"/>
      <c r="D36" s="10"/>
      <c r="E36" s="10"/>
      <c r="F36" s="10"/>
      <c r="G36" s="10"/>
      <c r="H36" s="10"/>
      <c r="I36" s="10"/>
    </row>
    <row r="37" spans="1:9">
      <c r="A37" s="41"/>
      <c r="B37" s="10"/>
      <c r="C37" s="10"/>
      <c r="D37" s="10"/>
      <c r="E37" s="10"/>
      <c r="F37" s="10"/>
      <c r="G37" s="10"/>
      <c r="H37" s="10"/>
      <c r="I37" s="10"/>
    </row>
    <row r="38" spans="1:9" ht="15.75">
      <c r="A38" s="60" t="s">
        <v>209</v>
      </c>
      <c r="B38" s="10"/>
      <c r="C38" s="10"/>
      <c r="D38" s="10"/>
      <c r="E38" s="10"/>
      <c r="F38" s="10"/>
      <c r="G38" s="10"/>
      <c r="H38" s="10"/>
      <c r="I38" s="10"/>
    </row>
    <row r="39" spans="1:9" ht="15.75">
      <c r="A39" s="60" t="s">
        <v>331</v>
      </c>
      <c r="B39" s="10"/>
      <c r="C39" s="10"/>
      <c r="D39" s="10"/>
      <c r="E39" s="10"/>
      <c r="F39" s="10"/>
      <c r="G39" s="10"/>
      <c r="H39" s="10"/>
      <c r="I39" s="10"/>
    </row>
    <row r="40" spans="1:9" ht="15.75">
      <c r="A40" s="60" t="s">
        <v>329</v>
      </c>
      <c r="B40" s="10"/>
      <c r="C40" s="10"/>
      <c r="D40" s="10"/>
      <c r="E40" s="10"/>
      <c r="F40" s="10"/>
      <c r="G40" s="10"/>
      <c r="H40" s="10"/>
      <c r="I40" s="10"/>
    </row>
    <row r="41" spans="1:9" ht="15.75">
      <c r="A41" s="60" t="s">
        <v>330</v>
      </c>
      <c r="B41" s="10"/>
      <c r="C41" s="10"/>
      <c r="D41" s="10"/>
      <c r="E41" s="10"/>
      <c r="F41" s="10"/>
      <c r="G41" s="10"/>
      <c r="H41" s="10"/>
      <c r="I41" s="10"/>
    </row>
    <row r="42" spans="1:9" ht="15.75">
      <c r="A42" s="60" t="s">
        <v>332</v>
      </c>
      <c r="B42" s="10"/>
      <c r="C42" s="10"/>
      <c r="D42" s="10"/>
      <c r="E42" s="10"/>
      <c r="F42" s="10"/>
      <c r="G42" s="10"/>
      <c r="H42" s="10"/>
      <c r="I42" s="10"/>
    </row>
    <row r="43" spans="1:9">
      <c r="A43" s="10"/>
      <c r="B43" s="10"/>
      <c r="C43" s="10"/>
      <c r="D43" s="10"/>
      <c r="E43" s="10"/>
      <c r="F43" s="10"/>
      <c r="G43" s="10"/>
      <c r="H43" s="10"/>
      <c r="I43" s="10"/>
    </row>
    <row r="44" spans="1:9">
      <c r="A44" s="10"/>
      <c r="B44" s="10"/>
      <c r="C44" s="10"/>
      <c r="D44" s="10"/>
      <c r="E44" s="10"/>
      <c r="F44" s="10"/>
      <c r="G44" s="10"/>
      <c r="H44" s="10"/>
      <c r="I44" s="10"/>
    </row>
    <row r="45" spans="1:9">
      <c r="A45" s="10"/>
      <c r="B45" s="10"/>
      <c r="C45" s="10"/>
      <c r="D45" s="10"/>
      <c r="E45" s="10"/>
      <c r="F45" s="10"/>
      <c r="G45" s="10"/>
      <c r="H45" s="10"/>
      <c r="I45" s="10"/>
    </row>
    <row r="46" spans="1:9">
      <c r="A46" s="10"/>
      <c r="B46" s="10"/>
      <c r="C46" s="10"/>
      <c r="D46" s="10"/>
      <c r="E46" s="10"/>
      <c r="F46" s="10"/>
      <c r="G46" s="10"/>
      <c r="H46" s="10"/>
      <c r="I46" s="10"/>
    </row>
    <row r="47" spans="1:9">
      <c r="A47" s="10"/>
      <c r="B47" s="10"/>
      <c r="C47" s="10"/>
      <c r="D47" s="10"/>
      <c r="E47" s="10"/>
      <c r="F47" s="10"/>
      <c r="G47" s="10"/>
      <c r="H47" s="10"/>
      <c r="I47" s="10"/>
    </row>
    <row r="48" spans="1:9">
      <c r="A48" s="10"/>
      <c r="B48" s="10"/>
      <c r="C48" s="10"/>
      <c r="D48" s="10"/>
      <c r="E48" s="10"/>
      <c r="F48" s="10"/>
      <c r="G48" s="10"/>
      <c r="H48" s="10"/>
      <c r="I48" s="10"/>
    </row>
    <row r="49" spans="1:9">
      <c r="A49" s="10"/>
      <c r="B49" s="10"/>
      <c r="C49" s="10"/>
      <c r="D49" s="10"/>
      <c r="E49" s="10"/>
      <c r="F49" s="10"/>
      <c r="G49" s="10"/>
      <c r="H49" s="10"/>
      <c r="I49" s="10"/>
    </row>
    <row r="50" spans="1:9">
      <c r="A50" s="10"/>
      <c r="B50" s="10"/>
      <c r="C50" s="10"/>
      <c r="D50" s="10"/>
      <c r="E50" s="10"/>
      <c r="F50" s="10"/>
      <c r="G50" s="10"/>
      <c r="H50" s="10"/>
      <c r="I50" s="10"/>
    </row>
    <row r="51" spans="1:9">
      <c r="A51" s="10"/>
      <c r="B51" s="10"/>
      <c r="C51" s="10"/>
      <c r="D51" s="10"/>
      <c r="E51" s="10"/>
      <c r="F51" s="10"/>
      <c r="G51" s="10"/>
      <c r="H51" s="10"/>
      <c r="I51" s="10"/>
    </row>
    <row r="52" spans="1:9">
      <c r="A52" s="10"/>
      <c r="B52" s="10"/>
      <c r="C52" s="10"/>
      <c r="D52" s="10"/>
      <c r="E52" s="10"/>
      <c r="F52" s="10"/>
      <c r="G52" s="10"/>
      <c r="H52" s="10"/>
      <c r="I52" s="10"/>
    </row>
    <row r="53" spans="1:9">
      <c r="A53" s="10"/>
      <c r="B53" s="10"/>
      <c r="C53" s="10"/>
      <c r="D53" s="10"/>
      <c r="E53" s="10"/>
      <c r="F53" s="10"/>
      <c r="G53" s="10"/>
      <c r="H53" s="10"/>
      <c r="I53" s="10"/>
    </row>
    <row r="54" spans="1:9">
      <c r="A54" s="10"/>
      <c r="B54" s="10"/>
      <c r="C54" s="10"/>
      <c r="D54" s="10"/>
      <c r="E54" s="10"/>
      <c r="F54" s="10"/>
      <c r="G54" s="10"/>
      <c r="H54" s="10"/>
      <c r="I54" s="10"/>
    </row>
    <row r="55" spans="1:9">
      <c r="A55" s="10"/>
      <c r="B55" s="10"/>
      <c r="C55" s="10"/>
      <c r="D55" s="10"/>
      <c r="E55" s="10"/>
      <c r="F55" s="10"/>
      <c r="G55" s="10"/>
      <c r="H55" s="10"/>
      <c r="I55" s="10"/>
    </row>
    <row r="56" spans="1:9">
      <c r="A56" s="10"/>
      <c r="B56" s="10"/>
      <c r="C56" s="10"/>
      <c r="D56" s="10"/>
      <c r="E56" s="10"/>
      <c r="F56" s="10"/>
      <c r="G56" s="10"/>
      <c r="H56" s="10"/>
      <c r="I56" s="10"/>
    </row>
    <row r="57" spans="1:9">
      <c r="A57" s="10"/>
      <c r="B57" s="10"/>
      <c r="C57" s="10"/>
      <c r="D57" s="10"/>
      <c r="E57" s="10"/>
      <c r="F57" s="10"/>
      <c r="G57" s="10"/>
      <c r="H57" s="10"/>
      <c r="I57" s="10"/>
    </row>
    <row r="58" spans="1:9">
      <c r="A58" s="10"/>
      <c r="B58" s="10"/>
      <c r="C58" s="10"/>
      <c r="D58" s="10"/>
      <c r="E58" s="10"/>
      <c r="F58" s="10"/>
      <c r="G58" s="10"/>
      <c r="H58" s="10"/>
      <c r="I58" s="10"/>
    </row>
    <row r="59" spans="1:9">
      <c r="A59" s="10"/>
      <c r="B59" s="10"/>
      <c r="C59" s="10"/>
      <c r="D59" s="10"/>
      <c r="E59" s="10"/>
      <c r="F59" s="10"/>
      <c r="G59" s="10"/>
      <c r="H59" s="10"/>
      <c r="I59" s="10"/>
    </row>
    <row r="60" spans="1:9">
      <c r="A60" s="10"/>
      <c r="B60" s="10"/>
      <c r="C60" s="10"/>
      <c r="D60" s="10"/>
      <c r="E60" s="10"/>
      <c r="F60" s="10"/>
      <c r="G60" s="10"/>
      <c r="H60" s="10"/>
      <c r="I60" s="10"/>
    </row>
    <row r="61" spans="1:9">
      <c r="A61" s="10"/>
      <c r="B61" s="10"/>
      <c r="C61" s="10"/>
      <c r="D61" s="10"/>
      <c r="E61" s="10"/>
      <c r="F61" s="10"/>
      <c r="G61" s="10"/>
      <c r="H61" s="10"/>
      <c r="I61" s="10"/>
    </row>
    <row r="62" spans="1:9">
      <c r="A62" s="10"/>
      <c r="B62" s="10"/>
      <c r="C62" s="10"/>
      <c r="D62" s="10"/>
      <c r="E62" s="10"/>
      <c r="F62" s="10"/>
      <c r="G62" s="10"/>
      <c r="H62" s="10"/>
      <c r="I62" s="10"/>
    </row>
    <row r="63" spans="1:9">
      <c r="A63" s="10"/>
      <c r="B63" s="10"/>
      <c r="C63" s="10"/>
      <c r="D63" s="10"/>
      <c r="E63" s="10"/>
      <c r="F63" s="10"/>
      <c r="G63" s="10"/>
      <c r="H63" s="10"/>
      <c r="I63" s="10"/>
    </row>
    <row r="64" spans="1:9">
      <c r="A64" s="10"/>
      <c r="B64" s="10"/>
      <c r="C64" s="10"/>
      <c r="D64" s="10"/>
      <c r="E64" s="10"/>
      <c r="F64" s="10"/>
      <c r="G64" s="10"/>
      <c r="H64" s="10"/>
      <c r="I64" s="10"/>
    </row>
    <row r="65" spans="1:9">
      <c r="A65" s="10"/>
      <c r="B65" s="10"/>
      <c r="C65" s="10"/>
      <c r="D65" s="10"/>
      <c r="E65" s="10"/>
      <c r="F65" s="10"/>
      <c r="G65" s="10"/>
      <c r="H65" s="10"/>
      <c r="I65" s="10"/>
    </row>
    <row r="66" spans="1:9">
      <c r="A66" s="10"/>
      <c r="B66" s="10"/>
      <c r="C66" s="10"/>
      <c r="D66" s="10"/>
      <c r="E66" s="10"/>
      <c r="F66" s="10"/>
      <c r="G66" s="10"/>
      <c r="H66" s="10"/>
      <c r="I66" s="10"/>
    </row>
    <row r="67" spans="1:9">
      <c r="A67" s="10"/>
      <c r="B67" s="10"/>
      <c r="C67" s="10"/>
      <c r="D67" s="10"/>
      <c r="E67" s="10"/>
      <c r="F67" s="10"/>
      <c r="G67" s="10"/>
      <c r="H67" s="10"/>
      <c r="I67" s="10"/>
    </row>
    <row r="68" spans="1:9">
      <c r="A68" s="10"/>
      <c r="B68" s="10"/>
      <c r="C68" s="10"/>
      <c r="D68" s="10"/>
      <c r="E68" s="10"/>
      <c r="F68" s="10"/>
      <c r="G68" s="10"/>
      <c r="H68" s="10"/>
      <c r="I68" s="10"/>
    </row>
    <row r="69" spans="1:9">
      <c r="A69" s="10"/>
      <c r="B69" s="10"/>
      <c r="C69" s="10"/>
      <c r="D69" s="10"/>
      <c r="E69" s="10"/>
      <c r="F69" s="10"/>
      <c r="G69" s="10"/>
      <c r="H69" s="10"/>
      <c r="I69" s="10"/>
    </row>
    <row r="70" spans="1:9">
      <c r="A70" s="10"/>
      <c r="B70" s="10"/>
      <c r="C70" s="10"/>
      <c r="D70" s="10"/>
      <c r="E70" s="10"/>
      <c r="F70" s="10"/>
      <c r="G70" s="10"/>
      <c r="H70" s="10"/>
      <c r="I70" s="10"/>
    </row>
    <row r="71" spans="1:9">
      <c r="A71" s="10"/>
      <c r="B71" s="10"/>
      <c r="C71" s="10"/>
      <c r="D71" s="10"/>
      <c r="E71" s="10"/>
      <c r="F71" s="10"/>
      <c r="G71" s="10"/>
      <c r="H71" s="10"/>
      <c r="I71" s="10"/>
    </row>
    <row r="72" spans="1:9">
      <c r="A72" s="10"/>
      <c r="B72" s="10"/>
      <c r="C72" s="10"/>
      <c r="D72" s="10"/>
      <c r="E72" s="10"/>
      <c r="F72" s="10"/>
      <c r="G72" s="10"/>
      <c r="H72" s="10"/>
      <c r="I72" s="10"/>
    </row>
    <row r="73" spans="1:9">
      <c r="A73" s="10"/>
      <c r="B73" s="10"/>
      <c r="C73" s="10"/>
      <c r="D73" s="10"/>
      <c r="E73" s="10"/>
      <c r="F73" s="10"/>
      <c r="G73" s="10"/>
      <c r="H73" s="10"/>
      <c r="I73" s="10"/>
    </row>
    <row r="74" spans="1:9">
      <c r="A74" s="10"/>
      <c r="B74" s="10"/>
      <c r="C74" s="10"/>
      <c r="D74" s="10"/>
      <c r="E74" s="10"/>
      <c r="F74" s="10"/>
      <c r="G74" s="10"/>
      <c r="H74" s="10"/>
      <c r="I74" s="10"/>
    </row>
    <row r="75" spans="1:9">
      <c r="A75" s="10"/>
      <c r="B75" s="10"/>
      <c r="C75" s="10"/>
      <c r="D75" s="10"/>
      <c r="E75" s="10"/>
      <c r="F75" s="10"/>
      <c r="G75" s="10"/>
      <c r="H75" s="10"/>
      <c r="I75" s="10"/>
    </row>
    <row r="76" spans="1:9">
      <c r="A76" s="10"/>
      <c r="B76" s="10"/>
      <c r="C76" s="10"/>
      <c r="D76" s="10"/>
      <c r="E76" s="10"/>
      <c r="F76" s="10"/>
      <c r="G76" s="10"/>
      <c r="H76" s="10"/>
      <c r="I76" s="10"/>
    </row>
    <row r="77" spans="1:9">
      <c r="A77" s="10"/>
      <c r="B77" s="10"/>
      <c r="C77" s="10"/>
      <c r="D77" s="10"/>
      <c r="E77" s="10"/>
      <c r="F77" s="10"/>
      <c r="G77" s="10"/>
      <c r="H77" s="10"/>
      <c r="I77" s="10"/>
    </row>
    <row r="78" spans="1:9">
      <c r="A78" s="10"/>
      <c r="B78" s="10"/>
      <c r="C78" s="10"/>
      <c r="D78" s="10"/>
      <c r="E78" s="10"/>
      <c r="F78" s="10"/>
      <c r="G78" s="10"/>
      <c r="H78" s="10"/>
      <c r="I78" s="10"/>
    </row>
    <row r="79" spans="1:9">
      <c r="A79" s="10"/>
      <c r="B79" s="10"/>
      <c r="C79" s="10"/>
      <c r="D79" s="10"/>
      <c r="E79" s="10"/>
      <c r="F79" s="10"/>
      <c r="G79" s="10"/>
      <c r="H79" s="10"/>
      <c r="I79" s="10"/>
    </row>
    <row r="80" spans="1:9">
      <c r="A80" s="10"/>
      <c r="B80" s="10"/>
      <c r="C80" s="10"/>
      <c r="D80" s="10"/>
      <c r="E80" s="10"/>
      <c r="F80" s="10"/>
      <c r="G80" s="10"/>
      <c r="H80" s="10"/>
      <c r="I80" s="10"/>
    </row>
    <row r="81" spans="1:9">
      <c r="A81" s="10"/>
      <c r="B81" s="10"/>
      <c r="C81" s="10"/>
      <c r="D81" s="10"/>
      <c r="E81" s="10"/>
      <c r="F81" s="10"/>
      <c r="G81" s="10"/>
      <c r="H81" s="10"/>
      <c r="I81" s="10"/>
    </row>
    <row r="82" spans="1:9">
      <c r="A82" s="10"/>
      <c r="B82" s="10"/>
      <c r="C82" s="10"/>
      <c r="D82" s="10"/>
      <c r="E82" s="10"/>
      <c r="F82" s="10"/>
      <c r="G82" s="10"/>
      <c r="H82" s="10"/>
      <c r="I82" s="10"/>
    </row>
    <row r="83" spans="1:9">
      <c r="A83" s="10"/>
      <c r="B83" s="10"/>
      <c r="C83" s="10"/>
      <c r="D83" s="10"/>
      <c r="E83" s="10"/>
      <c r="F83" s="10"/>
      <c r="G83" s="10"/>
      <c r="H83" s="10"/>
      <c r="I83" s="10"/>
    </row>
    <row r="84" spans="1:9">
      <c r="A84" s="10"/>
      <c r="B84" s="10"/>
      <c r="C84" s="10"/>
      <c r="D84" s="10"/>
      <c r="E84" s="10"/>
      <c r="F84" s="10"/>
      <c r="G84" s="10"/>
      <c r="H84" s="10"/>
      <c r="I84" s="10"/>
    </row>
    <row r="85" spans="1:9">
      <c r="A85" s="10"/>
      <c r="B85" s="10"/>
      <c r="C85" s="10"/>
      <c r="D85" s="10"/>
      <c r="E85" s="10"/>
      <c r="F85" s="10"/>
      <c r="G85" s="10"/>
      <c r="H85" s="10"/>
      <c r="I85" s="10"/>
    </row>
    <row r="86" spans="1:9">
      <c r="A86" s="10"/>
      <c r="B86" s="10"/>
      <c r="C86" s="10"/>
      <c r="D86" s="10"/>
      <c r="E86" s="10"/>
      <c r="F86" s="10"/>
      <c r="G86" s="10"/>
      <c r="H86" s="10"/>
      <c r="I86" s="10"/>
    </row>
    <row r="87" spans="1:9">
      <c r="A87" s="10"/>
      <c r="B87" s="10"/>
      <c r="C87" s="10"/>
      <c r="D87" s="10"/>
      <c r="E87" s="10"/>
      <c r="F87" s="10"/>
      <c r="G87" s="10"/>
      <c r="H87" s="10"/>
      <c r="I87" s="10"/>
    </row>
    <row r="88" spans="1:9">
      <c r="A88" s="10"/>
      <c r="B88" s="10"/>
      <c r="C88" s="10"/>
      <c r="D88" s="10"/>
      <c r="E88" s="10"/>
      <c r="F88" s="10"/>
      <c r="G88" s="10"/>
      <c r="H88" s="10"/>
      <c r="I88" s="10"/>
    </row>
    <row r="89" spans="1:9">
      <c r="A89" s="10"/>
      <c r="B89" s="10"/>
      <c r="C89" s="10"/>
      <c r="D89" s="10"/>
      <c r="E89" s="10"/>
      <c r="F89" s="10"/>
      <c r="G89" s="10"/>
      <c r="H89" s="10"/>
      <c r="I89" s="10"/>
    </row>
    <row r="90" spans="1:9">
      <c r="A90" s="10"/>
      <c r="B90" s="10"/>
      <c r="C90" s="10"/>
      <c r="D90" s="10"/>
      <c r="E90" s="10"/>
      <c r="F90" s="10"/>
      <c r="G90" s="10"/>
      <c r="H90" s="10"/>
      <c r="I90" s="10"/>
    </row>
    <row r="91" spans="1:9">
      <c r="A91" s="10"/>
      <c r="B91" s="10"/>
      <c r="C91" s="10"/>
      <c r="D91" s="10"/>
      <c r="E91" s="10"/>
      <c r="F91" s="10"/>
      <c r="G91" s="10"/>
      <c r="H91" s="10"/>
      <c r="I91" s="10"/>
    </row>
    <row r="92" spans="1:9">
      <c r="A92" s="10"/>
      <c r="B92" s="10"/>
      <c r="C92" s="10"/>
      <c r="D92" s="10"/>
      <c r="E92" s="10"/>
      <c r="F92" s="10"/>
      <c r="G92" s="10"/>
      <c r="H92" s="10"/>
      <c r="I92" s="10"/>
    </row>
    <row r="93" spans="1:9">
      <c r="A93" s="10"/>
      <c r="B93" s="10"/>
      <c r="C93" s="10"/>
      <c r="D93" s="10"/>
      <c r="E93" s="10"/>
      <c r="F93" s="10"/>
      <c r="G93" s="10"/>
      <c r="H93" s="10"/>
      <c r="I93" s="10"/>
    </row>
    <row r="94" spans="1:9">
      <c r="A94" s="10"/>
      <c r="B94" s="10"/>
      <c r="C94" s="10"/>
      <c r="D94" s="10"/>
      <c r="E94" s="10"/>
      <c r="F94" s="10"/>
      <c r="G94" s="10"/>
      <c r="H94" s="10"/>
      <c r="I94" s="10"/>
    </row>
    <row r="95" spans="1:9">
      <c r="A95" s="10"/>
      <c r="B95" s="10"/>
      <c r="C95" s="10"/>
      <c r="D95" s="10"/>
      <c r="E95" s="10"/>
      <c r="F95" s="10"/>
      <c r="G95" s="10"/>
      <c r="H95" s="10"/>
      <c r="I95" s="10"/>
    </row>
    <row r="96" spans="1:9">
      <c r="A96" s="10"/>
      <c r="B96" s="10"/>
      <c r="C96" s="10"/>
      <c r="D96" s="10"/>
      <c r="E96" s="10"/>
      <c r="F96" s="10"/>
      <c r="G96" s="10"/>
      <c r="H96" s="10"/>
      <c r="I96" s="10"/>
    </row>
    <row r="97" spans="1:9">
      <c r="A97" s="10"/>
      <c r="B97" s="10"/>
      <c r="C97" s="10"/>
      <c r="D97" s="10"/>
      <c r="E97" s="10"/>
      <c r="F97" s="10"/>
      <c r="G97" s="10"/>
      <c r="H97" s="10"/>
      <c r="I97" s="10"/>
    </row>
    <row r="98" spans="1:9">
      <c r="A98" s="10"/>
      <c r="B98" s="10"/>
      <c r="C98" s="10"/>
      <c r="D98" s="10"/>
      <c r="E98" s="10"/>
      <c r="F98" s="10"/>
      <c r="G98" s="10"/>
      <c r="H98" s="10"/>
      <c r="I98" s="10"/>
    </row>
    <row r="99" spans="1:9">
      <c r="A99" s="10"/>
      <c r="B99" s="10"/>
      <c r="C99" s="10"/>
      <c r="D99" s="10"/>
      <c r="E99" s="10"/>
      <c r="F99" s="10"/>
      <c r="G99" s="10"/>
      <c r="H99" s="10"/>
      <c r="I99" s="10"/>
    </row>
    <row r="100" spans="1:9">
      <c r="A100" s="10"/>
      <c r="B100" s="10"/>
      <c r="C100" s="10"/>
      <c r="D100" s="10"/>
      <c r="E100" s="10"/>
      <c r="F100" s="10"/>
      <c r="G100" s="10"/>
      <c r="H100" s="10"/>
      <c r="I100" s="10"/>
    </row>
    <row r="101" spans="1:9">
      <c r="A101" s="10"/>
      <c r="B101" s="10"/>
      <c r="C101" s="10"/>
      <c r="D101" s="10"/>
      <c r="E101" s="10"/>
      <c r="F101" s="10"/>
      <c r="G101" s="10"/>
      <c r="H101" s="10"/>
      <c r="I101" s="10"/>
    </row>
    <row r="102" spans="1:9">
      <c r="A102" s="10"/>
      <c r="B102" s="10"/>
      <c r="C102" s="10"/>
      <c r="D102" s="10"/>
      <c r="E102" s="10"/>
      <c r="F102" s="10"/>
      <c r="G102" s="10"/>
      <c r="H102" s="10"/>
      <c r="I102" s="10"/>
    </row>
    <row r="103" spans="1:9">
      <c r="A103" s="10"/>
      <c r="B103" s="10"/>
      <c r="C103" s="10"/>
      <c r="D103" s="10"/>
      <c r="E103" s="10"/>
      <c r="F103" s="10"/>
      <c r="G103" s="10"/>
      <c r="H103" s="10"/>
      <c r="I103" s="10"/>
    </row>
    <row r="104" spans="1:9">
      <c r="A104" s="10"/>
      <c r="B104" s="10"/>
      <c r="C104" s="10"/>
      <c r="D104" s="10"/>
      <c r="E104" s="10"/>
      <c r="F104" s="10"/>
      <c r="G104" s="10"/>
      <c r="H104" s="10"/>
      <c r="I104" s="10"/>
    </row>
    <row r="105" spans="1:9">
      <c r="A105" s="10"/>
      <c r="B105" s="10"/>
      <c r="C105" s="10"/>
      <c r="D105" s="10"/>
      <c r="E105" s="10"/>
      <c r="F105" s="10"/>
      <c r="G105" s="10"/>
      <c r="H105" s="10"/>
      <c r="I105" s="10"/>
    </row>
  </sheetData>
  <pageMargins left="0.25" right="0.25" top="0.75" bottom="0.75" header="0.3" footer="0.3"/>
  <pageSetup scale="4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18509-4469-4CA1-837E-28DCE856C1A1}">
  <sheetPr>
    <tabColor rgb="FF92D050"/>
  </sheetPr>
  <dimension ref="A1:N42"/>
  <sheetViews>
    <sheetView view="pageBreakPreview" zoomScale="60" zoomScaleNormal="80" workbookViewId="0">
      <selection activeCell="F48" sqref="F48"/>
    </sheetView>
  </sheetViews>
  <sheetFormatPr defaultRowHeight="15"/>
  <cols>
    <col min="1" max="1" width="21.5703125" customWidth="1"/>
    <col min="2" max="2" width="45.7109375" customWidth="1"/>
    <col min="3" max="3" width="20.85546875" customWidth="1"/>
    <col min="4" max="4" width="24" customWidth="1"/>
    <col min="5" max="5" width="29.28515625" customWidth="1"/>
    <col min="6" max="6" width="26.42578125" customWidth="1"/>
    <col min="7" max="7" width="23" customWidth="1"/>
    <col min="8" max="8" width="27.28515625" customWidth="1"/>
    <col min="9" max="9" width="29.42578125" customWidth="1"/>
    <col min="10" max="10" width="21.28515625" customWidth="1"/>
    <col min="11" max="11" width="4.42578125" customWidth="1"/>
    <col min="12" max="12" width="22.7109375" customWidth="1"/>
    <col min="13" max="13" width="17.28515625" customWidth="1"/>
  </cols>
  <sheetData>
    <row r="1" spans="1:14" ht="20.25">
      <c r="A1" s="21" t="s">
        <v>1</v>
      </c>
      <c r="C1" s="10"/>
      <c r="D1" s="10"/>
      <c r="E1" s="10"/>
      <c r="F1" s="10"/>
      <c r="G1" s="10"/>
      <c r="H1" s="10"/>
      <c r="I1" s="10"/>
      <c r="J1" s="10"/>
      <c r="K1" s="10"/>
      <c r="L1" s="10"/>
      <c r="M1" s="10"/>
      <c r="N1" s="10"/>
    </row>
    <row r="2" spans="1:14" ht="15.75">
      <c r="A2" s="60" t="s">
        <v>9</v>
      </c>
      <c r="C2" s="10"/>
      <c r="D2" s="10"/>
      <c r="E2" s="10"/>
      <c r="F2" s="10"/>
      <c r="G2" s="10"/>
      <c r="H2" s="10"/>
      <c r="I2" s="10"/>
      <c r="J2" s="10"/>
      <c r="K2" s="10"/>
      <c r="L2" s="10"/>
      <c r="M2" s="10"/>
      <c r="N2" s="10"/>
    </row>
    <row r="3" spans="1:14">
      <c r="A3" s="23" t="s">
        <v>64</v>
      </c>
      <c r="C3" s="10"/>
      <c r="D3" s="10"/>
      <c r="E3" s="10"/>
      <c r="F3" s="10"/>
      <c r="G3" s="10"/>
      <c r="H3" s="10"/>
      <c r="I3" s="10"/>
      <c r="J3" s="10"/>
      <c r="K3" s="10"/>
      <c r="L3" s="10"/>
      <c r="M3" s="10"/>
      <c r="N3" s="10"/>
    </row>
    <row r="4" spans="1:14">
      <c r="A4" s="10"/>
      <c r="C4" s="10"/>
      <c r="D4" s="10"/>
      <c r="E4" s="24" t="s">
        <v>0</v>
      </c>
      <c r="F4" s="10"/>
      <c r="G4" s="10"/>
      <c r="H4" s="10"/>
      <c r="I4" s="10"/>
      <c r="J4" s="10"/>
      <c r="K4" s="10"/>
      <c r="L4" s="10"/>
      <c r="M4" s="10"/>
      <c r="N4" s="10"/>
    </row>
    <row r="5" spans="1:14" ht="16.5" thickBot="1">
      <c r="A5" s="60"/>
      <c r="C5" s="10"/>
      <c r="D5" s="10"/>
      <c r="E5" s="10"/>
      <c r="F5" s="10"/>
      <c r="G5" s="10"/>
      <c r="H5" s="10"/>
      <c r="I5" s="10"/>
      <c r="J5" s="10"/>
      <c r="K5" s="10"/>
      <c r="L5" s="10"/>
      <c r="M5" s="10"/>
      <c r="N5" s="10"/>
    </row>
    <row r="6" spans="1:14" ht="18.75" thickBot="1">
      <c r="A6" s="276" t="str">
        <f>+'S&amp;D'!A12</f>
        <v>Railroad Carriers</v>
      </c>
      <c r="B6" s="196"/>
      <c r="C6" s="10"/>
      <c r="D6" s="10"/>
      <c r="E6" s="10"/>
      <c r="F6" s="10"/>
      <c r="G6" s="10"/>
      <c r="H6" s="10"/>
    </row>
    <row r="7" spans="1:14" ht="16.5" thickBot="1">
      <c r="A7" s="60"/>
      <c r="C7" s="10"/>
      <c r="D7" s="26"/>
      <c r="E7" s="26"/>
      <c r="F7" s="26"/>
      <c r="G7" s="10"/>
      <c r="H7" s="10"/>
    </row>
    <row r="8" spans="1:14" ht="20.25">
      <c r="C8" s="10"/>
      <c r="D8" s="10"/>
      <c r="E8" s="29" t="s">
        <v>388</v>
      </c>
      <c r="F8" s="10"/>
      <c r="G8" s="10"/>
      <c r="H8" s="10"/>
    </row>
    <row r="9" spans="1:14" ht="18.75" thickBot="1">
      <c r="B9" s="28"/>
      <c r="C9" s="10"/>
      <c r="D9" s="26"/>
      <c r="E9" s="30" t="s">
        <v>78</v>
      </c>
      <c r="F9" s="26"/>
      <c r="G9" s="10"/>
      <c r="H9" s="10"/>
    </row>
    <row r="10" spans="1:14" ht="15.75" thickBot="1">
      <c r="B10" s="31" t="s">
        <v>0</v>
      </c>
      <c r="C10" s="31" t="s">
        <v>0</v>
      </c>
      <c r="D10" s="31" t="s">
        <v>0</v>
      </c>
      <c r="E10" s="31" t="s">
        <v>0</v>
      </c>
      <c r="F10" s="31" t="s">
        <v>0</v>
      </c>
      <c r="G10" s="31" t="s">
        <v>0</v>
      </c>
      <c r="H10" s="26"/>
      <c r="I10" s="155"/>
      <c r="J10" s="155"/>
    </row>
    <row r="11" spans="1:14">
      <c r="B11" s="32" t="s">
        <v>0</v>
      </c>
      <c r="C11" s="32" t="s">
        <v>3</v>
      </c>
      <c r="D11" s="32" t="s">
        <v>364</v>
      </c>
      <c r="E11" s="413" t="s">
        <v>365</v>
      </c>
      <c r="F11" s="32" t="s">
        <v>238</v>
      </c>
      <c r="G11" s="32" t="s">
        <v>27</v>
      </c>
      <c r="H11" s="413" t="s">
        <v>387</v>
      </c>
      <c r="I11" s="32" t="s">
        <v>387</v>
      </c>
      <c r="J11" s="32" t="s">
        <v>27</v>
      </c>
    </row>
    <row r="12" spans="1:14" ht="15.75" thickBot="1">
      <c r="B12" s="34" t="s">
        <v>2</v>
      </c>
      <c r="C12" s="34" t="s">
        <v>4</v>
      </c>
      <c r="D12" s="34" t="s">
        <v>28</v>
      </c>
      <c r="E12" s="414" t="s">
        <v>173</v>
      </c>
      <c r="F12" s="34" t="s">
        <v>389</v>
      </c>
      <c r="G12" s="34" t="s">
        <v>30</v>
      </c>
      <c r="H12" s="414" t="s">
        <v>420</v>
      </c>
      <c r="I12" s="34" t="s">
        <v>29</v>
      </c>
      <c r="J12" s="34" t="s">
        <v>30</v>
      </c>
    </row>
    <row r="13" spans="1:14">
      <c r="B13" s="36" t="s">
        <v>0</v>
      </c>
      <c r="C13" s="36" t="s">
        <v>0</v>
      </c>
      <c r="D13" s="37" t="s">
        <v>117</v>
      </c>
      <c r="E13" s="415" t="s">
        <v>118</v>
      </c>
      <c r="F13" s="36" t="s">
        <v>0</v>
      </c>
      <c r="G13" s="36" t="s">
        <v>0</v>
      </c>
      <c r="H13" s="415" t="s">
        <v>118</v>
      </c>
      <c r="I13" s="36" t="s">
        <v>0</v>
      </c>
      <c r="J13" s="36" t="s">
        <v>0</v>
      </c>
    </row>
    <row r="14" spans="1:14">
      <c r="B14" s="32"/>
      <c r="C14" s="32"/>
      <c r="D14" s="32"/>
      <c r="E14" s="406"/>
      <c r="F14" s="32"/>
      <c r="G14" s="32"/>
      <c r="H14" s="416"/>
      <c r="I14" s="32"/>
      <c r="J14" s="32"/>
    </row>
    <row r="15" spans="1:14">
      <c r="B15" s="10"/>
      <c r="C15" s="10"/>
      <c r="D15" s="10"/>
      <c r="E15" s="404"/>
      <c r="F15" s="10"/>
      <c r="H15" s="404"/>
      <c r="I15" s="10"/>
    </row>
    <row r="16" spans="1:14" ht="15.75">
      <c r="B16" s="60" t="str">
        <f>+'S&amp;D'!A22</f>
        <v>Canadian National</v>
      </c>
      <c r="C16" s="87" t="str">
        <f>+'S&amp;D'!B22</f>
        <v>CNI</v>
      </c>
      <c r="D16" s="191">
        <f>+'S&amp;D'!G22</f>
        <v>118.88</v>
      </c>
      <c r="E16" s="407">
        <v>19.45</v>
      </c>
      <c r="F16" s="417">
        <f>D16/E16</f>
        <v>6.1120822622107971</v>
      </c>
      <c r="G16" s="54">
        <f t="shared" ref="G16:G20" si="0">1/F16</f>
        <v>0.16361036339165544</v>
      </c>
      <c r="H16" s="407">
        <v>23.6</v>
      </c>
      <c r="I16" s="417">
        <f>D16/H16</f>
        <v>5.0372881355932195</v>
      </c>
      <c r="J16" s="54">
        <f t="shared" ref="J16:J20" si="1">1/I16</f>
        <v>0.19851951547779276</v>
      </c>
    </row>
    <row r="17" spans="1:10" ht="15.75">
      <c r="B17" s="60" t="str">
        <f>+'S&amp;D'!A23</f>
        <v>Canadian Pacific</v>
      </c>
      <c r="C17" s="87" t="str">
        <f>+'S&amp;D'!B23</f>
        <v>CP</v>
      </c>
      <c r="D17" s="191">
        <f>+'S&amp;D'!G23</f>
        <v>74.59</v>
      </c>
      <c r="E17" s="407">
        <v>7.25</v>
      </c>
      <c r="F17" s="417">
        <f t="shared" ref="F17:F20" si="2">D17/E17</f>
        <v>10.288275862068966</v>
      </c>
      <c r="G17" s="54">
        <f t="shared" si="0"/>
        <v>9.7198015819814979E-2</v>
      </c>
      <c r="H17" s="407">
        <v>41.8</v>
      </c>
      <c r="I17" s="417">
        <f>D17/H17</f>
        <v>1.7844497607655505</v>
      </c>
      <c r="J17" s="54">
        <f t="shared" si="1"/>
        <v>0.56039683603700219</v>
      </c>
    </row>
    <row r="18" spans="1:10" ht="15.75">
      <c r="B18" s="60" t="str">
        <f>+'S&amp;D'!A24</f>
        <v>CSX Corp</v>
      </c>
      <c r="C18" s="87" t="str">
        <f>+'S&amp;D'!B24</f>
        <v>CSX</v>
      </c>
      <c r="D18" s="191">
        <f>+'S&amp;D'!G24</f>
        <v>30.98</v>
      </c>
      <c r="E18" s="407">
        <v>7.15</v>
      </c>
      <c r="F18" s="417">
        <f t="shared" si="2"/>
        <v>4.3328671328671327</v>
      </c>
      <c r="G18" s="54">
        <f t="shared" si="0"/>
        <v>0.23079406068431246</v>
      </c>
      <c r="H18" s="407">
        <v>6.05</v>
      </c>
      <c r="I18" s="417">
        <f>D18/H18</f>
        <v>5.1206611570247933</v>
      </c>
      <c r="J18" s="54">
        <f t="shared" si="1"/>
        <v>0.19528728211749516</v>
      </c>
    </row>
    <row r="19" spans="1:10" ht="15.75">
      <c r="B19" s="60" t="str">
        <f>+'S&amp;D'!A25</f>
        <v>Norfolk Southern</v>
      </c>
      <c r="C19" s="87" t="str">
        <f>+'S&amp;D'!B25</f>
        <v>NSC</v>
      </c>
      <c r="D19" s="191">
        <f>+'S&amp;D'!G25</f>
        <v>246.42</v>
      </c>
      <c r="E19" s="407">
        <v>55.9</v>
      </c>
      <c r="F19" s="417">
        <f t="shared" si="2"/>
        <v>4.4082289803220034</v>
      </c>
      <c r="G19" s="54">
        <f t="shared" si="0"/>
        <v>0.22684847009171336</v>
      </c>
      <c r="H19" s="407">
        <v>55.85</v>
      </c>
      <c r="I19" s="417">
        <f>D19/H19</f>
        <v>4.4121754700089522</v>
      </c>
      <c r="J19" s="54">
        <f t="shared" si="1"/>
        <v>0.22664556448340234</v>
      </c>
    </row>
    <row r="20" spans="1:10" ht="15.75">
      <c r="B20" s="60" t="str">
        <f>+'S&amp;D'!A26</f>
        <v>Union Pacific Railroad</v>
      </c>
      <c r="C20" s="87" t="str">
        <f>+'S&amp;D'!B26</f>
        <v>UNP</v>
      </c>
      <c r="D20" s="191">
        <f>+'S&amp;D'!G26</f>
        <v>207.07</v>
      </c>
      <c r="E20" s="407">
        <v>40.799999999999997</v>
      </c>
      <c r="F20" s="417">
        <f t="shared" si="2"/>
        <v>5.0752450980392156</v>
      </c>
      <c r="G20" s="54">
        <f t="shared" si="0"/>
        <v>0.19703481914328488</v>
      </c>
      <c r="H20" s="407">
        <v>19.95</v>
      </c>
      <c r="I20" s="417">
        <f>D20/H20</f>
        <v>10.379448621553884</v>
      </c>
      <c r="J20" s="54">
        <f t="shared" si="1"/>
        <v>9.6344231419326812E-2</v>
      </c>
    </row>
    <row r="21" spans="1:10" ht="11.25" customHeight="1" thickBot="1">
      <c r="B21" s="10"/>
      <c r="C21" s="67"/>
      <c r="D21" s="67"/>
      <c r="E21" s="408"/>
      <c r="F21" s="418"/>
      <c r="G21" s="419"/>
      <c r="H21" s="408"/>
      <c r="I21" s="418"/>
      <c r="J21" s="419"/>
    </row>
    <row r="22" spans="1:10" ht="15.75" thickTop="1">
      <c r="B22" s="10"/>
      <c r="D22" s="12" t="s">
        <v>47</v>
      </c>
      <c r="E22" s="409">
        <v>55.9</v>
      </c>
      <c r="F22" s="68">
        <v>10.29</v>
      </c>
      <c r="G22" s="68">
        <v>23.08</v>
      </c>
      <c r="H22" s="409">
        <v>55.85</v>
      </c>
      <c r="I22" s="68">
        <v>10.38</v>
      </c>
      <c r="J22" s="68">
        <v>56.04</v>
      </c>
    </row>
    <row r="23" spans="1:10">
      <c r="B23" s="10"/>
      <c r="D23" s="349" t="s">
        <v>48</v>
      </c>
      <c r="E23" s="410">
        <v>7.15</v>
      </c>
      <c r="F23" s="354">
        <v>4.33</v>
      </c>
      <c r="G23" s="354">
        <v>9.7200000000000006</v>
      </c>
      <c r="H23" s="410">
        <v>6.05</v>
      </c>
      <c r="I23" s="354">
        <v>1.78</v>
      </c>
      <c r="J23" s="354">
        <v>9.6300000000000008</v>
      </c>
    </row>
    <row r="24" spans="1:10">
      <c r="B24" s="10"/>
      <c r="D24" s="12" t="s">
        <v>18</v>
      </c>
      <c r="E24" s="411" t="s">
        <v>0</v>
      </c>
      <c r="F24" s="17">
        <f>MEDIAN(F16:F20)</f>
        <v>5.0752450980392156</v>
      </c>
      <c r="G24" s="54">
        <f>MEDIAN(G16:G20)</f>
        <v>0.19703481914328488</v>
      </c>
      <c r="H24" s="411" t="s">
        <v>0</v>
      </c>
      <c r="I24" s="16">
        <f>MEDIAN(I16:I20)</f>
        <v>5.0372881355932195</v>
      </c>
      <c r="J24" s="54">
        <f>MEDIAN(J16:J20)</f>
        <v>0.19851951547779276</v>
      </c>
    </row>
    <row r="25" spans="1:10">
      <c r="B25" s="10"/>
      <c r="D25" s="12" t="s">
        <v>448</v>
      </c>
      <c r="E25" s="412" t="s">
        <v>0</v>
      </c>
      <c r="F25" s="17">
        <f>AVERAGE(F16:F20)</f>
        <v>6.043339867101623</v>
      </c>
      <c r="G25" s="70">
        <f>AVERAGE(G16:G20)</f>
        <v>0.18309714582615624</v>
      </c>
      <c r="H25" s="412" t="s">
        <v>0</v>
      </c>
      <c r="I25" s="16">
        <f>AVERAGE(I16:I20)</f>
        <v>5.3468046289892799</v>
      </c>
      <c r="J25" s="70">
        <f>AVERAGE(J16:J20)</f>
        <v>0.25543868590700386</v>
      </c>
    </row>
    <row r="26" spans="1:10">
      <c r="B26" s="10"/>
      <c r="C26" s="10"/>
      <c r="D26" s="10"/>
      <c r="E26" s="10"/>
      <c r="F26" s="10"/>
      <c r="H26" s="10"/>
      <c r="I26" s="10"/>
    </row>
    <row r="27" spans="1:10">
      <c r="B27" s="10"/>
      <c r="C27" s="10"/>
      <c r="D27" s="10"/>
      <c r="E27" s="10"/>
      <c r="F27" s="10"/>
      <c r="H27" s="10"/>
      <c r="I27" s="10"/>
    </row>
    <row r="28" spans="1:10" ht="15.75" thickBot="1">
      <c r="B28" s="10"/>
      <c r="C28" s="10"/>
      <c r="D28" s="10"/>
      <c r="E28" s="10"/>
      <c r="F28" s="10"/>
      <c r="I28" s="10"/>
    </row>
    <row r="29" spans="1:10" ht="21" thickBot="1">
      <c r="B29" s="72" t="s">
        <v>0</v>
      </c>
      <c r="C29" s="10"/>
      <c r="D29" s="21" t="s">
        <v>128</v>
      </c>
      <c r="E29" s="21"/>
      <c r="F29" s="248">
        <v>6.04</v>
      </c>
      <c r="I29" s="248">
        <v>5.35</v>
      </c>
    </row>
    <row r="30" spans="1:10" ht="16.5">
      <c r="B30" s="72" t="s">
        <v>0</v>
      </c>
      <c r="C30" s="10"/>
      <c r="D30" s="10"/>
      <c r="E30" s="10"/>
      <c r="F30" s="10"/>
      <c r="H30" s="10"/>
    </row>
    <row r="31" spans="1:10" ht="16.5">
      <c r="B31" s="72"/>
      <c r="C31" s="10"/>
      <c r="D31" s="10"/>
      <c r="E31" s="10"/>
      <c r="F31" s="10"/>
      <c r="H31" s="10"/>
    </row>
    <row r="32" spans="1:10" ht="16.5">
      <c r="A32" s="104" t="s">
        <v>390</v>
      </c>
      <c r="B32" s="72"/>
      <c r="C32" s="10"/>
      <c r="D32" s="10"/>
      <c r="E32" s="10"/>
      <c r="F32" s="10"/>
      <c r="H32" s="10"/>
    </row>
    <row r="33" spans="1:14" ht="16.5">
      <c r="A33" s="104" t="s">
        <v>369</v>
      </c>
      <c r="B33" s="72"/>
      <c r="C33" s="10"/>
      <c r="D33" s="10"/>
      <c r="E33" s="10"/>
      <c r="F33" s="10"/>
      <c r="G33" s="10"/>
      <c r="H33" s="10"/>
    </row>
    <row r="34" spans="1:14" ht="16.5">
      <c r="B34" s="72"/>
      <c r="C34" s="10"/>
      <c r="D34" s="10"/>
      <c r="E34" s="10"/>
      <c r="F34" s="10"/>
      <c r="G34" s="10"/>
      <c r="H34" s="10"/>
    </row>
    <row r="35" spans="1:14" ht="16.5">
      <c r="A35" s="104" t="s">
        <v>391</v>
      </c>
      <c r="B35" s="72"/>
      <c r="C35" s="10"/>
      <c r="D35" s="10"/>
      <c r="E35" s="10"/>
      <c r="F35" s="10"/>
      <c r="G35" s="10"/>
      <c r="H35" s="10"/>
    </row>
    <row r="36" spans="1:14" ht="16.5">
      <c r="A36" s="104" t="s">
        <v>367</v>
      </c>
      <c r="B36" s="72"/>
      <c r="C36" s="10"/>
      <c r="D36" s="10"/>
      <c r="E36" s="10"/>
      <c r="F36" s="10"/>
      <c r="G36" s="10"/>
      <c r="H36" s="10"/>
    </row>
    <row r="37" spans="1:14" ht="16.5">
      <c r="A37" s="104" t="s">
        <v>368</v>
      </c>
      <c r="B37" s="72"/>
      <c r="C37" s="10"/>
      <c r="D37" s="10"/>
      <c r="E37" s="10"/>
      <c r="F37" s="10"/>
      <c r="G37" s="10"/>
      <c r="H37" s="10"/>
    </row>
    <row r="38" spans="1:14">
      <c r="B38" s="10"/>
      <c r="C38" s="10"/>
      <c r="D38" s="10"/>
      <c r="E38" s="10"/>
      <c r="F38" s="10"/>
      <c r="G38" s="10"/>
      <c r="H38" s="10"/>
      <c r="I38" s="10"/>
      <c r="J38" s="10"/>
      <c r="K38" s="10"/>
      <c r="L38" s="10"/>
      <c r="M38" s="10"/>
      <c r="N38" s="10"/>
    </row>
    <row r="39" spans="1:14">
      <c r="B39" s="10"/>
      <c r="C39" s="10"/>
      <c r="D39" s="10"/>
      <c r="E39" s="10"/>
      <c r="F39" s="10"/>
      <c r="G39" s="10"/>
      <c r="H39" s="10"/>
      <c r="I39" s="10"/>
      <c r="J39" s="10"/>
      <c r="K39" s="10"/>
      <c r="L39" s="10"/>
      <c r="M39" s="10"/>
      <c r="N39" s="10"/>
    </row>
    <row r="41" spans="1:14">
      <c r="B41" s="394" t="s">
        <v>0</v>
      </c>
      <c r="D41" s="394" t="s">
        <v>0</v>
      </c>
      <c r="G41" s="394" t="s">
        <v>0</v>
      </c>
    </row>
    <row r="42" spans="1:14">
      <c r="B42" s="394" t="s">
        <v>0</v>
      </c>
      <c r="D42" s="394" t="s">
        <v>0</v>
      </c>
      <c r="G42" s="394" t="s">
        <v>0</v>
      </c>
    </row>
  </sheetData>
  <pageMargins left="0.25" right="0.25"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K31"/>
  <sheetViews>
    <sheetView tabSelected="1" view="pageBreakPreview" zoomScale="80" zoomScaleNormal="80" zoomScaleSheetLayoutView="80" workbookViewId="0">
      <selection activeCell="G15" sqref="G15"/>
    </sheetView>
  </sheetViews>
  <sheetFormatPr defaultRowHeight="15"/>
  <cols>
    <col min="1" max="1" width="22.28515625" customWidth="1"/>
    <col min="2" max="2" width="39.7109375" customWidth="1"/>
    <col min="3" max="3" width="16.85546875" customWidth="1"/>
    <col min="4" max="4" width="35.28515625" customWidth="1"/>
    <col min="5" max="5" width="18" customWidth="1"/>
    <col min="6" max="6" width="20.85546875" bestFit="1" customWidth="1"/>
    <col min="7" max="7" width="22" customWidth="1"/>
    <col min="8" max="8" width="23.7109375" customWidth="1"/>
  </cols>
  <sheetData>
    <row r="1" spans="1:11" ht="20.25">
      <c r="A1" s="21" t="s">
        <v>1</v>
      </c>
      <c r="C1" s="10"/>
      <c r="D1" s="10"/>
      <c r="E1" s="10"/>
      <c r="F1" s="10"/>
      <c r="G1" s="10"/>
      <c r="H1" s="10"/>
      <c r="I1" s="10"/>
      <c r="J1" s="10"/>
      <c r="K1" s="10"/>
    </row>
    <row r="2" spans="1:11" ht="15.75">
      <c r="A2" s="22" t="s">
        <v>9</v>
      </c>
      <c r="C2" s="10"/>
      <c r="D2" s="10"/>
      <c r="E2" s="10"/>
      <c r="F2" s="10"/>
      <c r="G2" s="10"/>
      <c r="H2" s="10"/>
      <c r="I2" s="10"/>
      <c r="J2" s="10"/>
      <c r="K2" s="10"/>
    </row>
    <row r="3" spans="1:11" ht="17.25" customHeight="1">
      <c r="A3" s="23" t="s">
        <v>64</v>
      </c>
      <c r="C3" s="10"/>
      <c r="D3" s="10"/>
      <c r="E3" s="10"/>
      <c r="F3" s="10"/>
      <c r="G3" s="10"/>
      <c r="H3" s="10"/>
      <c r="I3" s="10"/>
      <c r="J3" s="10"/>
      <c r="K3" s="10"/>
    </row>
    <row r="4" spans="1:11" ht="17.25" customHeight="1">
      <c r="B4" s="23"/>
      <c r="C4" s="10"/>
      <c r="D4" s="10"/>
      <c r="E4" s="10"/>
      <c r="F4" s="10"/>
      <c r="G4" s="10"/>
      <c r="H4" s="10"/>
      <c r="I4" s="10"/>
      <c r="J4" s="10"/>
      <c r="K4" s="10"/>
    </row>
    <row r="5" spans="1:11" ht="17.25" customHeight="1">
      <c r="B5" s="151"/>
      <c r="C5" s="10"/>
      <c r="D5" s="10"/>
      <c r="E5" s="10"/>
      <c r="F5" s="10"/>
      <c r="G5" s="10"/>
      <c r="H5" s="10"/>
      <c r="I5" s="10"/>
      <c r="J5" s="10"/>
      <c r="K5" s="10"/>
    </row>
    <row r="6" spans="1:11" ht="17.25" customHeight="1">
      <c r="B6" s="151"/>
      <c r="C6" s="10"/>
      <c r="D6" s="10"/>
      <c r="E6" s="10"/>
      <c r="F6" s="10"/>
      <c r="G6" s="10"/>
      <c r="H6" s="10"/>
      <c r="I6" s="10"/>
      <c r="J6" s="10"/>
      <c r="K6" s="10"/>
    </row>
    <row r="7" spans="1:11" ht="17.25" customHeight="1">
      <c r="B7" s="151"/>
      <c r="C7" s="10"/>
      <c r="D7" s="10"/>
      <c r="E7" s="10"/>
      <c r="F7" s="10"/>
      <c r="G7" s="10"/>
      <c r="H7" s="10"/>
      <c r="I7" s="10"/>
      <c r="J7" s="10"/>
      <c r="K7" s="10"/>
    </row>
    <row r="8" spans="1:11">
      <c r="B8" s="23"/>
      <c r="C8" s="10"/>
      <c r="D8" s="10"/>
      <c r="E8" s="10"/>
      <c r="F8" s="10"/>
      <c r="G8" s="10"/>
      <c r="H8" s="10"/>
      <c r="I8" s="10"/>
      <c r="J8" s="10"/>
      <c r="K8" s="10"/>
    </row>
    <row r="9" spans="1:11" ht="18">
      <c r="B9" s="10"/>
      <c r="C9" s="10"/>
      <c r="D9" s="75" t="s">
        <v>0</v>
      </c>
      <c r="E9" s="10"/>
      <c r="F9" s="10"/>
      <c r="G9" s="10"/>
      <c r="H9" s="10"/>
      <c r="I9" s="10"/>
      <c r="J9" s="10"/>
      <c r="K9" s="10"/>
    </row>
    <row r="10" spans="1:11" ht="18">
      <c r="B10" s="10"/>
      <c r="C10" s="10"/>
      <c r="D10" s="75" t="s">
        <v>66</v>
      </c>
      <c r="E10" s="10"/>
      <c r="F10" s="10"/>
      <c r="G10" s="10"/>
      <c r="H10" s="10"/>
      <c r="I10" s="10"/>
      <c r="J10" s="10"/>
      <c r="K10" s="10"/>
    </row>
    <row r="11" spans="1:11">
      <c r="B11" s="10"/>
      <c r="C11" s="10"/>
      <c r="D11" s="10"/>
      <c r="E11" s="10"/>
      <c r="F11" s="10"/>
      <c r="G11" s="10"/>
      <c r="H11" s="10"/>
      <c r="I11" s="10"/>
      <c r="J11" s="10"/>
      <c r="K11" s="10"/>
    </row>
    <row r="12" spans="1:11">
      <c r="B12" s="10"/>
      <c r="C12" s="10"/>
      <c r="D12" s="10"/>
      <c r="E12" s="10"/>
      <c r="F12" s="10"/>
      <c r="G12" s="10"/>
      <c r="H12" s="10"/>
      <c r="I12" s="10"/>
      <c r="J12" s="10"/>
      <c r="K12" s="10"/>
    </row>
    <row r="13" spans="1:11">
      <c r="B13" s="10"/>
      <c r="C13" s="10"/>
      <c r="D13" s="10"/>
      <c r="E13" s="24"/>
      <c r="F13" s="10"/>
      <c r="G13" s="10"/>
      <c r="H13" s="10"/>
      <c r="I13" s="10"/>
      <c r="J13" s="10"/>
      <c r="K13" s="10"/>
    </row>
    <row r="14" spans="1:11">
      <c r="B14" s="10"/>
      <c r="C14" s="10"/>
      <c r="D14" s="10"/>
      <c r="E14" s="10"/>
      <c r="F14" s="10"/>
      <c r="G14" s="10"/>
      <c r="H14" s="10"/>
      <c r="I14" s="10"/>
      <c r="J14" s="10"/>
      <c r="K14" s="10"/>
    </row>
    <row r="15" spans="1:11" ht="15.75" thickBot="1">
      <c r="B15" s="10"/>
      <c r="C15" s="26"/>
      <c r="D15" s="26"/>
      <c r="E15" s="26"/>
      <c r="F15" s="10"/>
      <c r="G15" s="10"/>
      <c r="H15" s="10"/>
      <c r="I15" s="10"/>
      <c r="J15" s="10"/>
      <c r="K15" s="10"/>
    </row>
    <row r="16" spans="1:11" ht="20.25">
      <c r="B16" s="10"/>
      <c r="C16" s="10"/>
      <c r="D16" s="29" t="str">
        <f>+'S&amp;D'!A12</f>
        <v>Railroad Carriers</v>
      </c>
      <c r="E16" s="10"/>
      <c r="F16" s="10"/>
      <c r="G16" s="10"/>
      <c r="H16" s="10"/>
      <c r="I16" s="10"/>
      <c r="J16" s="10"/>
      <c r="K16" s="10"/>
    </row>
    <row r="17" spans="2:11" ht="15.75" thickBot="1">
      <c r="B17" s="10"/>
      <c r="C17" s="26"/>
      <c r="D17" s="34" t="s">
        <v>0</v>
      </c>
      <c r="E17" s="26"/>
      <c r="F17" s="10"/>
      <c r="G17" s="10"/>
      <c r="H17" s="10"/>
      <c r="I17" s="10"/>
      <c r="J17" s="10"/>
      <c r="K17" s="10"/>
    </row>
    <row r="18" spans="2:11" ht="15.75" thickBot="1">
      <c r="B18" s="26"/>
      <c r="C18" s="26"/>
      <c r="D18" s="34" t="s">
        <v>0</v>
      </c>
      <c r="E18" s="26"/>
      <c r="F18" s="26"/>
      <c r="G18" s="26"/>
      <c r="H18" s="10"/>
      <c r="I18" s="10"/>
      <c r="J18" s="10"/>
      <c r="K18" s="10"/>
    </row>
    <row r="19" spans="2:11">
      <c r="B19" s="32" t="s">
        <v>32</v>
      </c>
      <c r="C19" s="32" t="s">
        <v>33</v>
      </c>
      <c r="D19" s="32" t="s">
        <v>34</v>
      </c>
      <c r="E19" s="32" t="s">
        <v>70</v>
      </c>
      <c r="F19" s="32" t="s">
        <v>34</v>
      </c>
      <c r="G19" s="32" t="s">
        <v>35</v>
      </c>
      <c r="H19" s="10"/>
      <c r="I19" s="10"/>
      <c r="J19" s="10"/>
      <c r="K19" s="10"/>
    </row>
    <row r="20" spans="2:11" ht="15.75" thickBot="1">
      <c r="B20" s="34" t="s">
        <v>33</v>
      </c>
      <c r="C20" s="34" t="s">
        <v>36</v>
      </c>
      <c r="D20" s="34" t="s">
        <v>37</v>
      </c>
      <c r="E20" s="34" t="s">
        <v>23</v>
      </c>
      <c r="F20" s="34" t="s">
        <v>38</v>
      </c>
      <c r="G20" s="34" t="s">
        <v>39</v>
      </c>
      <c r="H20" s="10"/>
      <c r="I20" s="10"/>
      <c r="J20" s="10"/>
      <c r="K20" s="10"/>
    </row>
    <row r="21" spans="2:11">
      <c r="B21" s="36" t="s">
        <v>0</v>
      </c>
      <c r="C21" s="36" t="s">
        <v>0</v>
      </c>
      <c r="D21" s="36" t="s">
        <v>0</v>
      </c>
      <c r="E21" s="36" t="s">
        <v>0</v>
      </c>
      <c r="F21" s="36" t="s">
        <v>0</v>
      </c>
      <c r="G21" s="36" t="s">
        <v>0</v>
      </c>
      <c r="H21" s="10"/>
      <c r="I21" s="10"/>
      <c r="J21" s="10"/>
      <c r="K21" s="10"/>
    </row>
    <row r="22" spans="2:11">
      <c r="B22" s="32"/>
      <c r="C22" s="32"/>
      <c r="D22" s="32"/>
      <c r="E22" s="32"/>
      <c r="F22" s="32"/>
      <c r="G22" s="32"/>
      <c r="H22" s="10"/>
      <c r="I22" s="10"/>
      <c r="J22" s="10"/>
      <c r="K22" s="10"/>
    </row>
    <row r="23" spans="2:11" ht="15.75">
      <c r="B23" s="87" t="s">
        <v>40</v>
      </c>
      <c r="C23" s="143">
        <f>'S&amp;D'!I47</f>
        <v>0.82</v>
      </c>
      <c r="D23" s="143">
        <f>+'Indicated Yield Equity Rate '!D54</f>
        <v>9.7699999999999995E-2</v>
      </c>
      <c r="E23" s="101" t="s">
        <v>41</v>
      </c>
      <c r="F23" s="143">
        <f>+D23</f>
        <v>9.7699999999999995E-2</v>
      </c>
      <c r="G23" s="144">
        <f>+F23*C23</f>
        <v>8.0113999999999991E-2</v>
      </c>
      <c r="H23" s="10"/>
      <c r="I23" s="10"/>
      <c r="J23" s="10"/>
      <c r="K23" s="10"/>
    </row>
    <row r="24" spans="2:11" ht="15.75">
      <c r="B24" s="87" t="s">
        <v>0</v>
      </c>
      <c r="C24" s="101" t="s">
        <v>0</v>
      </c>
      <c r="D24" s="101" t="s">
        <v>0</v>
      </c>
      <c r="E24" s="101" t="s">
        <v>0</v>
      </c>
      <c r="F24" s="145" t="s">
        <v>0</v>
      </c>
      <c r="G24" s="126" t="s">
        <v>0</v>
      </c>
      <c r="H24" s="10"/>
      <c r="I24" s="10"/>
      <c r="J24" s="10"/>
      <c r="K24" s="10"/>
    </row>
    <row r="25" spans="2:11" ht="15.75">
      <c r="B25" s="87" t="s">
        <v>42</v>
      </c>
      <c r="C25" s="143">
        <f>'S&amp;D'!J47</f>
        <v>0.18</v>
      </c>
      <c r="D25" s="143">
        <f>+'Yield Debt'!J27</f>
        <v>5.7700000000000001E-2</v>
      </c>
      <c r="E25" s="143">
        <v>0.26</v>
      </c>
      <c r="F25" s="143">
        <f>+D25*(1-E25)</f>
        <v>4.2698E-2</v>
      </c>
      <c r="G25" s="144">
        <f>+C25*F25</f>
        <v>7.6856399999999997E-3</v>
      </c>
      <c r="H25" s="10"/>
      <c r="I25" s="10"/>
      <c r="J25" s="10"/>
      <c r="K25" s="10"/>
    </row>
    <row r="26" spans="2:11" ht="16.5" thickBot="1">
      <c r="B26" s="94" t="s">
        <v>0</v>
      </c>
      <c r="C26" s="94" t="s">
        <v>0</v>
      </c>
      <c r="D26" s="94" t="s">
        <v>0</v>
      </c>
      <c r="E26" s="94" t="s">
        <v>0</v>
      </c>
      <c r="F26" s="146" t="s">
        <v>0</v>
      </c>
      <c r="G26" s="147" t="s">
        <v>0</v>
      </c>
      <c r="H26" s="10"/>
      <c r="I26" s="10"/>
      <c r="J26" s="10"/>
      <c r="K26" s="10"/>
    </row>
    <row r="27" spans="2:11" ht="15.75">
      <c r="B27" s="87" t="s">
        <v>73</v>
      </c>
      <c r="C27" s="148">
        <f>+C23+C25</f>
        <v>1</v>
      </c>
      <c r="D27" s="87" t="s">
        <v>0</v>
      </c>
      <c r="E27" s="87" t="s">
        <v>0</v>
      </c>
      <c r="F27" s="149" t="s">
        <v>0</v>
      </c>
      <c r="G27" s="144">
        <f>+G23+G25</f>
        <v>8.7799639999999984E-2</v>
      </c>
      <c r="H27" s="10"/>
      <c r="I27" s="10"/>
      <c r="J27" s="10"/>
      <c r="K27" s="10"/>
    </row>
    <row r="28" spans="2:11" ht="16.5" thickBot="1">
      <c r="B28" s="60"/>
      <c r="C28" s="60"/>
      <c r="D28" s="60"/>
      <c r="E28" s="60"/>
      <c r="F28" s="60"/>
      <c r="G28" s="150"/>
      <c r="H28" s="10"/>
      <c r="I28" s="10"/>
      <c r="J28" s="10"/>
      <c r="K28" s="10"/>
    </row>
    <row r="29" spans="2:11" ht="16.5" thickBot="1">
      <c r="B29" s="10"/>
      <c r="C29" s="10"/>
      <c r="D29" s="10"/>
      <c r="E29" s="10"/>
      <c r="F29" s="213" t="s">
        <v>76</v>
      </c>
      <c r="G29" s="319">
        <v>8.7800000000000003E-2</v>
      </c>
      <c r="H29" s="10"/>
      <c r="I29" s="10"/>
      <c r="J29" s="10"/>
      <c r="K29" s="10"/>
    </row>
    <row r="30" spans="2:11">
      <c r="B30" s="10"/>
      <c r="C30" s="10"/>
      <c r="D30" s="10"/>
      <c r="E30" s="10"/>
      <c r="F30" s="10"/>
      <c r="G30" s="10" t="s">
        <v>466</v>
      </c>
      <c r="H30" s="10"/>
      <c r="I30" s="10"/>
      <c r="J30" s="10"/>
      <c r="K30" s="10"/>
    </row>
    <row r="31" spans="2:11">
      <c r="B31" s="10"/>
      <c r="C31" s="10"/>
      <c r="D31" s="10"/>
      <c r="E31" s="10"/>
      <c r="F31" s="10"/>
      <c r="G31" s="10"/>
      <c r="H31" s="10"/>
      <c r="I31" s="10"/>
      <c r="J31" s="10"/>
      <c r="K31" s="10"/>
    </row>
  </sheetData>
  <pageMargins left="0.25" right="0.25" top="0.75" bottom="0.75" header="0.3" footer="0.3"/>
  <pageSetup scale="6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
  <sheetViews>
    <sheetView workbookViewId="0">
      <selection activeCell="Q9" sqref="Q9"/>
    </sheetView>
  </sheetViews>
  <sheetFormatPr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5631F-B284-4F75-B05C-C409AB53D71E}">
  <sheetPr>
    <tabColor rgb="FF92D050"/>
    <pageSetUpPr fitToPage="1"/>
  </sheetPr>
  <dimension ref="A1:K64"/>
  <sheetViews>
    <sheetView view="pageBreakPreview" topLeftCell="A36" zoomScale="80" zoomScaleNormal="80" zoomScaleSheetLayoutView="80" workbookViewId="0">
      <selection activeCell="H30" sqref="H30"/>
    </sheetView>
  </sheetViews>
  <sheetFormatPr defaultRowHeight="15"/>
  <cols>
    <col min="1" max="1" width="17.28515625" customWidth="1"/>
    <col min="2" max="2" width="31.7109375" customWidth="1"/>
    <col min="3" max="3" width="16.5703125" customWidth="1"/>
    <col min="4" max="4" width="35.28515625" customWidth="1"/>
    <col min="5" max="5" width="14.85546875" customWidth="1"/>
    <col min="6" max="6" width="25.85546875" customWidth="1"/>
    <col min="7" max="7" width="24.140625" customWidth="1"/>
    <col min="8" max="8" width="17.7109375" customWidth="1"/>
  </cols>
  <sheetData>
    <row r="1" spans="1:11" ht="20.25">
      <c r="A1" s="21" t="s">
        <v>1</v>
      </c>
      <c r="C1" s="10"/>
      <c r="D1" s="10"/>
      <c r="E1" s="10"/>
      <c r="F1" s="10"/>
      <c r="G1" s="10"/>
      <c r="H1" s="10"/>
      <c r="I1" s="10"/>
      <c r="J1" s="10"/>
      <c r="K1" s="10"/>
    </row>
    <row r="2" spans="1:11" ht="15.75">
      <c r="A2" s="22" t="s">
        <v>9</v>
      </c>
      <c r="C2" s="10"/>
      <c r="D2" s="10"/>
      <c r="E2" s="10"/>
      <c r="F2" s="10"/>
      <c r="G2" s="10"/>
      <c r="H2" s="10"/>
      <c r="I2" s="10"/>
      <c r="J2" s="10"/>
      <c r="K2" s="10"/>
    </row>
    <row r="3" spans="1:11">
      <c r="A3" s="23" t="s">
        <v>64</v>
      </c>
      <c r="C3" s="10"/>
      <c r="D3" s="10"/>
      <c r="E3" s="10"/>
      <c r="F3" s="10"/>
      <c r="G3" s="10"/>
      <c r="H3" s="10"/>
      <c r="I3" s="10"/>
      <c r="J3" s="10"/>
      <c r="K3" s="10"/>
    </row>
    <row r="4" spans="1:11">
      <c r="B4" s="23"/>
      <c r="C4" s="10"/>
      <c r="D4" s="10"/>
      <c r="E4" s="10"/>
      <c r="F4" s="10"/>
      <c r="G4" s="10"/>
      <c r="H4" s="10"/>
      <c r="I4" s="10"/>
      <c r="J4" s="10"/>
      <c r="K4" s="10"/>
    </row>
    <row r="5" spans="1:11">
      <c r="B5" s="23"/>
      <c r="C5" s="10"/>
      <c r="D5" s="10"/>
      <c r="E5" s="10"/>
      <c r="F5" s="10"/>
      <c r="G5" s="10"/>
      <c r="H5" s="10"/>
      <c r="I5" s="10"/>
      <c r="J5" s="10"/>
      <c r="K5" s="10"/>
    </row>
    <row r="6" spans="1:11">
      <c r="B6" s="23"/>
      <c r="C6" s="10"/>
      <c r="D6" s="10"/>
      <c r="E6" s="10"/>
      <c r="F6" s="10"/>
      <c r="G6" s="10"/>
      <c r="H6" s="10"/>
      <c r="I6" s="10"/>
      <c r="J6" s="10"/>
      <c r="K6" s="10"/>
    </row>
    <row r="7" spans="1:11">
      <c r="B7" s="23"/>
      <c r="C7" s="10"/>
      <c r="D7" s="10"/>
      <c r="E7" s="10"/>
      <c r="F7" s="10"/>
      <c r="G7" s="10"/>
      <c r="H7" s="10"/>
      <c r="I7" s="10"/>
      <c r="J7" s="10"/>
      <c r="K7" s="10"/>
    </row>
    <row r="8" spans="1:11">
      <c r="B8" s="23"/>
      <c r="C8" s="10"/>
      <c r="D8" s="10"/>
      <c r="E8" s="10"/>
      <c r="F8" s="10"/>
      <c r="G8" s="10"/>
      <c r="H8" s="10"/>
      <c r="I8" s="10"/>
      <c r="J8" s="10"/>
      <c r="K8" s="10"/>
    </row>
    <row r="9" spans="1:11">
      <c r="B9" s="23"/>
      <c r="C9" s="10"/>
      <c r="D9" s="10"/>
      <c r="E9" s="10"/>
      <c r="F9" s="10"/>
      <c r="G9" s="10"/>
      <c r="H9" s="10"/>
      <c r="I9" s="10"/>
      <c r="J9" s="10"/>
      <c r="K9" s="10"/>
    </row>
    <row r="10" spans="1:11" ht="18">
      <c r="B10" s="10"/>
      <c r="C10" s="10"/>
      <c r="D10" s="75" t="s">
        <v>0</v>
      </c>
      <c r="E10" s="10"/>
      <c r="F10" s="10"/>
      <c r="G10" s="10"/>
      <c r="H10" s="10"/>
      <c r="I10" s="10"/>
      <c r="J10" s="10"/>
      <c r="K10" s="10"/>
    </row>
    <row r="11" spans="1:11" ht="18">
      <c r="B11" s="10"/>
      <c r="C11" s="10"/>
      <c r="D11" s="75" t="s">
        <v>65</v>
      </c>
      <c r="E11" s="10"/>
      <c r="F11" s="10"/>
      <c r="G11" s="10"/>
      <c r="H11" s="10"/>
      <c r="I11" s="10"/>
      <c r="J11" s="10"/>
      <c r="K11" s="10"/>
    </row>
    <row r="12" spans="1:11">
      <c r="B12" s="10"/>
      <c r="C12" s="10"/>
      <c r="D12" s="10"/>
      <c r="E12" s="10"/>
      <c r="F12" s="10"/>
      <c r="G12" s="10"/>
      <c r="H12" s="10"/>
      <c r="I12" s="10"/>
      <c r="J12" s="10"/>
      <c r="K12" s="10"/>
    </row>
    <row r="13" spans="1:11">
      <c r="B13" s="10"/>
      <c r="C13" s="10"/>
      <c r="D13" s="10"/>
      <c r="E13" s="10"/>
      <c r="F13" s="10"/>
      <c r="G13" s="10"/>
      <c r="H13" s="10"/>
      <c r="I13" s="10"/>
      <c r="J13" s="10"/>
      <c r="K13" s="10"/>
    </row>
    <row r="14" spans="1:11" ht="15.75" thickBot="1">
      <c r="B14" s="10"/>
      <c r="C14" s="26"/>
      <c r="D14" s="26"/>
      <c r="E14" s="26"/>
      <c r="F14" s="10"/>
      <c r="G14" s="10"/>
      <c r="H14" s="10"/>
      <c r="I14" s="10"/>
      <c r="J14" s="10"/>
      <c r="K14" s="10"/>
    </row>
    <row r="15" spans="1:11" ht="20.25">
      <c r="B15" s="10"/>
      <c r="C15" s="10"/>
      <c r="D15" s="29" t="str">
        <f>+'S&amp;D'!A12</f>
        <v>Railroad Carriers</v>
      </c>
      <c r="E15" s="10"/>
      <c r="F15" s="10"/>
      <c r="G15" s="10"/>
      <c r="H15" s="10"/>
      <c r="I15" s="10"/>
      <c r="J15" s="10"/>
      <c r="K15" s="10"/>
    </row>
    <row r="16" spans="1:11" ht="18.75" thickBot="1">
      <c r="B16" s="10"/>
      <c r="C16" s="26"/>
      <c r="D16" s="142" t="s">
        <v>72</v>
      </c>
      <c r="E16" s="26"/>
      <c r="F16" s="10"/>
      <c r="G16" s="10"/>
      <c r="H16" s="10"/>
      <c r="I16" s="10"/>
      <c r="J16" s="10"/>
      <c r="K16" s="10"/>
    </row>
    <row r="17" spans="2:11">
      <c r="H17" s="10"/>
      <c r="I17" s="10"/>
      <c r="J17" s="10"/>
      <c r="K17" s="10"/>
    </row>
    <row r="18" spans="2:11" ht="15.75" thickBot="1">
      <c r="B18" s="26"/>
      <c r="C18" s="26"/>
      <c r="D18" s="34" t="s">
        <v>0</v>
      </c>
      <c r="E18" s="26"/>
      <c r="F18" s="26"/>
      <c r="G18" s="26"/>
      <c r="H18" s="10"/>
      <c r="I18" s="10"/>
      <c r="J18" s="10"/>
      <c r="K18" s="10"/>
    </row>
    <row r="19" spans="2:11">
      <c r="B19" s="32" t="s">
        <v>32</v>
      </c>
      <c r="C19" s="32" t="s">
        <v>33</v>
      </c>
      <c r="D19" s="32" t="s">
        <v>69</v>
      </c>
      <c r="E19" s="32" t="s">
        <v>70</v>
      </c>
      <c r="F19" s="32" t="s">
        <v>68</v>
      </c>
      <c r="G19" s="32" t="s">
        <v>35</v>
      </c>
      <c r="H19" s="10"/>
      <c r="I19" s="10"/>
      <c r="J19" s="10"/>
      <c r="K19" s="10"/>
    </row>
    <row r="20" spans="2:11" ht="15.75" thickBot="1">
      <c r="B20" s="34" t="s">
        <v>33</v>
      </c>
      <c r="C20" s="34" t="s">
        <v>36</v>
      </c>
      <c r="D20" s="34" t="s">
        <v>37</v>
      </c>
      <c r="E20" s="34" t="s">
        <v>23</v>
      </c>
      <c r="F20" s="34" t="s">
        <v>38</v>
      </c>
      <c r="G20" s="34" t="s">
        <v>71</v>
      </c>
      <c r="H20" s="10"/>
      <c r="I20" s="10"/>
      <c r="J20" s="10"/>
      <c r="K20" s="10"/>
    </row>
    <row r="21" spans="2:11">
      <c r="B21" s="36" t="s">
        <v>0</v>
      </c>
      <c r="C21" s="36" t="s">
        <v>0</v>
      </c>
      <c r="D21" s="36" t="s">
        <v>0</v>
      </c>
      <c r="E21" s="36" t="s">
        <v>0</v>
      </c>
      <c r="F21" s="36" t="s">
        <v>0</v>
      </c>
      <c r="G21" s="36" t="s">
        <v>0</v>
      </c>
      <c r="H21" s="10"/>
      <c r="I21" s="10"/>
      <c r="J21" s="10"/>
      <c r="K21" s="10"/>
    </row>
    <row r="22" spans="2:11">
      <c r="B22" s="32"/>
      <c r="C22" s="32"/>
      <c r="D22" s="32"/>
      <c r="E22" s="32"/>
      <c r="F22" s="32"/>
      <c r="G22" s="32"/>
      <c r="H22" s="10"/>
      <c r="I22" s="10"/>
      <c r="J22" s="10"/>
      <c r="K22" s="10"/>
    </row>
    <row r="23" spans="2:11" ht="15.75">
      <c r="B23" s="87" t="s">
        <v>40</v>
      </c>
      <c r="C23" s="143">
        <f>'S&amp;D'!I47</f>
        <v>0.82</v>
      </c>
      <c r="D23" s="143">
        <f>+'Direct NOPAT'!J31</f>
        <v>5.0849999999999999E-2</v>
      </c>
      <c r="E23" s="101" t="s">
        <v>41</v>
      </c>
      <c r="F23" s="143">
        <f>+D23</f>
        <v>5.0849999999999999E-2</v>
      </c>
      <c r="G23" s="144">
        <f>+F23*C23</f>
        <v>4.1696999999999998E-2</v>
      </c>
      <c r="H23" s="10"/>
      <c r="I23" s="10"/>
      <c r="J23" s="10"/>
      <c r="K23" s="10"/>
    </row>
    <row r="24" spans="2:11" ht="15.75">
      <c r="B24" s="87" t="s">
        <v>0</v>
      </c>
      <c r="C24" s="101" t="s">
        <v>0</v>
      </c>
      <c r="D24" s="101" t="s">
        <v>0</v>
      </c>
      <c r="E24" s="101" t="s">
        <v>0</v>
      </c>
      <c r="F24" s="145" t="s">
        <v>0</v>
      </c>
      <c r="G24" s="126" t="s">
        <v>0</v>
      </c>
      <c r="H24" s="10"/>
      <c r="I24" s="10"/>
      <c r="J24" s="10"/>
      <c r="K24" s="10"/>
    </row>
    <row r="25" spans="2:11" ht="15.75">
      <c r="B25" s="87" t="s">
        <v>42</v>
      </c>
      <c r="C25" s="143">
        <f>'S&amp;D'!J47</f>
        <v>0.18</v>
      </c>
      <c r="D25" s="143">
        <f>+'Direct Debt'!I30</f>
        <v>3.9300000000000002E-2</v>
      </c>
      <c r="E25" s="143">
        <v>0.26</v>
      </c>
      <c r="F25" s="143">
        <f>+D25*(1-E25)</f>
        <v>2.9082E-2</v>
      </c>
      <c r="G25" s="144">
        <f>+C25*F25</f>
        <v>5.2347599999999998E-3</v>
      </c>
      <c r="H25" s="10"/>
      <c r="I25" s="10"/>
      <c r="J25" s="10"/>
      <c r="K25" s="10"/>
    </row>
    <row r="26" spans="2:11" ht="16.5" thickBot="1">
      <c r="B26" s="94" t="s">
        <v>0</v>
      </c>
      <c r="C26" s="94" t="s">
        <v>0</v>
      </c>
      <c r="D26" s="94" t="s">
        <v>0</v>
      </c>
      <c r="E26" s="94" t="s">
        <v>0</v>
      </c>
      <c r="F26" s="146" t="s">
        <v>0</v>
      </c>
      <c r="G26" s="147" t="s">
        <v>0</v>
      </c>
      <c r="H26" s="10"/>
      <c r="I26" s="10"/>
      <c r="J26" s="10"/>
      <c r="K26" s="10"/>
    </row>
    <row r="27" spans="2:11" ht="15.75">
      <c r="B27" s="87" t="s">
        <v>43</v>
      </c>
      <c r="C27" s="148">
        <f>+C23+C25</f>
        <v>1</v>
      </c>
      <c r="D27" s="87" t="s">
        <v>0</v>
      </c>
      <c r="E27" s="87" t="s">
        <v>0</v>
      </c>
      <c r="F27" s="149" t="s">
        <v>0</v>
      </c>
      <c r="G27" s="144">
        <f>+G23+G25</f>
        <v>4.6931759999999996E-2</v>
      </c>
      <c r="H27" s="10"/>
      <c r="I27" s="10"/>
      <c r="J27" s="10"/>
      <c r="K27" s="10"/>
    </row>
    <row r="28" spans="2:11" ht="16.5" thickBot="1">
      <c r="B28" s="60"/>
      <c r="C28" s="60"/>
      <c r="D28" s="60"/>
      <c r="E28" s="60"/>
      <c r="F28" s="60"/>
      <c r="G28" s="150"/>
      <c r="H28" s="10"/>
      <c r="I28" s="10"/>
      <c r="J28" s="10"/>
      <c r="K28" s="10"/>
    </row>
    <row r="29" spans="2:11" ht="16.5" thickBot="1">
      <c r="B29" s="10"/>
      <c r="C29" s="10"/>
      <c r="D29" s="10"/>
      <c r="E29" s="10"/>
      <c r="F29" s="213" t="s">
        <v>76</v>
      </c>
      <c r="G29" s="319">
        <v>4.6899999999999997E-2</v>
      </c>
      <c r="H29" s="10"/>
      <c r="I29" s="10"/>
      <c r="J29" s="10"/>
      <c r="K29" s="10"/>
    </row>
    <row r="30" spans="2:11" ht="16.5" thickBot="1">
      <c r="B30" s="10"/>
      <c r="C30" s="10"/>
      <c r="D30" s="10"/>
      <c r="E30" s="10"/>
      <c r="F30" s="149"/>
      <c r="G30" s="144"/>
      <c r="H30" s="10"/>
      <c r="I30" s="10"/>
      <c r="J30" s="10"/>
      <c r="K30" s="10"/>
    </row>
    <row r="31" spans="2:11" ht="16.5" thickBot="1">
      <c r="B31" s="10"/>
      <c r="C31" s="10"/>
      <c r="D31" s="10"/>
      <c r="E31" s="10"/>
      <c r="F31" s="213" t="s">
        <v>239</v>
      </c>
      <c r="G31" s="249">
        <f>1/G29</f>
        <v>21.321961620469086</v>
      </c>
      <c r="H31" s="10"/>
      <c r="I31" s="10"/>
      <c r="J31" s="10"/>
      <c r="K31" s="10"/>
    </row>
    <row r="32" spans="2:11" ht="15.75">
      <c r="B32" s="10"/>
      <c r="C32" s="10"/>
      <c r="D32" s="10"/>
      <c r="E32" s="10"/>
      <c r="F32" s="149"/>
      <c r="G32" s="144"/>
      <c r="H32" s="10"/>
      <c r="I32" s="10"/>
      <c r="J32" s="10"/>
      <c r="K32" s="10"/>
    </row>
    <row r="33" spans="1:11" ht="15.75">
      <c r="B33" s="10"/>
      <c r="C33" s="10"/>
      <c r="D33" s="10"/>
      <c r="E33" s="10"/>
      <c r="F33" s="149"/>
      <c r="G33" s="144"/>
      <c r="H33" s="10"/>
      <c r="I33" s="10"/>
      <c r="J33" s="10"/>
      <c r="K33" s="10"/>
    </row>
    <row r="34" spans="1:11" ht="20.25">
      <c r="A34" s="21" t="s">
        <v>1</v>
      </c>
      <c r="C34" s="10"/>
      <c r="D34" s="10"/>
      <c r="E34" s="10"/>
      <c r="F34" s="149"/>
      <c r="G34" s="144"/>
      <c r="H34" s="10"/>
      <c r="I34" s="10"/>
      <c r="J34" s="10"/>
      <c r="K34" s="10"/>
    </row>
    <row r="35" spans="1:11" ht="15.75">
      <c r="A35" s="22" t="s">
        <v>9</v>
      </c>
      <c r="C35" s="10"/>
      <c r="D35" s="10"/>
      <c r="E35" s="10"/>
      <c r="F35" s="149"/>
      <c r="G35" s="144"/>
      <c r="H35" s="10"/>
      <c r="I35" s="10"/>
      <c r="J35" s="10"/>
      <c r="K35" s="10"/>
    </row>
    <row r="36" spans="1:11" ht="15.75">
      <c r="A36" s="23" t="s">
        <v>64</v>
      </c>
      <c r="C36" s="10"/>
      <c r="D36" s="10"/>
      <c r="E36" s="10"/>
      <c r="F36" s="149"/>
      <c r="G36" s="144"/>
      <c r="H36" s="10"/>
      <c r="I36" s="10"/>
      <c r="J36" s="10"/>
      <c r="K36" s="10"/>
    </row>
    <row r="37" spans="1:11" ht="15.75">
      <c r="A37" s="23"/>
      <c r="C37" s="10"/>
      <c r="D37" s="10"/>
      <c r="E37" s="10"/>
      <c r="F37" s="149"/>
      <c r="G37" s="144"/>
      <c r="H37" s="10"/>
      <c r="I37" s="10"/>
      <c r="J37" s="10"/>
      <c r="K37" s="10"/>
    </row>
    <row r="38" spans="1:11" ht="15.75">
      <c r="A38" s="23"/>
      <c r="C38" s="10"/>
      <c r="D38" s="10"/>
      <c r="E38" s="10"/>
      <c r="F38" s="149"/>
      <c r="G38" s="144"/>
      <c r="H38" s="10"/>
      <c r="I38" s="10"/>
      <c r="J38" s="10"/>
      <c r="K38" s="10"/>
    </row>
    <row r="39" spans="1:11" ht="15.75">
      <c r="A39" s="23"/>
      <c r="C39" s="10"/>
      <c r="D39" s="10"/>
      <c r="E39" s="10"/>
      <c r="F39" s="149"/>
      <c r="G39" s="144"/>
      <c r="H39" s="10"/>
      <c r="I39" s="10"/>
      <c r="J39" s="10"/>
      <c r="K39" s="10"/>
    </row>
    <row r="40" spans="1:11" ht="15.75">
      <c r="A40" s="23"/>
      <c r="C40" s="10"/>
      <c r="D40" s="10"/>
      <c r="E40" s="10"/>
      <c r="F40" s="149"/>
      <c r="G40" s="144"/>
      <c r="H40" s="10"/>
      <c r="I40" s="10"/>
      <c r="J40" s="10"/>
      <c r="K40" s="10"/>
    </row>
    <row r="41" spans="1:11" ht="15.75">
      <c r="A41" s="23"/>
      <c r="C41" s="10"/>
      <c r="D41" s="10"/>
      <c r="E41" s="10"/>
      <c r="F41" s="149"/>
      <c r="G41" s="144"/>
      <c r="H41" s="10"/>
      <c r="I41" s="10"/>
      <c r="J41" s="10"/>
      <c r="K41" s="10"/>
    </row>
    <row r="42" spans="1:11" ht="15.75">
      <c r="A42" s="23"/>
      <c r="C42" s="10"/>
      <c r="D42" s="10"/>
      <c r="E42" s="10"/>
      <c r="F42" s="149"/>
      <c r="G42" s="144"/>
      <c r="H42" s="10"/>
      <c r="I42" s="10"/>
      <c r="J42" s="10"/>
      <c r="K42" s="10"/>
    </row>
    <row r="43" spans="1:11" ht="15.75">
      <c r="A43" s="23"/>
      <c r="C43" s="10"/>
      <c r="D43" s="10"/>
      <c r="E43" s="10"/>
      <c r="F43" s="149"/>
      <c r="G43" s="144"/>
      <c r="H43" s="10"/>
      <c r="I43" s="10"/>
      <c r="J43" s="10"/>
      <c r="K43" s="10"/>
    </row>
    <row r="44" spans="1:11" ht="18">
      <c r="A44" s="23"/>
      <c r="C44" s="10"/>
      <c r="D44" s="75" t="s">
        <v>65</v>
      </c>
      <c r="E44" s="10"/>
      <c r="F44" s="149"/>
      <c r="G44" s="144"/>
      <c r="H44" s="10"/>
      <c r="I44" s="10"/>
      <c r="J44" s="10"/>
      <c r="K44" s="10"/>
    </row>
    <row r="45" spans="1:11" ht="18">
      <c r="A45" s="23"/>
      <c r="C45" s="10"/>
      <c r="D45" s="75"/>
      <c r="E45" s="10"/>
      <c r="F45" s="149"/>
      <c r="G45" s="144"/>
      <c r="H45" s="10"/>
      <c r="I45" s="10"/>
      <c r="J45" s="10"/>
      <c r="K45" s="10"/>
    </row>
    <row r="46" spans="1:11" ht="18">
      <c r="A46" s="23"/>
      <c r="C46" s="10"/>
      <c r="D46" s="75"/>
      <c r="E46" s="10"/>
      <c r="F46" s="149"/>
      <c r="G46" s="144"/>
      <c r="H46" s="10"/>
      <c r="I46" s="10"/>
      <c r="J46" s="10"/>
      <c r="K46" s="10"/>
    </row>
    <row r="47" spans="1:11" ht="15.75" thickBot="1">
      <c r="B47" s="10"/>
      <c r="C47" s="26"/>
      <c r="D47" s="26"/>
      <c r="E47" s="26"/>
      <c r="F47" s="10"/>
      <c r="G47" s="10"/>
      <c r="H47" s="10"/>
      <c r="I47" s="10"/>
      <c r="J47" s="10"/>
      <c r="K47" s="10"/>
    </row>
    <row r="48" spans="1:11" ht="20.25">
      <c r="B48" s="10"/>
      <c r="C48" s="10"/>
      <c r="D48" s="29" t="str">
        <f>+D15</f>
        <v>Railroad Carriers</v>
      </c>
      <c r="E48" s="10"/>
      <c r="F48" s="10"/>
      <c r="G48" s="10"/>
      <c r="H48" s="10"/>
      <c r="I48" s="10"/>
      <c r="J48" s="10"/>
      <c r="K48" s="10"/>
    </row>
    <row r="49" spans="2:11" ht="18.75" thickBot="1">
      <c r="B49" s="10"/>
      <c r="C49" s="26"/>
      <c r="D49" s="142" t="s">
        <v>67</v>
      </c>
      <c r="E49" s="26"/>
      <c r="F49" s="10"/>
      <c r="G49" s="10"/>
      <c r="H49" s="10"/>
      <c r="I49" s="10"/>
      <c r="J49" s="10"/>
      <c r="K49" s="10"/>
    </row>
    <row r="50" spans="2:11">
      <c r="B50" s="10"/>
      <c r="C50" s="10"/>
      <c r="D50" s="10"/>
      <c r="E50" s="10"/>
      <c r="F50" s="10"/>
      <c r="G50" s="10"/>
      <c r="H50" s="10"/>
      <c r="I50" s="10"/>
      <c r="J50" s="10"/>
      <c r="K50" s="10"/>
    </row>
    <row r="51" spans="2:11" ht="15.75" thickBot="1">
      <c r="B51" s="26"/>
      <c r="C51" s="26"/>
      <c r="D51" s="34" t="s">
        <v>0</v>
      </c>
      <c r="E51" s="26"/>
      <c r="F51" s="26"/>
      <c r="G51" s="26"/>
      <c r="H51" s="10"/>
      <c r="I51" s="10"/>
      <c r="J51" s="10"/>
      <c r="K51" s="10"/>
    </row>
    <row r="52" spans="2:11">
      <c r="B52" s="32" t="s">
        <v>32</v>
      </c>
      <c r="C52" s="32" t="s">
        <v>33</v>
      </c>
      <c r="D52" s="32" t="s">
        <v>69</v>
      </c>
      <c r="E52" s="32" t="s">
        <v>70</v>
      </c>
      <c r="F52" s="32" t="s">
        <v>68</v>
      </c>
      <c r="G52" s="32" t="s">
        <v>35</v>
      </c>
      <c r="H52" s="10"/>
      <c r="I52" s="10"/>
      <c r="J52" s="10"/>
      <c r="K52" s="10"/>
    </row>
    <row r="53" spans="2:11" ht="15.75" thickBot="1">
      <c r="B53" s="34" t="s">
        <v>33</v>
      </c>
      <c r="C53" s="34" t="s">
        <v>36</v>
      </c>
      <c r="D53" s="34" t="s">
        <v>37</v>
      </c>
      <c r="E53" s="34" t="s">
        <v>23</v>
      </c>
      <c r="F53" s="34" t="s">
        <v>38</v>
      </c>
      <c r="G53" s="34" t="s">
        <v>71</v>
      </c>
      <c r="H53" s="10"/>
      <c r="I53" s="10"/>
      <c r="J53" s="10"/>
      <c r="K53" s="10"/>
    </row>
    <row r="54" spans="2:11">
      <c r="B54" s="36" t="s">
        <v>0</v>
      </c>
      <c r="C54" s="36" t="s">
        <v>0</v>
      </c>
      <c r="D54" s="36" t="s">
        <v>0</v>
      </c>
      <c r="E54" s="36" t="s">
        <v>0</v>
      </c>
      <c r="F54" s="36" t="s">
        <v>0</v>
      </c>
      <c r="G54" s="36" t="s">
        <v>0</v>
      </c>
      <c r="H54" s="10"/>
      <c r="I54" s="10"/>
      <c r="J54" s="10"/>
      <c r="K54" s="10"/>
    </row>
    <row r="55" spans="2:11">
      <c r="B55" s="32"/>
      <c r="C55" s="32"/>
      <c r="D55" s="32"/>
      <c r="E55" s="32"/>
      <c r="F55" s="32"/>
      <c r="G55" s="32"/>
      <c r="H55" s="10"/>
      <c r="I55" s="10"/>
      <c r="J55" s="10"/>
      <c r="K55" s="10"/>
    </row>
    <row r="56" spans="2:11" ht="15.75">
      <c r="B56" s="87" t="s">
        <v>40</v>
      </c>
      <c r="C56" s="143">
        <f>'S&amp;D'!I47</f>
        <v>0.82</v>
      </c>
      <c r="D56" s="143">
        <f>'Direct GCF'!F28</f>
        <v>7.0400000000000004E-2</v>
      </c>
      <c r="E56" s="101" t="s">
        <v>41</v>
      </c>
      <c r="F56" s="143">
        <f>+D56</f>
        <v>7.0400000000000004E-2</v>
      </c>
      <c r="G56" s="144">
        <f>+F56*C56</f>
        <v>5.7728000000000002E-2</v>
      </c>
      <c r="H56" s="10"/>
      <c r="I56" s="10"/>
      <c r="J56" s="10"/>
      <c r="K56" s="10"/>
    </row>
    <row r="57" spans="2:11" ht="15.75">
      <c r="B57" s="87" t="s">
        <v>0</v>
      </c>
      <c r="C57" s="101" t="s">
        <v>0</v>
      </c>
      <c r="D57" s="101" t="s">
        <v>0</v>
      </c>
      <c r="E57" s="101" t="s">
        <v>0</v>
      </c>
      <c r="F57" s="145" t="s">
        <v>0</v>
      </c>
      <c r="G57" s="126" t="s">
        <v>0</v>
      </c>
      <c r="H57" s="10"/>
      <c r="I57" s="10"/>
      <c r="J57" s="10"/>
      <c r="K57" s="10"/>
    </row>
    <row r="58" spans="2:11" ht="15.75">
      <c r="B58" s="87" t="s">
        <v>42</v>
      </c>
      <c r="C58" s="143">
        <f>'S&amp;D'!J47</f>
        <v>0.18</v>
      </c>
      <c r="D58" s="143">
        <f>+'Direct Debt'!I30</f>
        <v>3.9300000000000002E-2</v>
      </c>
      <c r="E58" s="143">
        <v>0.26</v>
      </c>
      <c r="F58" s="143">
        <f>+D58*(1-E58)</f>
        <v>2.9082E-2</v>
      </c>
      <c r="G58" s="144">
        <f>+C58*F58</f>
        <v>5.2347599999999998E-3</v>
      </c>
      <c r="H58" s="10"/>
      <c r="I58" s="10"/>
      <c r="J58" s="10"/>
      <c r="K58" s="10"/>
    </row>
    <row r="59" spans="2:11" ht="16.5" thickBot="1">
      <c r="B59" s="94" t="s">
        <v>0</v>
      </c>
      <c r="C59" s="94" t="s">
        <v>0</v>
      </c>
      <c r="D59" s="94" t="s">
        <v>0</v>
      </c>
      <c r="E59" s="94" t="s">
        <v>0</v>
      </c>
      <c r="F59" s="146" t="s">
        <v>0</v>
      </c>
      <c r="G59" s="147" t="s">
        <v>0</v>
      </c>
      <c r="H59" s="10"/>
      <c r="I59" s="10"/>
      <c r="J59" s="10"/>
      <c r="K59" s="10"/>
    </row>
    <row r="60" spans="2:11" ht="15.75">
      <c r="B60" s="87" t="s">
        <v>43</v>
      </c>
      <c r="C60" s="148">
        <f>+C56+C58</f>
        <v>1</v>
      </c>
      <c r="D60" s="87" t="s">
        <v>0</v>
      </c>
      <c r="E60" s="87" t="s">
        <v>0</v>
      </c>
      <c r="F60" s="149" t="s">
        <v>0</v>
      </c>
      <c r="G60" s="144">
        <f>+G56+G58</f>
        <v>6.2962760000000006E-2</v>
      </c>
      <c r="H60" s="10"/>
      <c r="I60" s="10"/>
      <c r="J60" s="10"/>
      <c r="K60" s="10"/>
    </row>
    <row r="61" spans="2:11" ht="16.5" thickBot="1">
      <c r="B61" s="60"/>
      <c r="C61" s="60"/>
      <c r="D61" s="60"/>
      <c r="E61" s="60"/>
      <c r="F61" s="60"/>
      <c r="G61" s="150"/>
      <c r="H61" s="10"/>
      <c r="I61" s="10"/>
      <c r="J61" s="10"/>
      <c r="K61" s="10"/>
    </row>
    <row r="62" spans="2:11" ht="16.5" thickBot="1">
      <c r="B62" s="10"/>
      <c r="C62" s="10"/>
      <c r="D62" s="10"/>
      <c r="E62" s="10"/>
      <c r="F62" s="213" t="s">
        <v>76</v>
      </c>
      <c r="G62" s="319">
        <v>6.3E-2</v>
      </c>
      <c r="H62" s="10"/>
      <c r="I62" s="10"/>
      <c r="J62" s="10"/>
      <c r="K62" s="10"/>
    </row>
    <row r="63" spans="2:11" ht="15.75" thickBot="1"/>
    <row r="64" spans="2:11" ht="16.5" thickBot="1">
      <c r="F64" s="213" t="s">
        <v>239</v>
      </c>
      <c r="G64" s="249">
        <f>1/G62</f>
        <v>15.873015873015873</v>
      </c>
    </row>
  </sheetData>
  <pageMargins left="0.25" right="0.25" top="0.75" bottom="0.75" header="0.3" footer="0.3"/>
  <pageSetup scale="72" fitToHeight="0" orientation="landscape" r:id="rId1"/>
  <rowBreaks count="1" manualBreakCount="1">
    <brk id="33" max="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L70"/>
  <sheetViews>
    <sheetView view="pageBreakPreview" zoomScale="60" zoomScaleNormal="80" zoomScalePageLayoutView="70" workbookViewId="0">
      <pane xSplit="1" topLeftCell="B1" activePane="topRight" state="frozen"/>
      <selection pane="topRight" activeCell="F40" sqref="F40"/>
    </sheetView>
  </sheetViews>
  <sheetFormatPr defaultRowHeight="15"/>
  <cols>
    <col min="1" max="1" width="63" customWidth="1"/>
    <col min="2" max="2" width="11.5703125" bestFit="1" customWidth="1"/>
    <col min="3" max="3" width="20.42578125" bestFit="1" customWidth="1"/>
    <col min="4" max="4" width="25.5703125" bestFit="1" customWidth="1"/>
    <col min="5" max="5" width="28" customWidth="1"/>
    <col min="6" max="7" width="29.140625" customWidth="1"/>
    <col min="8" max="8" width="31.85546875" customWidth="1"/>
    <col min="9" max="9" width="31.5703125" customWidth="1"/>
    <col min="10" max="10" width="30.85546875" customWidth="1"/>
    <col min="11" max="11" width="12.85546875" customWidth="1"/>
    <col min="12" max="12" width="25.85546875" bestFit="1" customWidth="1"/>
    <col min="13" max="13" width="30.140625" bestFit="1" customWidth="1"/>
    <col min="14" max="14" width="9.140625" customWidth="1"/>
  </cols>
  <sheetData>
    <row r="1" spans="1:12" ht="20.25">
      <c r="A1" s="21" t="s">
        <v>1</v>
      </c>
      <c r="B1" s="10"/>
      <c r="C1" s="10"/>
      <c r="D1" s="10"/>
      <c r="E1" s="10"/>
      <c r="F1" s="10"/>
      <c r="G1" s="10"/>
      <c r="H1" s="10"/>
      <c r="I1" s="10"/>
      <c r="J1" s="10"/>
      <c r="K1" s="10"/>
    </row>
    <row r="2" spans="1:12" ht="15.75">
      <c r="A2" s="22" t="s">
        <v>9</v>
      </c>
      <c r="B2" s="10"/>
      <c r="C2" s="10"/>
      <c r="D2" s="10"/>
      <c r="E2" s="10"/>
      <c r="F2" s="10"/>
      <c r="G2" s="10"/>
      <c r="H2" s="10"/>
      <c r="I2" s="10"/>
      <c r="J2" s="10"/>
      <c r="K2" s="10"/>
    </row>
    <row r="3" spans="1:12">
      <c r="A3" s="23" t="s">
        <v>64</v>
      </c>
      <c r="B3" s="10"/>
      <c r="C3" s="10"/>
      <c r="D3" s="10"/>
      <c r="E3" s="10"/>
      <c r="F3" s="10"/>
      <c r="G3" s="10"/>
      <c r="H3" s="10"/>
      <c r="I3" s="10"/>
      <c r="J3" s="10"/>
      <c r="K3" s="10"/>
    </row>
    <row r="4" spans="1:12">
      <c r="A4" s="23"/>
      <c r="B4" s="10"/>
      <c r="C4" s="10"/>
      <c r="D4" s="10"/>
      <c r="E4" s="10"/>
      <c r="F4" s="211" t="s">
        <v>0</v>
      </c>
      <c r="G4" s="10"/>
      <c r="H4" s="10"/>
      <c r="I4" s="10"/>
      <c r="J4" s="10"/>
      <c r="K4" s="10"/>
    </row>
    <row r="5" spans="1:12">
      <c r="B5" s="10"/>
      <c r="C5" s="10"/>
      <c r="D5" s="10"/>
      <c r="E5" s="24"/>
      <c r="F5" s="211" t="s">
        <v>0</v>
      </c>
      <c r="G5" s="10"/>
      <c r="H5" s="10"/>
      <c r="I5" s="10"/>
      <c r="J5" s="10"/>
      <c r="K5" s="10" t="s">
        <v>0</v>
      </c>
    </row>
    <row r="6" spans="1:12">
      <c r="A6" s="10"/>
      <c r="B6" s="10"/>
      <c r="C6" s="10"/>
      <c r="D6" s="10"/>
      <c r="E6" s="10"/>
      <c r="F6" s="10"/>
      <c r="G6" s="10"/>
      <c r="H6" s="10"/>
      <c r="I6" s="10"/>
      <c r="J6" s="10"/>
      <c r="K6" s="10"/>
    </row>
    <row r="7" spans="1:12">
      <c r="A7" s="10"/>
      <c r="B7" s="32"/>
      <c r="C7" s="32"/>
      <c r="D7" s="32"/>
      <c r="E7" s="32"/>
      <c r="F7" s="32"/>
      <c r="G7" s="12"/>
      <c r="H7" s="41"/>
      <c r="I7" s="41"/>
      <c r="J7" s="82"/>
      <c r="K7" s="82"/>
      <c r="L7" s="3"/>
    </row>
    <row r="8" spans="1:12">
      <c r="A8" s="83"/>
      <c r="B8" s="32"/>
      <c r="C8" s="32"/>
      <c r="D8" s="32"/>
      <c r="E8" s="32"/>
      <c r="F8" s="32"/>
      <c r="G8" s="12"/>
      <c r="H8" s="41"/>
      <c r="I8" s="41"/>
      <c r="J8" s="82"/>
      <c r="K8" s="82"/>
      <c r="L8" s="3"/>
    </row>
    <row r="9" spans="1:12">
      <c r="A9" s="83"/>
      <c r="B9" s="32"/>
      <c r="C9" s="32"/>
      <c r="D9" s="32"/>
      <c r="E9" s="32"/>
      <c r="F9" s="32"/>
      <c r="G9" s="12"/>
      <c r="H9" s="41"/>
      <c r="I9" s="41"/>
      <c r="J9" s="82"/>
      <c r="K9" s="82"/>
      <c r="L9" s="3"/>
    </row>
    <row r="10" spans="1:12">
      <c r="A10" s="41"/>
      <c r="D10" s="41"/>
      <c r="E10" s="41"/>
      <c r="F10" s="41"/>
      <c r="G10" s="41"/>
      <c r="H10" s="41"/>
      <c r="I10" s="41"/>
      <c r="J10" s="41"/>
      <c r="K10" s="41"/>
      <c r="L10" s="2"/>
    </row>
    <row r="11" spans="1:12" ht="15.75" thickBot="1">
      <c r="A11" s="41"/>
      <c r="D11" s="41"/>
      <c r="E11" s="84"/>
      <c r="F11" s="26"/>
      <c r="G11" s="84"/>
      <c r="H11" s="41"/>
      <c r="I11" s="41"/>
      <c r="J11" s="41" t="s">
        <v>0</v>
      </c>
      <c r="K11" s="41"/>
      <c r="L11" s="2"/>
    </row>
    <row r="12" spans="1:12" ht="21" thickBot="1">
      <c r="A12" s="25" t="s">
        <v>398</v>
      </c>
      <c r="D12" s="41"/>
      <c r="E12" s="41"/>
      <c r="F12" s="29" t="s">
        <v>79</v>
      </c>
      <c r="G12" s="41"/>
      <c r="H12" s="41"/>
      <c r="I12" s="41"/>
      <c r="J12" s="41"/>
      <c r="K12" s="10"/>
    </row>
    <row r="13" spans="1:12" ht="18.75" thickBot="1">
      <c r="A13" s="28"/>
      <c r="D13" s="41"/>
      <c r="E13" s="84"/>
      <c r="F13" s="34" t="s">
        <v>78</v>
      </c>
      <c r="G13" s="84"/>
      <c r="H13" s="41"/>
      <c r="I13" s="41"/>
      <c r="J13" s="41"/>
      <c r="K13" s="10"/>
    </row>
    <row r="14" spans="1:12" ht="18">
      <c r="A14" s="28"/>
      <c r="B14" s="41"/>
      <c r="C14" s="41"/>
      <c r="D14" s="41" t="s">
        <v>0</v>
      </c>
      <c r="E14" s="41" t="s">
        <v>0</v>
      </c>
      <c r="F14" s="11" t="s">
        <v>0</v>
      </c>
      <c r="G14" s="41"/>
      <c r="H14" s="41"/>
      <c r="I14" s="41"/>
      <c r="J14" s="41"/>
      <c r="K14" s="10"/>
    </row>
    <row r="15" spans="1:12" ht="15.75" thickBot="1">
      <c r="A15" s="39" t="s">
        <v>0</v>
      </c>
      <c r="B15" s="39" t="s">
        <v>0</v>
      </c>
      <c r="C15" s="39" t="s">
        <v>0</v>
      </c>
      <c r="D15" s="39"/>
      <c r="E15" s="39"/>
      <c r="F15" s="39"/>
      <c r="G15" s="39" t="s">
        <v>0</v>
      </c>
      <c r="H15" s="84"/>
      <c r="I15" s="84"/>
      <c r="J15" s="84"/>
      <c r="K15" s="10"/>
    </row>
    <row r="16" spans="1:12" ht="15.75">
      <c r="A16" s="265"/>
      <c r="B16" s="266"/>
      <c r="C16" s="284"/>
      <c r="D16" s="250" t="s">
        <v>13</v>
      </c>
      <c r="E16" s="280" t="s">
        <v>13</v>
      </c>
      <c r="F16" s="250" t="s">
        <v>13</v>
      </c>
      <c r="G16" s="267" t="s">
        <v>250</v>
      </c>
      <c r="H16" s="281" t="s">
        <v>384</v>
      </c>
      <c r="I16" s="267" t="s">
        <v>384</v>
      </c>
      <c r="J16" s="281" t="s">
        <v>384</v>
      </c>
      <c r="K16" s="10"/>
    </row>
    <row r="17" spans="1:12" ht="15.75">
      <c r="A17" s="85" t="s">
        <v>0</v>
      </c>
      <c r="B17" s="86" t="s">
        <v>3</v>
      </c>
      <c r="C17" s="253" t="s">
        <v>5</v>
      </c>
      <c r="D17" s="88" t="s">
        <v>10</v>
      </c>
      <c r="E17" s="282" t="s">
        <v>10</v>
      </c>
      <c r="F17" s="88" t="s">
        <v>19</v>
      </c>
      <c r="G17" s="89" t="s">
        <v>384</v>
      </c>
      <c r="H17" s="86" t="s">
        <v>12</v>
      </c>
      <c r="I17" s="90" t="s">
        <v>11</v>
      </c>
      <c r="J17" s="91" t="s">
        <v>157</v>
      </c>
      <c r="K17" s="10"/>
    </row>
    <row r="18" spans="1:12" ht="15.75">
      <c r="A18" s="85" t="s">
        <v>2</v>
      </c>
      <c r="B18" s="86" t="s">
        <v>4</v>
      </c>
      <c r="C18" s="253" t="s">
        <v>6</v>
      </c>
      <c r="D18" s="88" t="s">
        <v>47</v>
      </c>
      <c r="E18" s="282" t="s">
        <v>48</v>
      </c>
      <c r="F18" s="88" t="s">
        <v>10</v>
      </c>
      <c r="G18" s="89" t="s">
        <v>10</v>
      </c>
      <c r="H18" s="86" t="s">
        <v>75</v>
      </c>
      <c r="I18" s="271" t="s">
        <v>385</v>
      </c>
      <c r="J18" s="91" t="s">
        <v>251</v>
      </c>
      <c r="K18" s="10" t="s">
        <v>0</v>
      </c>
    </row>
    <row r="19" spans="1:12" ht="16.5" thickBot="1">
      <c r="A19" s="92" t="s">
        <v>0</v>
      </c>
      <c r="B19" s="93" t="s">
        <v>0</v>
      </c>
      <c r="C19" s="114" t="s">
        <v>0</v>
      </c>
      <c r="D19" s="93" t="s">
        <v>0</v>
      </c>
      <c r="E19" s="94" t="s">
        <v>0</v>
      </c>
      <c r="F19" s="93" t="s">
        <v>0</v>
      </c>
      <c r="G19" s="94" t="s">
        <v>0</v>
      </c>
      <c r="H19" s="95" t="s">
        <v>63</v>
      </c>
      <c r="I19" s="96" t="s">
        <v>62</v>
      </c>
      <c r="J19" s="95" t="s">
        <v>62</v>
      </c>
      <c r="K19" s="10"/>
    </row>
    <row r="20" spans="1:12">
      <c r="A20" s="285" t="s">
        <v>7</v>
      </c>
      <c r="B20" s="306" t="s">
        <v>7</v>
      </c>
      <c r="C20" s="285" t="s">
        <v>7</v>
      </c>
      <c r="D20" s="314" t="s">
        <v>7</v>
      </c>
      <c r="E20" s="314" t="s">
        <v>7</v>
      </c>
      <c r="F20" s="40" t="s">
        <v>15</v>
      </c>
      <c r="G20" s="285" t="s">
        <v>7</v>
      </c>
      <c r="H20" s="285" t="s">
        <v>8</v>
      </c>
      <c r="I20" s="285" t="s">
        <v>8</v>
      </c>
      <c r="J20" s="285" t="s">
        <v>8</v>
      </c>
      <c r="K20" s="10"/>
    </row>
    <row r="21" spans="1:12" ht="15.75">
      <c r="A21" s="86"/>
      <c r="B21" s="87"/>
      <c r="C21" s="86"/>
      <c r="D21" s="253"/>
      <c r="E21" s="87"/>
      <c r="F21" s="85"/>
      <c r="G21" s="86"/>
      <c r="H21" s="86"/>
      <c r="I21" s="116"/>
      <c r="J21" s="99"/>
      <c r="K21" s="10"/>
    </row>
    <row r="22" spans="1:12" ht="15.75">
      <c r="A22" s="100" t="s">
        <v>399</v>
      </c>
      <c r="B22" s="77" t="s">
        <v>400</v>
      </c>
      <c r="C22" s="87" t="s">
        <v>401</v>
      </c>
      <c r="D22" s="395">
        <v>129.88999999999999</v>
      </c>
      <c r="E22" s="396">
        <v>103.79</v>
      </c>
      <c r="F22" s="395">
        <f>AVERAGE(D22,E22)</f>
        <v>116.84</v>
      </c>
      <c r="G22" s="396">
        <v>118.88</v>
      </c>
      <c r="H22" s="365">
        <v>672422354</v>
      </c>
      <c r="I22" s="366">
        <v>0</v>
      </c>
      <c r="J22" s="366">
        <f>(14372000000+1057000000)*0.7369</f>
        <v>11369630100</v>
      </c>
      <c r="K22" s="10"/>
      <c r="L22" t="s">
        <v>0</v>
      </c>
    </row>
    <row r="23" spans="1:12" ht="15.75">
      <c r="A23" s="100" t="s">
        <v>402</v>
      </c>
      <c r="B23" s="77" t="s">
        <v>403</v>
      </c>
      <c r="C23" s="87" t="s">
        <v>401</v>
      </c>
      <c r="D23" s="395">
        <v>82.96</v>
      </c>
      <c r="E23" s="396">
        <v>65.17</v>
      </c>
      <c r="F23" s="395">
        <f>AVERAGE(D23,E23)</f>
        <v>74.064999999999998</v>
      </c>
      <c r="G23" s="396">
        <v>74.59</v>
      </c>
      <c r="H23" s="365">
        <v>930500000</v>
      </c>
      <c r="I23" s="366">
        <v>0</v>
      </c>
      <c r="J23" s="366">
        <f>(1510000000+18141000000)*0.7369</f>
        <v>14480821900</v>
      </c>
      <c r="K23" s="10"/>
      <c r="L23" t="s">
        <v>0</v>
      </c>
    </row>
    <row r="24" spans="1:12" ht="15.75">
      <c r="A24" s="100" t="s">
        <v>404</v>
      </c>
      <c r="B24" s="77" t="s">
        <v>405</v>
      </c>
      <c r="C24" s="87" t="s">
        <v>401</v>
      </c>
      <c r="D24" s="395">
        <v>33.33</v>
      </c>
      <c r="E24" s="396">
        <v>25.8</v>
      </c>
      <c r="F24" s="395">
        <f t="shared" ref="F24:F26" si="0">AVERAGE(D24,E24)</f>
        <v>29.564999999999998</v>
      </c>
      <c r="G24" s="396">
        <v>30.98</v>
      </c>
      <c r="H24" s="365">
        <v>2066367000</v>
      </c>
      <c r="I24" s="366">
        <v>0</v>
      </c>
      <c r="J24" s="366">
        <f>17896000000+151000000</f>
        <v>18047000000</v>
      </c>
      <c r="K24" s="10"/>
    </row>
    <row r="25" spans="1:12" ht="15.75">
      <c r="A25" s="100" t="s">
        <v>406</v>
      </c>
      <c r="B25" s="77" t="s">
        <v>407</v>
      </c>
      <c r="C25" s="87" t="s">
        <v>401</v>
      </c>
      <c r="D25" s="395">
        <v>261.70999999999998</v>
      </c>
      <c r="E25" s="396">
        <v>203.65</v>
      </c>
      <c r="F25" s="395">
        <f t="shared" si="0"/>
        <v>232.68</v>
      </c>
      <c r="G25" s="396">
        <v>246.42</v>
      </c>
      <c r="H25" s="365">
        <v>228076415</v>
      </c>
      <c r="I25" s="367">
        <v>0</v>
      </c>
      <c r="J25" s="366">
        <v>15182000000</v>
      </c>
      <c r="K25" s="10"/>
    </row>
    <row r="26" spans="1:12" ht="16.5" thickBot="1">
      <c r="A26" s="310" t="s">
        <v>408</v>
      </c>
      <c r="B26" s="78" t="s">
        <v>409</v>
      </c>
      <c r="C26" s="94" t="s">
        <v>401</v>
      </c>
      <c r="D26" s="397">
        <v>221.71</v>
      </c>
      <c r="E26" s="398">
        <v>183.7</v>
      </c>
      <c r="F26" s="397">
        <f t="shared" si="0"/>
        <v>202.70499999999998</v>
      </c>
      <c r="G26" s="398">
        <v>207.07</v>
      </c>
      <c r="H26" s="364">
        <v>612393321</v>
      </c>
      <c r="I26" s="368">
        <v>0</v>
      </c>
      <c r="J26" s="369">
        <f>31648000000+1678000000</f>
        <v>33326000000</v>
      </c>
      <c r="K26" s="10"/>
    </row>
    <row r="27" spans="1:12" ht="15.75">
      <c r="A27" s="104"/>
      <c r="B27" s="104"/>
      <c r="C27" s="104"/>
      <c r="D27" s="104"/>
      <c r="E27" s="104"/>
      <c r="F27" s="104"/>
      <c r="G27" s="104"/>
      <c r="H27" s="104"/>
      <c r="I27" s="104"/>
      <c r="J27" s="104"/>
      <c r="K27" s="10"/>
      <c r="L27" t="s">
        <v>0</v>
      </c>
    </row>
    <row r="28" spans="1:12" ht="15.75">
      <c r="A28" s="104"/>
      <c r="B28" s="104"/>
      <c r="C28" s="104"/>
      <c r="D28" s="104" t="s">
        <v>0</v>
      </c>
      <c r="E28" s="104"/>
      <c r="F28" s="104"/>
      <c r="G28" s="104"/>
      <c r="H28" s="104"/>
      <c r="I28" s="104"/>
      <c r="J28" s="104" t="s">
        <v>0</v>
      </c>
      <c r="K28" s="10"/>
    </row>
    <row r="29" spans="1:12" ht="16.5" thickBot="1">
      <c r="A29" s="105" t="s">
        <v>0</v>
      </c>
      <c r="B29" s="106"/>
      <c r="C29" s="106"/>
      <c r="D29" s="106"/>
      <c r="E29" s="106"/>
      <c r="F29" s="26"/>
      <c r="G29" s="106"/>
      <c r="H29" s="106"/>
      <c r="I29" s="106"/>
      <c r="J29" s="104"/>
      <c r="K29" s="104"/>
      <c r="L29" s="4"/>
    </row>
    <row r="30" spans="1:12" ht="15.75">
      <c r="A30" s="107"/>
      <c r="B30" s="108"/>
      <c r="C30" s="108"/>
      <c r="D30" s="108"/>
      <c r="E30" s="109" t="s">
        <v>0</v>
      </c>
      <c r="F30" s="109" t="s">
        <v>0</v>
      </c>
      <c r="G30" s="110"/>
      <c r="H30" s="108"/>
      <c r="I30" s="108"/>
      <c r="J30" s="111"/>
      <c r="K30" s="104"/>
      <c r="L30" s="4"/>
    </row>
    <row r="31" spans="1:12" ht="15.75">
      <c r="A31" s="85"/>
      <c r="B31" s="87"/>
      <c r="C31" s="87"/>
      <c r="D31" s="89" t="s">
        <v>384</v>
      </c>
      <c r="E31" s="87" t="s">
        <v>384</v>
      </c>
      <c r="F31" s="87" t="s">
        <v>384</v>
      </c>
      <c r="G31" s="89" t="s">
        <v>384</v>
      </c>
      <c r="H31" s="89" t="s">
        <v>384</v>
      </c>
      <c r="I31" s="89" t="s">
        <v>384</v>
      </c>
      <c r="J31" s="112" t="s">
        <v>384</v>
      </c>
      <c r="K31" s="10"/>
      <c r="L31" s="5"/>
    </row>
    <row r="32" spans="1:12" ht="15.75">
      <c r="A32" s="85" t="s">
        <v>0</v>
      </c>
      <c r="B32" s="87" t="s">
        <v>3</v>
      </c>
      <c r="C32" s="87" t="s">
        <v>5</v>
      </c>
      <c r="D32" s="87" t="s">
        <v>12</v>
      </c>
      <c r="E32" s="101" t="s">
        <v>156</v>
      </c>
      <c r="F32" s="101" t="s">
        <v>307</v>
      </c>
      <c r="G32" s="87" t="s">
        <v>214</v>
      </c>
      <c r="H32" s="101" t="s">
        <v>16</v>
      </c>
      <c r="I32" s="101" t="s">
        <v>17</v>
      </c>
      <c r="J32" s="113" t="s">
        <v>53</v>
      </c>
      <c r="K32" s="10"/>
      <c r="L32" s="5"/>
    </row>
    <row r="33" spans="1:12" ht="16.5" thickBot="1">
      <c r="A33" s="92" t="s">
        <v>2</v>
      </c>
      <c r="B33" s="94" t="s">
        <v>4</v>
      </c>
      <c r="C33" s="94" t="s">
        <v>6</v>
      </c>
      <c r="D33" s="94" t="s">
        <v>14</v>
      </c>
      <c r="E33" s="94" t="s">
        <v>14</v>
      </c>
      <c r="F33" s="94" t="s">
        <v>320</v>
      </c>
      <c r="G33" s="94" t="s">
        <v>14</v>
      </c>
      <c r="H33" s="94" t="s">
        <v>374</v>
      </c>
      <c r="I33" s="94" t="s">
        <v>0</v>
      </c>
      <c r="J33" s="114" t="s">
        <v>375</v>
      </c>
      <c r="K33" s="10"/>
      <c r="L33" s="1"/>
    </row>
    <row r="34" spans="1:12" ht="15.75">
      <c r="A34" s="97" t="s">
        <v>7</v>
      </c>
      <c r="B34" s="40" t="s">
        <v>7</v>
      </c>
      <c r="C34" s="40" t="s">
        <v>7</v>
      </c>
      <c r="D34" s="40" t="s">
        <v>15</v>
      </c>
      <c r="E34" s="40" t="s">
        <v>8</v>
      </c>
      <c r="F34" s="40" t="s">
        <v>8</v>
      </c>
      <c r="G34" s="40" t="s">
        <v>8</v>
      </c>
      <c r="H34" s="40" t="s">
        <v>15</v>
      </c>
      <c r="I34" s="40" t="s">
        <v>15</v>
      </c>
      <c r="J34" s="115" t="s">
        <v>15</v>
      </c>
      <c r="K34" s="10"/>
      <c r="L34" s="5"/>
    </row>
    <row r="35" spans="1:12" ht="15.75">
      <c r="A35" s="85"/>
      <c r="B35" s="87"/>
      <c r="C35" s="87"/>
      <c r="D35" s="104"/>
      <c r="E35" s="104"/>
      <c r="F35" s="60"/>
      <c r="G35" s="104"/>
      <c r="H35" s="60"/>
      <c r="I35" s="60"/>
      <c r="J35" s="116"/>
      <c r="K35" s="10"/>
      <c r="L35" s="4"/>
    </row>
    <row r="36" spans="1:12" ht="15.75">
      <c r="A36" s="100" t="str">
        <f t="shared" ref="A36:C40" si="1">+A22</f>
        <v>Canadian National</v>
      </c>
      <c r="B36" s="87" t="str">
        <f t="shared" si="1"/>
        <v>CNI</v>
      </c>
      <c r="C36" s="87" t="str">
        <f t="shared" si="1"/>
        <v>Railroad</v>
      </c>
      <c r="D36" s="370">
        <f>(+H22)*G22</f>
        <v>79937569443.520004</v>
      </c>
      <c r="E36" s="117">
        <f>(1/1)*I22</f>
        <v>0</v>
      </c>
      <c r="F36" s="370">
        <f>466000000*0.7369</f>
        <v>343395400</v>
      </c>
      <c r="G36" s="367">
        <f>(14137/15419)*J22</f>
        <v>10424311610.59083</v>
      </c>
      <c r="H36" s="103">
        <f>+D36+E36+F36+G36</f>
        <v>90705276454.11084</v>
      </c>
      <c r="I36" s="118">
        <f t="shared" ref="I36" si="2">(+D36)/H36</f>
        <v>0.8812890778626491</v>
      </c>
      <c r="J36" s="119">
        <f>(+E36+F36+G36)/H36</f>
        <v>0.11871092213735079</v>
      </c>
      <c r="K36" s="10"/>
      <c r="L36" s="4"/>
    </row>
    <row r="37" spans="1:12" ht="15.75">
      <c r="A37" s="100" t="str">
        <f t="shared" si="1"/>
        <v>Canadian Pacific</v>
      </c>
      <c r="B37" s="87" t="str">
        <f t="shared" si="1"/>
        <v>CP</v>
      </c>
      <c r="C37" s="87" t="str">
        <f t="shared" si="1"/>
        <v>Railroad</v>
      </c>
      <c r="D37" s="370">
        <f>(+H23)*G23</f>
        <v>69405995000</v>
      </c>
      <c r="E37" s="117">
        <f>(1/1)*I23</f>
        <v>0</v>
      </c>
      <c r="F37" s="370">
        <f>270000000*0.7369</f>
        <v>198963000</v>
      </c>
      <c r="G37" s="367">
        <f>(17720/19651)*J23</f>
        <v>13057868000</v>
      </c>
      <c r="H37" s="103">
        <f t="shared" ref="H37:H40" si="3">+D37+E37+F37+G37</f>
        <v>82662826000</v>
      </c>
      <c r="I37" s="118">
        <f t="shared" ref="I37:I40" si="4">(+D37)/H37</f>
        <v>0.83962765802369255</v>
      </c>
      <c r="J37" s="119">
        <f t="shared" ref="J37:J40" si="5">(+E37+F37+G37)/H37</f>
        <v>0.16037234197630745</v>
      </c>
      <c r="K37" s="10"/>
      <c r="L37" s="4"/>
    </row>
    <row r="38" spans="1:12" ht="15.75">
      <c r="A38" s="100" t="str">
        <f t="shared" si="1"/>
        <v>CSX Corp</v>
      </c>
      <c r="B38" s="87" t="str">
        <f t="shared" si="1"/>
        <v>CSX</v>
      </c>
      <c r="C38" s="87" t="str">
        <f t="shared" si="1"/>
        <v>Railroad</v>
      </c>
      <c r="D38" s="370">
        <f>(+H24)*G24</f>
        <v>64016049660</v>
      </c>
      <c r="E38" s="117">
        <f>(1/1)*I24</f>
        <v>0</v>
      </c>
      <c r="F38" s="370">
        <v>557000000</v>
      </c>
      <c r="G38" s="371">
        <f>(16135/18047)*J24</f>
        <v>16135000000</v>
      </c>
      <c r="H38" s="103">
        <f t="shared" si="3"/>
        <v>80708049660</v>
      </c>
      <c r="I38" s="118">
        <f t="shared" si="4"/>
        <v>0.79318048112525785</v>
      </c>
      <c r="J38" s="119">
        <f t="shared" si="5"/>
        <v>0.2068195188747422</v>
      </c>
      <c r="K38" s="10"/>
      <c r="L38" s="4"/>
    </row>
    <row r="39" spans="1:12" ht="15.75">
      <c r="A39" s="357" t="str">
        <f t="shared" si="1"/>
        <v>Norfolk Southern</v>
      </c>
      <c r="B39" s="87" t="str">
        <f t="shared" si="1"/>
        <v>NSC</v>
      </c>
      <c r="C39" s="87" t="str">
        <f t="shared" si="1"/>
        <v>Railroad</v>
      </c>
      <c r="D39" s="370">
        <f>(+H25)*G25</f>
        <v>56202590184.299995</v>
      </c>
      <c r="E39" s="315">
        <f>(1/1)*I25</f>
        <v>0</v>
      </c>
      <c r="F39" s="370">
        <v>410000000</v>
      </c>
      <c r="G39" s="371">
        <f>(13846/15082)*J25</f>
        <v>13937804800.424347</v>
      </c>
      <c r="H39" s="103">
        <f t="shared" si="3"/>
        <v>70550394984.724335</v>
      </c>
      <c r="I39" s="118">
        <f t="shared" si="4"/>
        <v>0.796630411445167</v>
      </c>
      <c r="J39" s="119">
        <f t="shared" si="5"/>
        <v>0.20336958855483309</v>
      </c>
      <c r="K39" s="10"/>
      <c r="L39" s="4"/>
    </row>
    <row r="40" spans="1:12" ht="15.75">
      <c r="A40" s="100" t="str">
        <f t="shared" si="1"/>
        <v>Union Pacific Railroad</v>
      </c>
      <c r="B40" s="87" t="str">
        <f t="shared" si="1"/>
        <v>UNP</v>
      </c>
      <c r="C40" s="87" t="str">
        <f t="shared" si="1"/>
        <v>Railroad</v>
      </c>
      <c r="D40" s="370">
        <f>(+H26)*G26</f>
        <v>126808284979.47</v>
      </c>
      <c r="E40" s="117">
        <f>(1/1)*I26</f>
        <v>0</v>
      </c>
      <c r="F40" s="370">
        <v>1631000000</v>
      </c>
      <c r="G40" s="371">
        <f>(28.1/33.3)*J26</f>
        <v>28121939939.939941</v>
      </c>
      <c r="H40" s="103">
        <f t="shared" si="3"/>
        <v>156561224919.40994</v>
      </c>
      <c r="I40" s="118">
        <f t="shared" si="4"/>
        <v>0.80995971412937462</v>
      </c>
      <c r="J40" s="119">
        <f t="shared" si="5"/>
        <v>0.19004028587062538</v>
      </c>
      <c r="K40" s="10"/>
      <c r="L40" s="4"/>
    </row>
    <row r="41" spans="1:12" ht="16.5" thickBot="1">
      <c r="A41" s="120"/>
      <c r="B41" s="106"/>
      <c r="C41" s="106"/>
      <c r="D41" s="106"/>
      <c r="E41" s="106"/>
      <c r="F41" s="106"/>
      <c r="G41" s="106"/>
      <c r="H41" s="106"/>
      <c r="I41" s="106"/>
      <c r="J41" s="121"/>
      <c r="K41" s="10"/>
    </row>
    <row r="42" spans="1:12" ht="15.75">
      <c r="A42" s="10"/>
      <c r="B42" s="10"/>
      <c r="C42" s="10"/>
      <c r="D42" s="10"/>
      <c r="E42" s="10"/>
      <c r="F42" s="10"/>
      <c r="G42" s="10"/>
      <c r="H42" s="122" t="s">
        <v>47</v>
      </c>
      <c r="I42" s="125">
        <v>0.87219999999999998</v>
      </c>
      <c r="J42" s="125">
        <v>0.20680000000000001</v>
      </c>
      <c r="K42" s="10"/>
    </row>
    <row r="43" spans="1:12" ht="15.75">
      <c r="A43" s="10"/>
      <c r="B43" s="10"/>
      <c r="C43" s="10"/>
      <c r="D43" s="10"/>
      <c r="E43" s="10" t="s">
        <v>0</v>
      </c>
      <c r="F43" s="10"/>
      <c r="G43" s="10" t="s">
        <v>0</v>
      </c>
      <c r="H43" s="351" t="s">
        <v>48</v>
      </c>
      <c r="I43" s="352">
        <v>0.79320000000000002</v>
      </c>
      <c r="J43" s="352">
        <v>0.1278</v>
      </c>
      <c r="K43" s="10"/>
    </row>
    <row r="44" spans="1:12" ht="15.75">
      <c r="A44" s="10"/>
      <c r="B44" s="10"/>
      <c r="C44" s="10"/>
      <c r="D44" s="10"/>
      <c r="E44" s="123"/>
      <c r="F44" s="358" t="s">
        <v>0</v>
      </c>
      <c r="G44" s="10" t="s">
        <v>0</v>
      </c>
      <c r="H44" s="12" t="s">
        <v>18</v>
      </c>
      <c r="I44" s="124">
        <f>MEDIAN(I36:I40)</f>
        <v>0.80995971412937462</v>
      </c>
      <c r="J44" s="125">
        <f>MEDIAN(J36:J40)</f>
        <v>0.19004028587062538</v>
      </c>
      <c r="K44" s="10"/>
    </row>
    <row r="45" spans="1:12" ht="15.75">
      <c r="A45" s="10"/>
      <c r="B45" s="10"/>
      <c r="C45" s="10"/>
      <c r="D45" s="10" t="s">
        <v>0</v>
      </c>
      <c r="E45" s="316" t="s">
        <v>0</v>
      </c>
      <c r="F45" s="358" t="s">
        <v>0</v>
      </c>
      <c r="G45" s="10" t="s">
        <v>0</v>
      </c>
      <c r="H45" s="12" t="s">
        <v>448</v>
      </c>
      <c r="I45" s="124">
        <f>AVERAGE(I36:I40)</f>
        <v>0.82413746851722824</v>
      </c>
      <c r="J45" s="125">
        <f>AVERAGE(J36:J40)</f>
        <v>0.17586253148277178</v>
      </c>
      <c r="K45" s="10"/>
    </row>
    <row r="46" spans="1:12" ht="16.5" thickBot="1">
      <c r="A46" s="10"/>
      <c r="B46" s="10"/>
      <c r="C46" s="10"/>
      <c r="D46" s="10"/>
      <c r="E46" s="123"/>
      <c r="F46" s="10"/>
      <c r="G46" s="10"/>
      <c r="H46" s="10"/>
      <c r="I46" s="60"/>
      <c r="J46" s="60"/>
      <c r="K46" s="10"/>
    </row>
    <row r="47" spans="1:12" ht="21" thickBot="1">
      <c r="A47" s="10"/>
      <c r="B47" s="10"/>
      <c r="C47" s="10"/>
      <c r="D47" s="10"/>
      <c r="E47" s="123"/>
      <c r="F47" s="10"/>
      <c r="G47" s="10"/>
      <c r="H47" s="212" t="s">
        <v>216</v>
      </c>
      <c r="I47" s="317">
        <v>0.82</v>
      </c>
      <c r="J47" s="318">
        <v>0.18</v>
      </c>
      <c r="K47" s="10"/>
    </row>
    <row r="48" spans="1:12" ht="15.75">
      <c r="A48" s="10"/>
      <c r="B48" s="10"/>
      <c r="C48" s="10"/>
      <c r="D48" s="10"/>
      <c r="E48" s="123"/>
      <c r="F48" s="10"/>
      <c r="G48" s="10"/>
      <c r="H48" s="10"/>
      <c r="I48" s="60"/>
      <c r="J48" s="60" t="s">
        <v>0</v>
      </c>
      <c r="K48" s="10"/>
    </row>
    <row r="49" spans="1:11">
      <c r="E49" s="123"/>
      <c r="F49" s="10"/>
      <c r="G49" s="10"/>
      <c r="H49" s="10"/>
      <c r="I49" s="10"/>
      <c r="J49" s="10"/>
      <c r="K49" s="10"/>
    </row>
    <row r="50" spans="1:11">
      <c r="E50" s="123"/>
      <c r="F50" s="10"/>
      <c r="G50" s="10"/>
      <c r="H50" s="10"/>
      <c r="I50" s="10"/>
      <c r="J50" s="10"/>
      <c r="K50" s="10"/>
    </row>
    <row r="51" spans="1:11" ht="23.25">
      <c r="A51" s="20" t="s">
        <v>74</v>
      </c>
      <c r="B51" s="10"/>
      <c r="C51" s="72"/>
      <c r="D51" s="127"/>
      <c r="E51" s="359"/>
      <c r="H51" s="10"/>
      <c r="I51" s="10"/>
      <c r="J51" s="10"/>
      <c r="K51" s="10"/>
    </row>
    <row r="52" spans="1:11" ht="16.5">
      <c r="A52" s="83" t="s">
        <v>56</v>
      </c>
      <c r="B52" s="10"/>
      <c r="C52" s="72"/>
      <c r="D52" s="127"/>
      <c r="E52" s="359"/>
      <c r="H52" s="10"/>
      <c r="I52" s="10"/>
      <c r="J52" s="10"/>
      <c r="K52" s="10"/>
    </row>
    <row r="53" spans="1:11" ht="16.5">
      <c r="A53" s="10" t="s">
        <v>410</v>
      </c>
      <c r="B53" s="10"/>
      <c r="C53" s="72"/>
      <c r="D53" s="127"/>
      <c r="E53" s="359"/>
      <c r="H53" s="10"/>
      <c r="I53" s="10"/>
      <c r="J53" s="10"/>
      <c r="K53" s="10"/>
    </row>
    <row r="54" spans="1:11">
      <c r="A54" s="10" t="s">
        <v>160</v>
      </c>
      <c r="B54" s="10"/>
      <c r="C54" s="10"/>
      <c r="D54" s="10"/>
    </row>
    <row r="55" spans="1:11">
      <c r="A55" s="10" t="s">
        <v>158</v>
      </c>
      <c r="B55" s="10"/>
      <c r="C55" s="10"/>
      <c r="D55" s="10"/>
    </row>
    <row r="56" spans="1:11">
      <c r="A56" s="10" t="s">
        <v>159</v>
      </c>
      <c r="B56" s="10"/>
      <c r="C56" s="10"/>
      <c r="D56" s="10"/>
    </row>
    <row r="57" spans="1:11">
      <c r="A57" s="10" t="s">
        <v>438</v>
      </c>
      <c r="B57" s="10"/>
      <c r="C57" s="10"/>
      <c r="D57" s="10"/>
    </row>
    <row r="58" spans="1:11">
      <c r="A58" s="132" t="s">
        <v>411</v>
      </c>
      <c r="B58" s="10"/>
      <c r="C58" s="10"/>
      <c r="D58" s="10"/>
    </row>
    <row r="59" spans="1:11">
      <c r="A59" s="10"/>
      <c r="B59" s="10"/>
      <c r="C59" s="10"/>
      <c r="D59" s="10"/>
    </row>
    <row r="60" spans="1:11" ht="26.25">
      <c r="A60" s="283" t="s">
        <v>327</v>
      </c>
      <c r="B60" s="10"/>
      <c r="C60" s="10"/>
      <c r="D60" s="10"/>
    </row>
    <row r="61" spans="1:11" ht="17.25" customHeight="1">
      <c r="A61" s="283"/>
      <c r="B61" s="10"/>
      <c r="C61" s="10"/>
      <c r="D61" s="10"/>
    </row>
    <row r="62" spans="1:11">
      <c r="A62" s="131" t="s">
        <v>412</v>
      </c>
      <c r="B62" s="10"/>
      <c r="C62" s="10"/>
      <c r="D62" s="10"/>
    </row>
    <row r="63" spans="1:11">
      <c r="A63" s="131" t="s">
        <v>413</v>
      </c>
      <c r="B63" s="10"/>
      <c r="C63" s="10"/>
      <c r="D63" s="10"/>
    </row>
    <row r="64" spans="1:11">
      <c r="A64" s="131" t="s">
        <v>414</v>
      </c>
      <c r="B64" s="10"/>
      <c r="C64" s="10"/>
      <c r="D64" s="10"/>
    </row>
    <row r="65" spans="1:4">
      <c r="A65" s="131" t="s">
        <v>415</v>
      </c>
      <c r="B65" s="10"/>
      <c r="C65" s="10"/>
      <c r="D65" s="10"/>
    </row>
    <row r="66" spans="1:4">
      <c r="A66" s="131" t="s">
        <v>416</v>
      </c>
      <c r="B66" s="10"/>
      <c r="C66" s="10"/>
      <c r="D66" s="10"/>
    </row>
    <row r="67" spans="1:4" ht="20.25" customHeight="1">
      <c r="A67" s="131" t="s">
        <v>417</v>
      </c>
      <c r="B67" s="10"/>
      <c r="C67" s="10"/>
      <c r="D67" s="10"/>
    </row>
    <row r="68" spans="1:4">
      <c r="A68" s="361"/>
      <c r="B68" s="10"/>
      <c r="C68" s="10"/>
      <c r="D68" s="10"/>
    </row>
    <row r="69" spans="1:4" ht="26.25">
      <c r="A69" s="283" t="s">
        <v>418</v>
      </c>
      <c r="B69" s="10"/>
      <c r="C69" s="10"/>
      <c r="D69" s="10"/>
    </row>
    <row r="70" spans="1:4" ht="23.25">
      <c r="A70" s="360"/>
    </row>
  </sheetData>
  <pageMargins left="0.25" right="0.25" top="0.75" bottom="0.75" header="0.3" footer="0.3"/>
  <pageSetup scale="39" orientation="landscape" r:id="rId1"/>
  <rowBreaks count="1" manualBreakCount="1">
    <brk id="47" max="11" man="1"/>
  </rowBreaks>
  <colBreaks count="1" manualBreakCount="1">
    <brk id="11" max="94"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1FF50-7DB7-41D1-AD2F-655311479817}">
  <sheetPr>
    <tabColor rgb="FF92D050"/>
    <pageSetUpPr fitToPage="1"/>
  </sheetPr>
  <dimension ref="A1:I56"/>
  <sheetViews>
    <sheetView view="pageBreakPreview" zoomScale="70" zoomScaleNormal="80" zoomScaleSheetLayoutView="70" zoomScalePageLayoutView="70" workbookViewId="0">
      <pane xSplit="1" topLeftCell="B1" activePane="topRight" state="frozen"/>
      <selection pane="topRight" activeCell="G29" sqref="G29"/>
    </sheetView>
  </sheetViews>
  <sheetFormatPr defaultRowHeight="15"/>
  <cols>
    <col min="1" max="1" width="62.42578125" customWidth="1"/>
    <col min="2" max="2" width="11.5703125" bestFit="1" customWidth="1"/>
    <col min="3" max="3" width="20.42578125" bestFit="1" customWidth="1"/>
    <col min="4" max="4" width="30.140625" customWidth="1"/>
    <col min="5" max="5" width="28" customWidth="1"/>
    <col min="6" max="6" width="29.140625" customWidth="1"/>
    <col min="7" max="7" width="23.42578125" customWidth="1"/>
    <col min="8" max="8" width="12.85546875" customWidth="1"/>
    <col min="9" max="9" width="25.85546875" bestFit="1" customWidth="1"/>
    <col min="10" max="10" width="30.140625" bestFit="1" customWidth="1"/>
    <col min="11" max="11" width="9.140625" customWidth="1"/>
  </cols>
  <sheetData>
    <row r="1" spans="1:9" ht="20.25">
      <c r="A1" s="21" t="s">
        <v>1</v>
      </c>
      <c r="B1" s="10"/>
      <c r="C1" s="10"/>
      <c r="D1" s="10"/>
      <c r="E1" s="10"/>
      <c r="F1" s="10"/>
      <c r="G1" s="10"/>
      <c r="H1" s="10"/>
    </row>
    <row r="2" spans="1:9" ht="15.75">
      <c r="A2" s="22" t="s">
        <v>9</v>
      </c>
      <c r="B2" s="10"/>
      <c r="C2" s="10"/>
      <c r="D2" s="10"/>
      <c r="E2" s="10"/>
      <c r="F2" s="10"/>
      <c r="G2" s="10"/>
      <c r="H2" s="10"/>
    </row>
    <row r="3" spans="1:9">
      <c r="A3" s="23" t="s">
        <v>64</v>
      </c>
      <c r="B3" s="10"/>
      <c r="C3" s="10"/>
      <c r="D3" s="10"/>
      <c r="E3" s="10"/>
      <c r="F3" s="10"/>
      <c r="G3" s="10"/>
      <c r="H3" s="10"/>
    </row>
    <row r="4" spans="1:9">
      <c r="A4" s="23"/>
      <c r="B4" s="10"/>
      <c r="C4" s="10"/>
      <c r="D4" s="10"/>
      <c r="E4" s="10"/>
      <c r="F4" s="211" t="s">
        <v>0</v>
      </c>
      <c r="G4" s="10"/>
      <c r="H4" s="10"/>
    </row>
    <row r="5" spans="1:9">
      <c r="B5" s="10"/>
      <c r="C5" s="10"/>
      <c r="D5" s="10"/>
      <c r="E5" s="24"/>
      <c r="F5" s="211" t="s">
        <v>0</v>
      </c>
      <c r="G5" s="10"/>
      <c r="H5" s="10" t="s">
        <v>0</v>
      </c>
    </row>
    <row r="6" spans="1:9">
      <c r="A6" s="83"/>
      <c r="B6" s="32"/>
      <c r="C6" s="32"/>
      <c r="D6" s="32"/>
      <c r="E6" s="32"/>
      <c r="F6" s="32"/>
      <c r="G6" s="12"/>
      <c r="H6" s="82"/>
      <c r="I6" s="3"/>
    </row>
    <row r="7" spans="1:9">
      <c r="A7" s="41"/>
      <c r="B7" s="41"/>
      <c r="C7" s="41"/>
      <c r="D7" s="41"/>
      <c r="E7" s="41"/>
      <c r="F7" s="41"/>
      <c r="G7" s="41"/>
      <c r="H7" s="41"/>
      <c r="I7" s="2"/>
    </row>
    <row r="8" spans="1:9" ht="15.75" thickBot="1">
      <c r="A8" s="41"/>
      <c r="B8" s="41"/>
      <c r="C8" s="41"/>
      <c r="D8" s="84"/>
      <c r="E8" s="26"/>
      <c r="F8" s="84"/>
      <c r="H8" s="41"/>
      <c r="I8" s="2"/>
    </row>
    <row r="9" spans="1:9" ht="21" thickBot="1">
      <c r="A9" s="25" t="str">
        <f>+'S&amp;D'!A12</f>
        <v>Railroad Carriers</v>
      </c>
      <c r="B9" s="41"/>
      <c r="C9" s="41"/>
      <c r="D9" s="41"/>
      <c r="E9" s="29" t="s">
        <v>318</v>
      </c>
      <c r="F9" s="41"/>
      <c r="H9" s="10"/>
    </row>
    <row r="10" spans="1:9" ht="18.75" thickBot="1">
      <c r="A10" s="28"/>
      <c r="B10" s="41"/>
      <c r="C10" s="41"/>
      <c r="D10" s="84"/>
      <c r="E10" s="34" t="s">
        <v>78</v>
      </c>
      <c r="F10" s="84"/>
      <c r="H10" s="10"/>
    </row>
    <row r="11" spans="1:9" ht="18">
      <c r="A11" s="28"/>
      <c r="B11" s="41"/>
      <c r="C11" s="41"/>
      <c r="D11" s="41"/>
      <c r="E11" s="32"/>
      <c r="F11" s="41"/>
      <c r="H11" s="10"/>
    </row>
    <row r="12" spans="1:9" ht="18">
      <c r="A12" s="28"/>
      <c r="B12" s="41"/>
      <c r="C12" s="41"/>
      <c r="D12" s="41"/>
      <c r="E12" s="32"/>
      <c r="F12" s="41"/>
      <c r="H12" s="10"/>
    </row>
    <row r="13" spans="1:9">
      <c r="B13" s="41"/>
      <c r="C13" s="41"/>
      <c r="D13" s="41"/>
      <c r="E13" s="32"/>
      <c r="F13" s="41"/>
      <c r="H13" s="10"/>
    </row>
    <row r="14" spans="1:9" ht="18">
      <c r="A14" s="28"/>
      <c r="B14" s="41"/>
      <c r="C14" s="41"/>
      <c r="D14" s="41"/>
      <c r="E14" s="11" t="s">
        <v>0</v>
      </c>
      <c r="F14" s="41"/>
      <c r="H14" s="10"/>
    </row>
    <row r="15" spans="1:9" ht="15.75" thickBot="1">
      <c r="A15" s="39" t="s">
        <v>0</v>
      </c>
      <c r="B15" s="39" t="s">
        <v>0</v>
      </c>
      <c r="C15" s="39" t="s">
        <v>0</v>
      </c>
      <c r="D15" s="39"/>
      <c r="E15" s="39"/>
      <c r="F15" s="39"/>
      <c r="H15" s="10"/>
    </row>
    <row r="16" spans="1:9" ht="15.75">
      <c r="A16" s="265"/>
      <c r="B16" s="266"/>
      <c r="C16" s="267"/>
      <c r="D16" s="250" t="s">
        <v>0</v>
      </c>
      <c r="E16" s="251" t="s">
        <v>0</v>
      </c>
      <c r="F16" s="250" t="s">
        <v>0</v>
      </c>
      <c r="H16" s="10"/>
    </row>
    <row r="17" spans="1:8" ht="15.75">
      <c r="A17" s="85" t="s">
        <v>0</v>
      </c>
      <c r="B17" s="86" t="s">
        <v>3</v>
      </c>
      <c r="C17" s="87" t="s">
        <v>5</v>
      </c>
      <c r="D17" s="88" t="s">
        <v>0</v>
      </c>
      <c r="E17" s="252" t="s">
        <v>0</v>
      </c>
      <c r="F17" s="88" t="s">
        <v>310</v>
      </c>
      <c r="H17" s="10"/>
    </row>
    <row r="18" spans="1:8" ht="15.75">
      <c r="A18" s="85"/>
      <c r="B18" s="86" t="s">
        <v>4</v>
      </c>
      <c r="C18" s="87" t="s">
        <v>6</v>
      </c>
      <c r="D18" s="88" t="s">
        <v>319</v>
      </c>
      <c r="E18" s="252" t="s">
        <v>319</v>
      </c>
      <c r="F18" s="88" t="s">
        <v>134</v>
      </c>
      <c r="H18" s="10"/>
    </row>
    <row r="19" spans="1:8" ht="17.25" thickBot="1">
      <c r="A19" s="92" t="s">
        <v>2</v>
      </c>
      <c r="B19" s="93" t="s">
        <v>0</v>
      </c>
      <c r="C19" s="94" t="s">
        <v>0</v>
      </c>
      <c r="D19" s="304" t="s">
        <v>308</v>
      </c>
      <c r="E19" s="303" t="s">
        <v>62</v>
      </c>
      <c r="F19" s="93" t="s">
        <v>0</v>
      </c>
      <c r="H19" s="10"/>
    </row>
    <row r="20" spans="1:8">
      <c r="A20" s="305" t="s">
        <v>7</v>
      </c>
      <c r="B20" s="285" t="s">
        <v>7</v>
      </c>
      <c r="C20" s="306" t="s">
        <v>7</v>
      </c>
      <c r="D20" s="285" t="s">
        <v>7</v>
      </c>
      <c r="E20" s="314" t="s">
        <v>309</v>
      </c>
      <c r="F20" s="98"/>
      <c r="H20" s="10"/>
    </row>
    <row r="21" spans="1:8" ht="15.75">
      <c r="A21" s="85"/>
      <c r="B21" s="86"/>
      <c r="C21" s="87"/>
      <c r="D21" s="86"/>
      <c r="E21" s="253"/>
      <c r="F21" s="86"/>
      <c r="H21" s="10"/>
    </row>
    <row r="22" spans="1:8" ht="15.75">
      <c r="A22" s="100" t="str">
        <f>+'S&amp;D'!A22</f>
        <v>Canadian National</v>
      </c>
      <c r="B22" s="77" t="str">
        <f>+'S&amp;D'!B22</f>
        <v>CNI</v>
      </c>
      <c r="C22" s="87" t="str">
        <f>+'S&amp;D'!C22</f>
        <v>Railroad</v>
      </c>
      <c r="D22" s="268">
        <f>+'S&amp;D'!D36</f>
        <v>79937569443.520004</v>
      </c>
      <c r="E22" s="269">
        <f>21384000000*0.7369</f>
        <v>15757869600</v>
      </c>
      <c r="F22" s="102">
        <f>+D22/E22</f>
        <v>5.0728665405074809</v>
      </c>
      <c r="H22" s="10"/>
    </row>
    <row r="23" spans="1:8" ht="15.75">
      <c r="A23" s="100" t="str">
        <f>+'S&amp;D'!A23</f>
        <v>Canadian Pacific</v>
      </c>
      <c r="B23" s="77" t="str">
        <f>+'S&amp;D'!B23</f>
        <v>CP</v>
      </c>
      <c r="C23" s="87" t="str">
        <f>+'S&amp;D'!C23</f>
        <v>Railroad</v>
      </c>
      <c r="D23" s="268">
        <f>+'S&amp;D'!D37</f>
        <v>69405995000</v>
      </c>
      <c r="E23" s="269">
        <f>38886000000*0.7369</f>
        <v>28655093400</v>
      </c>
      <c r="F23" s="102">
        <f>+D23/E23</f>
        <v>2.4221172142471539</v>
      </c>
      <c r="H23" s="10"/>
    </row>
    <row r="24" spans="1:8" ht="15.75">
      <c r="A24" s="100" t="str">
        <f>+'S&amp;D'!A24</f>
        <v>CSX Corp</v>
      </c>
      <c r="B24" s="77" t="str">
        <f>+'S&amp;D'!B24</f>
        <v>CSX</v>
      </c>
      <c r="C24" s="87" t="str">
        <f>+'S&amp;D'!C24</f>
        <v>Railroad</v>
      </c>
      <c r="D24" s="268">
        <f>+'S&amp;D'!D38</f>
        <v>64016049660</v>
      </c>
      <c r="E24" s="269">
        <v>12625000000</v>
      </c>
      <c r="F24" s="102">
        <f t="shared" ref="F24:F26" si="0">+D24/E24</f>
        <v>5.070578190891089</v>
      </c>
      <c r="H24" s="10"/>
    </row>
    <row r="25" spans="1:8" ht="15.75">
      <c r="A25" s="100" t="str">
        <f>+'S&amp;D'!A25</f>
        <v>Norfolk Southern</v>
      </c>
      <c r="B25" s="77" t="str">
        <f>+'S&amp;D'!B25</f>
        <v>NSC</v>
      </c>
      <c r="C25" s="87" t="str">
        <f>+'S&amp;D'!C25</f>
        <v>Railroad</v>
      </c>
      <c r="D25" s="268">
        <f>+'S&amp;D'!D39</f>
        <v>56202590184.299995</v>
      </c>
      <c r="E25" s="269">
        <v>12733000000</v>
      </c>
      <c r="F25" s="102">
        <f t="shared" si="0"/>
        <v>4.413931531006047</v>
      </c>
      <c r="H25" s="10"/>
    </row>
    <row r="26" spans="1:8" ht="16.5" thickBot="1">
      <c r="A26" s="310" t="str">
        <f>+'S&amp;D'!A26</f>
        <v>Union Pacific Railroad</v>
      </c>
      <c r="B26" s="78" t="str">
        <f>+'S&amp;D'!B26</f>
        <v>UNP</v>
      </c>
      <c r="C26" s="94" t="str">
        <f>+'S&amp;D'!C26</f>
        <v>Railroad</v>
      </c>
      <c r="D26" s="311">
        <f>+'S&amp;D'!D40</f>
        <v>126808284979.47</v>
      </c>
      <c r="E26" s="363">
        <v>12163000000</v>
      </c>
      <c r="F26" s="102">
        <f t="shared" si="0"/>
        <v>10.425740769503411</v>
      </c>
      <c r="H26" s="10"/>
    </row>
    <row r="27" spans="1:8" ht="27" customHeight="1" thickBot="1">
      <c r="A27" s="120"/>
      <c r="B27" s="106"/>
      <c r="C27" s="106"/>
      <c r="D27" s="121"/>
      <c r="E27" s="362" t="s">
        <v>317</v>
      </c>
      <c r="F27" s="213">
        <f>AVERAGE(F22:F26)</f>
        <v>5.4810468492310367</v>
      </c>
      <c r="H27" s="10"/>
    </row>
    <row r="28" spans="1:8" ht="15.75">
      <c r="A28" s="104"/>
      <c r="B28" s="104"/>
      <c r="C28" s="104"/>
      <c r="D28" s="104"/>
      <c r="E28" s="262"/>
      <c r="F28" s="264"/>
      <c r="H28" s="10"/>
    </row>
    <row r="29" spans="1:8" ht="15.75">
      <c r="A29" s="104"/>
      <c r="B29" s="104"/>
      <c r="C29" s="104"/>
      <c r="D29" s="104"/>
      <c r="E29" s="262"/>
      <c r="F29" s="264"/>
      <c r="H29" s="10"/>
    </row>
    <row r="30" spans="1:8" ht="15.75">
      <c r="A30" s="104"/>
      <c r="B30" s="104"/>
      <c r="C30" s="104"/>
      <c r="D30" s="104"/>
      <c r="E30" s="262"/>
      <c r="F30" s="264"/>
      <c r="H30" s="10"/>
    </row>
    <row r="31" spans="1:8" ht="16.5" thickBot="1">
      <c r="A31" s="104"/>
      <c r="B31" s="104"/>
      <c r="C31" s="104"/>
      <c r="D31" s="104"/>
      <c r="E31" s="104"/>
      <c r="F31" s="104"/>
      <c r="H31" s="10"/>
    </row>
    <row r="32" spans="1:8" ht="15.75">
      <c r="A32" s="265"/>
      <c r="B32" s="266"/>
      <c r="C32" s="267"/>
      <c r="D32" s="250" t="s">
        <v>0</v>
      </c>
      <c r="E32" s="251" t="s">
        <v>0</v>
      </c>
      <c r="F32" s="250" t="s">
        <v>0</v>
      </c>
      <c r="H32" s="10"/>
    </row>
    <row r="33" spans="1:8" ht="15.75">
      <c r="A33" s="85" t="s">
        <v>0</v>
      </c>
      <c r="B33" s="86" t="s">
        <v>3</v>
      </c>
      <c r="C33" s="87" t="s">
        <v>5</v>
      </c>
      <c r="D33" s="88" t="s">
        <v>0</v>
      </c>
      <c r="E33" s="252" t="s">
        <v>0</v>
      </c>
      <c r="F33" s="88" t="s">
        <v>310</v>
      </c>
      <c r="H33" s="10"/>
    </row>
    <row r="34" spans="1:8" ht="15.75">
      <c r="A34" s="85"/>
      <c r="B34" s="86" t="s">
        <v>4</v>
      </c>
      <c r="C34" s="87" t="s">
        <v>6</v>
      </c>
      <c r="D34" s="88" t="s">
        <v>311</v>
      </c>
      <c r="E34" s="252" t="s">
        <v>311</v>
      </c>
      <c r="F34" s="88" t="s">
        <v>134</v>
      </c>
    </row>
    <row r="35" spans="1:8" ht="17.25" thickBot="1">
      <c r="A35" s="92" t="s">
        <v>2</v>
      </c>
      <c r="B35" s="93" t="s">
        <v>0</v>
      </c>
      <c r="C35" s="94" t="s">
        <v>0</v>
      </c>
      <c r="D35" s="304" t="s">
        <v>308</v>
      </c>
      <c r="E35" s="303" t="s">
        <v>62</v>
      </c>
      <c r="F35" s="93" t="s">
        <v>0</v>
      </c>
    </row>
    <row r="36" spans="1:8">
      <c r="A36" s="305" t="s">
        <v>7</v>
      </c>
      <c r="B36" s="285" t="s">
        <v>7</v>
      </c>
      <c r="C36" s="306" t="s">
        <v>7</v>
      </c>
      <c r="D36" s="285" t="s">
        <v>309</v>
      </c>
      <c r="E36" s="115" t="s">
        <v>309</v>
      </c>
      <c r="F36" s="98"/>
    </row>
    <row r="37" spans="1:8" ht="15.75">
      <c r="A37" s="85"/>
      <c r="B37" s="86"/>
      <c r="C37" s="87"/>
      <c r="D37" s="86"/>
      <c r="E37" s="253"/>
      <c r="F37" s="86"/>
    </row>
    <row r="38" spans="1:8" ht="15.75">
      <c r="A38" s="100" t="str">
        <f t="shared" ref="A38:C42" si="1">+A22</f>
        <v>Canadian National</v>
      </c>
      <c r="B38" s="77" t="str">
        <f t="shared" si="1"/>
        <v>CNI</v>
      </c>
      <c r="C38" s="87" t="str">
        <f t="shared" si="1"/>
        <v>Railroad</v>
      </c>
      <c r="D38" s="268">
        <f>+'S&amp;D'!G36</f>
        <v>10424311610.59083</v>
      </c>
      <c r="E38" s="269">
        <f>+'S&amp;D'!J22</f>
        <v>11369630100</v>
      </c>
      <c r="F38" s="102">
        <f>+D38/E38</f>
        <v>0.91685582722614956</v>
      </c>
    </row>
    <row r="39" spans="1:8" ht="15.75">
      <c r="A39" s="100" t="str">
        <f t="shared" si="1"/>
        <v>Canadian Pacific</v>
      </c>
      <c r="B39" s="77" t="str">
        <f t="shared" si="1"/>
        <v>CP</v>
      </c>
      <c r="C39" s="87" t="str">
        <f t="shared" si="1"/>
        <v>Railroad</v>
      </c>
      <c r="D39" s="268">
        <f>+'S&amp;D'!G37</f>
        <v>13057868000</v>
      </c>
      <c r="E39" s="269">
        <f>+'S&amp;D'!J23</f>
        <v>14480821900</v>
      </c>
      <c r="F39" s="102">
        <f t="shared" ref="F39:F42" si="2">+D39/E39</f>
        <v>0.90173528064729536</v>
      </c>
    </row>
    <row r="40" spans="1:8" ht="15.75">
      <c r="A40" s="100" t="str">
        <f t="shared" si="1"/>
        <v>CSX Corp</v>
      </c>
      <c r="B40" s="77" t="str">
        <f t="shared" si="1"/>
        <v>CSX</v>
      </c>
      <c r="C40" s="87" t="str">
        <f t="shared" si="1"/>
        <v>Railroad</v>
      </c>
      <c r="D40" s="268">
        <f>+'S&amp;D'!G38</f>
        <v>16135000000</v>
      </c>
      <c r="E40" s="269">
        <f>+'S&amp;D'!J24</f>
        <v>18047000000</v>
      </c>
      <c r="F40" s="102">
        <f t="shared" si="2"/>
        <v>0.89405441347592396</v>
      </c>
    </row>
    <row r="41" spans="1:8" ht="15.75">
      <c r="A41" s="100" t="str">
        <f t="shared" si="1"/>
        <v>Norfolk Southern</v>
      </c>
      <c r="B41" s="77" t="str">
        <f t="shared" si="1"/>
        <v>NSC</v>
      </c>
      <c r="C41" s="87" t="str">
        <f t="shared" si="1"/>
        <v>Railroad</v>
      </c>
      <c r="D41" s="268">
        <f>+'S&amp;D'!G39</f>
        <v>13937804800.424347</v>
      </c>
      <c r="E41" s="269">
        <f>+'S&amp;D'!J25</f>
        <v>15182000000</v>
      </c>
      <c r="F41" s="102">
        <f t="shared" si="2"/>
        <v>0.918048004243469</v>
      </c>
    </row>
    <row r="42" spans="1:8" ht="16.5" thickBot="1">
      <c r="A42" s="310" t="str">
        <f t="shared" si="1"/>
        <v>Union Pacific Railroad</v>
      </c>
      <c r="B42" s="78" t="str">
        <f t="shared" si="1"/>
        <v>UNP</v>
      </c>
      <c r="C42" s="94" t="str">
        <f t="shared" si="1"/>
        <v>Railroad</v>
      </c>
      <c r="D42" s="311">
        <f>+'S&amp;D'!G40</f>
        <v>28121939939.939941</v>
      </c>
      <c r="E42" s="269">
        <f>+'S&amp;D'!J26</f>
        <v>33326000000</v>
      </c>
      <c r="F42" s="102">
        <f t="shared" si="2"/>
        <v>0.84384384384384392</v>
      </c>
    </row>
    <row r="43" spans="1:8" ht="27.75" customHeight="1" thickBot="1">
      <c r="A43" s="307"/>
      <c r="B43" s="155"/>
      <c r="C43" s="155"/>
      <c r="D43" s="308"/>
      <c r="E43" s="309" t="s">
        <v>317</v>
      </c>
      <c r="F43" s="213">
        <f>AVERAGE(F38:F42)</f>
        <v>0.89490747388733638</v>
      </c>
    </row>
    <row r="48" spans="1:8">
      <c r="C48" s="254" t="s">
        <v>312</v>
      </c>
      <c r="D48" s="254" t="s">
        <v>313</v>
      </c>
      <c r="E48" s="254"/>
    </row>
    <row r="49" spans="1:6">
      <c r="A49" s="256"/>
      <c r="B49" s="256"/>
      <c r="C49" s="255" t="s">
        <v>36</v>
      </c>
      <c r="D49" s="255" t="s">
        <v>314</v>
      </c>
      <c r="E49" s="255" t="s">
        <v>315</v>
      </c>
    </row>
    <row r="50" spans="1:6" ht="15.75">
      <c r="A50" s="87" t="s">
        <v>40</v>
      </c>
      <c r="B50" s="143" t="s">
        <v>0</v>
      </c>
      <c r="C50" s="143">
        <f>+'Yield CapRate'!C23</f>
        <v>0.82</v>
      </c>
      <c r="D50" s="260">
        <f>+F27</f>
        <v>5.4810468492310367</v>
      </c>
      <c r="E50" s="261">
        <f>+C50*D50</f>
        <v>4.4944584163694499</v>
      </c>
      <c r="F50" s="144" t="s">
        <v>0</v>
      </c>
    </row>
    <row r="51" spans="1:6" ht="15.75">
      <c r="A51" s="257" t="s">
        <v>42</v>
      </c>
      <c r="B51" s="258" t="str">
        <f>'S&amp;D'!I33</f>
        <v xml:space="preserve"> </v>
      </c>
      <c r="C51" s="258">
        <f>+'Yield CapRate'!C25</f>
        <v>0.18</v>
      </c>
      <c r="D51" s="259">
        <f>+F43</f>
        <v>0.89490747388733638</v>
      </c>
      <c r="E51" s="259">
        <f>+C51*D51</f>
        <v>0.16108334529972054</v>
      </c>
      <c r="F51" s="144" t="s">
        <v>0</v>
      </c>
    </row>
    <row r="52" spans="1:6">
      <c r="D52" s="262" t="s">
        <v>316</v>
      </c>
      <c r="E52" s="263">
        <f>+E50+E51</f>
        <v>4.6555417616691708</v>
      </c>
    </row>
    <row r="55" spans="1:6" ht="18">
      <c r="A55" s="28" t="s">
        <v>465</v>
      </c>
    </row>
    <row r="56" spans="1:6" ht="19.5" customHeight="1">
      <c r="A56" s="28" t="s">
        <v>394</v>
      </c>
    </row>
  </sheetData>
  <pageMargins left="0.25" right="0.25" top="0.75" bottom="0.75" header="0.3" footer="0.3"/>
  <pageSetup scale="56" orientation="landscape" r:id="rId1"/>
  <rowBreaks count="1" manualBreakCount="1">
    <brk id="31" max="6" man="1"/>
  </rowBreaks>
  <colBreaks count="1" manualBreakCount="1">
    <brk id="8" max="71"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1145E-BF36-4A2C-868C-9B0DC0104C72}">
  <sheetPr>
    <tabColor rgb="FF92D050"/>
  </sheetPr>
  <dimension ref="A1:L73"/>
  <sheetViews>
    <sheetView view="pageBreakPreview" zoomScale="70" zoomScaleNormal="80" zoomScaleSheetLayoutView="70" workbookViewId="0">
      <selection activeCell="E29" sqref="E29"/>
    </sheetView>
  </sheetViews>
  <sheetFormatPr defaultRowHeight="15"/>
  <cols>
    <col min="1" max="1" width="41" customWidth="1"/>
    <col min="2" max="2" width="10.85546875" bestFit="1" customWidth="1"/>
    <col min="3" max="3" width="10.7109375" customWidth="1"/>
    <col min="4" max="4" width="28.5703125" customWidth="1"/>
    <col min="5" max="5" width="22.28515625" customWidth="1"/>
    <col min="6" max="6" width="26.5703125" customWidth="1"/>
    <col min="7" max="7" width="26.42578125" customWidth="1"/>
    <col min="8" max="8" width="23.85546875" customWidth="1"/>
    <col min="9" max="9" width="15" customWidth="1"/>
    <col min="10" max="10" width="14.140625" bestFit="1" customWidth="1"/>
    <col min="11" max="11" width="16.7109375" customWidth="1"/>
    <col min="12" max="12" width="23.140625" customWidth="1"/>
  </cols>
  <sheetData>
    <row r="1" spans="1:12" ht="20.25">
      <c r="A1" s="21" t="s">
        <v>1</v>
      </c>
      <c r="B1" s="10"/>
      <c r="C1" s="10"/>
      <c r="D1" s="10"/>
      <c r="E1" s="10"/>
      <c r="F1" s="10"/>
      <c r="G1" s="10"/>
      <c r="H1" s="10"/>
      <c r="I1" s="10"/>
      <c r="J1" s="10"/>
      <c r="K1" s="10"/>
      <c r="L1" s="10"/>
    </row>
    <row r="2" spans="1:12" ht="15.75">
      <c r="A2" s="22" t="s">
        <v>9</v>
      </c>
      <c r="B2" s="10"/>
      <c r="C2" s="10"/>
      <c r="D2" s="10"/>
      <c r="E2" s="10"/>
      <c r="F2" s="10"/>
      <c r="G2" s="10"/>
      <c r="H2" s="10"/>
      <c r="I2" s="10"/>
      <c r="J2" s="10"/>
      <c r="K2" s="10"/>
      <c r="L2" s="10"/>
    </row>
    <row r="3" spans="1:12">
      <c r="A3" s="23" t="s">
        <v>64</v>
      </c>
      <c r="B3" s="10"/>
      <c r="C3" s="10"/>
      <c r="D3" s="10"/>
      <c r="E3" s="10"/>
      <c r="F3" s="10"/>
      <c r="G3" s="10"/>
      <c r="H3" s="10"/>
      <c r="I3" s="10"/>
      <c r="J3" s="10"/>
      <c r="K3" s="10"/>
      <c r="L3" s="10"/>
    </row>
    <row r="4" spans="1:12">
      <c r="A4" s="23"/>
      <c r="B4" s="10"/>
      <c r="C4" s="10"/>
      <c r="D4" s="10"/>
      <c r="E4" s="10"/>
      <c r="F4" s="10"/>
      <c r="G4" s="10"/>
      <c r="H4" s="10"/>
      <c r="I4" s="10"/>
      <c r="J4" s="10"/>
      <c r="K4" s="10"/>
      <c r="L4" s="10"/>
    </row>
    <row r="5" spans="1:12">
      <c r="A5" s="23"/>
      <c r="B5" s="10"/>
      <c r="C5" s="10"/>
      <c r="D5" s="10"/>
      <c r="E5" s="10"/>
      <c r="F5" s="10"/>
      <c r="G5" s="10"/>
      <c r="H5" s="10"/>
      <c r="I5" s="10"/>
      <c r="J5" s="10"/>
      <c r="K5" s="10"/>
      <c r="L5" s="10"/>
    </row>
    <row r="6" spans="1:12">
      <c r="A6" s="23"/>
      <c r="B6" s="10"/>
      <c r="C6" s="10"/>
      <c r="D6" s="10"/>
      <c r="E6" s="10"/>
      <c r="F6" s="10"/>
      <c r="G6" s="10"/>
      <c r="H6" s="10"/>
      <c r="I6" s="10"/>
      <c r="J6" s="10"/>
      <c r="K6" s="10"/>
      <c r="L6" s="10"/>
    </row>
    <row r="7" spans="1:12" ht="15.75" thickBot="1">
      <c r="A7" s="10"/>
      <c r="B7" s="10"/>
      <c r="C7" s="10"/>
      <c r="D7" s="10"/>
      <c r="E7" s="10"/>
      <c r="F7" s="26"/>
      <c r="G7" s="26"/>
      <c r="H7" s="27" t="s">
        <v>0</v>
      </c>
      <c r="I7" s="10"/>
      <c r="J7" s="10"/>
      <c r="K7" s="10"/>
      <c r="L7" s="10"/>
    </row>
    <row r="8" spans="1:12" ht="21" thickBot="1">
      <c r="A8" s="276" t="str">
        <f>+'S&amp;D'!A12</f>
        <v>Railroad Carriers</v>
      </c>
      <c r="B8" s="277"/>
      <c r="C8" s="204"/>
      <c r="D8" s="10"/>
      <c r="E8" s="10"/>
      <c r="F8" s="10"/>
      <c r="G8" s="29" t="s">
        <v>80</v>
      </c>
      <c r="H8" s="10"/>
      <c r="I8" s="10"/>
      <c r="J8" s="10"/>
      <c r="K8" s="10"/>
      <c r="L8" s="10"/>
    </row>
    <row r="9" spans="1:12" ht="18">
      <c r="A9" s="28"/>
      <c r="B9" s="10"/>
      <c r="C9" s="10"/>
      <c r="D9" s="10"/>
      <c r="E9" s="10"/>
      <c r="F9" s="10"/>
      <c r="G9" s="87" t="s">
        <v>81</v>
      </c>
      <c r="H9" s="10"/>
      <c r="I9" s="10"/>
      <c r="J9" s="10"/>
      <c r="K9" s="10"/>
      <c r="L9" s="10"/>
    </row>
    <row r="10" spans="1:12" ht="18" customHeight="1" thickBot="1">
      <c r="A10" s="38" t="s">
        <v>0</v>
      </c>
      <c r="B10" s="38" t="s">
        <v>0</v>
      </c>
      <c r="C10" s="38" t="s">
        <v>0</v>
      </c>
      <c r="D10" s="10"/>
      <c r="E10" s="10"/>
      <c r="F10" s="31" t="s">
        <v>0</v>
      </c>
      <c r="G10" s="34" t="s">
        <v>78</v>
      </c>
      <c r="H10" s="31" t="s">
        <v>0</v>
      </c>
      <c r="I10" s="38" t="s">
        <v>0</v>
      </c>
      <c r="J10" s="10"/>
      <c r="K10" s="10"/>
      <c r="L10" s="10"/>
    </row>
    <row r="11" spans="1:12" ht="18" customHeight="1">
      <c r="A11" s="38"/>
      <c r="B11" s="38"/>
      <c r="C11" s="38"/>
      <c r="D11" s="10"/>
      <c r="E11" s="10"/>
      <c r="J11" s="10"/>
      <c r="K11" s="10"/>
      <c r="L11" s="10"/>
    </row>
    <row r="12" spans="1:12" ht="18" customHeight="1">
      <c r="A12" s="38"/>
      <c r="B12" s="38"/>
      <c r="C12" s="38"/>
      <c r="D12" s="10" t="s">
        <v>0</v>
      </c>
      <c r="E12" s="10" t="s">
        <v>0</v>
      </c>
      <c r="G12" s="11" t="s">
        <v>0</v>
      </c>
      <c r="J12" s="10"/>
      <c r="K12" s="10"/>
      <c r="L12" s="10" t="s">
        <v>0</v>
      </c>
    </row>
    <row r="13" spans="1:12" ht="15.75" thickBot="1">
      <c r="A13" s="31"/>
      <c r="B13" s="31"/>
      <c r="C13" s="31"/>
      <c r="D13" s="31"/>
      <c r="E13" s="34"/>
      <c r="F13" s="31"/>
      <c r="G13" s="31"/>
      <c r="H13" s="31"/>
      <c r="I13" s="31"/>
      <c r="J13" s="26"/>
      <c r="K13" s="26"/>
      <c r="L13" s="26"/>
    </row>
    <row r="14" spans="1:12" ht="15" customHeight="1" thickBot="1">
      <c r="A14" s="31" t="s">
        <v>24</v>
      </c>
      <c r="B14" s="31" t="s">
        <v>93</v>
      </c>
      <c r="C14" s="31" t="s">
        <v>94</v>
      </c>
      <c r="D14" s="39" t="s">
        <v>95</v>
      </c>
      <c r="E14" s="31" t="s">
        <v>96</v>
      </c>
      <c r="F14" s="31" t="s">
        <v>97</v>
      </c>
      <c r="G14" s="31" t="s">
        <v>98</v>
      </c>
      <c r="H14" s="31" t="s">
        <v>99</v>
      </c>
      <c r="I14" s="31" t="s">
        <v>100</v>
      </c>
      <c r="J14" s="31" t="s">
        <v>101</v>
      </c>
      <c r="K14" s="31" t="s">
        <v>102</v>
      </c>
      <c r="L14" s="31" t="s">
        <v>110</v>
      </c>
    </row>
    <row r="15" spans="1:12">
      <c r="A15" s="32" t="s">
        <v>0</v>
      </c>
      <c r="B15" s="32" t="s">
        <v>3</v>
      </c>
      <c r="C15" s="32" t="s">
        <v>82</v>
      </c>
      <c r="D15" s="32" t="s">
        <v>85</v>
      </c>
      <c r="E15" s="32" t="s">
        <v>85</v>
      </c>
      <c r="F15" s="32" t="s">
        <v>86</v>
      </c>
      <c r="G15" s="32" t="s">
        <v>89</v>
      </c>
      <c r="H15" s="32" t="s">
        <v>91</v>
      </c>
      <c r="I15" s="32" t="s">
        <v>113</v>
      </c>
      <c r="J15" s="32" t="s">
        <v>113</v>
      </c>
      <c r="K15" s="32" t="s">
        <v>106</v>
      </c>
      <c r="L15" s="32" t="s">
        <v>108</v>
      </c>
    </row>
    <row r="16" spans="1:12" ht="15.75" thickBot="1">
      <c r="A16" s="34" t="s">
        <v>2</v>
      </c>
      <c r="B16" s="34" t="s">
        <v>4</v>
      </c>
      <c r="C16" s="34" t="s">
        <v>83</v>
      </c>
      <c r="D16" s="34" t="s">
        <v>88</v>
      </c>
      <c r="E16" s="34" t="s">
        <v>87</v>
      </c>
      <c r="F16" s="34" t="s">
        <v>19</v>
      </c>
      <c r="G16" s="34" t="s">
        <v>90</v>
      </c>
      <c r="H16" s="34" t="s">
        <v>92</v>
      </c>
      <c r="I16" s="34" t="s">
        <v>0</v>
      </c>
      <c r="J16" s="34" t="s">
        <v>0</v>
      </c>
      <c r="K16" s="34" t="s">
        <v>107</v>
      </c>
      <c r="L16" s="34" t="s">
        <v>89</v>
      </c>
    </row>
    <row r="17" spans="1:12">
      <c r="A17" s="40" t="s">
        <v>7</v>
      </c>
      <c r="B17" s="40" t="s">
        <v>7</v>
      </c>
      <c r="C17" s="40" t="s">
        <v>84</v>
      </c>
      <c r="D17" s="40" t="s">
        <v>253</v>
      </c>
      <c r="E17" s="40" t="s">
        <v>253</v>
      </c>
      <c r="F17" s="40" t="s">
        <v>111</v>
      </c>
      <c r="G17" s="40" t="s">
        <v>252</v>
      </c>
      <c r="H17" s="40" t="s">
        <v>103</v>
      </c>
      <c r="I17" s="40" t="s">
        <v>104</v>
      </c>
      <c r="J17" s="40" t="s">
        <v>105</v>
      </c>
      <c r="K17" s="40" t="s">
        <v>112</v>
      </c>
      <c r="L17" s="40" t="s">
        <v>109</v>
      </c>
    </row>
    <row r="18" spans="1:12">
      <c r="A18" s="32"/>
      <c r="B18" s="32"/>
      <c r="C18" s="32"/>
      <c r="D18" s="32"/>
      <c r="E18" s="32"/>
      <c r="F18" s="32"/>
      <c r="G18" s="32"/>
      <c r="H18" s="32"/>
      <c r="I18" s="32"/>
      <c r="J18" s="32"/>
      <c r="K18" s="32"/>
      <c r="L18" s="32"/>
    </row>
    <row r="19" spans="1:12">
      <c r="A19" s="10"/>
      <c r="B19" s="10"/>
      <c r="C19" s="10"/>
      <c r="D19" s="10"/>
      <c r="E19" s="10"/>
      <c r="F19" s="10"/>
      <c r="G19" s="10"/>
      <c r="H19" s="10"/>
      <c r="I19" s="10"/>
      <c r="J19" s="10"/>
      <c r="K19" s="10"/>
      <c r="L19" s="10"/>
    </row>
    <row r="20" spans="1:12" ht="22.5" customHeight="1">
      <c r="A20" s="60" t="str">
        <f>+'S&amp;D'!A22</f>
        <v>Canadian National</v>
      </c>
      <c r="B20" s="87" t="str">
        <f>+'S&amp;D'!B22</f>
        <v>CNI</v>
      </c>
      <c r="C20" s="63">
        <f>+'Growth &amp; Inflation Rates'!D93</f>
        <v>2.366E-2</v>
      </c>
      <c r="D20" s="312">
        <f>(60063000000+545000000)*0.7369</f>
        <v>44662035200</v>
      </c>
      <c r="E20" s="139">
        <f>(56271000000+538000000)*0.7369</f>
        <v>41862552100</v>
      </c>
      <c r="F20" s="139">
        <f>(D20+E20)/2</f>
        <v>43262293650</v>
      </c>
      <c r="G20" s="139">
        <f>1729000000*0.7369</f>
        <v>1274100100</v>
      </c>
      <c r="H20" s="16">
        <f>+F20/G20</f>
        <v>33.955176402544822</v>
      </c>
      <c r="I20" s="42">
        <f>+C20*H20</f>
        <v>0.80337947368421048</v>
      </c>
      <c r="J20" s="43">
        <f>1/(1+C20)^H20</f>
        <v>0.45202273887155642</v>
      </c>
      <c r="K20" s="140">
        <f>(G20*I20)/(1-J20)</f>
        <v>1867934931.5538034</v>
      </c>
      <c r="L20" s="141">
        <f>+K20/G20</f>
        <v>1.466081771403835</v>
      </c>
    </row>
    <row r="21" spans="1:12" ht="22.5" customHeight="1">
      <c r="A21" s="60" t="str">
        <f>+'S&amp;D'!A23</f>
        <v>Canadian Pacific</v>
      </c>
      <c r="B21" s="87" t="str">
        <f>+'S&amp;D'!B23</f>
        <v>CP</v>
      </c>
      <c r="C21" s="63">
        <f>+'Growth &amp; Inflation Rates'!D93</f>
        <v>2.366E-2</v>
      </c>
      <c r="D21" s="312">
        <f>(31680000000+180000000)*0.7369</f>
        <v>23477634000</v>
      </c>
      <c r="E21" s="139">
        <f>(29851000000+300000000)*0.7369</f>
        <v>22218271900</v>
      </c>
      <c r="F21" s="139">
        <f t="shared" ref="F21:F24" si="0">(D21+E21)/2</f>
        <v>22847952950</v>
      </c>
      <c r="G21" s="139">
        <f>853000000*0.7369</f>
        <v>628575700</v>
      </c>
      <c r="H21" s="16">
        <f t="shared" ref="H21:H24" si="1">+F21/G21</f>
        <v>36.348769050410318</v>
      </c>
      <c r="I21" s="42">
        <f t="shared" ref="I21:I24" si="2">+C21*H21</f>
        <v>0.8600118757327081</v>
      </c>
      <c r="J21" s="43">
        <f t="shared" ref="J21:J24" si="3">1/(1+C21)^H21</f>
        <v>0.42741680514457131</v>
      </c>
      <c r="K21" s="140">
        <f t="shared" ref="K21:K24" si="4">(G21*I21)/(1-J21)</f>
        <v>944111828.03486133</v>
      </c>
      <c r="L21" s="141">
        <f t="shared" ref="L21:L24" si="5">+K21/G21</f>
        <v>1.5019858833786628</v>
      </c>
    </row>
    <row r="22" spans="1:12" ht="22.5" customHeight="1">
      <c r="A22" s="60" t="str">
        <f>+'S&amp;D'!A24</f>
        <v>CSX Corp</v>
      </c>
      <c r="B22" s="87" t="str">
        <f>+'S&amp;D'!B24</f>
        <v>CSX</v>
      </c>
      <c r="C22" s="63">
        <f>+'Growth &amp; Inflation Rates'!D93</f>
        <v>2.366E-2</v>
      </c>
      <c r="D22" s="312">
        <v>48105000000</v>
      </c>
      <c r="E22" s="139">
        <v>46505000000</v>
      </c>
      <c r="F22" s="139">
        <f t="shared" si="0"/>
        <v>47305000000</v>
      </c>
      <c r="G22" s="139">
        <v>1500000000</v>
      </c>
      <c r="H22" s="16">
        <f t="shared" si="1"/>
        <v>31.536666666666665</v>
      </c>
      <c r="I22" s="42">
        <f t="shared" si="2"/>
        <v>0.74615753333333334</v>
      </c>
      <c r="J22" s="43">
        <f t="shared" si="3"/>
        <v>0.47832383499529091</v>
      </c>
      <c r="K22" s="140">
        <f t="shared" si="4"/>
        <v>2145461830.6931791</v>
      </c>
      <c r="L22" s="141">
        <f t="shared" si="5"/>
        <v>1.430307887128786</v>
      </c>
    </row>
    <row r="23" spans="1:12" ht="22.5" customHeight="1">
      <c r="A23" s="60" t="str">
        <f>+'S&amp;D'!A25</f>
        <v>Norfolk Southern</v>
      </c>
      <c r="B23" s="87" t="str">
        <f>+'S&amp;D'!B25</f>
        <v>NSC</v>
      </c>
      <c r="C23" s="63">
        <f>+'Growth &amp; Inflation Rates'!D93</f>
        <v>2.366E-2</v>
      </c>
      <c r="D23" s="312">
        <v>44748000000</v>
      </c>
      <c r="E23" s="139">
        <v>43684000000</v>
      </c>
      <c r="F23" s="139">
        <f t="shared" si="0"/>
        <v>44216000000</v>
      </c>
      <c r="G23" s="139">
        <v>1221000000</v>
      </c>
      <c r="H23" s="16">
        <f t="shared" si="1"/>
        <v>36.212940212940211</v>
      </c>
      <c r="I23" s="42">
        <f t="shared" si="2"/>
        <v>0.85679816543816545</v>
      </c>
      <c r="J23" s="43">
        <f t="shared" si="3"/>
        <v>0.42877655950161109</v>
      </c>
      <c r="K23" s="140">
        <f t="shared" si="4"/>
        <v>1831420921.8852086</v>
      </c>
      <c r="L23" s="141">
        <f t="shared" si="5"/>
        <v>1.4999352349592208</v>
      </c>
    </row>
    <row r="24" spans="1:12" ht="22.5" customHeight="1">
      <c r="A24" s="60" t="str">
        <f>+'S&amp;D'!A26</f>
        <v>Union Pacific Railroad</v>
      </c>
      <c r="B24" s="87" t="str">
        <f>+'S&amp;D'!B26</f>
        <v>UNP</v>
      </c>
      <c r="C24" s="63">
        <f>+'Growth &amp; Inflation Rates'!D93</f>
        <v>2.366E-2</v>
      </c>
      <c r="D24" s="312">
        <v>79255000000</v>
      </c>
      <c r="E24" s="139">
        <v>77275000000</v>
      </c>
      <c r="F24" s="139">
        <f t="shared" si="0"/>
        <v>78265000000</v>
      </c>
      <c r="G24" s="139">
        <v>2246000000</v>
      </c>
      <c r="H24" s="16">
        <f t="shared" si="1"/>
        <v>34.846393588601956</v>
      </c>
      <c r="I24" s="42">
        <f t="shared" si="2"/>
        <v>0.82446567230632228</v>
      </c>
      <c r="J24" s="43">
        <f t="shared" si="3"/>
        <v>0.4426997923936638</v>
      </c>
      <c r="K24" s="140">
        <f t="shared" si="4"/>
        <v>3322715252.4372149</v>
      </c>
      <c r="L24" s="141">
        <f t="shared" si="5"/>
        <v>1.4793923652881633</v>
      </c>
    </row>
    <row r="25" spans="1:12" ht="22.5" customHeight="1" thickBot="1">
      <c r="A25" s="67"/>
      <c r="B25" s="67"/>
      <c r="C25" s="44"/>
      <c r="D25" s="44"/>
      <c r="E25" s="44"/>
      <c r="F25" s="44"/>
      <c r="G25" s="44" t="s">
        <v>0</v>
      </c>
      <c r="H25" s="44"/>
      <c r="I25" s="44" t="s">
        <v>46</v>
      </c>
      <c r="J25" s="44"/>
      <c r="K25" s="44"/>
      <c r="L25" s="44"/>
    </row>
    <row r="26" spans="1:12" ht="22.5" customHeight="1" thickTop="1">
      <c r="A26" s="10"/>
      <c r="B26" s="10"/>
      <c r="C26" s="45" t="s">
        <v>0</v>
      </c>
      <c r="D26" s="45" t="s">
        <v>0</v>
      </c>
      <c r="E26" s="32" t="s">
        <v>0</v>
      </c>
      <c r="F26" s="32"/>
      <c r="G26" s="45" t="s">
        <v>0</v>
      </c>
      <c r="H26" s="32"/>
      <c r="I26" s="45" t="s">
        <v>0</v>
      </c>
      <c r="J26" s="45" t="s">
        <v>0</v>
      </c>
      <c r="K26" s="12" t="s">
        <v>47</v>
      </c>
      <c r="L26" s="50">
        <v>1.4641999999999999</v>
      </c>
    </row>
    <row r="27" spans="1:12" ht="22.5" customHeight="1">
      <c r="B27" s="10"/>
      <c r="C27" s="45"/>
      <c r="D27" s="45"/>
      <c r="E27" s="32"/>
      <c r="F27" s="32"/>
      <c r="G27" s="45"/>
      <c r="H27" s="32"/>
      <c r="I27" s="45"/>
      <c r="J27" s="45"/>
      <c r="K27" s="349" t="s">
        <v>48</v>
      </c>
      <c r="L27" s="350">
        <v>1.2757000000000001</v>
      </c>
    </row>
    <row r="28" spans="1:12" ht="22.5" customHeight="1">
      <c r="B28" s="10"/>
      <c r="C28" s="10"/>
      <c r="D28" s="10"/>
      <c r="E28" s="10"/>
      <c r="F28" s="10"/>
      <c r="G28" s="10"/>
      <c r="H28" s="10"/>
      <c r="I28" s="10"/>
      <c r="J28" s="10"/>
      <c r="K28" s="12" t="s">
        <v>18</v>
      </c>
      <c r="L28" s="52">
        <f>MEDIAN(L20:L24)</f>
        <v>1.4793923652881633</v>
      </c>
    </row>
    <row r="29" spans="1:12" ht="22.5" customHeight="1">
      <c r="A29" s="10" t="s">
        <v>0</v>
      </c>
      <c r="B29" s="10"/>
      <c r="C29" s="10"/>
      <c r="D29" s="10"/>
      <c r="E29" s="10"/>
      <c r="F29" s="10"/>
      <c r="G29" s="10"/>
      <c r="H29" s="10"/>
      <c r="I29" s="10"/>
      <c r="J29" s="10"/>
      <c r="K29" s="12" t="s">
        <v>448</v>
      </c>
      <c r="L29" s="52">
        <f>AVERAGE(L20:L24)</f>
        <v>1.4755406284317334</v>
      </c>
    </row>
    <row r="30" spans="1:12" ht="22.5" customHeight="1" thickBot="1">
      <c r="A30" s="10"/>
      <c r="B30" s="10"/>
      <c r="C30" s="10"/>
      <c r="D30" s="10"/>
      <c r="E30" s="10"/>
      <c r="F30" s="10"/>
      <c r="G30" s="10" t="s">
        <v>0</v>
      </c>
      <c r="H30" s="10"/>
      <c r="I30" s="10"/>
      <c r="J30" s="10"/>
      <c r="K30" s="10"/>
      <c r="L30" s="10"/>
    </row>
    <row r="31" spans="1:12" ht="22.5" customHeight="1" thickBot="1">
      <c r="A31" s="10"/>
      <c r="B31" s="10"/>
      <c r="C31" s="10"/>
      <c r="D31" s="10"/>
      <c r="E31" s="10"/>
      <c r="F31" s="10"/>
      <c r="G31" s="10"/>
      <c r="H31" s="10"/>
      <c r="I31" s="10"/>
      <c r="J31" s="10"/>
      <c r="K31" s="210" t="s">
        <v>216</v>
      </c>
      <c r="L31" s="450">
        <v>1.4755</v>
      </c>
    </row>
    <row r="32" spans="1:12">
      <c r="A32" s="10"/>
      <c r="B32" s="10"/>
      <c r="C32" s="10"/>
      <c r="D32" s="10"/>
      <c r="E32" s="10"/>
      <c r="F32" s="10"/>
      <c r="G32" s="10"/>
      <c r="H32" s="10"/>
      <c r="I32" s="10"/>
      <c r="J32" s="10"/>
      <c r="K32" s="10"/>
      <c r="L32" s="10"/>
    </row>
    <row r="33" spans="1:12">
      <c r="A33" s="10"/>
      <c r="B33" s="10"/>
      <c r="C33" s="10"/>
      <c r="D33" s="10"/>
      <c r="E33" s="10"/>
      <c r="F33" s="10"/>
      <c r="G33" s="10"/>
      <c r="H33" s="10"/>
      <c r="I33" s="10"/>
      <c r="J33" s="10"/>
      <c r="K33" s="10"/>
      <c r="L33" s="10"/>
    </row>
    <row r="34" spans="1:12">
      <c r="A34" s="10" t="s">
        <v>74</v>
      </c>
      <c r="B34" s="10"/>
      <c r="C34" s="10"/>
      <c r="D34" s="10"/>
      <c r="E34" s="10"/>
      <c r="F34" s="10"/>
      <c r="G34" s="10"/>
      <c r="H34" s="10"/>
      <c r="I34" s="10"/>
      <c r="J34" s="10"/>
      <c r="K34" s="10"/>
      <c r="L34" s="10"/>
    </row>
    <row r="35" spans="1:12">
      <c r="A35" s="10" t="s">
        <v>278</v>
      </c>
    </row>
    <row r="36" spans="1:12">
      <c r="A36" s="10"/>
    </row>
    <row r="37" spans="1:12">
      <c r="A37" s="10" t="s">
        <v>393</v>
      </c>
    </row>
    <row r="38" spans="1:12" ht="18">
      <c r="A38" s="246"/>
      <c r="B38" s="246"/>
      <c r="C38" s="246"/>
      <c r="D38" s="246"/>
      <c r="E38" s="246"/>
      <c r="F38" s="246"/>
      <c r="G38" s="246"/>
      <c r="H38" s="246"/>
      <c r="I38" s="246"/>
      <c r="J38" s="246"/>
      <c r="K38" s="246"/>
      <c r="L38" s="246"/>
    </row>
    <row r="39" spans="1:12" ht="20.25">
      <c r="A39" s="21" t="s">
        <v>1</v>
      </c>
      <c r="B39" s="10"/>
      <c r="C39" s="10"/>
      <c r="D39" s="10"/>
      <c r="E39" s="10"/>
      <c r="F39" s="10"/>
      <c r="G39" s="10"/>
      <c r="H39" s="10"/>
      <c r="I39" s="10"/>
      <c r="J39" s="10"/>
      <c r="K39" s="246"/>
      <c r="L39" s="246"/>
    </row>
    <row r="40" spans="1:12" ht="18">
      <c r="A40" s="22" t="s">
        <v>9</v>
      </c>
      <c r="B40" s="10"/>
      <c r="C40" s="10"/>
      <c r="D40" s="10"/>
      <c r="E40" s="10"/>
      <c r="F40" s="10"/>
      <c r="G40" s="10"/>
      <c r="H40" s="10"/>
      <c r="I40" s="10"/>
      <c r="J40" s="10"/>
      <c r="K40" s="246"/>
      <c r="L40" s="246"/>
    </row>
    <row r="41" spans="1:12" ht="18">
      <c r="A41" s="23" t="s">
        <v>64</v>
      </c>
      <c r="B41" s="10"/>
      <c r="C41" s="10"/>
      <c r="D41" s="10"/>
      <c r="E41" s="10"/>
      <c r="F41" s="10"/>
      <c r="G41" s="10"/>
      <c r="H41" s="10"/>
      <c r="I41" s="10"/>
      <c r="J41" s="10"/>
      <c r="K41" s="246"/>
      <c r="L41" s="246"/>
    </row>
    <row r="42" spans="1:12" ht="18">
      <c r="A42" s="23"/>
      <c r="B42" s="10"/>
      <c r="C42" s="10"/>
      <c r="D42" s="10"/>
      <c r="E42" s="10"/>
      <c r="F42" s="10"/>
      <c r="G42" s="10"/>
      <c r="H42" s="10"/>
      <c r="I42" s="10"/>
      <c r="J42" s="10"/>
      <c r="K42" s="246"/>
      <c r="L42" s="246"/>
    </row>
    <row r="43" spans="1:12" ht="18">
      <c r="A43" s="23"/>
      <c r="B43" s="10"/>
      <c r="C43" s="10"/>
      <c r="D43" s="10"/>
      <c r="E43" s="10"/>
      <c r="F43" s="10"/>
      <c r="G43" s="10"/>
      <c r="H43" s="10"/>
      <c r="I43" s="10"/>
      <c r="J43" s="10"/>
      <c r="K43" s="246"/>
      <c r="L43" s="246"/>
    </row>
    <row r="44" spans="1:12" ht="18">
      <c r="A44" s="23"/>
      <c r="B44" s="10"/>
      <c r="C44" s="10"/>
      <c r="D44" s="10"/>
      <c r="E44" s="10"/>
      <c r="F44" s="10"/>
      <c r="G44" s="10"/>
      <c r="H44" s="10"/>
      <c r="I44" s="10"/>
      <c r="J44" s="10"/>
      <c r="K44" s="246"/>
      <c r="L44" s="246"/>
    </row>
    <row r="45" spans="1:12" ht="18.75" thickBot="1">
      <c r="A45" s="10"/>
      <c r="B45" s="10"/>
      <c r="C45" s="10"/>
      <c r="D45" s="10"/>
      <c r="E45" s="10"/>
      <c r="F45" s="26"/>
      <c r="G45" s="26"/>
      <c r="H45" s="27" t="s">
        <v>0</v>
      </c>
      <c r="I45" s="10"/>
      <c r="J45" s="10"/>
      <c r="K45" s="246"/>
      <c r="L45" s="246"/>
    </row>
    <row r="46" spans="1:12" ht="21" thickBot="1">
      <c r="A46" s="25" t="s">
        <v>44</v>
      </c>
      <c r="B46" s="10"/>
      <c r="C46" s="10"/>
      <c r="D46" s="10"/>
      <c r="E46" s="10"/>
      <c r="F46" s="10"/>
      <c r="G46" s="29" t="s">
        <v>304</v>
      </c>
      <c r="H46" s="10"/>
      <c r="I46" s="10"/>
      <c r="J46" s="10"/>
      <c r="K46" s="246"/>
      <c r="L46" s="246"/>
    </row>
    <row r="47" spans="1:12" ht="18.75" thickBot="1">
      <c r="A47" s="38" t="s">
        <v>0</v>
      </c>
      <c r="B47" s="38" t="s">
        <v>0</v>
      </c>
      <c r="C47" s="38" t="s">
        <v>0</v>
      </c>
      <c r="D47" s="10"/>
      <c r="E47" s="10"/>
      <c r="F47" s="31" t="s">
        <v>0</v>
      </c>
      <c r="G47" s="34" t="s">
        <v>78</v>
      </c>
      <c r="H47" s="31" t="s">
        <v>0</v>
      </c>
      <c r="I47" s="38" t="s">
        <v>0</v>
      </c>
      <c r="J47" s="10"/>
      <c r="K47" s="246"/>
      <c r="L47" s="246"/>
    </row>
    <row r="48" spans="1:12" ht="18">
      <c r="A48" s="246"/>
      <c r="B48" s="246"/>
      <c r="C48" s="246"/>
      <c r="D48" s="246"/>
      <c r="E48" s="246"/>
      <c r="F48" s="246"/>
      <c r="G48" s="246"/>
      <c r="H48" s="246"/>
      <c r="I48" s="246"/>
      <c r="J48" s="246"/>
      <c r="K48" s="246"/>
      <c r="L48" s="246"/>
    </row>
    <row r="49" spans="1:12" ht="18">
      <c r="A49" s="246"/>
      <c r="B49" s="246"/>
      <c r="C49" s="246"/>
      <c r="D49" s="246"/>
      <c r="E49" s="246"/>
      <c r="F49" s="246"/>
      <c r="G49" s="246"/>
      <c r="H49" s="246"/>
      <c r="I49" s="246"/>
      <c r="J49" s="246"/>
      <c r="K49" s="246"/>
      <c r="L49" s="246"/>
    </row>
    <row r="50" spans="1:12" ht="18">
      <c r="A50" s="246"/>
      <c r="B50" s="246"/>
      <c r="C50" s="246"/>
      <c r="D50" s="246"/>
      <c r="E50" s="246"/>
      <c r="F50" s="246"/>
      <c r="G50" s="246"/>
      <c r="H50" s="246"/>
      <c r="I50" s="246"/>
      <c r="J50" s="246"/>
      <c r="K50" s="246"/>
      <c r="L50" s="246"/>
    </row>
    <row r="51" spans="1:12">
      <c r="A51" s="38"/>
      <c r="B51" s="38"/>
      <c r="C51" s="38"/>
      <c r="D51" s="10"/>
      <c r="E51" s="10"/>
      <c r="J51" s="10"/>
      <c r="K51" s="10"/>
      <c r="L51" s="10"/>
    </row>
    <row r="52" spans="1:12" ht="25.5">
      <c r="A52" s="240" t="s">
        <v>293</v>
      </c>
      <c r="B52" s="38"/>
      <c r="C52" s="242" t="s">
        <v>298</v>
      </c>
      <c r="D52" s="10"/>
      <c r="E52" s="10"/>
      <c r="J52" s="10"/>
      <c r="K52" s="10"/>
      <c r="L52" s="10"/>
    </row>
    <row r="53" spans="1:12" ht="25.5">
      <c r="A53" s="240" t="s">
        <v>297</v>
      </c>
      <c r="B53" s="38"/>
      <c r="C53" s="242" t="s">
        <v>303</v>
      </c>
      <c r="D53" s="10"/>
      <c r="E53" s="10"/>
      <c r="J53" s="10"/>
      <c r="K53" s="10"/>
      <c r="L53" s="10"/>
    </row>
    <row r="54" spans="1:12" ht="15.75">
      <c r="A54" s="241" t="s">
        <v>294</v>
      </c>
      <c r="B54" s="38"/>
      <c r="C54" s="38"/>
      <c r="D54" s="10"/>
      <c r="E54" s="10"/>
      <c r="J54" s="10"/>
      <c r="K54" s="10"/>
      <c r="L54" s="10"/>
    </row>
    <row r="55" spans="1:12" ht="15.75">
      <c r="A55" s="241" t="s">
        <v>295</v>
      </c>
      <c r="B55" s="38"/>
      <c r="C55" s="38"/>
      <c r="D55" s="10"/>
      <c r="E55" s="10"/>
      <c r="J55" s="10"/>
      <c r="K55" s="10"/>
      <c r="L55" s="10"/>
    </row>
    <row r="56" spans="1:12" ht="15.75">
      <c r="A56" s="241" t="s">
        <v>296</v>
      </c>
      <c r="B56" s="38"/>
      <c r="C56" s="38"/>
      <c r="D56" s="10"/>
      <c r="E56" s="10"/>
      <c r="J56" s="10"/>
      <c r="K56" s="10"/>
      <c r="L56" s="10"/>
    </row>
    <row r="62" spans="1:12" ht="25.5">
      <c r="A62" s="243" t="s">
        <v>302</v>
      </c>
      <c r="B62" s="104"/>
      <c r="C62" s="104"/>
      <c r="D62" s="104"/>
      <c r="E62" s="104"/>
      <c r="F62" s="104"/>
      <c r="G62" s="10"/>
      <c r="H62" s="10"/>
      <c r="I62" s="10"/>
    </row>
    <row r="63" spans="1:12" ht="15.75">
      <c r="A63" s="104"/>
      <c r="B63" s="104"/>
      <c r="C63" s="104"/>
      <c r="D63" s="104"/>
      <c r="E63" s="104"/>
      <c r="F63" s="104"/>
      <c r="G63" s="10"/>
      <c r="H63" s="10"/>
      <c r="I63" s="10"/>
    </row>
    <row r="64" spans="1:12" ht="16.5" thickBot="1">
      <c r="A64" s="244" t="s">
        <v>299</v>
      </c>
      <c r="B64" s="106"/>
      <c r="C64" s="106"/>
      <c r="D64" s="245" t="s">
        <v>301</v>
      </c>
      <c r="E64" s="106"/>
      <c r="F64" s="104"/>
      <c r="G64" s="10"/>
      <c r="H64" s="10"/>
      <c r="I64" s="10"/>
    </row>
    <row r="65" spans="1:9" ht="15.75">
      <c r="A65" s="104"/>
      <c r="B65" s="104"/>
      <c r="C65" s="104"/>
      <c r="D65" s="104" t="s">
        <v>300</v>
      </c>
      <c r="E65" s="104"/>
      <c r="F65" s="104"/>
      <c r="G65" s="10"/>
      <c r="H65" s="10"/>
      <c r="I65" s="10"/>
    </row>
    <row r="66" spans="1:9" ht="15.75">
      <c r="A66" s="104"/>
      <c r="B66" s="104"/>
      <c r="C66" s="104"/>
      <c r="D66" s="104"/>
      <c r="E66" s="104"/>
      <c r="F66" s="104"/>
      <c r="G66" s="10"/>
      <c r="H66" s="10"/>
      <c r="I66" s="10"/>
    </row>
    <row r="67" spans="1:9">
      <c r="A67" s="10"/>
      <c r="B67" s="10"/>
      <c r="C67" s="10"/>
      <c r="D67" s="10"/>
      <c r="E67" s="10"/>
      <c r="F67" s="10"/>
      <c r="G67" s="10"/>
      <c r="H67" s="10"/>
      <c r="I67" s="10"/>
    </row>
    <row r="68" spans="1:9">
      <c r="A68" s="10"/>
      <c r="B68" s="10"/>
      <c r="C68" s="10"/>
      <c r="D68" s="10"/>
      <c r="E68" s="10"/>
      <c r="F68" s="10"/>
      <c r="G68" s="10"/>
      <c r="H68" s="10"/>
      <c r="I68" s="10"/>
    </row>
    <row r="69" spans="1:9">
      <c r="A69" s="10"/>
      <c r="B69" s="10"/>
      <c r="C69" s="10"/>
      <c r="D69" s="10"/>
      <c r="E69" s="10"/>
      <c r="F69" s="10"/>
      <c r="G69" s="10"/>
      <c r="H69" s="10"/>
      <c r="I69" s="10"/>
    </row>
    <row r="70" spans="1:9">
      <c r="A70" s="10"/>
      <c r="B70" s="10"/>
      <c r="C70" s="10"/>
      <c r="D70" s="10"/>
      <c r="E70" s="10"/>
      <c r="F70" s="10"/>
      <c r="G70" s="10"/>
      <c r="H70" s="10"/>
      <c r="I70" s="10"/>
    </row>
    <row r="71" spans="1:9">
      <c r="A71" s="10"/>
      <c r="B71" s="10"/>
      <c r="C71" s="10"/>
      <c r="D71" s="10"/>
      <c r="E71" s="10"/>
      <c r="F71" s="10"/>
      <c r="G71" s="10"/>
      <c r="H71" s="10"/>
      <c r="I71" s="10"/>
    </row>
    <row r="72" spans="1:9">
      <c r="A72" s="10" t="s">
        <v>0</v>
      </c>
      <c r="B72" s="10"/>
      <c r="C72" s="10"/>
      <c r="D72" s="10"/>
      <c r="E72" s="10"/>
      <c r="F72" s="10"/>
      <c r="G72" s="10"/>
      <c r="H72" s="10"/>
      <c r="I72" s="10"/>
    </row>
    <row r="73" spans="1:9">
      <c r="A73" s="10"/>
      <c r="B73" s="10"/>
      <c r="C73" s="10"/>
      <c r="D73" s="10"/>
      <c r="E73" s="10"/>
      <c r="F73" s="10"/>
      <c r="G73" s="10"/>
      <c r="H73" s="10"/>
      <c r="I73" s="10"/>
    </row>
  </sheetData>
  <pageMargins left="0.25" right="0.25" top="0.75" bottom="0.75" header="0.3" footer="0.3"/>
  <pageSetup scale="51" orientation="landscape" r:id="rId1"/>
  <rowBreaks count="1" manualBreakCount="1">
    <brk id="37" max="11"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19DCF-8362-451B-93E3-8D44BC877730}">
  <sheetPr>
    <tabColor rgb="FF92D050"/>
  </sheetPr>
  <dimension ref="A1:I33"/>
  <sheetViews>
    <sheetView view="pageBreakPreview" zoomScale="60" zoomScaleNormal="80" workbookViewId="0">
      <selection activeCell="A9" sqref="A9"/>
    </sheetView>
  </sheetViews>
  <sheetFormatPr defaultRowHeight="15"/>
  <cols>
    <col min="1" max="1" width="45.140625" customWidth="1"/>
    <col min="2" max="2" width="17" customWidth="1"/>
    <col min="3" max="3" width="22.7109375" customWidth="1"/>
    <col min="4" max="4" width="20.140625" customWidth="1"/>
    <col min="5" max="5" width="24.5703125" customWidth="1"/>
    <col min="6" max="6" width="23.5703125" customWidth="1"/>
    <col min="7" max="7" width="21.28515625" customWidth="1"/>
    <col min="8" max="8" width="19.7109375" customWidth="1"/>
    <col min="9" max="9" width="28.28515625" customWidth="1"/>
    <col min="10" max="10" width="14.140625" bestFit="1" customWidth="1"/>
    <col min="12" max="12" width="10.5703125" customWidth="1"/>
  </cols>
  <sheetData>
    <row r="1" spans="1:9" ht="20.25">
      <c r="A1" s="21" t="s">
        <v>1</v>
      </c>
      <c r="B1" s="10"/>
      <c r="C1" s="10"/>
      <c r="D1" s="10"/>
      <c r="E1" s="10"/>
      <c r="F1" s="10"/>
      <c r="G1" s="10"/>
      <c r="H1" s="10"/>
      <c r="I1" s="10"/>
    </row>
    <row r="2" spans="1:9" ht="15.75">
      <c r="A2" s="22" t="s">
        <v>9</v>
      </c>
      <c r="B2" s="10"/>
      <c r="C2" s="10"/>
      <c r="D2" s="10"/>
      <c r="E2" s="10"/>
      <c r="F2" s="10"/>
      <c r="G2" s="10"/>
      <c r="H2" s="10"/>
      <c r="I2" s="10"/>
    </row>
    <row r="3" spans="1:9">
      <c r="A3" s="23" t="s">
        <v>64</v>
      </c>
      <c r="B3" s="10"/>
      <c r="C3" s="10"/>
      <c r="D3" s="10"/>
      <c r="E3" s="10"/>
      <c r="F3" s="10"/>
      <c r="G3" s="10"/>
      <c r="H3" s="10"/>
      <c r="I3" s="10"/>
    </row>
    <row r="4" spans="1:9">
      <c r="A4" s="23"/>
      <c r="B4" s="10"/>
      <c r="C4" s="10"/>
      <c r="D4" s="10"/>
      <c r="E4" s="10"/>
      <c r="F4" s="10"/>
      <c r="G4" s="10"/>
      <c r="H4" s="10"/>
      <c r="I4" s="10"/>
    </row>
    <row r="5" spans="1:9">
      <c r="A5" s="23"/>
      <c r="B5" s="10"/>
      <c r="C5" s="10"/>
      <c r="D5" s="10"/>
      <c r="E5" s="10"/>
      <c r="F5" s="10"/>
      <c r="G5" s="10"/>
      <c r="H5" s="10"/>
      <c r="I5" s="10"/>
    </row>
    <row r="6" spans="1:9">
      <c r="A6" s="23"/>
      <c r="B6" s="10"/>
      <c r="C6" s="10"/>
      <c r="D6" s="10"/>
      <c r="E6" s="10"/>
      <c r="F6" s="10"/>
      <c r="G6" s="10"/>
      <c r="H6" s="10"/>
      <c r="I6" s="10"/>
    </row>
    <row r="7" spans="1:9" ht="15.75" thickBot="1">
      <c r="A7" s="10"/>
      <c r="B7" s="10"/>
      <c r="C7" s="10"/>
      <c r="H7" s="24"/>
      <c r="I7" s="10"/>
    </row>
    <row r="8" spans="1:9" ht="18.75" thickBot="1">
      <c r="A8" s="276" t="str">
        <f>+'S&amp;D'!A12</f>
        <v>Railroad Carriers</v>
      </c>
      <c r="B8" s="204"/>
      <c r="C8" s="10"/>
      <c r="D8" s="26"/>
      <c r="E8" s="26"/>
      <c r="F8" s="26"/>
      <c r="H8" s="10"/>
      <c r="I8" s="10"/>
    </row>
    <row r="9" spans="1:9" ht="20.25">
      <c r="A9" s="28"/>
      <c r="B9" s="10"/>
      <c r="C9" s="10"/>
      <c r="D9" s="10"/>
      <c r="E9" s="29" t="s">
        <v>127</v>
      </c>
      <c r="F9" s="29"/>
      <c r="H9" s="10"/>
      <c r="I9" s="10"/>
    </row>
    <row r="10" spans="1:9" ht="18.75" thickBot="1">
      <c r="A10" s="28"/>
      <c r="B10" s="10"/>
      <c r="C10" s="10"/>
      <c r="D10" s="26"/>
      <c r="E10" s="34" t="s">
        <v>78</v>
      </c>
      <c r="F10" s="34"/>
      <c r="H10" s="10"/>
      <c r="I10" s="10"/>
    </row>
    <row r="11" spans="1:9" ht="18">
      <c r="A11" s="28"/>
      <c r="B11" s="10"/>
      <c r="I11" s="10"/>
    </row>
    <row r="12" spans="1:9" ht="15.75" thickBot="1">
      <c r="A12" s="31" t="s">
        <v>0</v>
      </c>
      <c r="B12" s="31" t="s">
        <v>0</v>
      </c>
      <c r="C12" s="31" t="s">
        <v>0</v>
      </c>
      <c r="D12" s="31" t="s">
        <v>0</v>
      </c>
      <c r="E12" s="31" t="s">
        <v>0</v>
      </c>
      <c r="F12" s="31"/>
      <c r="G12" s="31"/>
      <c r="H12" s="26"/>
      <c r="I12" s="26"/>
    </row>
    <row r="13" spans="1:9" ht="15.75">
      <c r="A13" s="87" t="s">
        <v>0</v>
      </c>
      <c r="B13" s="87" t="s">
        <v>3</v>
      </c>
      <c r="C13" s="87" t="s">
        <v>5</v>
      </c>
      <c r="D13" s="87" t="s">
        <v>21</v>
      </c>
      <c r="E13" s="188" t="s">
        <v>237</v>
      </c>
      <c r="F13" s="188" t="s">
        <v>350</v>
      </c>
      <c r="G13" s="87" t="s">
        <v>20</v>
      </c>
      <c r="H13" s="87" t="s">
        <v>151</v>
      </c>
      <c r="I13" s="87" t="s">
        <v>151</v>
      </c>
    </row>
    <row r="14" spans="1:9" ht="16.5" thickBot="1">
      <c r="A14" s="94" t="s">
        <v>2</v>
      </c>
      <c r="B14" s="94" t="s">
        <v>4</v>
      </c>
      <c r="C14" s="94" t="s">
        <v>6</v>
      </c>
      <c r="D14" s="94" t="s">
        <v>23</v>
      </c>
      <c r="E14" s="94" t="s">
        <v>351</v>
      </c>
      <c r="F14" s="94" t="s">
        <v>198</v>
      </c>
      <c r="G14" s="94" t="s">
        <v>22</v>
      </c>
      <c r="H14" s="94" t="s">
        <v>175</v>
      </c>
      <c r="I14" s="94" t="s">
        <v>123</v>
      </c>
    </row>
    <row r="15" spans="1:9">
      <c r="A15" s="36" t="s">
        <v>7</v>
      </c>
      <c r="B15" s="36" t="s">
        <v>7</v>
      </c>
      <c r="C15" s="36" t="s">
        <v>7</v>
      </c>
      <c r="D15" s="36" t="s">
        <v>7</v>
      </c>
      <c r="E15" s="237" t="s">
        <v>283</v>
      </c>
      <c r="F15" s="237" t="s">
        <v>283</v>
      </c>
      <c r="G15" s="36" t="s">
        <v>7</v>
      </c>
      <c r="H15" s="36" t="s">
        <v>7</v>
      </c>
      <c r="I15" s="237" t="s">
        <v>283</v>
      </c>
    </row>
    <row r="16" spans="1:9" ht="15.75" thickBot="1">
      <c r="A16" s="32"/>
      <c r="B16" s="32"/>
      <c r="C16" s="32"/>
      <c r="D16" s="32"/>
      <c r="G16" s="32"/>
      <c r="H16" s="32"/>
      <c r="I16" s="32"/>
    </row>
    <row r="17" spans="1:9">
      <c r="A17" s="157"/>
      <c r="B17" s="110"/>
      <c r="C17" s="110"/>
      <c r="D17" s="110"/>
      <c r="E17" s="321"/>
      <c r="F17" s="321"/>
      <c r="G17" s="110"/>
      <c r="H17" s="110"/>
      <c r="I17" s="158"/>
    </row>
    <row r="18" spans="1:9" ht="20.25" customHeight="1">
      <c r="A18" s="100" t="str">
        <f>+'S&amp;D'!A22</f>
        <v>Canadian National</v>
      </c>
      <c r="B18" s="87" t="str">
        <f>+'S&amp;D'!B22</f>
        <v>CNI</v>
      </c>
      <c r="C18" s="87" t="str">
        <f>+'S&amp;D'!C22</f>
        <v>Railroad</v>
      </c>
      <c r="D18" s="322">
        <v>0.245</v>
      </c>
      <c r="E18" s="272">
        <v>0.27500000000000002</v>
      </c>
      <c r="F18" s="272">
        <v>0.16500000000000001</v>
      </c>
      <c r="G18" s="87" t="s">
        <v>24</v>
      </c>
      <c r="H18" s="424">
        <v>0.85</v>
      </c>
      <c r="I18" s="425">
        <v>0.9</v>
      </c>
    </row>
    <row r="19" spans="1:9" ht="20.25" customHeight="1">
      <c r="A19" s="100" t="str">
        <f>+'S&amp;D'!A23</f>
        <v>Canadian Pacific</v>
      </c>
      <c r="B19" s="87" t="str">
        <f>+'S&amp;D'!B23</f>
        <v>CP</v>
      </c>
      <c r="C19" s="87" t="str">
        <f>+'S&amp;D'!C23</f>
        <v>Railroad</v>
      </c>
      <c r="D19" s="322">
        <v>0.222</v>
      </c>
      <c r="E19" s="272">
        <v>0.1</v>
      </c>
      <c r="F19" s="272">
        <v>0.08</v>
      </c>
      <c r="G19" s="87" t="s">
        <v>24</v>
      </c>
      <c r="H19" s="424">
        <v>1</v>
      </c>
      <c r="I19" s="425">
        <v>1</v>
      </c>
    </row>
    <row r="20" spans="1:9" ht="20.25" customHeight="1">
      <c r="A20" s="100" t="str">
        <f>+'S&amp;D'!A24</f>
        <v>CSX Corp</v>
      </c>
      <c r="B20" s="87" t="str">
        <f>+'S&amp;D'!B24</f>
        <v>CSX</v>
      </c>
      <c r="C20" s="87" t="str">
        <f>+'S&amp;D'!C24</f>
        <v>Railroad</v>
      </c>
      <c r="D20" s="322">
        <v>0.23100000000000001</v>
      </c>
      <c r="E20" s="272">
        <v>0.27</v>
      </c>
      <c r="F20" s="272">
        <v>0.20499999999999999</v>
      </c>
      <c r="G20" s="87" t="s">
        <v>26</v>
      </c>
      <c r="H20" s="424">
        <v>1.05</v>
      </c>
      <c r="I20" s="425">
        <v>1.05</v>
      </c>
    </row>
    <row r="21" spans="1:9" ht="20.25" customHeight="1">
      <c r="A21" s="100" t="str">
        <f>+'S&amp;D'!A25</f>
        <v>Norfolk Southern</v>
      </c>
      <c r="B21" s="87" t="str">
        <f>+'S&amp;D'!B25</f>
        <v>NSC</v>
      </c>
      <c r="C21" s="87" t="str">
        <f>+'S&amp;D'!C25</f>
        <v>Railroad</v>
      </c>
      <c r="D21" s="322">
        <v>0.20799999999999999</v>
      </c>
      <c r="E21" s="272">
        <v>0.22</v>
      </c>
      <c r="F21" s="272">
        <v>0.13</v>
      </c>
      <c r="G21" s="87" t="s">
        <v>45</v>
      </c>
      <c r="H21" s="424">
        <v>1.1000000000000001</v>
      </c>
      <c r="I21" s="425">
        <v>1.05</v>
      </c>
    </row>
    <row r="22" spans="1:9" ht="20.25" customHeight="1" thickBot="1">
      <c r="A22" s="100" t="str">
        <f>+'S&amp;D'!A26</f>
        <v>Union Pacific Railroad</v>
      </c>
      <c r="B22" s="87" t="str">
        <f>+'S&amp;D'!B26</f>
        <v>UNP</v>
      </c>
      <c r="C22" s="87" t="str">
        <f>+'S&amp;D'!C26</f>
        <v>Railroad</v>
      </c>
      <c r="D22" s="322">
        <v>0.22800000000000001</v>
      </c>
      <c r="E22" s="272">
        <v>0.49</v>
      </c>
      <c r="F22" s="272">
        <v>0.23</v>
      </c>
      <c r="G22" s="87" t="s">
        <v>419</v>
      </c>
      <c r="H22" s="426">
        <v>1.1000000000000001</v>
      </c>
      <c r="I22" s="427">
        <v>1.05</v>
      </c>
    </row>
    <row r="23" spans="1:9" ht="20.25" customHeight="1" thickTop="1">
      <c r="A23" s="104"/>
      <c r="B23" s="104"/>
      <c r="C23" s="4"/>
      <c r="D23" s="182" t="s">
        <v>0</v>
      </c>
      <c r="E23" s="4"/>
      <c r="F23" s="4"/>
      <c r="G23" s="122" t="s">
        <v>47</v>
      </c>
      <c r="H23" s="183">
        <v>1.1000000000000001</v>
      </c>
      <c r="I23" s="184">
        <v>1.05</v>
      </c>
    </row>
    <row r="24" spans="1:9" ht="20.25" customHeight="1">
      <c r="A24" s="104"/>
      <c r="B24" s="104"/>
      <c r="C24" s="4"/>
      <c r="D24" s="182" t="s">
        <v>0</v>
      </c>
      <c r="E24" s="4"/>
      <c r="F24" s="4"/>
      <c r="G24" s="122" t="s">
        <v>48</v>
      </c>
      <c r="H24" s="347">
        <v>0.85</v>
      </c>
      <c r="I24" s="348">
        <v>0.9</v>
      </c>
    </row>
    <row r="25" spans="1:9" ht="20.25" customHeight="1">
      <c r="A25" s="104"/>
      <c r="B25" s="104"/>
      <c r="C25" s="4"/>
      <c r="D25" s="185" t="s">
        <v>0</v>
      </c>
      <c r="E25" s="4"/>
      <c r="F25" s="4"/>
      <c r="G25" s="122" t="s">
        <v>18</v>
      </c>
      <c r="H25" s="186">
        <f>MEDIAN(H18:H22)</f>
        <v>1.05</v>
      </c>
      <c r="I25" s="186">
        <f>MEDIAN(I18:I22)</f>
        <v>1.05</v>
      </c>
    </row>
    <row r="26" spans="1:9" ht="20.25" customHeight="1">
      <c r="A26" s="104"/>
      <c r="B26" s="104"/>
      <c r="C26" s="4"/>
      <c r="D26" s="125" t="s">
        <v>0</v>
      </c>
      <c r="E26" s="4"/>
      <c r="F26" s="4"/>
      <c r="G26" s="122" t="s">
        <v>448</v>
      </c>
      <c r="H26" s="187">
        <f>AVERAGE(H18:H22)</f>
        <v>1.02</v>
      </c>
      <c r="I26" s="187">
        <f>AVERAGE(I18:I22)</f>
        <v>1.01</v>
      </c>
    </row>
    <row r="27" spans="1:9" ht="20.25" customHeight="1">
      <c r="A27" s="104"/>
      <c r="B27" s="104"/>
      <c r="C27" s="4"/>
      <c r="D27" s="125"/>
      <c r="E27" s="4"/>
      <c r="F27" s="4"/>
      <c r="G27" s="122" t="s">
        <v>449</v>
      </c>
      <c r="H27" s="187">
        <f>HARMEAN(H18:H22)</f>
        <v>1.0107067483399392</v>
      </c>
      <c r="I27" s="187">
        <f>HARMEAN(I18:I22)</f>
        <v>1.0063897763578276</v>
      </c>
    </row>
    <row r="28" spans="1:9" ht="20.25" customHeight="1" thickBot="1">
      <c r="A28" s="10"/>
      <c r="B28" s="10"/>
      <c r="C28" s="10"/>
      <c r="D28" s="10" t="s">
        <v>0</v>
      </c>
      <c r="G28" s="10"/>
      <c r="H28" s="10"/>
      <c r="I28" s="10"/>
    </row>
    <row r="29" spans="1:9" ht="20.25" customHeight="1" thickBot="1">
      <c r="A29" s="10"/>
      <c r="B29" s="10"/>
      <c r="C29" s="10"/>
      <c r="D29" s="10"/>
      <c r="G29" s="10"/>
      <c r="H29" s="210" t="s">
        <v>76</v>
      </c>
      <c r="I29" s="320">
        <v>1.01</v>
      </c>
    </row>
    <row r="30" spans="1:9" ht="20.25" customHeight="1">
      <c r="A30" s="10"/>
      <c r="B30" s="10"/>
      <c r="C30" s="10"/>
      <c r="D30" s="10"/>
      <c r="G30" s="10"/>
      <c r="H30" s="66"/>
      <c r="I30" s="296"/>
    </row>
    <row r="31" spans="1:9" ht="20.25" customHeight="1">
      <c r="A31" s="10"/>
      <c r="B31" s="10"/>
      <c r="C31" s="10"/>
      <c r="D31" s="10"/>
      <c r="G31" s="10"/>
      <c r="H31" s="66"/>
      <c r="I31" s="296"/>
    </row>
    <row r="32" spans="1:9" ht="15.75">
      <c r="A32" s="104" t="s">
        <v>353</v>
      </c>
    </row>
    <row r="33" spans="1:1" ht="15.75">
      <c r="A33" s="104" t="s">
        <v>352</v>
      </c>
    </row>
  </sheetData>
  <pageMargins left="0.25" right="0.25" top="0.75" bottom="0.75" header="0.3" footer="0.3"/>
  <pageSetup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F0854-9225-4685-BC0B-402957CF1047}">
  <sheetPr>
    <tabColor rgb="FF92D050"/>
  </sheetPr>
  <dimension ref="A1:K28"/>
  <sheetViews>
    <sheetView view="pageBreakPreview" zoomScale="60" zoomScaleNormal="80" workbookViewId="0">
      <selection activeCell="H28" sqref="H28"/>
    </sheetView>
  </sheetViews>
  <sheetFormatPr defaultRowHeight="15"/>
  <cols>
    <col min="1" max="1" width="50.42578125" customWidth="1"/>
    <col min="2" max="2" width="10.85546875" bestFit="1" customWidth="1"/>
    <col min="3" max="3" width="19.140625" bestFit="1" customWidth="1"/>
    <col min="4" max="4" width="15.28515625" customWidth="1"/>
    <col min="5" max="5" width="16" customWidth="1"/>
    <col min="6" max="6" width="20" customWidth="1"/>
    <col min="7" max="7" width="16.5703125" customWidth="1"/>
    <col min="8" max="8" width="19.140625" customWidth="1"/>
    <col min="9" max="10" width="20.140625" customWidth="1"/>
    <col min="11" max="11" width="17.7109375" customWidth="1"/>
    <col min="12" max="12" width="23.7109375" customWidth="1"/>
  </cols>
  <sheetData>
    <row r="1" spans="1:11" ht="20.25">
      <c r="A1" s="21" t="s">
        <v>1</v>
      </c>
      <c r="B1" s="10"/>
      <c r="C1" s="10"/>
      <c r="D1" s="10"/>
      <c r="E1" s="10"/>
      <c r="F1" s="10"/>
      <c r="G1" s="10"/>
      <c r="H1" s="10"/>
      <c r="I1" s="10"/>
      <c r="J1" s="10"/>
    </row>
    <row r="2" spans="1:11" ht="15.75">
      <c r="A2" s="22" t="s">
        <v>9</v>
      </c>
      <c r="B2" s="10"/>
      <c r="C2" s="10"/>
      <c r="D2" s="10"/>
      <c r="E2" s="10"/>
      <c r="F2" s="10"/>
      <c r="G2" s="10"/>
      <c r="H2" s="10"/>
      <c r="I2" s="10"/>
      <c r="J2" s="10"/>
    </row>
    <row r="3" spans="1:11">
      <c r="A3" s="23" t="s">
        <v>64</v>
      </c>
      <c r="B3" s="10"/>
      <c r="C3" s="10"/>
      <c r="D3" s="10"/>
      <c r="E3" s="10"/>
      <c r="F3" s="10"/>
      <c r="G3" s="10"/>
      <c r="H3" s="10"/>
      <c r="I3" s="10"/>
      <c r="J3" s="10"/>
    </row>
    <row r="4" spans="1:11">
      <c r="A4" s="23"/>
      <c r="B4" s="10"/>
      <c r="C4" s="10"/>
      <c r="D4" s="10"/>
      <c r="E4" s="10"/>
      <c r="F4" s="10"/>
      <c r="G4" s="10"/>
      <c r="H4" s="10"/>
      <c r="I4" s="10"/>
      <c r="J4" s="10"/>
    </row>
    <row r="5" spans="1:11" ht="15.75" thickBot="1">
      <c r="A5" s="10"/>
      <c r="B5" s="10"/>
      <c r="C5" s="10"/>
      <c r="D5" s="10"/>
      <c r="E5" s="10"/>
      <c r="F5" s="10"/>
      <c r="G5" s="24"/>
      <c r="H5" s="10"/>
      <c r="I5" s="10"/>
      <c r="J5" s="10"/>
    </row>
    <row r="6" spans="1:11" ht="18.75" thickBot="1">
      <c r="A6" s="276" t="e">
        <f>+#REF!</f>
        <v>#REF!</v>
      </c>
      <c r="B6" s="204"/>
      <c r="C6" s="10"/>
      <c r="D6" s="26"/>
      <c r="E6" s="26"/>
      <c r="F6" s="27" t="s">
        <v>0</v>
      </c>
      <c r="G6" s="10"/>
      <c r="H6" s="10"/>
      <c r="I6" s="10"/>
      <c r="J6" s="10"/>
    </row>
    <row r="7" spans="1:11" ht="20.25">
      <c r="A7" s="28"/>
      <c r="B7" s="10"/>
      <c r="C7" s="10"/>
      <c r="D7" s="10"/>
      <c r="E7" s="29" t="s">
        <v>176</v>
      </c>
      <c r="F7" s="10"/>
      <c r="G7" s="10"/>
      <c r="H7" s="10"/>
      <c r="I7" s="10"/>
      <c r="J7" s="10"/>
    </row>
    <row r="8" spans="1:11" ht="18.75" thickBot="1">
      <c r="A8" s="28"/>
      <c r="B8" s="10"/>
      <c r="C8" s="10"/>
      <c r="D8" s="26"/>
      <c r="E8" s="30" t="s">
        <v>78</v>
      </c>
      <c r="F8" s="26"/>
      <c r="G8" s="10"/>
      <c r="H8" s="10"/>
      <c r="I8" s="10"/>
      <c r="J8" s="10"/>
    </row>
    <row r="9" spans="1:11" ht="15.75" thickBot="1">
      <c r="A9" s="31" t="s">
        <v>0</v>
      </c>
      <c r="B9" s="31" t="s">
        <v>0</v>
      </c>
      <c r="C9" s="31" t="s">
        <v>0</v>
      </c>
      <c r="D9" s="31" t="s">
        <v>0</v>
      </c>
      <c r="E9" s="31" t="s">
        <v>0</v>
      </c>
      <c r="F9" s="31"/>
      <c r="G9" s="26"/>
      <c r="H9" s="26"/>
      <c r="I9" s="26"/>
      <c r="J9" s="26"/>
      <c r="K9" s="155"/>
    </row>
    <row r="10" spans="1:11">
      <c r="A10" s="32" t="s">
        <v>0</v>
      </c>
      <c r="B10" s="32" t="s">
        <v>3</v>
      </c>
      <c r="C10" s="32" t="s">
        <v>5</v>
      </c>
      <c r="D10" s="32" t="s">
        <v>171</v>
      </c>
      <c r="E10" s="32" t="s">
        <v>172</v>
      </c>
      <c r="F10" s="32" t="s">
        <v>174</v>
      </c>
      <c r="G10" s="32" t="s">
        <v>172</v>
      </c>
      <c r="H10" s="32" t="s">
        <v>174</v>
      </c>
      <c r="I10" s="32" t="s">
        <v>172</v>
      </c>
      <c r="J10" s="32" t="s">
        <v>174</v>
      </c>
      <c r="K10" s="32" t="s">
        <v>286</v>
      </c>
    </row>
    <row r="11" spans="1:11">
      <c r="A11" s="32"/>
      <c r="B11" s="32" t="s">
        <v>4</v>
      </c>
      <c r="C11" s="32" t="s">
        <v>6</v>
      </c>
      <c r="D11" s="32" t="s">
        <v>28</v>
      </c>
      <c r="E11" s="32" t="s">
        <v>173</v>
      </c>
      <c r="F11" s="32" t="s">
        <v>124</v>
      </c>
      <c r="G11" s="32" t="s">
        <v>173</v>
      </c>
      <c r="H11" s="32" t="s">
        <v>124</v>
      </c>
      <c r="I11" s="32" t="s">
        <v>173</v>
      </c>
      <c r="J11" s="32" t="s">
        <v>124</v>
      </c>
      <c r="K11" s="32" t="s">
        <v>188</v>
      </c>
    </row>
    <row r="12" spans="1:11" ht="15.75" thickBot="1">
      <c r="A12" s="34" t="s">
        <v>2</v>
      </c>
      <c r="B12" s="34" t="s">
        <v>0</v>
      </c>
      <c r="C12" s="34" t="s">
        <v>0</v>
      </c>
      <c r="D12" s="34" t="s">
        <v>0</v>
      </c>
      <c r="E12" s="34" t="s">
        <v>175</v>
      </c>
      <c r="F12" s="34" t="s">
        <v>175</v>
      </c>
      <c r="G12" s="34" t="s">
        <v>284</v>
      </c>
      <c r="H12" s="34" t="s">
        <v>284</v>
      </c>
      <c r="I12" s="34" t="s">
        <v>285</v>
      </c>
      <c r="J12" s="34" t="s">
        <v>285</v>
      </c>
      <c r="K12" s="238" t="s">
        <v>287</v>
      </c>
    </row>
    <row r="13" spans="1:11">
      <c r="A13" s="36" t="s">
        <v>7</v>
      </c>
      <c r="B13" s="36" t="s">
        <v>7</v>
      </c>
      <c r="C13" s="36" t="s">
        <v>7</v>
      </c>
      <c r="D13" s="37" t="s">
        <v>117</v>
      </c>
      <c r="E13" s="36" t="s">
        <v>7</v>
      </c>
      <c r="F13" s="36" t="s">
        <v>15</v>
      </c>
      <c r="G13" s="36" t="s">
        <v>7</v>
      </c>
      <c r="H13" s="36" t="s">
        <v>15</v>
      </c>
      <c r="I13" s="36" t="s">
        <v>7</v>
      </c>
      <c r="J13" s="36" t="s">
        <v>15</v>
      </c>
      <c r="K13" s="36" t="s">
        <v>15</v>
      </c>
    </row>
    <row r="14" spans="1:11">
      <c r="A14" s="32"/>
      <c r="B14" s="32"/>
      <c r="C14" s="32"/>
      <c r="D14" s="32"/>
      <c r="E14" s="32"/>
      <c r="F14" s="32"/>
      <c r="G14" s="10"/>
      <c r="H14" s="10"/>
      <c r="I14" s="10"/>
      <c r="J14" s="10"/>
      <c r="K14" s="10"/>
    </row>
    <row r="15" spans="1:11">
      <c r="A15" s="10"/>
      <c r="B15" s="10"/>
      <c r="C15" s="10"/>
      <c r="D15" s="10"/>
      <c r="E15" s="10"/>
      <c r="F15" s="10"/>
      <c r="G15" s="10"/>
      <c r="H15" s="10"/>
      <c r="I15" s="10"/>
      <c r="J15" s="10"/>
      <c r="K15" s="10"/>
    </row>
    <row r="16" spans="1:11" ht="15.75">
      <c r="A16" s="60" t="str">
        <f>+'S&amp;D'!A22</f>
        <v>Canadian National</v>
      </c>
      <c r="B16" s="87" t="str">
        <f>+'S&amp;D'!B22</f>
        <v>CNI</v>
      </c>
      <c r="C16" s="87" t="str">
        <f>+'S&amp;D'!C22</f>
        <v>Railroad</v>
      </c>
      <c r="D16" s="57">
        <f>+'S&amp;D'!G22</f>
        <v>118.88</v>
      </c>
      <c r="E16" s="417">
        <v>2.3199999999999998</v>
      </c>
      <c r="F16" s="51">
        <f>+E16/D16</f>
        <v>1.9515477792732168E-2</v>
      </c>
      <c r="G16" s="417">
        <v>2.5</v>
      </c>
      <c r="H16" s="51">
        <f>+G16/D16</f>
        <v>2.1029609690444147E-2</v>
      </c>
      <c r="I16" s="417">
        <v>3.3</v>
      </c>
      <c r="J16" s="51">
        <f>+I16/D16</f>
        <v>2.7759084791386272E-2</v>
      </c>
      <c r="K16" s="428">
        <f>RATE(3,,-G16,I16)</f>
        <v>9.696131048693922E-2</v>
      </c>
    </row>
    <row r="17" spans="1:11" ht="15.75">
      <c r="A17" s="60" t="str">
        <f>+'S&amp;D'!A23</f>
        <v>Canadian Pacific</v>
      </c>
      <c r="B17" s="87" t="str">
        <f>+'S&amp;D'!B23</f>
        <v>CP</v>
      </c>
      <c r="C17" s="87" t="str">
        <f>+'S&amp;D'!C23</f>
        <v>Railroad</v>
      </c>
      <c r="D17" s="57">
        <f>+'S&amp;D'!G23</f>
        <v>74.59</v>
      </c>
      <c r="E17" s="417">
        <v>0.57999999999999996</v>
      </c>
      <c r="F17" s="51">
        <f t="shared" ref="F17:F20" si="0">+E17/D17</f>
        <v>7.7758412655851983E-3</v>
      </c>
      <c r="G17" s="417">
        <v>0.72</v>
      </c>
      <c r="H17" s="51">
        <f t="shared" ref="H17:H20" si="1">+G17/D17</f>
        <v>9.6527684676230054E-3</v>
      </c>
      <c r="I17" s="417">
        <v>0.9</v>
      </c>
      <c r="J17" s="51">
        <f t="shared" ref="J17:J20" si="2">+I17/D17</f>
        <v>1.2065960584528758E-2</v>
      </c>
      <c r="K17" s="428">
        <f t="shared" ref="K17:K20" si="3">RATE(3,,-G17,I17)</f>
        <v>7.7217345015989369E-2</v>
      </c>
    </row>
    <row r="18" spans="1:11" ht="15.75">
      <c r="A18" s="60" t="str">
        <f>+'S&amp;D'!A24</f>
        <v>CSX Corp</v>
      </c>
      <c r="B18" s="87" t="str">
        <f>+'S&amp;D'!B24</f>
        <v>CSX</v>
      </c>
      <c r="C18" s="87" t="str">
        <f>+'S&amp;D'!C24</f>
        <v>Railroad</v>
      </c>
      <c r="D18" s="57">
        <f>+'S&amp;D'!G24</f>
        <v>30.98</v>
      </c>
      <c r="E18" s="417">
        <v>0.4</v>
      </c>
      <c r="F18" s="51">
        <f t="shared" si="0"/>
        <v>1.2911555842479019E-2</v>
      </c>
      <c r="G18" s="417">
        <v>0.44</v>
      </c>
      <c r="H18" s="51">
        <f t="shared" si="1"/>
        <v>1.4202711426726921E-2</v>
      </c>
      <c r="I18" s="417">
        <v>0.64</v>
      </c>
      <c r="J18" s="51">
        <f t="shared" si="2"/>
        <v>2.0658489347966429E-2</v>
      </c>
      <c r="K18" s="428">
        <f t="shared" si="3"/>
        <v>0.13303266988621423</v>
      </c>
    </row>
    <row r="19" spans="1:11" ht="15.75">
      <c r="A19" s="60" t="str">
        <f>+'S&amp;D'!A25</f>
        <v>Norfolk Southern</v>
      </c>
      <c r="B19" s="87" t="str">
        <f>+'S&amp;D'!B25</f>
        <v>NSC</v>
      </c>
      <c r="C19" s="87" t="str">
        <f>+'S&amp;D'!C25</f>
        <v>Railroad</v>
      </c>
      <c r="D19" s="57">
        <f>+'S&amp;D'!G25</f>
        <v>246.42</v>
      </c>
      <c r="E19" s="417">
        <v>4.96</v>
      </c>
      <c r="F19" s="51">
        <f t="shared" si="0"/>
        <v>2.0128236344452561E-2</v>
      </c>
      <c r="G19" s="417">
        <v>5.4</v>
      </c>
      <c r="H19" s="51">
        <f t="shared" si="1"/>
        <v>2.1913805697589484E-2</v>
      </c>
      <c r="I19" s="417">
        <v>6.5</v>
      </c>
      <c r="J19" s="51">
        <f t="shared" si="2"/>
        <v>2.6377729080431785E-2</v>
      </c>
      <c r="K19" s="428">
        <f t="shared" si="3"/>
        <v>6.375071647849466E-2</v>
      </c>
    </row>
    <row r="20" spans="1:11" ht="15.75">
      <c r="A20" s="60" t="str">
        <f>+'S&amp;D'!A26</f>
        <v>Union Pacific Railroad</v>
      </c>
      <c r="B20" s="87" t="str">
        <f>+'S&amp;D'!B26</f>
        <v>UNP</v>
      </c>
      <c r="C20" s="87" t="str">
        <f>+'S&amp;D'!C26</f>
        <v>Railroad</v>
      </c>
      <c r="D20" s="57">
        <f>+'S&amp;D'!G26</f>
        <v>207.07</v>
      </c>
      <c r="E20" s="417">
        <v>5.08</v>
      </c>
      <c r="F20" s="51">
        <f t="shared" si="0"/>
        <v>2.4532766697252139E-2</v>
      </c>
      <c r="G20" s="417">
        <v>5.6</v>
      </c>
      <c r="H20" s="51">
        <f t="shared" si="1"/>
        <v>2.7043994784372433E-2</v>
      </c>
      <c r="I20" s="417">
        <v>6.6</v>
      </c>
      <c r="J20" s="51">
        <f t="shared" si="2"/>
        <v>3.1873279567296083E-2</v>
      </c>
      <c r="K20" s="428">
        <f t="shared" si="3"/>
        <v>5.6295191645437948E-2</v>
      </c>
    </row>
    <row r="21" spans="1:11" ht="15.75" thickBot="1">
      <c r="A21" s="10"/>
      <c r="B21" s="10"/>
      <c r="C21" s="41"/>
      <c r="D21" s="44"/>
      <c r="E21" s="44"/>
      <c r="F21" s="44"/>
      <c r="G21" s="44"/>
      <c r="H21" s="44"/>
      <c r="I21" s="44"/>
      <c r="J21" s="44"/>
      <c r="K21" s="44"/>
    </row>
    <row r="22" spans="1:11" ht="15.75" thickTop="1">
      <c r="A22" s="10"/>
      <c r="B22" s="10"/>
      <c r="D22" s="12" t="s">
        <v>47</v>
      </c>
      <c r="E22" s="14">
        <v>5.08</v>
      </c>
      <c r="F22" s="327">
        <v>2.4500000000000001E-2</v>
      </c>
      <c r="G22" s="14">
        <v>5.6</v>
      </c>
      <c r="H22" s="327">
        <v>2.7E-2</v>
      </c>
      <c r="I22" s="14">
        <v>6.6</v>
      </c>
      <c r="J22" s="327">
        <v>3.1899999999999998E-2</v>
      </c>
      <c r="K22" s="327">
        <v>0.13300000000000001</v>
      </c>
    </row>
    <row r="23" spans="1:11">
      <c r="A23" s="10"/>
      <c r="B23" s="10"/>
      <c r="D23" s="12" t="s">
        <v>48</v>
      </c>
      <c r="E23" s="345">
        <v>0.4</v>
      </c>
      <c r="F23" s="346">
        <v>7.7999999999999996E-3</v>
      </c>
      <c r="G23" s="345">
        <v>0.72</v>
      </c>
      <c r="H23" s="346">
        <v>9.7000000000000003E-3</v>
      </c>
      <c r="I23" s="345">
        <v>0.64</v>
      </c>
      <c r="J23" s="346">
        <v>1.21E-2</v>
      </c>
      <c r="K23" s="346">
        <v>7.7200000000000005E-2</v>
      </c>
    </row>
    <row r="24" spans="1:11">
      <c r="A24" s="10"/>
      <c r="B24" s="10"/>
      <c r="D24" s="12" t="s">
        <v>18</v>
      </c>
      <c r="E24" s="15">
        <f t="shared" ref="E24:K24" si="4">MEDIAN(E16:E20)</f>
        <v>2.3199999999999998</v>
      </c>
      <c r="F24" s="52">
        <f t="shared" si="4"/>
        <v>1.9515477792732168E-2</v>
      </c>
      <c r="G24" s="15">
        <f t="shared" si="4"/>
        <v>2.5</v>
      </c>
      <c r="H24" s="52">
        <f t="shared" si="4"/>
        <v>2.1029609690444147E-2</v>
      </c>
      <c r="I24" s="15">
        <f t="shared" si="4"/>
        <v>3.3</v>
      </c>
      <c r="J24" s="52">
        <f t="shared" si="4"/>
        <v>2.6377729080431785E-2</v>
      </c>
      <c r="K24" s="52">
        <f t="shared" si="4"/>
        <v>7.7217345015989369E-2</v>
      </c>
    </row>
    <row r="25" spans="1:11">
      <c r="A25" s="10"/>
      <c r="B25" s="10"/>
      <c r="D25" s="12" t="s">
        <v>448</v>
      </c>
      <c r="E25" s="19">
        <f t="shared" ref="E25:K25" si="5">AVERAGE(E16:E20)</f>
        <v>2.6680000000000001</v>
      </c>
      <c r="F25" s="54">
        <f t="shared" si="5"/>
        <v>1.6972775588500216E-2</v>
      </c>
      <c r="G25" s="19">
        <f t="shared" si="5"/>
        <v>2.9319999999999999</v>
      </c>
      <c r="H25" s="54">
        <f t="shared" si="5"/>
        <v>1.8768578013351196E-2</v>
      </c>
      <c r="I25" s="19">
        <f t="shared" si="5"/>
        <v>3.5879999999999996</v>
      </c>
      <c r="J25" s="54">
        <f t="shared" si="5"/>
        <v>2.3746908674321866E-2</v>
      </c>
      <c r="K25" s="54">
        <f t="shared" si="5"/>
        <v>8.5451446702615091E-2</v>
      </c>
    </row>
    <row r="26" spans="1:11">
      <c r="A26" s="10"/>
      <c r="B26" s="10"/>
      <c r="C26" s="10"/>
      <c r="D26" s="10"/>
      <c r="E26" s="10"/>
      <c r="F26" s="10"/>
      <c r="G26" s="10"/>
      <c r="H26" s="10"/>
      <c r="I26" s="10"/>
      <c r="J26" s="10"/>
      <c r="K26" s="10"/>
    </row>
    <row r="27" spans="1:11" ht="20.25">
      <c r="A27" s="10"/>
      <c r="B27" s="10"/>
      <c r="C27" s="10"/>
      <c r="D27" s="10"/>
      <c r="E27" s="10"/>
      <c r="F27" s="47" t="s">
        <v>0</v>
      </c>
      <c r="G27" s="61" t="s">
        <v>0</v>
      </c>
      <c r="H27" s="10"/>
      <c r="I27" s="10"/>
      <c r="J27" s="10"/>
      <c r="K27" s="10"/>
    </row>
    <row r="28" spans="1:11" ht="18.75">
      <c r="A28" s="239" t="s">
        <v>288</v>
      </c>
    </row>
  </sheetData>
  <pageMargins left="0.25" right="0.25" top="0.75" bottom="0.75" header="0.3" footer="0.3"/>
  <pageSetup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596C7-3CA4-4A86-9548-2C135C060B79}">
  <sheetPr>
    <tabColor rgb="FF92D050"/>
  </sheetPr>
  <dimension ref="A1:K28"/>
  <sheetViews>
    <sheetView view="pageBreakPreview" zoomScale="60" zoomScaleNormal="80" workbookViewId="0">
      <selection activeCell="A24" sqref="A24"/>
    </sheetView>
  </sheetViews>
  <sheetFormatPr defaultRowHeight="15"/>
  <cols>
    <col min="1" max="1" width="51.5703125" customWidth="1"/>
    <col min="2" max="2" width="10.85546875" bestFit="1" customWidth="1"/>
    <col min="3" max="3" width="19.140625" bestFit="1" customWidth="1"/>
    <col min="4" max="4" width="15.28515625" customWidth="1"/>
    <col min="5" max="5" width="16" customWidth="1"/>
    <col min="6" max="6" width="20" customWidth="1"/>
    <col min="7" max="7" width="16.5703125" customWidth="1"/>
    <col min="8" max="8" width="19.140625" customWidth="1"/>
    <col min="9" max="10" width="20.140625" customWidth="1"/>
    <col min="11" max="11" width="17.7109375" customWidth="1"/>
    <col min="12" max="12" width="23.7109375" customWidth="1"/>
  </cols>
  <sheetData>
    <row r="1" spans="1:11" ht="20.25">
      <c r="A1" s="21" t="s">
        <v>1</v>
      </c>
      <c r="B1" s="10"/>
      <c r="C1" s="10"/>
      <c r="D1" s="10"/>
      <c r="E1" s="10"/>
      <c r="F1" s="10"/>
      <c r="G1" s="10"/>
      <c r="H1" s="10"/>
      <c r="I1" s="10"/>
      <c r="J1" s="10"/>
    </row>
    <row r="2" spans="1:11" ht="15.75">
      <c r="A2" s="22" t="s">
        <v>9</v>
      </c>
      <c r="B2" s="10"/>
      <c r="C2" s="10"/>
      <c r="D2" s="10"/>
      <c r="E2" s="10"/>
      <c r="F2" s="10"/>
      <c r="G2" s="10"/>
      <c r="H2" s="10"/>
      <c r="I2" s="10"/>
      <c r="J2" s="10"/>
    </row>
    <row r="3" spans="1:11">
      <c r="A3" s="23" t="s">
        <v>64</v>
      </c>
      <c r="B3" s="10"/>
      <c r="C3" s="10"/>
      <c r="D3" s="10"/>
      <c r="E3" s="10"/>
      <c r="F3" s="10"/>
      <c r="G3" s="10"/>
      <c r="H3" s="10"/>
      <c r="I3" s="10"/>
      <c r="J3" s="10"/>
    </row>
    <row r="4" spans="1:11">
      <c r="A4" s="23"/>
      <c r="B4" s="10"/>
      <c r="C4" s="10"/>
      <c r="D4" s="10"/>
      <c r="E4" s="10"/>
      <c r="F4" s="10"/>
      <c r="G4" s="10"/>
      <c r="H4" s="10"/>
      <c r="I4" s="10"/>
      <c r="J4" s="10"/>
    </row>
    <row r="5" spans="1:11" ht="15.75" thickBot="1">
      <c r="A5" s="10"/>
      <c r="B5" s="10"/>
      <c r="C5" s="10"/>
      <c r="D5" s="10"/>
      <c r="E5" s="10"/>
      <c r="F5" s="10"/>
      <c r="G5" s="24"/>
      <c r="H5" s="10"/>
      <c r="I5" s="10"/>
      <c r="J5" s="10"/>
    </row>
    <row r="6" spans="1:11" ht="18.75" thickBot="1">
      <c r="A6" s="276" t="str">
        <f>+'S&amp;D'!A12</f>
        <v>Railroad Carriers</v>
      </c>
      <c r="B6" s="204"/>
      <c r="C6" s="10"/>
      <c r="D6" s="26"/>
      <c r="E6" s="26"/>
      <c r="F6" s="27" t="s">
        <v>0</v>
      </c>
      <c r="G6" s="10"/>
      <c r="H6" s="10"/>
      <c r="I6" s="10"/>
      <c r="J6" s="10"/>
    </row>
    <row r="7" spans="1:11" ht="20.25">
      <c r="A7" s="28"/>
      <c r="B7" s="10"/>
      <c r="C7" s="10"/>
      <c r="D7" s="10"/>
      <c r="E7" s="29" t="s">
        <v>289</v>
      </c>
      <c r="F7" s="10"/>
      <c r="G7" s="10"/>
      <c r="H7" s="10"/>
      <c r="I7" s="10"/>
      <c r="J7" s="10"/>
    </row>
    <row r="8" spans="1:11" ht="18.75" thickBot="1">
      <c r="A8" s="28"/>
      <c r="B8" s="10"/>
      <c r="C8" s="10"/>
      <c r="D8" s="26"/>
      <c r="E8" s="30" t="s">
        <v>78</v>
      </c>
      <c r="F8" s="26"/>
      <c r="G8" s="10"/>
      <c r="H8" s="10"/>
      <c r="I8" s="10"/>
      <c r="J8" s="10"/>
    </row>
    <row r="9" spans="1:11" ht="15.75" thickBot="1">
      <c r="A9" s="31" t="s">
        <v>0</v>
      </c>
      <c r="B9" s="31" t="s">
        <v>0</v>
      </c>
      <c r="C9" s="31" t="s">
        <v>0</v>
      </c>
      <c r="D9" s="31" t="s">
        <v>0</v>
      </c>
      <c r="E9" s="31" t="s">
        <v>0</v>
      </c>
      <c r="F9" s="31"/>
      <c r="G9" s="26"/>
      <c r="H9" s="26"/>
      <c r="I9" s="26"/>
      <c r="J9" s="26"/>
      <c r="K9" s="155"/>
    </row>
    <row r="10" spans="1:11">
      <c r="A10" s="32" t="s">
        <v>0</v>
      </c>
      <c r="B10" s="32" t="s">
        <v>3</v>
      </c>
      <c r="C10" s="32" t="s">
        <v>5</v>
      </c>
      <c r="D10" s="32" t="s">
        <v>171</v>
      </c>
      <c r="E10" s="32" t="s">
        <v>177</v>
      </c>
      <c r="F10" s="32" t="s">
        <v>177</v>
      </c>
      <c r="G10" s="32" t="s">
        <v>177</v>
      </c>
      <c r="H10" s="32" t="s">
        <v>177</v>
      </c>
      <c r="I10" s="32" t="s">
        <v>177</v>
      </c>
      <c r="J10" s="32" t="s">
        <v>177</v>
      </c>
      <c r="K10" s="32" t="s">
        <v>286</v>
      </c>
    </row>
    <row r="11" spans="1:11">
      <c r="A11" s="32"/>
      <c r="B11" s="32" t="s">
        <v>4</v>
      </c>
      <c r="C11" s="32" t="s">
        <v>6</v>
      </c>
      <c r="D11" s="32" t="s">
        <v>28</v>
      </c>
      <c r="E11" s="32" t="s">
        <v>173</v>
      </c>
      <c r="F11" s="32" t="s">
        <v>124</v>
      </c>
      <c r="G11" s="32" t="s">
        <v>173</v>
      </c>
      <c r="H11" s="32" t="s">
        <v>124</v>
      </c>
      <c r="I11" s="32" t="s">
        <v>173</v>
      </c>
      <c r="J11" s="32" t="s">
        <v>124</v>
      </c>
      <c r="K11" s="32" t="s">
        <v>188</v>
      </c>
    </row>
    <row r="12" spans="1:11" ht="15.75" thickBot="1">
      <c r="A12" s="34" t="s">
        <v>2</v>
      </c>
      <c r="B12" s="34" t="s">
        <v>0</v>
      </c>
      <c r="C12" s="34" t="s">
        <v>0</v>
      </c>
      <c r="D12" s="34" t="s">
        <v>0</v>
      </c>
      <c r="E12" s="34" t="s">
        <v>175</v>
      </c>
      <c r="F12" s="34" t="s">
        <v>175</v>
      </c>
      <c r="G12" s="34" t="s">
        <v>284</v>
      </c>
      <c r="H12" s="34" t="s">
        <v>284</v>
      </c>
      <c r="I12" s="34" t="s">
        <v>285</v>
      </c>
      <c r="J12" s="34" t="s">
        <v>285</v>
      </c>
      <c r="K12" s="238" t="s">
        <v>287</v>
      </c>
    </row>
    <row r="13" spans="1:11">
      <c r="A13" s="36" t="s">
        <v>7</v>
      </c>
      <c r="B13" s="36" t="s">
        <v>7</v>
      </c>
      <c r="C13" s="36" t="s">
        <v>7</v>
      </c>
      <c r="D13" s="37" t="s">
        <v>117</v>
      </c>
      <c r="E13" s="36" t="s">
        <v>7</v>
      </c>
      <c r="F13" s="36" t="s">
        <v>15</v>
      </c>
      <c r="G13" s="36" t="s">
        <v>7</v>
      </c>
      <c r="H13" s="36" t="s">
        <v>15</v>
      </c>
      <c r="I13" s="36" t="s">
        <v>7</v>
      </c>
      <c r="J13" s="36" t="s">
        <v>15</v>
      </c>
      <c r="K13" s="36" t="s">
        <v>15</v>
      </c>
    </row>
    <row r="14" spans="1:11">
      <c r="A14" s="32"/>
      <c r="B14" s="32"/>
      <c r="C14" s="32"/>
      <c r="D14" s="32"/>
      <c r="E14" s="32"/>
      <c r="F14" s="32"/>
      <c r="G14" s="10"/>
      <c r="H14" s="10"/>
      <c r="I14" s="10"/>
      <c r="J14" s="10"/>
      <c r="K14" s="10"/>
    </row>
    <row r="15" spans="1:11">
      <c r="A15" s="10"/>
      <c r="B15" s="10"/>
      <c r="C15" s="10"/>
      <c r="D15" s="10"/>
      <c r="E15" s="10"/>
      <c r="F15" s="10"/>
      <c r="G15" s="10"/>
      <c r="H15" s="10"/>
      <c r="I15" s="10"/>
      <c r="J15" s="10"/>
      <c r="K15" s="10"/>
    </row>
    <row r="16" spans="1:11" ht="15.75">
      <c r="A16" s="41" t="str">
        <f>+'S&amp;D'!A22</f>
        <v>Canadian National</v>
      </c>
      <c r="B16" s="32" t="str">
        <f>+'S&amp;D'!B22</f>
        <v>CNI</v>
      </c>
      <c r="C16" s="32" t="str">
        <f>+'S&amp;D'!C22</f>
        <v>Railroad</v>
      </c>
      <c r="D16" s="57">
        <f>+'S&amp;D'!G22</f>
        <v>118.88</v>
      </c>
      <c r="E16" s="417">
        <v>5.69</v>
      </c>
      <c r="F16" s="51">
        <f>+E16/D16</f>
        <v>4.7863391655450879E-2</v>
      </c>
      <c r="G16" s="417">
        <v>5.75</v>
      </c>
      <c r="H16" s="51">
        <f>+G16/D16</f>
        <v>4.8368102288021533E-2</v>
      </c>
      <c r="I16" s="417">
        <v>8.25</v>
      </c>
      <c r="J16" s="51">
        <f>+I16/D16</f>
        <v>6.9397711978465684E-2</v>
      </c>
      <c r="K16" s="428">
        <f t="shared" ref="K16" si="0">RATE(3,,-G16,I16)</f>
        <v>0.12787776387623168</v>
      </c>
    </row>
    <row r="17" spans="1:11" ht="15.75">
      <c r="A17" s="41" t="str">
        <f>+'S&amp;D'!A23</f>
        <v>Canadian Pacific</v>
      </c>
      <c r="B17" s="32" t="str">
        <f>+'S&amp;D'!B23</f>
        <v>CP</v>
      </c>
      <c r="C17" s="32" t="str">
        <f>+'S&amp;D'!C23</f>
        <v>Railroad</v>
      </c>
      <c r="D17" s="57">
        <f>+'S&amp;D'!G23</f>
        <v>74.59</v>
      </c>
      <c r="E17" s="417">
        <v>2.84</v>
      </c>
      <c r="F17" s="51">
        <f t="shared" ref="F17:F20" si="1">+E17/D17</f>
        <v>3.8074808955624075E-2</v>
      </c>
      <c r="G17" s="417">
        <v>3.3</v>
      </c>
      <c r="H17" s="51">
        <f t="shared" ref="H17:H20" si="2">+G17/D17</f>
        <v>4.4241855476605439E-2</v>
      </c>
      <c r="I17" s="417">
        <v>5.8</v>
      </c>
      <c r="J17" s="51">
        <f t="shared" ref="J17:J20" si="3">+I17/D17</f>
        <v>7.7758412655851983E-2</v>
      </c>
      <c r="K17" s="428">
        <f t="shared" ref="K17:K20" si="4">RATE(3,,-G17,I17)</f>
        <v>0.20680754822432335</v>
      </c>
    </row>
    <row r="18" spans="1:11" ht="15.75">
      <c r="A18" s="41" t="str">
        <f>+'S&amp;D'!A24</f>
        <v>CSX Corp</v>
      </c>
      <c r="B18" s="32" t="str">
        <f>+'S&amp;D'!B24</f>
        <v>CSX</v>
      </c>
      <c r="C18" s="32" t="str">
        <f>+'S&amp;D'!C24</f>
        <v>Railroad</v>
      </c>
      <c r="D18" s="57">
        <f>+'S&amp;D'!G24</f>
        <v>30.98</v>
      </c>
      <c r="E18" s="417">
        <v>1.91</v>
      </c>
      <c r="F18" s="51">
        <f t="shared" si="1"/>
        <v>6.1652679147837314E-2</v>
      </c>
      <c r="G18" s="417">
        <v>1.7</v>
      </c>
      <c r="H18" s="51">
        <f t="shared" si="2"/>
        <v>5.4874112330535831E-2</v>
      </c>
      <c r="I18" s="417">
        <v>2.5499999999999998</v>
      </c>
      <c r="J18" s="51">
        <f t="shared" si="3"/>
        <v>8.2311168495803735E-2</v>
      </c>
      <c r="K18" s="428">
        <f t="shared" si="4"/>
        <v>0.14471424255333185</v>
      </c>
    </row>
    <row r="19" spans="1:11" ht="15.75">
      <c r="A19" s="41" t="str">
        <f>+'S&amp;D'!A25</f>
        <v>Norfolk Southern</v>
      </c>
      <c r="B19" s="32" t="str">
        <f>+'S&amp;D'!B25</f>
        <v>NSC</v>
      </c>
      <c r="C19" s="32" t="str">
        <f>+'S&amp;D'!C25</f>
        <v>Railroad</v>
      </c>
      <c r="D19" s="57">
        <f>+'S&amp;D'!G25</f>
        <v>246.42</v>
      </c>
      <c r="E19" s="417">
        <v>13.9</v>
      </c>
      <c r="F19" s="51">
        <f t="shared" si="1"/>
        <v>5.6407759110461815E-2</v>
      </c>
      <c r="G19" s="417">
        <v>12.85</v>
      </c>
      <c r="H19" s="51">
        <f t="shared" si="2"/>
        <v>5.2146741335930523E-2</v>
      </c>
      <c r="I19" s="417">
        <v>19.7</v>
      </c>
      <c r="J19" s="51">
        <f t="shared" si="3"/>
        <v>7.9944809674539402E-2</v>
      </c>
      <c r="K19" s="428">
        <f t="shared" si="4"/>
        <v>0.15306653022767341</v>
      </c>
    </row>
    <row r="20" spans="1:11" ht="15.75">
      <c r="A20" s="41" t="str">
        <f>+'S&amp;D'!A26</f>
        <v>Union Pacific Railroad</v>
      </c>
      <c r="B20" s="32" t="str">
        <f>+'S&amp;D'!B26</f>
        <v>UNP</v>
      </c>
      <c r="C20" s="32" t="str">
        <f>+'S&amp;D'!C26</f>
        <v>Railroad</v>
      </c>
      <c r="D20" s="57">
        <f>+'S&amp;D'!G26</f>
        <v>207.07</v>
      </c>
      <c r="E20" s="417">
        <v>11.36</v>
      </c>
      <c r="F20" s="51">
        <f t="shared" si="1"/>
        <v>5.4860675134012653E-2</v>
      </c>
      <c r="G20" s="417">
        <v>10.3</v>
      </c>
      <c r="H20" s="51">
        <f t="shared" si="2"/>
        <v>4.9741633264113592E-2</v>
      </c>
      <c r="I20" s="417">
        <v>14.45</v>
      </c>
      <c r="J20" s="51">
        <f t="shared" si="3"/>
        <v>6.9783165113246726E-2</v>
      </c>
      <c r="K20" s="428">
        <f t="shared" si="4"/>
        <v>0.11946419454164872</v>
      </c>
    </row>
    <row r="21" spans="1:11" ht="15.75" thickBot="1">
      <c r="A21" s="10"/>
      <c r="B21" s="10"/>
      <c r="C21" s="41"/>
      <c r="D21" s="44"/>
      <c r="E21" s="44"/>
      <c r="F21" s="44"/>
      <c r="G21" s="44"/>
      <c r="H21" s="44"/>
      <c r="I21" s="44"/>
      <c r="J21" s="44"/>
      <c r="K21" s="44"/>
    </row>
    <row r="22" spans="1:11" ht="15.75" thickTop="1">
      <c r="A22" s="10"/>
      <c r="B22" s="10"/>
      <c r="D22" s="12" t="s">
        <v>47</v>
      </c>
      <c r="E22" s="14">
        <v>13.9</v>
      </c>
      <c r="F22" s="327">
        <v>6.1699999999999998E-2</v>
      </c>
      <c r="G22" s="14">
        <v>12.85</v>
      </c>
      <c r="H22" s="327">
        <v>5.4899999999999997E-2</v>
      </c>
      <c r="I22" s="14">
        <v>19.7</v>
      </c>
      <c r="J22" s="327">
        <v>8.2299999999999998E-2</v>
      </c>
      <c r="K22" s="327">
        <v>0.20680000000000001</v>
      </c>
    </row>
    <row r="23" spans="1:11">
      <c r="A23" s="10"/>
      <c r="B23" s="10"/>
      <c r="D23" s="349" t="s">
        <v>48</v>
      </c>
      <c r="E23" s="345">
        <v>1.91</v>
      </c>
      <c r="F23" s="346">
        <v>3.8100000000000002E-2</v>
      </c>
      <c r="G23" s="345">
        <v>1.7</v>
      </c>
      <c r="H23" s="346">
        <v>4.4200000000000003E-2</v>
      </c>
      <c r="I23" s="345">
        <v>2.5499999999999998</v>
      </c>
      <c r="J23" s="346">
        <v>6.9400000000000003E-2</v>
      </c>
      <c r="K23" s="346">
        <v>0.1195</v>
      </c>
    </row>
    <row r="24" spans="1:11">
      <c r="A24" s="10"/>
      <c r="B24" s="10"/>
      <c r="D24" s="12" t="s">
        <v>18</v>
      </c>
      <c r="E24" s="15">
        <f t="shared" ref="E24:K24" si="5">MEDIAN(E16:E20)</f>
        <v>5.69</v>
      </c>
      <c r="F24" s="52">
        <f t="shared" si="5"/>
        <v>5.4860675134012653E-2</v>
      </c>
      <c r="G24" s="15">
        <f t="shared" si="5"/>
        <v>5.75</v>
      </c>
      <c r="H24" s="52">
        <f t="shared" si="5"/>
        <v>4.9741633264113592E-2</v>
      </c>
      <c r="I24" s="15">
        <f t="shared" si="5"/>
        <v>8.25</v>
      </c>
      <c r="J24" s="52">
        <f t="shared" si="5"/>
        <v>7.7758412655851983E-2</v>
      </c>
      <c r="K24" s="52">
        <f t="shared" si="5"/>
        <v>0.14471424255333185</v>
      </c>
    </row>
    <row r="25" spans="1:11">
      <c r="A25" s="10"/>
      <c r="B25" s="10"/>
      <c r="D25" s="12" t="s">
        <v>448</v>
      </c>
      <c r="E25" s="19">
        <f t="shared" ref="E25:K25" si="6">AVERAGE(E16:E20)</f>
        <v>7.1400000000000006</v>
      </c>
      <c r="F25" s="54">
        <f t="shared" si="6"/>
        <v>5.1771862800677346E-2</v>
      </c>
      <c r="G25" s="19">
        <f t="shared" si="6"/>
        <v>6.7800000000000011</v>
      </c>
      <c r="H25" s="54">
        <f t="shared" si="6"/>
        <v>4.9874488939041381E-2</v>
      </c>
      <c r="I25" s="19">
        <f t="shared" si="6"/>
        <v>10.15</v>
      </c>
      <c r="J25" s="54">
        <f t="shared" si="6"/>
        <v>7.5839053583581506E-2</v>
      </c>
      <c r="K25" s="54">
        <f t="shared" si="6"/>
        <v>0.15038605588464177</v>
      </c>
    </row>
    <row r="26" spans="1:11">
      <c r="A26" s="10"/>
      <c r="B26" s="10"/>
      <c r="C26" s="10"/>
      <c r="D26" s="10"/>
      <c r="E26" s="10"/>
      <c r="F26" s="10"/>
      <c r="G26" s="10"/>
      <c r="H26" s="10"/>
      <c r="I26" s="10"/>
      <c r="J26" s="10"/>
      <c r="K26" s="10"/>
    </row>
    <row r="27" spans="1:11" ht="20.25">
      <c r="A27" s="10"/>
      <c r="B27" s="10"/>
      <c r="C27" s="10"/>
      <c r="D27" s="10"/>
      <c r="E27" s="10"/>
      <c r="F27" s="47" t="s">
        <v>0</v>
      </c>
      <c r="G27" s="61" t="s">
        <v>0</v>
      </c>
      <c r="H27" s="10"/>
      <c r="I27" s="10"/>
      <c r="J27" s="10"/>
      <c r="K27" s="10"/>
    </row>
    <row r="28" spans="1:11" ht="18.75">
      <c r="A28" s="239" t="s">
        <v>288</v>
      </c>
    </row>
  </sheetData>
  <pageMargins left="0.25" right="0.25" top="0.75" bottom="0.75" header="0.3" footer="0.3"/>
  <pageSetup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CD99C54C01C8BC45B805DF7256220975" ma:contentTypeVersion="1" ma:contentTypeDescription="Upload an image." ma:contentTypeScope="" ma:versionID="f51725491132dd0a64f9fd5ab78ea23f">
  <xsd:schema xmlns:xsd="http://www.w3.org/2001/XMLSchema" xmlns:xs="http://www.w3.org/2001/XMLSchema" xmlns:p="http://schemas.microsoft.com/office/2006/metadata/properties" xmlns:ns1="http://schemas.microsoft.com/sharepoint/v3" xmlns:ns2="6E03B4ED-B723-45B9-840F-361B28E24C99" xmlns:ns3="http://schemas.microsoft.com/sharepoint/v3/fields" targetNamespace="http://schemas.microsoft.com/office/2006/metadata/properties" ma:root="true" ma:fieldsID="97c48875acb44c11a63d22310fa806dc" ns1:_="" ns2:_="" ns3:_="">
    <xsd:import namespace="http://schemas.microsoft.com/sharepoint/v3"/>
    <xsd:import namespace="6E03B4ED-B723-45B9-840F-361B28E24C99"/>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E03B4ED-B723-45B9-840F-361B28E24C99"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6E03B4ED-B723-45B9-840F-361B28E24C99"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25675EEF-B857-466A-BD02-D764A522DC15}"/>
</file>

<file path=customXml/itemProps2.xml><?xml version="1.0" encoding="utf-8"?>
<ds:datastoreItem xmlns:ds="http://schemas.openxmlformats.org/officeDocument/2006/customXml" ds:itemID="{2ED4431E-CAB1-46FA-A712-A8D568497409}"/>
</file>

<file path=customXml/itemProps3.xml><?xml version="1.0" encoding="utf-8"?>
<ds:datastoreItem xmlns:ds="http://schemas.openxmlformats.org/officeDocument/2006/customXml" ds:itemID="{9B46B56D-6E40-4381-BF7B-676BA87057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Cover Sheet</vt:lpstr>
      <vt:lpstr>Yield CapRate</vt:lpstr>
      <vt:lpstr>Direct CapRates</vt:lpstr>
      <vt:lpstr>S&amp;D</vt:lpstr>
      <vt:lpstr>Market to Book Ratios</vt:lpstr>
      <vt:lpstr>Maintenance CapEx</vt:lpstr>
      <vt:lpstr>Beta for CAPM</vt:lpstr>
      <vt:lpstr>Dividends </vt:lpstr>
      <vt:lpstr>Earnings</vt:lpstr>
      <vt:lpstr>Direct Debt</vt:lpstr>
      <vt:lpstr>Yield Debt</vt:lpstr>
      <vt:lpstr>Direct GCF</vt:lpstr>
      <vt:lpstr>Direct NOPAT</vt:lpstr>
      <vt:lpstr>Growth &amp; Inflation Rates</vt:lpstr>
      <vt:lpstr>Indicated Yield Equity Rate </vt:lpstr>
      <vt:lpstr>CAPM</vt:lpstr>
      <vt:lpstr>Single Stage Div Growth Model</vt:lpstr>
      <vt:lpstr>Two-Stage Div Growth Model</vt:lpstr>
      <vt:lpstr>Multiples</vt:lpstr>
      <vt:lpstr>Info</vt:lpstr>
      <vt:lpstr>'Beta for CAPM'!Print_Area</vt:lpstr>
      <vt:lpstr>CAPM!Print_Area</vt:lpstr>
      <vt:lpstr>'Cover Sheet'!Print_Area</vt:lpstr>
      <vt:lpstr>'Direct CapRates'!Print_Area</vt:lpstr>
      <vt:lpstr>'Direct Debt'!Print_Area</vt:lpstr>
      <vt:lpstr>'Direct GCF'!Print_Area</vt:lpstr>
      <vt:lpstr>'Direct NOPAT'!Print_Area</vt:lpstr>
      <vt:lpstr>'Dividends '!Print_Area</vt:lpstr>
      <vt:lpstr>Earnings!Print_Area</vt:lpstr>
      <vt:lpstr>'Growth &amp; Inflation Rates'!Print_Area</vt:lpstr>
      <vt:lpstr>'Indicated Yield Equity Rate '!Print_Area</vt:lpstr>
      <vt:lpstr>'Maintenance CapEx'!Print_Area</vt:lpstr>
      <vt:lpstr>'Market to Book Ratios'!Print_Area</vt:lpstr>
      <vt:lpstr>Multiples!Print_Area</vt:lpstr>
      <vt:lpstr>'S&amp;D'!Print_Area</vt:lpstr>
      <vt:lpstr>'Single Stage Div Growth Model'!Print_Area</vt:lpstr>
      <vt:lpstr>'Two-Stage Div Growth Model'!Print_Area</vt:lpstr>
      <vt:lpstr>'Yield CapRate'!Print_Area</vt:lpstr>
      <vt:lpstr>'Yield Debt'!Print_Area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%USERNAME%</dc:creator>
  <cp:keywords/>
  <dc:description/>
  <cp:lastModifiedBy>Baker, Mike A (DOR)</cp:lastModifiedBy>
  <cp:lastPrinted>2023-06-02T15:09:06Z</cp:lastPrinted>
  <dcterms:created xsi:type="dcterms:W3CDTF">2016-02-12T19:29:24Z</dcterms:created>
  <dcterms:modified xsi:type="dcterms:W3CDTF">2023-06-05T15:17:02Z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0x0101009148F5A04DDD49CBA7127AADA5FB792B00AADE34325A8B49CDA8BB4DB53328F21400CD99C54C01C8BC45B805DF7256220975</vt:lpwstr>
  </property>
</Properties>
</file>